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F8CA4B6B-A1C6-4C3C-A517-8B3B7FBE4B22}" xr6:coauthVersionLast="47" xr6:coauthVersionMax="47" xr10:uidLastSave="{64E5EE74-072E-4DBC-9655-936D036BD73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<sst xmlns="http://schemas.openxmlformats.org/spreadsheetml/2006/main" count="32859" uniqueCount="1676">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</sst>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Wealden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21.41</c:v>
                </c:pt>
                <c:pt idx="1">
                  <c:v>21.5</c:v>
                </c:pt>
                <c:pt idx="2">
                  <c:v>21.25</c:v>
                </c:pt>
                <c:pt idx="3">
                  <c:v>21.58</c:v>
                </c:pt>
                <c:pt idx="4">
                  <c:v>21.97</c:v>
                </c:pt>
                <c:pt idx="5">
                  <c:v>22.34</c:v>
                </c:pt>
                <c:pt idx="6">
                  <c:v>22.34</c:v>
                </c:pt>
                <c:pt idx="7">
                  <c:v>22.28</c:v>
                </c:pt>
                <c:pt idx="8">
                  <c:v>22.39</c:v>
                </c:pt>
                <c:pt idx="9">
                  <c:v>23.04</c:v>
                </c:pt>
                <c:pt idx="10">
                  <c:v>24.04</c:v>
                </c:pt>
                <c:pt idx="11">
                  <c:v>24.85</c:v>
                </c:pt>
                <c:pt idx="12">
                  <c:v>25.4</c:v>
                </c:pt>
                <c:pt idx="13">
                  <c:v>25.61</c:v>
                </c:pt>
                <c:pt idx="14">
                  <c:v>25.77</c:v>
                </c:pt>
                <c:pt idx="15">
                  <c:v>25.77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Wealden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432.9</c:v>
                </c:pt>
                <c:pt idx="1">
                  <c:v>427.2</c:v>
                </c:pt>
                <c:pt idx="2">
                  <c:v>458.3</c:v>
                </c:pt>
                <c:pt idx="3">
                  <c:v>440</c:v>
                </c:pt>
                <c:pt idx="4">
                  <c:v>443.6</c:v>
                </c:pt>
                <c:pt idx="5">
                  <c:v>407.7</c:v>
                </c:pt>
                <c:pt idx="6">
                  <c:v>424.1</c:v>
                </c:pt>
                <c:pt idx="7">
                  <c:v>444.4</c:v>
                </c:pt>
                <c:pt idx="8">
                  <c:v>482.4</c:v>
                </c:pt>
                <c:pt idx="9">
                  <c:v>511.4</c:v>
                </c:pt>
                <c:pt idx="10">
                  <c:v>501.4</c:v>
                </c:pt>
                <c:pt idx="11">
                  <c:v>517.4</c:v>
                </c:pt>
                <c:pt idx="12">
                  <c:v>517.1</c:v>
                </c:pt>
                <c:pt idx="13">
                  <c:v>531.29999999999995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Wealden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77.3</c:v>
                </c:pt>
                <c:pt idx="1">
                  <c:v>77.3</c:v>
                </c:pt>
                <c:pt idx="2">
                  <c:v>74</c:v>
                </c:pt>
                <c:pt idx="3">
                  <c:v>78.2</c:v>
                </c:pt>
                <c:pt idx="4">
                  <c:v>78.400000000000006</c:v>
                </c:pt>
                <c:pt idx="5">
                  <c:v>78.099999999999994</c:v>
                </c:pt>
                <c:pt idx="6">
                  <c:v>71.3</c:v>
                </c:pt>
                <c:pt idx="7">
                  <c:v>73.7</c:v>
                </c:pt>
                <c:pt idx="8">
                  <c:v>74.5</c:v>
                </c:pt>
                <c:pt idx="9">
                  <c:v>77.8</c:v>
                </c:pt>
                <c:pt idx="10">
                  <c:v>80.099999999999994</c:v>
                </c:pt>
                <c:pt idx="11">
                  <c:v>75.3</c:v>
                </c:pt>
                <c:pt idx="12">
                  <c:v>78.400000000000006</c:v>
                </c:pt>
                <c:pt idx="13">
                  <c:v>77.599999999999994</c:v>
                </c:pt>
                <c:pt idx="14">
                  <c:v>78.400000000000006</c:v>
                </c:pt>
                <c:pt idx="15">
                  <c:v>78.8</c:v>
                </c:pt>
                <c:pt idx="16">
                  <c:v>77.5</c:v>
                </c:pt>
                <c:pt idx="17">
                  <c:v>81.599999999999994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Wealden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18008</c:v>
                </c:pt>
                <c:pt idx="1">
                  <c:v>18848</c:v>
                </c:pt>
                <c:pt idx="2">
                  <c:v>19613</c:v>
                </c:pt>
                <c:pt idx="3">
                  <c:v>21079</c:v>
                </c:pt>
                <c:pt idx="4">
                  <c:v>21835</c:v>
                </c:pt>
                <c:pt idx="5">
                  <c:v>21714</c:v>
                </c:pt>
                <c:pt idx="6">
                  <c:v>22474</c:v>
                </c:pt>
                <c:pt idx="7">
                  <c:v>22189</c:v>
                </c:pt>
                <c:pt idx="8">
                  <c:v>22704</c:v>
                </c:pt>
                <c:pt idx="9">
                  <c:v>23746</c:v>
                </c:pt>
                <c:pt idx="10">
                  <c:v>24003</c:v>
                </c:pt>
                <c:pt idx="11">
                  <c:v>25311</c:v>
                </c:pt>
                <c:pt idx="12">
                  <c:v>25750</c:v>
                </c:pt>
                <c:pt idx="13">
                  <c:v>25888</c:v>
                </c:pt>
                <c:pt idx="14">
                  <c:v>25788</c:v>
                </c:pt>
                <c:pt idx="15">
                  <c:v>25895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Wealden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30.2</c:v>
                </c:pt>
                <c:pt idx="1">
                  <c:v>30.8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Wealden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20.9</c:v>
                </c:pt>
                <c:pt idx="1">
                  <c:v>20.5</c:v>
                </c:pt>
                <c:pt idx="2">
                  <c:v>22.6</c:v>
                </c:pt>
                <c:pt idx="3">
                  <c:v>18.5</c:v>
                </c:pt>
                <c:pt idx="4">
                  <c:v>18</c:v>
                </c:pt>
                <c:pt idx="5">
                  <c:v>17.7</c:v>
                </c:pt>
                <c:pt idx="6">
                  <c:v>25.6</c:v>
                </c:pt>
                <c:pt idx="7">
                  <c:v>24.4</c:v>
                </c:pt>
                <c:pt idx="8">
                  <c:v>19.2</c:v>
                </c:pt>
                <c:pt idx="9">
                  <c:v>18</c:v>
                </c:pt>
                <c:pt idx="10">
                  <c:v>17.100000000000001</c:v>
                </c:pt>
                <c:pt idx="11">
                  <c:v>21.5</c:v>
                </c:pt>
                <c:pt idx="12">
                  <c:v>18.100000000000001</c:v>
                </c:pt>
                <c:pt idx="13">
                  <c:v>20.100000000000001</c:v>
                </c:pt>
                <c:pt idx="14">
                  <c:v>19.100000000000001</c:v>
                </c:pt>
                <c:pt idx="15">
                  <c:v>18.2</c:v>
                </c:pt>
                <c:pt idx="16">
                  <c:v>18.3</c:v>
                </c:pt>
                <c:pt idx="17">
                  <c:v>17.100000000000001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Wealden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16.5</c:v>
                </c:pt>
                <c:pt idx="1">
                  <c:v>25.300000000000004</c:v>
                </c:pt>
                <c:pt idx="2">
                  <c:v>20.699999999999996</c:v>
                </c:pt>
                <c:pt idx="3">
                  <c:v>21</c:v>
                </c:pt>
                <c:pt idx="4">
                  <c:v>21</c:v>
                </c:pt>
                <c:pt idx="5">
                  <c:v>14.899999999999991</c:v>
                </c:pt>
                <c:pt idx="6">
                  <c:v>33.299999999999997</c:v>
                </c:pt>
                <c:pt idx="7">
                  <c:v>23.200000000000003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Wealden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8.8384709117314451</c:v>
                </c:pt>
                <c:pt idx="1">
                  <c:v>5.8284255434585823</c:v>
                </c:pt>
                <c:pt idx="2">
                  <c:v>8.4399636256543875</c:v>
                </c:pt>
                <c:pt idx="3">
                  <c:v>5.4363078011338324</c:v>
                </c:pt>
                <c:pt idx="4">
                  <c:v>7.0714741419226792</c:v>
                </c:pt>
                <c:pt idx="5">
                  <c:v>7.3362822310928903</c:v>
                </c:pt>
                <c:pt idx="6">
                  <c:v>3.1298904538341157</c:v>
                </c:pt>
                <c:pt idx="7">
                  <c:v>8.3874991793053653</c:v>
                </c:pt>
                <c:pt idx="8">
                  <c:v>6.1060560610605608</c:v>
                </c:pt>
                <c:pt idx="9">
                  <c:v>9.0496612592454486</c:v>
                </c:pt>
                <c:pt idx="10">
                  <c:v>7.8665114962413112</c:v>
                </c:pt>
                <c:pt idx="11">
                  <c:v>2.9913055478884902</c:v>
                </c:pt>
                <c:pt idx="12">
                  <c:v>9.2424158393877214</c:v>
                </c:pt>
                <c:pt idx="13">
                  <c:v>4.9135603129088841</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Wealden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57.4</c:v>
                </c:pt>
                <c:pt idx="1">
                  <c:v>58.100000000000009</c:v>
                </c:pt>
                <c:pt idx="2">
                  <c:v>59.9</c:v>
                </c:pt>
                <c:pt idx="3">
                  <c:v>54.5</c:v>
                </c:pt>
                <c:pt idx="4">
                  <c:v>52.7</c:v>
                </c:pt>
                <c:pt idx="5">
                  <c:v>57</c:v>
                </c:pt>
                <c:pt idx="6">
                  <c:v>52.7</c:v>
                </c:pt>
                <c:pt idx="7">
                  <c:v>60.899999999999991</c:v>
                </c:pt>
                <c:pt idx="8">
                  <c:v>63.7</c:v>
                </c:pt>
                <c:pt idx="9">
                  <c:v>61.9</c:v>
                </c:pt>
                <c:pt idx="10">
                  <c:v>62.199999999999996</c:v>
                </c:pt>
                <c:pt idx="11">
                  <c:v>58.6</c:v>
                </c:pt>
                <c:pt idx="12">
                  <c:v>58.899999999999991</c:v>
                </c:pt>
                <c:pt idx="13">
                  <c:v>59.599999999999994</c:v>
                </c:pt>
                <c:pt idx="14">
                  <c:v>63.2</c:v>
                </c:pt>
                <c:pt idx="15">
                  <c:v>59.800000000000004</c:v>
                </c:pt>
                <c:pt idx="16">
                  <c:v>63.399999999999991</c:v>
                </c:pt>
                <c:pt idx="17">
                  <c:v>55.7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30480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7924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Wealden has fluctuated between 2004 and 2021 with a low of 71% and a high of 82%, but is generally greater than the rates for both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Wealden is greater than both the England and rural situation but with little increase between 2016 and 2019, the gap to 'Rual as a Region' decreases from 25% in 2016 to 16%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Wealden had a higher proportion of jobs that were low paid than both England and rural in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220980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9982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Wealden's economic inactivity rate has been from 2004 to 2021 generally lower than that of either England or 'Rural as a Region', however for some years this has not been the case with year on year fluctuations taking it above either rural only or both.</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61</xdr:row>
      <xdr:rowOff>556260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7086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Wealden shows no real pattern of change .</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69</xdr:row>
      <xdr:rowOff>617220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8458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proportion for Wealden shows some variation between years but is consistently below that of rural and England.</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Wealden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617220</xdr:colOff>
      <xdr:row>12</xdr:row>
      <xdr:rowOff>563880</xdr:rowOff>
    </xdr:from>
    <xdr:to>
      <xdr:col>1</xdr:col>
      <xdr:colOff>2598420</xdr:colOff>
      <xdr:row>14</xdr:row>
      <xdr:rowOff>68580</xdr:rowOff>
    </xdr:to>
    <xdr:sp macro="" textlink="">
      <xdr:nvSpPr>
        <xdr:cNvPr id="20" name="TextBox 19">
          <a:extLst>
            <a:ext uri="{FF2B5EF4-FFF2-40B4-BE49-F238E27FC236}">
              <a16:creationId xmlns:a16="http://schemas.microsoft.com/office/drawing/2014/main" id="{CE8DCCB4-AE69-47AA-AD2F-E566001CD4F0}"/>
            </a:ext>
          </a:extLst>
        </xdr:cNvPr>
        <xdr:cNvSpPr txBox="1"/>
      </xdr:nvSpPr>
      <xdr:spPr>
        <a:xfrm>
          <a:off x="617220" y="35509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Wealden starts at a lower point than either 'Rural as a Region' or England in 2004, and increases at a slower rate than either thus increasing the gap in 2019.</a:t>
          </a:r>
          <a:endParaRPr lang="en-GB" sz="1100">
            <a:latin typeface="Avenir Next LT Pro" panose="020B0504020202020204" pitchFamily="34" charset="0"/>
          </a:endParaRPr>
        </a:p>
      </xdr:txBody>
    </xdr:sp>
    <xdr:clientData/>
  </xdr:twoCellAnchor>
  <xdr:twoCellAnchor>
    <xdr:from>
      <xdr:col>0</xdr:col>
      <xdr:colOff>609600</xdr:colOff>
      <xdr:row>20</xdr:row>
      <xdr:rowOff>640080</xdr:rowOff>
    </xdr:from>
    <xdr:to>
      <xdr:col>1</xdr:col>
      <xdr:colOff>2590800</xdr:colOff>
      <xdr:row>22</xdr:row>
      <xdr:rowOff>167640</xdr:rowOff>
    </xdr:to>
    <xdr:sp macro="" textlink="">
      <xdr:nvSpPr>
        <xdr:cNvPr id="21" name="TextBox 20">
          <a:extLst>
            <a:ext uri="{FF2B5EF4-FFF2-40B4-BE49-F238E27FC236}">
              <a16:creationId xmlns:a16="http://schemas.microsoft.com/office/drawing/2014/main" id="{140BCF02-FF0A-4625-B49A-E449F6F4078E}"/>
            </a:ext>
          </a:extLst>
        </xdr:cNvPr>
        <xdr:cNvSpPr txBox="1"/>
      </xdr:nvSpPr>
      <xdr:spPr>
        <a:xfrm>
          <a:off x="60960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Wealden has fluctauted a little over the years, but roughly follows the situation for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386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Wealden</v>
      </c>
      <c r="G12" s="88" t="str">
        <f>IFERROR(VLOOKUP(F12,GVA!B244:B552,1,FALSE),VLOOKUP(F12,GVA!B6:C230,2,FALSE))</f>
        <v>Wealden</v>
      </c>
      <c r="H12" s="89" t="str">
        <f>IF(F12=G12,"",G12)</f>
        <v/>
      </c>
      <c r="I12" s="76">
        <f>IFERROR(VLOOKUP($F12,GVA!$B$7:$S$230,GVA!D$3,FALSE),VLOOKUP($F12,GVA!$B$244:$T$554,GVA!E$3,FALSE))</f>
        <v>21.41</v>
      </c>
      <c r="J12" s="77">
        <f>IFERROR(VLOOKUP($F12,GVA!$B$7:$S$230,GVA!E$3,FALSE),VLOOKUP($F12,GVA!$B$244:$T$554,GVA!F$3,FALSE))</f>
        <v>21.5</v>
      </c>
      <c r="K12" s="77">
        <f>IFERROR(VLOOKUP($F12,GVA!$B$7:$S$230,GVA!F$3,FALSE),VLOOKUP($F12,GVA!$B$244:$T$554,GVA!G$3,FALSE))</f>
        <v>21.25</v>
      </c>
      <c r="L12" s="77">
        <f>IFERROR(VLOOKUP($F12,GVA!$B$7:$S$230,GVA!G$3,FALSE),VLOOKUP($F12,GVA!$B$244:$T$554,GVA!H$3,FALSE))</f>
        <v>21.58</v>
      </c>
      <c r="M12" s="77">
        <f>IFERROR(VLOOKUP($F12,GVA!$B$7:$S$230,GVA!H$3,FALSE),VLOOKUP($F12,GVA!$B$244:$T$554,GVA!I$3,FALSE))</f>
        <v>21.97</v>
      </c>
      <c r="N12" s="77">
        <f>IFERROR(VLOOKUP($F12,GVA!$B$7:$S$230,GVA!I$3,FALSE),VLOOKUP($F12,GVA!$B$244:$T$554,GVA!J$3,FALSE))</f>
        <v>22.34</v>
      </c>
      <c r="O12" s="77">
        <f>IFERROR(VLOOKUP($F12,GVA!$B$7:$S$230,GVA!J$3,FALSE),VLOOKUP($F12,GVA!$B$244:$T$554,GVA!K$3,FALSE))</f>
        <v>22.34</v>
      </c>
      <c r="P12" s="77">
        <f>IFERROR(VLOOKUP($F12,GVA!$B$7:$S$230,GVA!K$3,FALSE),VLOOKUP($F12,GVA!$B$244:$T$554,GVA!L$3,FALSE))</f>
        <v>22.28</v>
      </c>
      <c r="Q12" s="77">
        <f>IFERROR(VLOOKUP($F12,GVA!$B$7:$S$230,GVA!L$3,FALSE),VLOOKUP($F12,GVA!$B$244:$T$554,GVA!M$3,FALSE))</f>
        <v>22.39</v>
      </c>
      <c r="R12" s="77">
        <f>IFERROR(VLOOKUP($F12,GVA!$B$7:$S$230,GVA!M$3,FALSE),VLOOKUP($F12,GVA!$B$244:$T$554,GVA!N$3,FALSE))</f>
        <v>23.04</v>
      </c>
      <c r="S12" s="77">
        <f>IFERROR(VLOOKUP($F12,GVA!$B$7:$S$230,GVA!N$3,FALSE),VLOOKUP($F12,GVA!$B$244:$T$554,GVA!O$3,FALSE))</f>
        <v>24.04</v>
      </c>
      <c r="T12" s="77">
        <f>IFERROR(VLOOKUP($F12,GVA!$B$7:$S$230,GVA!O$3,FALSE),VLOOKUP($F12,GVA!$B$244:$T$554,GVA!P$3,FALSE))</f>
        <v>24.85</v>
      </c>
      <c r="U12" s="77">
        <f>IFERROR(VLOOKUP($F12,GVA!$B$7:$S$230,GVA!P$3,FALSE),VLOOKUP($F12,GVA!$B$244:$T$554,GVA!Q$3,FALSE))</f>
        <v>25.4</v>
      </c>
      <c r="V12" s="77">
        <f>IFERROR(VLOOKUP($F12,GVA!$B$7:$S$230,GVA!Q$3,FALSE),VLOOKUP($F12,GVA!$B$244:$T$554,GVA!R$3,FALSE))</f>
        <v>25.61</v>
      </c>
      <c r="W12" s="77">
        <f>IFERROR(VLOOKUP($F12,GVA!$B$7:$S$230,GVA!R$3,FALSE),VLOOKUP($F12,GVA!$B$244:$T$554,GVA!S$3,FALSE))</f>
        <v>25.77</v>
      </c>
      <c r="X12" s="77">
        <f>IFERROR(VLOOKUP($F12,GVA!$B$7:$S$230,GVA!S$3,FALSE),VLOOKUP($F12,GVA!$B$244:$T$554,GVA!T$3,FALSE))</f>
        <v>25.77</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Wealden to Rural as a Region</v>
      </c>
      <c r="G15" s="102"/>
      <c r="H15" s="103"/>
      <c r="I15" s="74">
        <f>100*((I12-I13)/I13)</f>
        <v>-9.0488881696394277</v>
      </c>
      <c r="J15" s="74">
        <f t="shared" ref="J15:X15" si="0">100*((J12-J13)/J13)</f>
        <v>-8.4122766091242909</v>
      </c>
      <c r="K15" s="74">
        <f t="shared" si="0"/>
        <v>-12.565575818136448</v>
      </c>
      <c r="L15" s="74">
        <f t="shared" si="0"/>
        <v>-13.118996951745585</v>
      </c>
      <c r="M15" s="74">
        <f t="shared" si="0"/>
        <v>-13.040528123718909</v>
      </c>
      <c r="N15" s="74">
        <f t="shared" si="0"/>
        <v>-12.298395576970716</v>
      </c>
      <c r="O15" s="74">
        <f t="shared" si="0"/>
        <v>-13.377677866661719</v>
      </c>
      <c r="P15" s="74">
        <f t="shared" si="0"/>
        <v>-14.879449849227013</v>
      </c>
      <c r="Q15" s="74">
        <f t="shared" si="0"/>
        <v>-16.175959352854669</v>
      </c>
      <c r="R15" s="74">
        <f t="shared" si="0"/>
        <v>-15.212848449800925</v>
      </c>
      <c r="S15" s="74">
        <f t="shared" si="0"/>
        <v>-12.976250500976128</v>
      </c>
      <c r="T15" s="74">
        <f t="shared" si="0"/>
        <v>-11.71693931755509</v>
      </c>
      <c r="U15" s="74">
        <f t="shared" si="0"/>
        <v>-11.918788264095001</v>
      </c>
      <c r="V15" s="74">
        <f t="shared" si="0"/>
        <v>-13.540582360388232</v>
      </c>
      <c r="W15" s="74">
        <f t="shared" si="0"/>
        <v>-14.76597537494728</v>
      </c>
      <c r="X15" s="74">
        <f t="shared" si="0"/>
        <v>-15.650096831637658</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Wealden</v>
      </c>
      <c r="G20" s="88"/>
      <c r="H20" s="89"/>
      <c r="I20" s="80">
        <f>IF(VLOOKUP($F20,PAY!$A$11:$AE$349,4,FALSE)="-",#N/A,VLOOKUP($F20,PAY!$A$11:$AE$349,4,FALSE))</f>
        <v>432.9</v>
      </c>
      <c r="J20" s="80">
        <f>IF(VLOOKUP($F20,PAY!$A$11:$AE$349,6,FALSE)="-",#N/A,VLOOKUP($F20,PAY!$A$11:$AE$349,6,FALSE))</f>
        <v>427.2</v>
      </c>
      <c r="K20" s="80">
        <f>IF(VLOOKUP($F20,PAY!$A$11:$AE$349,8,FALSE)="-",#N/A,VLOOKUP($F20,PAY!$A$11:$AE$349,8,FALSE))</f>
        <v>458.3</v>
      </c>
      <c r="L20" s="80">
        <f>IF(VLOOKUP($F20,PAY!$A$11:$AE$349,10,FALSE)="-",#N/A,VLOOKUP($F20,PAY!$A$11:$AE$349,10,FALSE))</f>
        <v>440</v>
      </c>
      <c r="M20" s="80">
        <f>IF(VLOOKUP($F20,PAY!$A$11:$AE$349,12,FALSE)="-",#N/A,VLOOKUP($F20,PAY!$A$11:$AE$349,12,FALSE))</f>
        <v>443.6</v>
      </c>
      <c r="N20" s="80">
        <f>IF(VLOOKUP($F20,PAY!$A$11:$AE$349,14,FALSE)="-",#N/A,VLOOKUP($F20,PAY!$A$11:$AE$349,14,FALSE))</f>
        <v>407.7</v>
      </c>
      <c r="O20" s="80">
        <f>IF(VLOOKUP($F20,PAY!$A$11:$AE$349,16,FALSE)="-",#N/A,VLOOKUP($F20,PAY!$A$11:$AE$349,16,FALSE))</f>
        <v>424.1</v>
      </c>
      <c r="P20" s="80">
        <f>IF(VLOOKUP($F20,PAY!$A$11:$AE$349,18,FALSE)="-",#N/A,VLOOKUP($F20,PAY!$A$11:$AE$349,18,FALSE))</f>
        <v>444.4</v>
      </c>
      <c r="Q20" s="80">
        <f>IF(VLOOKUP($F20,PAY!$A$11:$AE$349,20,FALSE)="-",#N/A,VLOOKUP($F20,PAY!$A$11:$AE$349,20,FALSE))</f>
        <v>482.4</v>
      </c>
      <c r="R20" s="80">
        <f>IF(VLOOKUP($F20,PAY!$A$11:$AE$349,22,FALSE)="-",#N/A,VLOOKUP($F20,PAY!$A$11:$AE$349,22,FALSE))</f>
        <v>511.4</v>
      </c>
      <c r="S20" s="80">
        <f>IF(VLOOKUP($F20,PAY!$A$11:$AE$349,24,FALSE)="-",#N/A,VLOOKUP($F20,PAY!$A$11:$AE$349,24,FALSE))</f>
        <v>501.4</v>
      </c>
      <c r="T20" s="80">
        <f>IF(VLOOKUP($F20,PAY!$A$11:$AE$349,26,FALSE)="-",#N/A,VLOOKUP($F20,PAY!$A$11:$AE$349,26,FALSE))</f>
        <v>517.4</v>
      </c>
      <c r="U20" s="80">
        <f>IF(VLOOKUP($F20,PAY!$A$11:$AE$349,28,FALSE)="-",#N/A,VLOOKUP($F20,PAY!$A$11:$AE$349,28,FALSE))</f>
        <v>517.1</v>
      </c>
      <c r="V20" s="80">
        <f>IF(VLOOKUP($F20,PAY!$A$11:$AE$349,30,FALSE)="-",#N/A,VLOOKUP($F20,PAY!$A$11:$AE$349,30,FALSE))</f>
        <v>531.29999999999995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Wealden to Rural as a Region</v>
      </c>
      <c r="G23" s="102"/>
      <c r="H23" s="103"/>
      <c r="I23" s="74">
        <f>100*((I20-I21)/I21)</f>
        <v>-2.1341035595681193E-2</v>
      </c>
      <c r="J23" s="74">
        <f t="shared" ref="J23:V23" si="2">100*((J20-J21)/J21)</f>
        <v>-2.2257824569434166</v>
      </c>
      <c r="K23" s="74">
        <f t="shared" si="2"/>
        <v>2.2733885296701262</v>
      </c>
      <c r="L23" s="74">
        <f t="shared" si="2"/>
        <v>-2.3639386993842786</v>
      </c>
      <c r="M23" s="74">
        <f t="shared" si="2"/>
        <v>-2.5575433347606862</v>
      </c>
      <c r="N23" s="74">
        <f t="shared" si="2"/>
        <v>-11.976573218258242</v>
      </c>
      <c r="O23" s="74">
        <f t="shared" si="2"/>
        <v>-9.9197707120080381</v>
      </c>
      <c r="P23" s="74">
        <f t="shared" si="2"/>
        <v>-6.406937716770333</v>
      </c>
      <c r="Q23" s="74">
        <f t="shared" si="2"/>
        <v>-1.4468917042289737</v>
      </c>
      <c r="R23" s="74">
        <f t="shared" si="2"/>
        <v>1.4567873331575723</v>
      </c>
      <c r="S23" s="74">
        <f t="shared" si="2"/>
        <v>-2.5320686818592324</v>
      </c>
      <c r="T23" s="74">
        <f t="shared" si="2"/>
        <v>-3.0539340228905587</v>
      </c>
      <c r="U23" s="74">
        <f t="shared" si="2"/>
        <v>-2.6265399187784593</v>
      </c>
      <c r="V23" s="74">
        <f t="shared" si="2"/>
        <v>-5.8403137951577371</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Wealden</v>
      </c>
      <c r="G28" s="88"/>
      <c r="H28" s="89"/>
      <c r="I28" s="76">
        <f>VLOOKUP($F28,EMPLOYMENT!$A$6:$BW$345,6,FALSE)</f>
        <v>77.3</v>
      </c>
      <c r="J28" s="77">
        <f>VLOOKUP($F28,EMPLOYMENT!$A$6:$BW$345,10,FALSE)</f>
        <v>77.3</v>
      </c>
      <c r="K28" s="77">
        <f>VLOOKUP($F28,EMPLOYMENT!$A$6:$BW$345,14,FALSE)</f>
        <v>74</v>
      </c>
      <c r="L28" s="77">
        <f>VLOOKUP($F28,EMPLOYMENT!$A$6:$BW$345,18,FALSE)</f>
        <v>78.2</v>
      </c>
      <c r="M28" s="77">
        <f>VLOOKUP($F28,EMPLOYMENT!$A$6:$BW$345,22,FALSE)</f>
        <v>78.400000000000006</v>
      </c>
      <c r="N28" s="77">
        <f>VLOOKUP($F28,EMPLOYMENT!$A$6:$BW$345,26,FALSE)</f>
        <v>78.099999999999994</v>
      </c>
      <c r="O28" s="77">
        <f>VLOOKUP($F28,EMPLOYMENT!$A$6:$BW$345,30,FALSE)</f>
        <v>71.3</v>
      </c>
      <c r="P28" s="77">
        <f>VLOOKUP($F28,EMPLOYMENT!$A$6:$BW$345,34,FALSE)</f>
        <v>73.7</v>
      </c>
      <c r="Q28" s="77">
        <f>VLOOKUP($F28,EMPLOYMENT!$A$6:$BW$345,38,FALSE)</f>
        <v>74.5</v>
      </c>
      <c r="R28" s="77">
        <f>VLOOKUP($F28,EMPLOYMENT!$A$6:$BW$345,42,FALSE)</f>
        <v>77.8</v>
      </c>
      <c r="S28" s="77">
        <f>VLOOKUP($F28,EMPLOYMENT!$A$6:$BW$345,46,FALSE)</f>
        <v>80.099999999999994</v>
      </c>
      <c r="T28" s="77">
        <f>VLOOKUP($F28,EMPLOYMENT!$A$6:$BW$345,50,FALSE)</f>
        <v>75.3</v>
      </c>
      <c r="U28" s="77">
        <f>VLOOKUP($F28,EMPLOYMENT!$A$6:$BW$345,54,FALSE)</f>
        <v>78.400000000000006</v>
      </c>
      <c r="V28" s="77">
        <f>VLOOKUP($F28,EMPLOYMENT!$A$6:$BW$345,58,FALSE)</f>
        <v>77.599999999999994</v>
      </c>
      <c r="W28" s="77">
        <f>VLOOKUP($F28,EMPLOYMENT!$A$6:$BW$345,62,FALSE)</f>
        <v>78.400000000000006</v>
      </c>
      <c r="X28" s="77">
        <f>VLOOKUP($F28,EMPLOYMENT!$A$6:$BW$345,66,FALSE)</f>
        <v>78.8</v>
      </c>
      <c r="Y28" s="77">
        <f>VLOOKUP($F28,EMPLOYMENT!$A$6:$BW$345,70,FALSE)</f>
        <v>77.5</v>
      </c>
      <c r="Z28" s="77">
        <f>VLOOKUP($F28,EMPLOYMENT!$A$6:$BW$345,74,FALSE)</f>
        <v>81.599999999999994</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Wealden to Rural as a Region</v>
      </c>
      <c r="G31" s="102"/>
      <c r="H31" s="103"/>
      <c r="I31" s="74">
        <f>(I28-I29)</f>
        <v>1.1886580805982589</v>
      </c>
      <c r="J31" s="74">
        <f t="shared" ref="J31:Z31" si="4">(J28-J29)</f>
        <v>0.98702453331704021</v>
      </c>
      <c r="K31" s="74">
        <f t="shared" si="4"/>
        <v>-1.8731888994867631</v>
      </c>
      <c r="L31" s="74">
        <f t="shared" si="4"/>
        <v>2.5595316973721651</v>
      </c>
      <c r="M31" s="74">
        <f t="shared" si="4"/>
        <v>2.6644756266682634</v>
      </c>
      <c r="N31" s="74">
        <f t="shared" si="4"/>
        <v>3.5904601571268131</v>
      </c>
      <c r="O31" s="74">
        <f t="shared" si="4"/>
        <v>-2.2471331389698719</v>
      </c>
      <c r="P31" s="74">
        <f t="shared" si="4"/>
        <v>-3.4295403277610603E-2</v>
      </c>
      <c r="Q31" s="74">
        <f t="shared" si="4"/>
        <v>0.46684252453742658</v>
      </c>
      <c r="R31" s="74">
        <f t="shared" si="4"/>
        <v>3.0555250700997902</v>
      </c>
      <c r="S31" s="74">
        <f t="shared" si="4"/>
        <v>3.9911396599243858</v>
      </c>
      <c r="T31" s="74">
        <f t="shared" si="4"/>
        <v>-1.8905319756090222</v>
      </c>
      <c r="U31" s="74">
        <f t="shared" si="4"/>
        <v>1.4283675182919637</v>
      </c>
      <c r="V31" s="74">
        <f t="shared" si="4"/>
        <v>-0.43278688524590336</v>
      </c>
      <c r="W31" s="74">
        <f t="shared" si="4"/>
        <v>0.35184310658586071</v>
      </c>
      <c r="X31" s="74">
        <f t="shared" si="4"/>
        <v>0.20870062104329179</v>
      </c>
      <c r="Y31" s="74">
        <f t="shared" si="4"/>
        <v>0.48565370387079554</v>
      </c>
      <c r="Z31" s="74">
        <f t="shared" si="4"/>
        <v>5.4442419221209519</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Wealden</v>
      </c>
      <c r="G36" s="88" t="str">
        <f>IFERROR(VLOOKUP(F36,GDHI!B338:C574,2,FALSE),VLOOKUP(F36,GDHI!C3:C336,1,FALSE))</f>
        <v>Wealden</v>
      </c>
      <c r="H36" s="89" t="str">
        <f>IF(F36=G36,"",G36)</f>
        <v/>
      </c>
      <c r="I36" s="83">
        <f>IFERROR(VLOOKUP($F36,GDHI!$B$338:$U$574,GDHI!G$578,FALSE),VLOOKUP($F36,GDHI!$C$3:$U$336,GDHI!F$578,FALSE))</f>
        <v>18008</v>
      </c>
      <c r="J36" s="84">
        <f>IFERROR(VLOOKUP($F36,GDHI!$B$338:$U$574,GDHI!H$578,FALSE),VLOOKUP($F36,GDHI!$C$3:$U$336,GDHI!G$578,FALSE))</f>
        <v>18848</v>
      </c>
      <c r="K36" s="84">
        <f>IFERROR(VLOOKUP($F36,GDHI!$B$338:$U$574,GDHI!I$578,FALSE),VLOOKUP($F36,GDHI!$C$3:$U$336,GDHI!H$578,FALSE))</f>
        <v>19613</v>
      </c>
      <c r="L36" s="84">
        <f>IFERROR(VLOOKUP($F36,GDHI!$B$338:$U$574,GDHI!J$578,FALSE),VLOOKUP($F36,GDHI!$C$3:$U$336,GDHI!I$578,FALSE))</f>
        <v>21079</v>
      </c>
      <c r="M36" s="84">
        <f>IFERROR(VLOOKUP($F36,GDHI!$B$338:$U$574,GDHI!K$578,FALSE),VLOOKUP($F36,GDHI!$C$3:$U$336,GDHI!J$578,FALSE))</f>
        <v>21835</v>
      </c>
      <c r="N36" s="84">
        <f>IFERROR(VLOOKUP($F36,GDHI!$B$338:$U$574,GDHI!L$578,FALSE),VLOOKUP($F36,GDHI!$C$3:$U$336,GDHI!K$578,FALSE))</f>
        <v>21714</v>
      </c>
      <c r="O36" s="84">
        <f>IFERROR(VLOOKUP($F36,GDHI!$B$338:$U$574,GDHI!M$578,FALSE),VLOOKUP($F36,GDHI!$C$3:$U$336,GDHI!L$578,FALSE))</f>
        <v>22474</v>
      </c>
      <c r="P36" s="84">
        <f>IFERROR(VLOOKUP($F36,GDHI!$B$338:$U$574,GDHI!N$578,FALSE),VLOOKUP($F36,GDHI!$C$3:$U$336,GDHI!M$578,FALSE))</f>
        <v>22189</v>
      </c>
      <c r="Q36" s="84">
        <f>IFERROR(VLOOKUP($F36,GDHI!$B$338:$U$574,GDHI!O$578,FALSE),VLOOKUP($F36,GDHI!$C$3:$U$336,GDHI!N$578,FALSE))</f>
        <v>22704</v>
      </c>
      <c r="R36" s="84">
        <f>IFERROR(VLOOKUP($F36,GDHI!$B$338:$U$574,GDHI!P$578,FALSE),VLOOKUP($F36,GDHI!$C$3:$U$336,GDHI!O$578,FALSE))</f>
        <v>23746</v>
      </c>
      <c r="S36" s="84">
        <f>IFERROR(VLOOKUP($F36,GDHI!$B$338:$U$574,GDHI!Q$578,FALSE),VLOOKUP($F36,GDHI!$C$3:$U$336,GDHI!P$578,FALSE))</f>
        <v>24003</v>
      </c>
      <c r="T36" s="84">
        <f>IFERROR(VLOOKUP($F36,GDHI!$B$338:$U$574,GDHI!R$578,FALSE),VLOOKUP($F36,GDHI!$C$3:$U$336,GDHI!Q$578,FALSE))</f>
        <v>25311</v>
      </c>
      <c r="U36" s="84">
        <f>IFERROR(VLOOKUP($F36,GDHI!$B$338:$U$574,GDHI!S$578,FALSE),VLOOKUP($F36,GDHI!$C$3:$U$336,GDHI!R$578,FALSE))</f>
        <v>25750</v>
      </c>
      <c r="V36" s="84">
        <f>IFERROR(VLOOKUP($F36,GDHI!$B$338:$U$574,GDHI!T$578,FALSE),VLOOKUP($F36,GDHI!$C$3:$U$336,GDHI!S$578,FALSE))</f>
        <v>25888</v>
      </c>
      <c r="W36" s="84">
        <f>IFERROR(VLOOKUP($F36,GDHI!$B$338:$U$574,GDHI!U$578,FALSE),VLOOKUP($F36,GDHI!$C$3:$U$336,GDHI!T$578,FALSE))</f>
        <v>25788</v>
      </c>
      <c r="X36" s="84">
        <f>IFERROR(VLOOKUP($F36,GDHI!$B$338:$U$574,GDHI!V$578,FALSE),VLOOKUP($F36,GDHI!$C$3:$U$336,GDHI!U$578,FALSE))</f>
        <v>25895</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Wealden to Rural as a Region</v>
      </c>
      <c r="G39" s="102"/>
      <c r="H39" s="103"/>
      <c r="I39" s="74">
        <f>100*((I36-I37)/I37)</f>
        <v>22.424283626227947</v>
      </c>
      <c r="J39" s="74">
        <f t="shared" ref="J39:X39" si="6">100*((J36-J37)/J37)</f>
        <v>22.856781468804144</v>
      </c>
      <c r="K39" s="74">
        <f t="shared" si="6"/>
        <v>23.164908708006923</v>
      </c>
      <c r="L39" s="74">
        <f t="shared" si="6"/>
        <v>27.225813683287015</v>
      </c>
      <c r="M39" s="74">
        <f t="shared" si="6"/>
        <v>27.964178346402047</v>
      </c>
      <c r="N39" s="74">
        <f t="shared" si="6"/>
        <v>25.565862708719845</v>
      </c>
      <c r="O39" s="74">
        <f t="shared" si="6"/>
        <v>28.364787358099896</v>
      </c>
      <c r="P39" s="74">
        <f t="shared" si="6"/>
        <v>24.65696988504579</v>
      </c>
      <c r="Q39" s="74">
        <f t="shared" si="6"/>
        <v>23.617328267134404</v>
      </c>
      <c r="R39" s="74">
        <f t="shared" si="6"/>
        <v>25.813684905680599</v>
      </c>
      <c r="S39" s="74">
        <f t="shared" si="6"/>
        <v>23.752092198516269</v>
      </c>
      <c r="T39" s="74">
        <f t="shared" si="6"/>
        <v>23.719611615232346</v>
      </c>
      <c r="U39" s="74">
        <f t="shared" si="6"/>
        <v>24.849061352087041</v>
      </c>
      <c r="V39" s="74">
        <f t="shared" si="6"/>
        <v>23.479119028380541</v>
      </c>
      <c r="W39" s="74">
        <f t="shared" si="6"/>
        <v>18.066754672925203</v>
      </c>
      <c r="X39" s="74">
        <f t="shared" si="6"/>
        <v>16.302931500301284</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Wealden</v>
      </c>
      <c r="G44" s="88"/>
      <c r="H44" s="89"/>
      <c r="I44" s="76">
        <f>VLOOKUP($F44,'LOW PAID'!$A$9:$N$444,6,FALSE)</f>
        <v>30.2</v>
      </c>
      <c r="J44" s="77">
        <f>VLOOKUP($F44,'LOW PAID'!$P$9:$W$444,6,FALSE)</f>
        <v>30.8</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Wealden to Rural as a Region</v>
      </c>
      <c r="G47" s="102"/>
      <c r="H47" s="103"/>
      <c r="I47" s="74">
        <f>(I44-I45)</f>
        <v>5.0061253217868824</v>
      </c>
      <c r="J47" s="74">
        <f>(J44-J45)</f>
        <v>5.1138834909699469</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Wealden</v>
      </c>
      <c r="G52" s="88"/>
      <c r="H52" s="89"/>
      <c r="I52" s="76">
        <f>VLOOKUP($F52,INACTIVITY!$A$6:$BW$345,6,FALSE)</f>
        <v>20.9</v>
      </c>
      <c r="J52" s="77">
        <f>VLOOKUP($F52,INACTIVITY!$A$6:$BW$345,10,FALSE)</f>
        <v>20.5</v>
      </c>
      <c r="K52" s="77">
        <f>VLOOKUP($F52,INACTIVITY!$A$6:$BW$345,14,FALSE)</f>
        <v>22.6</v>
      </c>
      <c r="L52" s="77">
        <f>VLOOKUP($F52,INACTIVITY!$A$6:$BW$345,18,FALSE)</f>
        <v>18.5</v>
      </c>
      <c r="M52" s="77">
        <f>VLOOKUP($F52,INACTIVITY!$A$6:$BW$345,22,FALSE)</f>
        <v>18</v>
      </c>
      <c r="N52" s="77">
        <f>VLOOKUP($F52,INACTIVITY!$A$6:$BW$345,26,FALSE)</f>
        <v>17.7</v>
      </c>
      <c r="O52" s="77">
        <f>VLOOKUP($F52,INACTIVITY!$A$6:$BW$345,30,FALSE)</f>
        <v>25.6</v>
      </c>
      <c r="P52" s="77">
        <f>VLOOKUP($F52,INACTIVITY!$A$6:$BW$345,34,FALSE)</f>
        <v>24.4</v>
      </c>
      <c r="Q52" s="77">
        <f>VLOOKUP($F52,INACTIVITY!$A$6:$BW$345,38,FALSE)</f>
        <v>19.2</v>
      </c>
      <c r="R52" s="77">
        <f>VLOOKUP($F52,INACTIVITY!$A$6:$BW$345,42,FALSE)</f>
        <v>18</v>
      </c>
      <c r="S52" s="77">
        <f>VLOOKUP($F52,INACTIVITY!$A$6:$BW$345,46,FALSE)</f>
        <v>17.100000000000001</v>
      </c>
      <c r="T52" s="77">
        <f>VLOOKUP($F52,INACTIVITY!$A$6:$BW$345,50,FALSE)</f>
        <v>21.5</v>
      </c>
      <c r="U52" s="77">
        <f>VLOOKUP($F52,INACTIVITY!$A$6:$BW$345,54,FALSE)</f>
        <v>18.100000000000001</v>
      </c>
      <c r="V52" s="77">
        <f>VLOOKUP($F52,INACTIVITY!$A$6:$BW$345,58,FALSE)</f>
        <v>20.100000000000001</v>
      </c>
      <c r="W52" s="77">
        <f>VLOOKUP($F52,INACTIVITY!$A$6:$BW$345,62,FALSE)</f>
        <v>19.100000000000001</v>
      </c>
      <c r="X52" s="77">
        <f>VLOOKUP($F52,INACTIVITY!$A$6:$BW$345,66,FALSE)</f>
        <v>18.2</v>
      </c>
      <c r="Y52" s="77">
        <f>VLOOKUP($F52,INACTIVITY!$A$6:$BW$345,70,FALSE)</f>
        <v>18.3</v>
      </c>
      <c r="Z52" s="77">
        <f>VLOOKUP($F52,INACTIVITY!$A$6:$BW$345,74,FALSE)</f>
        <v>17.100000000000001</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Wealden to Rural as a Region</v>
      </c>
      <c r="G55" s="102"/>
      <c r="H55" s="103"/>
      <c r="I55" s="74">
        <f>(I52-I53)</f>
        <v>-0.49564457161023867</v>
      </c>
      <c r="J55" s="74">
        <f t="shared" ref="J55:Z55" si="10">(J52-J53)</f>
        <v>-0.50852272727272663</v>
      </c>
      <c r="K55" s="74">
        <f t="shared" si="10"/>
        <v>1.7375346065412245</v>
      </c>
      <c r="L55" s="74">
        <f t="shared" si="10"/>
        <v>-2.8140653315366393</v>
      </c>
      <c r="M55" s="74">
        <f t="shared" si="10"/>
        <v>-2.8350023108920048</v>
      </c>
      <c r="N55" s="74">
        <f t="shared" si="10"/>
        <v>-3.2331437579204412</v>
      </c>
      <c r="O55" s="74">
        <f t="shared" si="10"/>
        <v>3.9080628724948276</v>
      </c>
      <c r="P55" s="74">
        <f t="shared" si="10"/>
        <v>2.9057542192465498</v>
      </c>
      <c r="Q55" s="74">
        <f t="shared" si="10"/>
        <v>-1.9825487944890945</v>
      </c>
      <c r="R55" s="74">
        <f t="shared" si="10"/>
        <v>-2.7745930974387711</v>
      </c>
      <c r="S55" s="74">
        <f t="shared" si="10"/>
        <v>-3.1732104559723986</v>
      </c>
      <c r="T55" s="74">
        <f t="shared" si="10"/>
        <v>1.8038053165930421</v>
      </c>
      <c r="U55" s="74">
        <f t="shared" si="10"/>
        <v>-1.7524293470694694</v>
      </c>
      <c r="V55" s="74">
        <f t="shared" si="10"/>
        <v>0.84672266571962496</v>
      </c>
      <c r="W55" s="74">
        <f t="shared" si="10"/>
        <v>-7.6956009182847396E-2</v>
      </c>
      <c r="X55" s="74">
        <f t="shared" si="10"/>
        <v>-0.65206494936493087</v>
      </c>
      <c r="Y55" s="74">
        <f t="shared" si="10"/>
        <v>-1.4725827218714613</v>
      </c>
      <c r="Z55" s="74">
        <f t="shared" si="10"/>
        <v>-3.9851797756300691</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Wealden</v>
      </c>
      <c r="G60" s="88"/>
      <c r="H60" s="89"/>
      <c r="I60" s="76">
        <f>VLOOKUP($F60,DISABILITY!$A$718:$I$1052,DISABILITY!B$1053,FALSE)</f>
        <v>16.5</v>
      </c>
      <c r="J60" s="77">
        <f>VLOOKUP($F60,DISABILITY!$A$718:$I$1052,DISABILITY!C$1053,FALSE)</f>
        <v>25.300000000000004</v>
      </c>
      <c r="K60" s="77">
        <f>VLOOKUP($F60,DISABILITY!$A$718:$I$1052,DISABILITY!D$1053,FALSE)</f>
        <v>20.699999999999996</v>
      </c>
      <c r="L60" s="77">
        <f>VLOOKUP($F60,DISABILITY!$A$718:$I$1052,DISABILITY!E$1053,FALSE)</f>
        <v>21</v>
      </c>
      <c r="M60" s="77">
        <f>VLOOKUP($F60,DISABILITY!$A$718:$I$1052,DISABILITY!F$1053,FALSE)</f>
        <v>21</v>
      </c>
      <c r="N60" s="77">
        <f>VLOOKUP($F60,DISABILITY!$A$718:$I$1052,DISABILITY!G$1053,FALSE)</f>
        <v>14.899999999999991</v>
      </c>
      <c r="O60" s="77">
        <f>VLOOKUP($F60,DISABILITY!$A$718:$I$1052,DISABILITY!H$1053,FALSE)</f>
        <v>33.299999999999997</v>
      </c>
      <c r="P60" s="77">
        <f>VLOOKUP($F60,DISABILITY!$A$718:$I$1052,DISABILITY!I$1053,FALSE)</f>
        <v>23.200000000000003</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Wealden to Rural as a Region</v>
      </c>
      <c r="G63" s="102"/>
      <c r="H63" s="103"/>
      <c r="I63" s="74">
        <f>(I60-I61)</f>
        <v>-10.920156540647248</v>
      </c>
      <c r="J63" s="74">
        <f t="shared" ref="J63:P63" si="12">(J60-J61)</f>
        <v>-2.019044407051183</v>
      </c>
      <c r="K63" s="74">
        <f t="shared" si="12"/>
        <v>-7.4191283614982098</v>
      </c>
      <c r="L63" s="74">
        <f t="shared" si="12"/>
        <v>-4.9909345389966759</v>
      </c>
      <c r="M63" s="74">
        <f t="shared" si="12"/>
        <v>-4.475225818666118</v>
      </c>
      <c r="N63" s="74">
        <f t="shared" si="12"/>
        <v>-10.631247685441991</v>
      </c>
      <c r="O63" s="74">
        <f t="shared" si="12"/>
        <v>9.5027777120030521</v>
      </c>
      <c r="P63" s="74">
        <f t="shared" si="12"/>
        <v>-2.154177930342172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Wealden</v>
      </c>
      <c r="G68" s="88"/>
      <c r="H68" s="89"/>
      <c r="I68" s="76">
        <f>VLOOKUP($F68,'WORKLESS HOUSEHOLDS'!$DW$4:$EC$397,7,FALSE)</f>
        <v>8.8384709117314451</v>
      </c>
      <c r="J68" s="77">
        <f>VLOOKUP($F68,'WORKLESS HOUSEHOLDS'!$DN$4:$DT$397,7,FALSE)</f>
        <v>5.8284255434585823</v>
      </c>
      <c r="K68" s="77">
        <f>VLOOKUP($F68,'WORKLESS HOUSEHOLDS'!$DE$4:$DK$397,7,FALSE)</f>
        <v>8.4399636256543875</v>
      </c>
      <c r="L68" s="77">
        <f>VLOOKUP($F68,'WORKLESS HOUSEHOLDS'!$CV$4:$DB$397,7,FALSE)</f>
        <v>5.4363078011338324</v>
      </c>
      <c r="M68" s="77">
        <f>VLOOKUP($F68,'WORKLESS HOUSEHOLDS'!$CM$4:$CS$397,7,FALSE)</f>
        <v>7.0714741419226792</v>
      </c>
      <c r="N68" s="77">
        <f>VLOOKUP($F68,'WORKLESS HOUSEHOLDS'!$CD$4:$CJ$397,7,FALSE)</f>
        <v>7.3362822310928903</v>
      </c>
      <c r="O68" s="77">
        <f>VLOOKUP($F68,'WORKLESS HOUSEHOLDS'!$BU$4:$CA$397,7,FALSE)</f>
        <v>3.1298904538341157</v>
      </c>
      <c r="P68" s="77">
        <f>VLOOKUP($F68,'WORKLESS HOUSEHOLDS'!$BL$4:$BR$397,7,FALSE)</f>
        <v>8.3874991793053653</v>
      </c>
      <c r="Q68" s="77">
        <f>VLOOKUP($F68,'WORKLESS HOUSEHOLDS'!$BC$4:$BI$397,7,FALSE)</f>
        <v>6.1060560610605608</v>
      </c>
      <c r="R68" s="77">
        <f>VLOOKUP($F68,'WORKLESS HOUSEHOLDS'!$AT$4:$AZ$397,7,FALSE)</f>
        <v>9.0496612592454486</v>
      </c>
      <c r="S68" s="77">
        <f>VLOOKUP($F68,'WORKLESS HOUSEHOLDS'!$AK$4:$AQ$397,7,FALSE)</f>
        <v>7.8665114962413112</v>
      </c>
      <c r="T68" s="77">
        <f>VLOOKUP($F68,'WORKLESS HOUSEHOLDS'!$AB$4:$AH$397,7,FALSE)</f>
        <v>2.9913055478884902</v>
      </c>
      <c r="U68" s="77">
        <f>VLOOKUP($F68,'WORKLESS HOUSEHOLDS'!$S$4:$Y$397,7,FALSE)</f>
        <v>9.2424158393877214</v>
      </c>
      <c r="V68" s="77">
        <f>VLOOKUP($F68,'WORKLESS HOUSEHOLDS'!$J$4:$P$397,7,FALSE)</f>
        <v>4.9135603129088841</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Wealden to Rural as a Region</v>
      </c>
      <c r="G71" s="102"/>
      <c r="H71" s="103"/>
      <c r="I71" s="74">
        <f>(I68-I69)</f>
        <v>-1.1734749508552458</v>
      </c>
      <c r="J71" s="74">
        <f t="shared" ref="J71:W71" si="14">(J68-J69)</f>
        <v>-5.0827292940164419</v>
      </c>
      <c r="K71" s="74">
        <f t="shared" si="14"/>
        <v>-1.8532821035014564</v>
      </c>
      <c r="L71" s="74">
        <f t="shared" si="14"/>
        <v>-5.5296988601959001</v>
      </c>
      <c r="M71" s="74">
        <f t="shared" si="14"/>
        <v>-4.6223050392657941</v>
      </c>
      <c r="N71" s="74">
        <f t="shared" si="14"/>
        <v>-4.5648174481624908</v>
      </c>
      <c r="O71" s="74">
        <f t="shared" si="14"/>
        <v>-7.9053627939083961</v>
      </c>
      <c r="P71" s="74">
        <f t="shared" si="14"/>
        <v>-1.3039987064624725</v>
      </c>
      <c r="Q71" s="74">
        <f t="shared" si="14"/>
        <v>-4.6991221993378511</v>
      </c>
      <c r="R71" s="74">
        <f t="shared" si="14"/>
        <v>-1.6564350644841053</v>
      </c>
      <c r="S71" s="74">
        <f t="shared" si="14"/>
        <v>-2.2862333319075701</v>
      </c>
      <c r="T71" s="74">
        <f t="shared" si="14"/>
        <v>-6.9123626467442598</v>
      </c>
      <c r="U71" s="74">
        <f t="shared" si="14"/>
        <v>-1.5196343252917544</v>
      </c>
      <c r="V71" s="74">
        <f t="shared" si="14"/>
        <v>-5.0253081636307639</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Wealden</v>
      </c>
      <c r="G76" s="88"/>
      <c r="H76" s="89"/>
      <c r="I76" s="76">
        <f>VLOOKUP($F76,'SKILLED EMPLOYMENT'!$A$1506:$BW$1841,6,FALSE)</f>
        <v>57.4</v>
      </c>
      <c r="J76" s="77">
        <f>VLOOKUP($F76,'SKILLED EMPLOYMENT'!$A$1506:$BW$1841,10,FALSE)</f>
        <v>58.100000000000009</v>
      </c>
      <c r="K76" s="77">
        <f>VLOOKUP($F76,'SKILLED EMPLOYMENT'!$A$1506:$BW$1841,14,FALSE)</f>
        <v>59.9</v>
      </c>
      <c r="L76" s="77">
        <f>VLOOKUP($F76,'SKILLED EMPLOYMENT'!$A$1506:$BW$1841,18,FALSE)</f>
        <v>54.5</v>
      </c>
      <c r="M76" s="77">
        <f>VLOOKUP($F76,'SKILLED EMPLOYMENT'!$A$1506:$BW$1841,22,FALSE)</f>
        <v>52.7</v>
      </c>
      <c r="N76" s="77">
        <f>VLOOKUP($F76,'SKILLED EMPLOYMENT'!$A$1506:$BW$1841,26,FALSE)</f>
        <v>57</v>
      </c>
      <c r="O76" s="77">
        <f>VLOOKUP($F76,'SKILLED EMPLOYMENT'!$A$1506:$BW$1841,30,FALSE)</f>
        <v>52.7</v>
      </c>
      <c r="P76" s="77">
        <f>VLOOKUP($F76,'SKILLED EMPLOYMENT'!$A$1506:$BW$1841,34,FALSE)</f>
        <v>60.899999999999991</v>
      </c>
      <c r="Q76" s="77">
        <f>VLOOKUP($F76,'SKILLED EMPLOYMENT'!$A$1506:$BW$1841,38,FALSE)</f>
        <v>63.7</v>
      </c>
      <c r="R76" s="77">
        <f>VLOOKUP($F76,'SKILLED EMPLOYMENT'!$A$1506:$BW$1841,42,FALSE)</f>
        <v>61.9</v>
      </c>
      <c r="S76" s="77">
        <f>VLOOKUP($F76,'SKILLED EMPLOYMENT'!$A$1506:$BW$1841,46,FALSE)</f>
        <v>62.199999999999996</v>
      </c>
      <c r="T76" s="77">
        <f>VLOOKUP($F76,'SKILLED EMPLOYMENT'!$A$1506:$BW$1841,50,FALSE)</f>
        <v>58.6</v>
      </c>
      <c r="U76" s="77">
        <f>VLOOKUP($F76,'SKILLED EMPLOYMENT'!$A$1506:$BW$1841,54,FALSE)</f>
        <v>58.899999999999991</v>
      </c>
      <c r="V76" s="77">
        <f>VLOOKUP($F76,'SKILLED EMPLOYMENT'!$A$1506:$BW$1841,58,FALSE)</f>
        <v>59.599999999999994</v>
      </c>
      <c r="W76" s="77">
        <f>VLOOKUP($F76,'SKILLED EMPLOYMENT'!$A$1506:$BW$1841,62,FALSE)</f>
        <v>63.2</v>
      </c>
      <c r="X76" s="77">
        <f>VLOOKUP($F76,'SKILLED EMPLOYMENT'!$A$1506:$BW$1841,66,FALSE)</f>
        <v>59.800000000000004</v>
      </c>
      <c r="Y76" s="77">
        <f>VLOOKUP($F76,'SKILLED EMPLOYMENT'!$A$1506:$BW$1841,70,FALSE)</f>
        <v>63.399999999999991</v>
      </c>
      <c r="Z76" s="77">
        <f>VLOOKUP($F76,'SKILLED EMPLOYMENT'!$A$1506:$BW$1841,74,FALSE)</f>
        <v>55.7</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Wealden to Rural as a Region</v>
      </c>
      <c r="G79" s="102"/>
      <c r="H79" s="103"/>
      <c r="I79" s="74">
        <f>(I76-I77)</f>
        <v>4.6999999999999957</v>
      </c>
      <c r="J79" s="74">
        <f t="shared" ref="J79:Z79" si="17">(J76-J77)</f>
        <v>5.2000000000000099</v>
      </c>
      <c r="K79" s="74">
        <f t="shared" si="17"/>
        <v>6.3999999999999986</v>
      </c>
      <c r="L79" s="74">
        <f t="shared" si="17"/>
        <v>0.5</v>
      </c>
      <c r="M79" s="74">
        <f t="shared" si="17"/>
        <v>-1.3999999999999986</v>
      </c>
      <c r="N79" s="74">
        <f t="shared" si="17"/>
        <v>2.6000000000000014</v>
      </c>
      <c r="O79" s="74">
        <f t="shared" si="17"/>
        <v>-2.6999999999999957</v>
      </c>
      <c r="P79" s="74">
        <f t="shared" si="17"/>
        <v>5.2999999999999901</v>
      </c>
      <c r="Q79" s="74">
        <f t="shared" si="17"/>
        <v>8.3000000000000043</v>
      </c>
      <c r="R79" s="74">
        <f t="shared" si="17"/>
        <v>5.6999999999999957</v>
      </c>
      <c r="S79" s="74">
        <f t="shared" si="17"/>
        <v>5.9999999999999929</v>
      </c>
      <c r="T79" s="74">
        <f t="shared" si="17"/>
        <v>1.8000000000000043</v>
      </c>
      <c r="U79" s="74">
        <f t="shared" si="17"/>
        <v>2.2999999999999901</v>
      </c>
      <c r="V79" s="74">
        <f t="shared" si="17"/>
        <v>2.4999999999999929</v>
      </c>
      <c r="W79" s="74">
        <f t="shared" si="17"/>
        <v>5.4000000000000057</v>
      </c>
      <c r="X79" s="74">
        <f t="shared" si="17"/>
        <v>1.0000000000000071</v>
      </c>
      <c r="Y79" s="74">
        <f t="shared" si="17"/>
        <v>4.6999999999999886</v>
      </c>
      <c r="Z79" s="74">
        <f t="shared" si="17"/>
        <v>-2.6999999999999957</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C7oaarJrR+1pCeKzKj4uWDkIAWmcRE+PVHgipUSugg6xNWmYIIINAK9IT92ivNi1F/grsHSPgi3bfzpzc1HnPQ==" saltValue="JdOzKgGC4ZrK8DSQS9LwY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2022-08-02T13:27:14Z</dcterms:modified>
</cp:coreProperties>
</file>