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3" documentId="8_{51426A70-EC3B-4E18-9FB0-44DF102D818D}" xr6:coauthVersionLast="47" xr6:coauthVersionMax="47" xr10:uidLastSave="{3A2269C2-88D2-48ED-8918-EDB81A2BA4A1}"/>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<sst xmlns="http://schemas.openxmlformats.org/spreadsheetml/2006/main" count="32859" uniqueCount="1676">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</sst>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West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17.47</c:v>
                </c:pt>
                <c:pt idx="1">
                  <c:v>17.55</c:v>
                </c:pt>
                <c:pt idx="2">
                  <c:v>18.03</c:v>
                </c:pt>
                <c:pt idx="3">
                  <c:v>18.5</c:v>
                </c:pt>
                <c:pt idx="4">
                  <c:v>18.920000000000002</c:v>
                </c:pt>
                <c:pt idx="5">
                  <c:v>19.55</c:v>
                </c:pt>
                <c:pt idx="6">
                  <c:v>20.52</c:v>
                </c:pt>
                <c:pt idx="7">
                  <c:v>21.76</c:v>
                </c:pt>
                <c:pt idx="8">
                  <c:v>22.09</c:v>
                </c:pt>
                <c:pt idx="9">
                  <c:v>22.01</c:v>
                </c:pt>
                <c:pt idx="10">
                  <c:v>21.51</c:v>
                </c:pt>
                <c:pt idx="11">
                  <c:v>21.44</c:v>
                </c:pt>
                <c:pt idx="12">
                  <c:v>21.95</c:v>
                </c:pt>
                <c:pt idx="13">
                  <c:v>23.02</c:v>
                </c:pt>
                <c:pt idx="14">
                  <c:v>24.37</c:v>
                </c:pt>
                <c:pt idx="15">
                  <c:v>25.16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West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310.2</c:v>
                </c:pt>
                <c:pt idx="1">
                  <c:v>348.6</c:v>
                </c:pt>
                <c:pt idx="2">
                  <c:v>351.4</c:v>
                </c:pt>
                <c:pt idx="3">
                  <c:v>392.1</c:v>
                </c:pt>
                <c:pt idx="4">
                  <c:v>408.6</c:v>
                </c:pt>
                <c:pt idx="5">
                  <c:v>433.8</c:v>
                </c:pt>
                <c:pt idx="6">
                  <c:v>440.5</c:v>
                </c:pt>
                <c:pt idx="7">
                  <c:v>423.4</c:v>
                </c:pt>
                <c:pt idx="8">
                  <c:v>431.7</c:v>
                </c:pt>
                <c:pt idx="9">
                  <c:v>448</c:v>
                </c:pt>
                <c:pt idx="10">
                  <c:v>466</c:v>
                </c:pt>
                <c:pt idx="11">
                  <c:v>474.7</c:v>
                </c:pt>
                <c:pt idx="12">
                  <c:v>471.9</c:v>
                </c:pt>
                <c:pt idx="13">
                  <c:v>464.7</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West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74.599999999999994</c:v>
                </c:pt>
                <c:pt idx="1">
                  <c:v>75.7</c:v>
                </c:pt>
                <c:pt idx="2">
                  <c:v>75.599999999999994</c:v>
                </c:pt>
                <c:pt idx="3">
                  <c:v>80.8</c:v>
                </c:pt>
                <c:pt idx="4">
                  <c:v>80</c:v>
                </c:pt>
                <c:pt idx="5">
                  <c:v>75.7</c:v>
                </c:pt>
                <c:pt idx="6">
                  <c:v>65.599999999999994</c:v>
                </c:pt>
                <c:pt idx="7">
                  <c:v>70.599999999999994</c:v>
                </c:pt>
                <c:pt idx="8">
                  <c:v>78.2</c:v>
                </c:pt>
                <c:pt idx="9">
                  <c:v>82</c:v>
                </c:pt>
                <c:pt idx="10">
                  <c:v>73.099999999999994</c:v>
                </c:pt>
                <c:pt idx="11">
                  <c:v>80.400000000000006</c:v>
                </c:pt>
                <c:pt idx="12">
                  <c:v>76</c:v>
                </c:pt>
                <c:pt idx="13">
                  <c:v>76.599999999999994</c:v>
                </c:pt>
                <c:pt idx="14">
                  <c:v>74.2</c:v>
                </c:pt>
                <c:pt idx="15">
                  <c:v>82.1</c:v>
                </c:pt>
                <c:pt idx="16">
                  <c:v>72.5</c:v>
                </c:pt>
                <c:pt idx="17">
                  <c:v>67.2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West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14527</c:v>
                </c:pt>
                <c:pt idx="1">
                  <c:v>15363</c:v>
                </c:pt>
                <c:pt idx="2">
                  <c:v>16157</c:v>
                </c:pt>
                <c:pt idx="3">
                  <c:v>16729</c:v>
                </c:pt>
                <c:pt idx="4">
                  <c:v>17222</c:v>
                </c:pt>
                <c:pt idx="5">
                  <c:v>17178</c:v>
                </c:pt>
                <c:pt idx="6">
                  <c:v>17288</c:v>
                </c:pt>
                <c:pt idx="7">
                  <c:v>17408</c:v>
                </c:pt>
                <c:pt idx="8">
                  <c:v>17994</c:v>
                </c:pt>
                <c:pt idx="9">
                  <c:v>18542</c:v>
                </c:pt>
                <c:pt idx="10">
                  <c:v>18967</c:v>
                </c:pt>
                <c:pt idx="11">
                  <c:v>20129</c:v>
                </c:pt>
                <c:pt idx="12">
                  <c:v>20207</c:v>
                </c:pt>
                <c:pt idx="13">
                  <c:v>20295</c:v>
                </c:pt>
                <c:pt idx="14">
                  <c:v>21187</c:v>
                </c:pt>
                <c:pt idx="15">
                  <c:v>21509</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West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30.8</c:v>
                </c:pt>
                <c:pt idx="1">
                  <c:v>33.6</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West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23.1</c:v>
                </c:pt>
                <c:pt idx="1">
                  <c:v>22.1</c:v>
                </c:pt>
                <c:pt idx="2">
                  <c:v>20.8</c:v>
                </c:pt>
                <c:pt idx="3">
                  <c:v>15.8</c:v>
                </c:pt>
                <c:pt idx="4">
                  <c:v>18.600000000000001</c:v>
                </c:pt>
                <c:pt idx="5">
                  <c:v>23.2</c:v>
                </c:pt>
                <c:pt idx="6">
                  <c:v>33.700000000000003</c:v>
                </c:pt>
                <c:pt idx="7">
                  <c:v>26.2</c:v>
                </c:pt>
                <c:pt idx="8">
                  <c:v>16.399999999999999</c:v>
                </c:pt>
                <c:pt idx="9">
                  <c:v>14.6</c:v>
                </c:pt>
                <c:pt idx="10">
                  <c:v>25.6</c:v>
                </c:pt>
                <c:pt idx="11">
                  <c:v>15.5</c:v>
                </c:pt>
                <c:pt idx="12">
                  <c:v>20</c:v>
                </c:pt>
                <c:pt idx="13">
                  <c:v>23.4</c:v>
                </c:pt>
                <c:pt idx="14">
                  <c:v>24.6</c:v>
                </c:pt>
                <c:pt idx="15">
                  <c:v>16.8</c:v>
                </c:pt>
                <c:pt idx="16">
                  <c:v>23.4</c:v>
                </c:pt>
                <c:pt idx="17">
                  <c:v>29.5</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West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36.300000000000004</c:v>
                </c:pt>
                <c:pt idx="1">
                  <c:v>11.599999999999994</c:v>
                </c:pt>
                <c:pt idx="2">
                  <c:v>28.699999999999996</c:v>
                </c:pt>
                <c:pt idx="3">
                  <c:v>31.200000000000003</c:v>
                </c:pt>
                <c:pt idx="4">
                  <c:v>46.699999999999996</c:v>
                </c:pt>
                <c:pt idx="5">
                  <c:v>19.099999999999994</c:v>
                </c:pt>
                <c:pt idx="6">
                  <c:v>34.200000000000003</c:v>
                </c:pt>
                <c:pt idx="7">
                  <c:v>15.399999999999999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West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11.386512495690916</c:v>
                </c:pt>
                <c:pt idx="2">
                  <c:v>6.8171103573921847</c:v>
                </c:pt>
                <c:pt idx="3">
                  <c:v>6.0888123716061351</c:v>
                </c:pt>
                <c:pt idx="4">
                  <c:v>7.9400041418771909</c:v>
                </c:pt>
                <c:pt idx="5">
                  <c:v>0</c:v>
                </c:pt>
                <c:pt idx="6">
                  <c:v>8.6478380404898783</c:v>
                </c:pt>
                <c:pt idx="7">
                  <c:v>0</c:v>
                </c:pt>
                <c:pt idx="8">
                  <c:v>0</c:v>
                </c:pt>
                <c:pt idx="9">
                  <c:v>17.371794871794872</c:v>
                </c:pt>
                <c:pt idx="10">
                  <c:v>0</c:v>
                </c:pt>
                <c:pt idx="11">
                  <c:v>16.695041498191106</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West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54.5</c:v>
                </c:pt>
                <c:pt idx="1">
                  <c:v>53</c:v>
                </c:pt>
                <c:pt idx="2">
                  <c:v>54</c:v>
                </c:pt>
                <c:pt idx="3">
                  <c:v>52.100000000000009</c:v>
                </c:pt>
                <c:pt idx="4">
                  <c:v>54.7</c:v>
                </c:pt>
                <c:pt idx="5">
                  <c:v>49.9</c:v>
                </c:pt>
                <c:pt idx="6">
                  <c:v>49.1</c:v>
                </c:pt>
                <c:pt idx="7">
                  <c:v>56.599999999999994</c:v>
                </c:pt>
                <c:pt idx="8">
                  <c:v>55.3</c:v>
                </c:pt>
                <c:pt idx="9">
                  <c:v>60.2</c:v>
                </c:pt>
                <c:pt idx="10">
                  <c:v>65.2</c:v>
                </c:pt>
                <c:pt idx="11">
                  <c:v>61.5</c:v>
                </c:pt>
                <c:pt idx="12">
                  <c:v>56.5</c:v>
                </c:pt>
                <c:pt idx="13">
                  <c:v>53.800000000000004</c:v>
                </c:pt>
                <c:pt idx="14">
                  <c:v>57.4</c:v>
                </c:pt>
                <c:pt idx="15">
                  <c:v>57.4</c:v>
                </c:pt>
                <c:pt idx="16">
                  <c:v>48.699999999999996</c:v>
                </c:pt>
                <c:pt idx="17">
                  <c:v>67.400000000000006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West Devon has fluctuated along similar levels to England and rural, taking it at times above and below the England and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West Devon, it's rate of increase is below both England and 'Rural as a Region', thus dropping it below both by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West Devon is greater than both rural and England, and increased between 2017 and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West Devon's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West Devon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West Devon, where data is available, has been less stable and has in certain years been significantly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West Devon in general has a similar proportion of employed people in skilled employment as that seen for 'Rural as a Region' and England, with some variation seen in specific years.</a:t>
          </a:r>
          <a:endParaRPr lang="en-GB" sz="1100">
            <a:latin typeface="Avenir Next LT Pro" panose="020B0504020202020204" pitchFamily="34" charset="0"/>
          </a:endParaRPr>
        </a:p>
      </xdr:txBody>
    </xdr:sp>
    <xdr:clientData/>
  </xdr:twoCellAnchor>
  <xdr:twoCellAnchor>
    <xdr:from>
      <xdr:col>0</xdr:col>
      <xdr:colOff>640080</xdr:colOff>
      <xdr:row>20</xdr:row>
      <xdr:rowOff>624840</xdr:rowOff>
    </xdr:from>
    <xdr:to>
      <xdr:col>1</xdr:col>
      <xdr:colOff>2621280</xdr:colOff>
      <xdr:row>22</xdr:row>
      <xdr:rowOff>373380</xdr:rowOff>
    </xdr:to>
    <xdr:sp macro="" textlink="">
      <xdr:nvSpPr>
        <xdr:cNvPr id="20" name="TextBox 19">
          <a:extLst>
            <a:ext uri="{FF2B5EF4-FFF2-40B4-BE49-F238E27FC236}">
              <a16:creationId xmlns:a16="http://schemas.microsoft.com/office/drawing/2014/main" id="{78ED5549-ECAD-4D60-A6CA-4441A53748E6}"/>
            </a:ext>
          </a:extLst>
        </xdr:cNvPr>
        <xdr:cNvSpPr txBox="1"/>
      </xdr:nvSpPr>
      <xdr:spPr>
        <a:xfrm>
          <a:off x="640080" y="7551420"/>
          <a:ext cx="6682740" cy="1043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West Devon in 2008 was 28% below that for 'Rural as a Region'.  West Devon pay then experienced a more rapid rate of increase than either England or rural taking it to within 6% of rural by 2013.  The gap to rural then increases again to 18% in 2021 due to its slowing rate of increase.</a:t>
          </a:r>
          <a:endParaRPr lang="en-GB" sz="1100">
            <a:latin typeface="Avenir Next LT Pro" panose="020B0504020202020204" pitchFamily="34" charset="0"/>
          </a:endParaRPr>
        </a:p>
      </xdr:txBody>
    </xdr:sp>
    <xdr:clientData/>
  </xdr:twoCellAnchor>
  <xdr:twoCellAnchor>
    <xdr:from>
      <xdr:col>0</xdr:col>
      <xdr:colOff>586740</xdr:colOff>
      <xdr:row>12</xdr:row>
      <xdr:rowOff>495300</xdr:rowOff>
    </xdr:from>
    <xdr:to>
      <xdr:col>1</xdr:col>
      <xdr:colOff>2567940</xdr:colOff>
      <xdr:row>14</xdr:row>
      <xdr:rowOff>160020</xdr:rowOff>
    </xdr:to>
    <xdr:sp macro="" textlink="">
      <xdr:nvSpPr>
        <xdr:cNvPr id="21" name="TextBox 20">
          <a:extLst>
            <a:ext uri="{FF2B5EF4-FFF2-40B4-BE49-F238E27FC236}">
              <a16:creationId xmlns:a16="http://schemas.microsoft.com/office/drawing/2014/main" id="{5AD11510-6E39-4A8F-9AE1-5EF0C0378F52}"/>
            </a:ext>
          </a:extLst>
        </xdr:cNvPr>
        <xdr:cNvSpPr txBox="1"/>
      </xdr:nvSpPr>
      <xdr:spPr>
        <a:xfrm>
          <a:off x="586740" y="3482340"/>
          <a:ext cx="6682740" cy="9601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West Devon roughly follows a similar gradient of increase to the rural situation, but starts at lower point,  therefore maintaining its gap to rural but falling further behind the England situation in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440</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West Devon</v>
      </c>
      <c r="G12" s="88" t="str">
        <f>IFERROR(VLOOKUP(F12,GVA!B244:B552,1,FALSE),VLOOKUP(F12,GVA!B6:C230,2,FALSE))</f>
        <v>West Devon</v>
      </c>
      <c r="H12" s="89" t="str">
        <f>IF(F12=G12,"",G12)</f>
        <v/>
      </c>
      <c r="I12" s="76">
        <f>IFERROR(VLOOKUP($F12,GVA!$B$7:$S$230,GVA!D$3,FALSE),VLOOKUP($F12,GVA!$B$244:$T$554,GVA!E$3,FALSE))</f>
        <v>17.47</v>
      </c>
      <c r="J12" s="77">
        <f>IFERROR(VLOOKUP($F12,GVA!$B$7:$S$230,GVA!E$3,FALSE),VLOOKUP($F12,GVA!$B$244:$T$554,GVA!F$3,FALSE))</f>
        <v>17.55</v>
      </c>
      <c r="K12" s="77">
        <f>IFERROR(VLOOKUP($F12,GVA!$B$7:$S$230,GVA!F$3,FALSE),VLOOKUP($F12,GVA!$B$244:$T$554,GVA!G$3,FALSE))</f>
        <v>18.03</v>
      </c>
      <c r="L12" s="77">
        <f>IFERROR(VLOOKUP($F12,GVA!$B$7:$S$230,GVA!G$3,FALSE),VLOOKUP($F12,GVA!$B$244:$T$554,GVA!H$3,FALSE))</f>
        <v>18.5</v>
      </c>
      <c r="M12" s="77">
        <f>IFERROR(VLOOKUP($F12,GVA!$B$7:$S$230,GVA!H$3,FALSE),VLOOKUP($F12,GVA!$B$244:$T$554,GVA!I$3,FALSE))</f>
        <v>18.920000000000002</v>
      </c>
      <c r="N12" s="77">
        <f>IFERROR(VLOOKUP($F12,GVA!$B$7:$S$230,GVA!I$3,FALSE),VLOOKUP($F12,GVA!$B$244:$T$554,GVA!J$3,FALSE))</f>
        <v>19.55</v>
      </c>
      <c r="O12" s="77">
        <f>IFERROR(VLOOKUP($F12,GVA!$B$7:$S$230,GVA!J$3,FALSE),VLOOKUP($F12,GVA!$B$244:$T$554,GVA!K$3,FALSE))</f>
        <v>20.52</v>
      </c>
      <c r="P12" s="77">
        <f>IFERROR(VLOOKUP($F12,GVA!$B$7:$S$230,GVA!K$3,FALSE),VLOOKUP($F12,GVA!$B$244:$T$554,GVA!L$3,FALSE))</f>
        <v>21.76</v>
      </c>
      <c r="Q12" s="77">
        <f>IFERROR(VLOOKUP($F12,GVA!$B$7:$S$230,GVA!L$3,FALSE),VLOOKUP($F12,GVA!$B$244:$T$554,GVA!M$3,FALSE))</f>
        <v>22.09</v>
      </c>
      <c r="R12" s="77">
        <f>IFERROR(VLOOKUP($F12,GVA!$B$7:$S$230,GVA!M$3,FALSE),VLOOKUP($F12,GVA!$B$244:$T$554,GVA!N$3,FALSE))</f>
        <v>22.01</v>
      </c>
      <c r="S12" s="77">
        <f>IFERROR(VLOOKUP($F12,GVA!$B$7:$S$230,GVA!N$3,FALSE),VLOOKUP($F12,GVA!$B$244:$T$554,GVA!O$3,FALSE))</f>
        <v>21.51</v>
      </c>
      <c r="T12" s="77">
        <f>IFERROR(VLOOKUP($F12,GVA!$B$7:$S$230,GVA!O$3,FALSE),VLOOKUP($F12,GVA!$B$244:$T$554,GVA!P$3,FALSE))</f>
        <v>21.44</v>
      </c>
      <c r="U12" s="77">
        <f>IFERROR(VLOOKUP($F12,GVA!$B$7:$S$230,GVA!P$3,FALSE),VLOOKUP($F12,GVA!$B$244:$T$554,GVA!Q$3,FALSE))</f>
        <v>21.95</v>
      </c>
      <c r="V12" s="77">
        <f>IFERROR(VLOOKUP($F12,GVA!$B$7:$S$230,GVA!Q$3,FALSE),VLOOKUP($F12,GVA!$B$244:$T$554,GVA!R$3,FALSE))</f>
        <v>23.02</v>
      </c>
      <c r="W12" s="77">
        <f>IFERROR(VLOOKUP($F12,GVA!$B$7:$S$230,GVA!R$3,FALSE),VLOOKUP($F12,GVA!$B$244:$T$554,GVA!S$3,FALSE))</f>
        <v>24.37</v>
      </c>
      <c r="X12" s="77">
        <f>IFERROR(VLOOKUP($F12,GVA!$B$7:$S$230,GVA!S$3,FALSE),VLOOKUP($F12,GVA!$B$244:$T$554,GVA!T$3,FALSE))</f>
        <v>25.16</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West Devon to Rural as a Region</v>
      </c>
      <c r="G15" s="102"/>
      <c r="H15" s="103"/>
      <c r="I15" s="74">
        <f>100*((I12-I13)/I13)</f>
        <v>-25.786271663876736</v>
      </c>
      <c r="J15" s="74">
        <f t="shared" ref="J15:X15" si="0">100*((J12-J13)/J13)</f>
        <v>-25.238858348378194</v>
      </c>
      <c r="K15" s="74">
        <f t="shared" si="0"/>
        <v>-25.814462682400002</v>
      </c>
      <c r="L15" s="74">
        <f t="shared" si="0"/>
        <v>-25.519065968827302</v>
      </c>
      <c r="M15" s="74">
        <f t="shared" si="0"/>
        <v>-25.11273518892861</v>
      </c>
      <c r="N15" s="74">
        <f t="shared" si="0"/>
        <v>-23.251281715746526</v>
      </c>
      <c r="O15" s="74">
        <f t="shared" si="0"/>
        <v>-20.434644128195991</v>
      </c>
      <c r="P15" s="74">
        <f t="shared" si="0"/>
        <v>-16.866105418275577</v>
      </c>
      <c r="Q15" s="74">
        <f t="shared" si="0"/>
        <v>-17.299104158309945</v>
      </c>
      <c r="R15" s="74">
        <f t="shared" si="0"/>
        <v>-19.003246283859294</v>
      </c>
      <c r="S15" s="74">
        <f t="shared" si="0"/>
        <v>-22.134739944924974</v>
      </c>
      <c r="T15" s="74">
        <f t="shared" si="0"/>
        <v>-23.831435773375496</v>
      </c>
      <c r="U15" s="74">
        <f t="shared" si="0"/>
        <v>-23.882574897515166</v>
      </c>
      <c r="V15" s="74">
        <f t="shared" si="0"/>
        <v>-22.284428189618787</v>
      </c>
      <c r="W15" s="74">
        <f t="shared" si="0"/>
        <v>-19.396461772893485</v>
      </c>
      <c r="X15" s="74">
        <f t="shared" si="0"/>
        <v>-17.646737923321826</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West Devon</v>
      </c>
      <c r="G20" s="88"/>
      <c r="H20" s="89"/>
      <c r="I20" s="80">
        <f>IF(VLOOKUP($F20,PAY!$A$11:$AE$349,4,FALSE)="-",#N/A,VLOOKUP($F20,PAY!$A$11:$AE$349,4,FALSE))</f>
        <v>310.2</v>
      </c>
      <c r="J20" s="80">
        <f>IF(VLOOKUP($F20,PAY!$A$11:$AE$349,6,FALSE)="-",#N/A,VLOOKUP($F20,PAY!$A$11:$AE$349,6,FALSE))</f>
        <v>348.6</v>
      </c>
      <c r="K20" s="80">
        <f>IF(VLOOKUP($F20,PAY!$A$11:$AE$349,8,FALSE)="-",#N/A,VLOOKUP($F20,PAY!$A$11:$AE$349,8,FALSE))</f>
        <v>351.4</v>
      </c>
      <c r="L20" s="80">
        <f>IF(VLOOKUP($F20,PAY!$A$11:$AE$349,10,FALSE)="-",#N/A,VLOOKUP($F20,PAY!$A$11:$AE$349,10,FALSE))</f>
        <v>392.1</v>
      </c>
      <c r="M20" s="80">
        <f>IF(VLOOKUP($F20,PAY!$A$11:$AE$349,12,FALSE)="-",#N/A,VLOOKUP($F20,PAY!$A$11:$AE$349,12,FALSE))</f>
        <v>408.6</v>
      </c>
      <c r="N20" s="80">
        <f>IF(VLOOKUP($F20,PAY!$A$11:$AE$349,14,FALSE)="-",#N/A,VLOOKUP($F20,PAY!$A$11:$AE$349,14,FALSE))</f>
        <v>433.8</v>
      </c>
      <c r="O20" s="80">
        <f>IF(VLOOKUP($F20,PAY!$A$11:$AE$349,16,FALSE)="-",#N/A,VLOOKUP($F20,PAY!$A$11:$AE$349,16,FALSE))</f>
        <v>440.5</v>
      </c>
      <c r="P20" s="80">
        <f>IF(VLOOKUP($F20,PAY!$A$11:$AE$349,18,FALSE)="-",#N/A,VLOOKUP($F20,PAY!$A$11:$AE$349,18,FALSE))</f>
        <v>423.4</v>
      </c>
      <c r="Q20" s="80">
        <f>IF(VLOOKUP($F20,PAY!$A$11:$AE$349,20,FALSE)="-",#N/A,VLOOKUP($F20,PAY!$A$11:$AE$349,20,FALSE))</f>
        <v>431.7</v>
      </c>
      <c r="R20" s="80">
        <f>IF(VLOOKUP($F20,PAY!$A$11:$AE$349,22,FALSE)="-",#N/A,VLOOKUP($F20,PAY!$A$11:$AE$349,22,FALSE))</f>
        <v>448</v>
      </c>
      <c r="S20" s="80">
        <f>IF(VLOOKUP($F20,PAY!$A$11:$AE$349,24,FALSE)="-",#N/A,VLOOKUP($F20,PAY!$A$11:$AE$349,24,FALSE))</f>
        <v>466</v>
      </c>
      <c r="T20" s="80">
        <f>IF(VLOOKUP($F20,PAY!$A$11:$AE$349,26,FALSE)="-",#N/A,VLOOKUP($F20,PAY!$A$11:$AE$349,26,FALSE))</f>
        <v>474.7</v>
      </c>
      <c r="U20" s="80">
        <f>IF(VLOOKUP($F20,PAY!$A$11:$AE$349,28,FALSE)="-",#N/A,VLOOKUP($F20,PAY!$A$11:$AE$349,28,FALSE))</f>
        <v>471.9</v>
      </c>
      <c r="V20" s="80">
        <f>IF(VLOOKUP($F20,PAY!$A$11:$AE$349,30,FALSE)="-",#N/A,VLOOKUP($F20,PAY!$A$11:$AE$349,30,FALSE))</f>
        <v>464.7</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West Devon to Rural as a Region</v>
      </c>
      <c r="G23" s="102"/>
      <c r="H23" s="103"/>
      <c r="I23" s="74">
        <f>100*((I20-I21)/I21)</f>
        <v>-28.359020534169044</v>
      </c>
      <c r="J23" s="74">
        <f t="shared" ref="J23:V23" si="2">100*((J20-J21)/J21)</f>
        <v>-20.215139898151854</v>
      </c>
      <c r="K23" s="74">
        <f t="shared" si="2"/>
        <v>-21.582219661082089</v>
      </c>
      <c r="L23" s="74">
        <f t="shared" si="2"/>
        <v>-12.992955372792212</v>
      </c>
      <c r="M23" s="74">
        <f t="shared" si="2"/>
        <v>-10.245744379132589</v>
      </c>
      <c r="N23" s="74">
        <f t="shared" si="2"/>
        <v>-6.3415194066235552</v>
      </c>
      <c r="O23" s="74">
        <f t="shared" si="2"/>
        <v>-6.4363569880677751</v>
      </c>
      <c r="P23" s="74">
        <f t="shared" si="2"/>
        <v>-10.829652181099368</v>
      </c>
      <c r="Q23" s="74">
        <f t="shared" si="2"/>
        <v>-11.804774354717344</v>
      </c>
      <c r="R23" s="74">
        <f t="shared" si="2"/>
        <v>-11.121156188395396</v>
      </c>
      <c r="S23" s="74">
        <f t="shared" si="2"/>
        <v>-9.4135301271368164</v>
      </c>
      <c r="T23" s="74">
        <f t="shared" si="2"/>
        <v>-11.054701354205928</v>
      </c>
      <c r="U23" s="74">
        <f t="shared" si="2"/>
        <v>-11.138008485150957</v>
      </c>
      <c r="V23" s="74">
        <f t="shared" si="2"/>
        <v>-17.643504273686801</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West Devon</v>
      </c>
      <c r="G28" s="88"/>
      <c r="H28" s="89"/>
      <c r="I28" s="76">
        <f>VLOOKUP($F28,EMPLOYMENT!$A$6:$BW$345,6,FALSE)</f>
        <v>74.599999999999994</v>
      </c>
      <c r="J28" s="77">
        <f>VLOOKUP($F28,EMPLOYMENT!$A$6:$BW$345,10,FALSE)</f>
        <v>75.7</v>
      </c>
      <c r="K28" s="77">
        <f>VLOOKUP($F28,EMPLOYMENT!$A$6:$BW$345,14,FALSE)</f>
        <v>75.599999999999994</v>
      </c>
      <c r="L28" s="77">
        <f>VLOOKUP($F28,EMPLOYMENT!$A$6:$BW$345,18,FALSE)</f>
        <v>80.8</v>
      </c>
      <c r="M28" s="77">
        <f>VLOOKUP($F28,EMPLOYMENT!$A$6:$BW$345,22,FALSE)</f>
        <v>80</v>
      </c>
      <c r="N28" s="77">
        <f>VLOOKUP($F28,EMPLOYMENT!$A$6:$BW$345,26,FALSE)</f>
        <v>75.7</v>
      </c>
      <c r="O28" s="77">
        <f>VLOOKUP($F28,EMPLOYMENT!$A$6:$BW$345,30,FALSE)</f>
        <v>65.599999999999994</v>
      </c>
      <c r="P28" s="77">
        <f>VLOOKUP($F28,EMPLOYMENT!$A$6:$BW$345,34,FALSE)</f>
        <v>70.599999999999994</v>
      </c>
      <c r="Q28" s="77">
        <f>VLOOKUP($F28,EMPLOYMENT!$A$6:$BW$345,38,FALSE)</f>
        <v>78.2</v>
      </c>
      <c r="R28" s="77">
        <f>VLOOKUP($F28,EMPLOYMENT!$A$6:$BW$345,42,FALSE)</f>
        <v>82</v>
      </c>
      <c r="S28" s="77">
        <f>VLOOKUP($F28,EMPLOYMENT!$A$6:$BW$345,46,FALSE)</f>
        <v>73.099999999999994</v>
      </c>
      <c r="T28" s="77">
        <f>VLOOKUP($F28,EMPLOYMENT!$A$6:$BW$345,50,FALSE)</f>
        <v>80.400000000000006</v>
      </c>
      <c r="U28" s="77">
        <f>VLOOKUP($F28,EMPLOYMENT!$A$6:$BW$345,54,FALSE)</f>
        <v>76</v>
      </c>
      <c r="V28" s="77">
        <f>VLOOKUP($F28,EMPLOYMENT!$A$6:$BW$345,58,FALSE)</f>
        <v>76.599999999999994</v>
      </c>
      <c r="W28" s="77">
        <f>VLOOKUP($F28,EMPLOYMENT!$A$6:$BW$345,62,FALSE)</f>
        <v>74.2</v>
      </c>
      <c r="X28" s="77">
        <f>VLOOKUP($F28,EMPLOYMENT!$A$6:$BW$345,66,FALSE)</f>
        <v>82.1</v>
      </c>
      <c r="Y28" s="77">
        <f>VLOOKUP($F28,EMPLOYMENT!$A$6:$BW$345,70,FALSE)</f>
        <v>72.5</v>
      </c>
      <c r="Z28" s="77">
        <f>VLOOKUP($F28,EMPLOYMENT!$A$6:$BW$345,74,FALSE)</f>
        <v>67.2</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West Devon to Rural as a Region</v>
      </c>
      <c r="G31" s="102"/>
      <c r="H31" s="103"/>
      <c r="I31" s="74">
        <f>(I28-I29)</f>
        <v>-1.5113419194017439</v>
      </c>
      <c r="J31" s="74">
        <f t="shared" ref="J31:Z31" si="4">(J28-J29)</f>
        <v>-0.61297546668295411</v>
      </c>
      <c r="K31" s="74">
        <f t="shared" si="4"/>
        <v>-0.27318889948676883</v>
      </c>
      <c r="L31" s="74">
        <f t="shared" si="4"/>
        <v>5.1595316973721594</v>
      </c>
      <c r="M31" s="74">
        <f t="shared" si="4"/>
        <v>4.2644756266682577</v>
      </c>
      <c r="N31" s="74">
        <f t="shared" si="4"/>
        <v>1.1904601571268216</v>
      </c>
      <c r="O31" s="74">
        <f t="shared" si="4"/>
        <v>-7.9471331389698747</v>
      </c>
      <c r="P31" s="74">
        <f t="shared" si="4"/>
        <v>-3.1342954032776191</v>
      </c>
      <c r="Q31" s="74">
        <f t="shared" si="4"/>
        <v>4.1668425245374294</v>
      </c>
      <c r="R31" s="74">
        <f t="shared" si="4"/>
        <v>7.2555250700997931</v>
      </c>
      <c r="S31" s="74">
        <f t="shared" si="4"/>
        <v>-3.0088603400756142</v>
      </c>
      <c r="T31" s="74">
        <f t="shared" si="4"/>
        <v>3.2094680243909863</v>
      </c>
      <c r="U31" s="74">
        <f t="shared" si="4"/>
        <v>-0.97163248170804195</v>
      </c>
      <c r="V31" s="74">
        <f t="shared" si="4"/>
        <v>-1.4327868852459034</v>
      </c>
      <c r="W31" s="74">
        <f t="shared" si="4"/>
        <v>-3.8481568934141421</v>
      </c>
      <c r="X31" s="74">
        <f t="shared" si="4"/>
        <v>3.5087006210432889</v>
      </c>
      <c r="Y31" s="74">
        <f t="shared" si="4"/>
        <v>-4.5143462961292045</v>
      </c>
      <c r="Z31" s="74">
        <f t="shared" si="4"/>
        <v>-8.9557580778790395</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West Devon</v>
      </c>
      <c r="G36" s="88" t="str">
        <f>IFERROR(VLOOKUP(F36,GDHI!B338:C574,2,FALSE),VLOOKUP(F36,GDHI!C3:C336,1,FALSE))</f>
        <v>West Devon</v>
      </c>
      <c r="H36" s="89" t="str">
        <f>IF(F36=G36,"",G36)</f>
        <v/>
      </c>
      <c r="I36" s="83">
        <f>IFERROR(VLOOKUP($F36,GDHI!$B$338:$U$574,GDHI!G$578,FALSE),VLOOKUP($F36,GDHI!$C$3:$U$336,GDHI!F$578,FALSE))</f>
        <v>14527</v>
      </c>
      <c r="J36" s="84">
        <f>IFERROR(VLOOKUP($F36,GDHI!$B$338:$U$574,GDHI!H$578,FALSE),VLOOKUP($F36,GDHI!$C$3:$U$336,GDHI!G$578,FALSE))</f>
        <v>15363</v>
      </c>
      <c r="K36" s="84">
        <f>IFERROR(VLOOKUP($F36,GDHI!$B$338:$U$574,GDHI!I$578,FALSE),VLOOKUP($F36,GDHI!$C$3:$U$336,GDHI!H$578,FALSE))</f>
        <v>16157</v>
      </c>
      <c r="L36" s="84">
        <f>IFERROR(VLOOKUP($F36,GDHI!$B$338:$U$574,GDHI!J$578,FALSE),VLOOKUP($F36,GDHI!$C$3:$U$336,GDHI!I$578,FALSE))</f>
        <v>16729</v>
      </c>
      <c r="M36" s="84">
        <f>IFERROR(VLOOKUP($F36,GDHI!$B$338:$U$574,GDHI!K$578,FALSE),VLOOKUP($F36,GDHI!$C$3:$U$336,GDHI!J$578,FALSE))</f>
        <v>17222</v>
      </c>
      <c r="N36" s="84">
        <f>IFERROR(VLOOKUP($F36,GDHI!$B$338:$U$574,GDHI!L$578,FALSE),VLOOKUP($F36,GDHI!$C$3:$U$336,GDHI!K$578,FALSE))</f>
        <v>17178</v>
      </c>
      <c r="O36" s="84">
        <f>IFERROR(VLOOKUP($F36,GDHI!$B$338:$U$574,GDHI!M$578,FALSE),VLOOKUP($F36,GDHI!$C$3:$U$336,GDHI!L$578,FALSE))</f>
        <v>17288</v>
      </c>
      <c r="P36" s="84">
        <f>IFERROR(VLOOKUP($F36,GDHI!$B$338:$U$574,GDHI!N$578,FALSE),VLOOKUP($F36,GDHI!$C$3:$U$336,GDHI!M$578,FALSE))</f>
        <v>17408</v>
      </c>
      <c r="Q36" s="84">
        <f>IFERROR(VLOOKUP($F36,GDHI!$B$338:$U$574,GDHI!O$578,FALSE),VLOOKUP($F36,GDHI!$C$3:$U$336,GDHI!N$578,FALSE))</f>
        <v>17994</v>
      </c>
      <c r="R36" s="84">
        <f>IFERROR(VLOOKUP($F36,GDHI!$B$338:$U$574,GDHI!P$578,FALSE),VLOOKUP($F36,GDHI!$C$3:$U$336,GDHI!O$578,FALSE))</f>
        <v>18542</v>
      </c>
      <c r="S36" s="84">
        <f>IFERROR(VLOOKUP($F36,GDHI!$B$338:$U$574,GDHI!Q$578,FALSE),VLOOKUP($F36,GDHI!$C$3:$U$336,GDHI!P$578,FALSE))</f>
        <v>18967</v>
      </c>
      <c r="T36" s="84">
        <f>IFERROR(VLOOKUP($F36,GDHI!$B$338:$U$574,GDHI!R$578,FALSE),VLOOKUP($F36,GDHI!$C$3:$U$336,GDHI!Q$578,FALSE))</f>
        <v>20129</v>
      </c>
      <c r="U36" s="84">
        <f>IFERROR(VLOOKUP($F36,GDHI!$B$338:$U$574,GDHI!S$578,FALSE),VLOOKUP($F36,GDHI!$C$3:$U$336,GDHI!R$578,FALSE))</f>
        <v>20207</v>
      </c>
      <c r="V36" s="84">
        <f>IFERROR(VLOOKUP($F36,GDHI!$B$338:$U$574,GDHI!T$578,FALSE),VLOOKUP($F36,GDHI!$C$3:$U$336,GDHI!S$578,FALSE))</f>
        <v>20295</v>
      </c>
      <c r="W36" s="84">
        <f>IFERROR(VLOOKUP($F36,GDHI!$B$338:$U$574,GDHI!U$578,FALSE),VLOOKUP($F36,GDHI!$C$3:$U$336,GDHI!T$578,FALSE))</f>
        <v>21187</v>
      </c>
      <c r="X36" s="84">
        <f>IFERROR(VLOOKUP($F36,GDHI!$B$338:$U$574,GDHI!V$578,FALSE),VLOOKUP($F36,GDHI!$C$3:$U$336,GDHI!U$578,FALSE))</f>
        <v>21509</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West Devon to Rural as a Region</v>
      </c>
      <c r="G39" s="102"/>
      <c r="H39" s="103"/>
      <c r="I39" s="74">
        <f>100*((I36-I37)/I37)</f>
        <v>-1.240694789081886</v>
      </c>
      <c r="J39" s="74">
        <f t="shared" ref="J39:X39" si="6">100*((J36-J37)/J37)</f>
        <v>0.14053128741712861</v>
      </c>
      <c r="K39" s="74">
        <f t="shared" si="6"/>
        <v>1.4620624073455286</v>
      </c>
      <c r="L39" s="74">
        <f t="shared" si="6"/>
        <v>0.97066450532323589</v>
      </c>
      <c r="M39" s="74">
        <f t="shared" si="6"/>
        <v>0.92965786497531588</v>
      </c>
      <c r="N39" s="74">
        <f t="shared" si="6"/>
        <v>-0.66453027491989225</v>
      </c>
      <c r="O39" s="74">
        <f t="shared" si="6"/>
        <v>-1.256098431661874</v>
      </c>
      <c r="P39" s="74">
        <f t="shared" si="6"/>
        <v>-2.2025088215387294</v>
      </c>
      <c r="Q39" s="74">
        <f t="shared" si="6"/>
        <v>-2.02738703141224</v>
      </c>
      <c r="R39" s="74">
        <f t="shared" si="6"/>
        <v>-1.7587237631125348</v>
      </c>
      <c r="S39" s="74">
        <f t="shared" si="6"/>
        <v>-2.2119763059093418</v>
      </c>
      <c r="T39" s="74">
        <f t="shared" si="6"/>
        <v>-1.6098904743782592</v>
      </c>
      <c r="U39" s="74">
        <f t="shared" si="6"/>
        <v>-2.0262142624612474</v>
      </c>
      <c r="V39" s="74">
        <f t="shared" si="6"/>
        <v>-3.198056215969443</v>
      </c>
      <c r="W39" s="74">
        <f t="shared" si="6"/>
        <v>-2.9982809347267612</v>
      </c>
      <c r="X39" s="74">
        <f t="shared" si="6"/>
        <v>-3.3960319119528743</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West Devon</v>
      </c>
      <c r="G44" s="88"/>
      <c r="H44" s="89"/>
      <c r="I44" s="76">
        <f>VLOOKUP($F44,'LOW PAID'!$A$9:$N$444,6,FALSE)</f>
        <v>30.8</v>
      </c>
      <c r="J44" s="77">
        <f>VLOOKUP($F44,'LOW PAID'!$P$9:$W$444,6,FALSE)</f>
        <v>33.6</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West Devon to Rural as a Region</v>
      </c>
      <c r="G47" s="102"/>
      <c r="H47" s="103"/>
      <c r="I47" s="74">
        <f>(I44-I45)</f>
        <v>5.6061253217868838</v>
      </c>
      <c r="J47" s="74">
        <f>(J44-J45)</f>
        <v>7.9138834909699476</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West Devon</v>
      </c>
      <c r="G52" s="88"/>
      <c r="H52" s="89"/>
      <c r="I52" s="76">
        <f>VLOOKUP($F52,INACTIVITY!$A$6:$BW$345,6,FALSE)</f>
        <v>23.1</v>
      </c>
      <c r="J52" s="77">
        <f>VLOOKUP($F52,INACTIVITY!$A$6:$BW$345,10,FALSE)</f>
        <v>22.1</v>
      </c>
      <c r="K52" s="77">
        <f>VLOOKUP($F52,INACTIVITY!$A$6:$BW$345,14,FALSE)</f>
        <v>20.8</v>
      </c>
      <c r="L52" s="77">
        <f>VLOOKUP($F52,INACTIVITY!$A$6:$BW$345,18,FALSE)</f>
        <v>15.8</v>
      </c>
      <c r="M52" s="77">
        <f>VLOOKUP($F52,INACTIVITY!$A$6:$BW$345,22,FALSE)</f>
        <v>18.600000000000001</v>
      </c>
      <c r="N52" s="77">
        <f>VLOOKUP($F52,INACTIVITY!$A$6:$BW$345,26,FALSE)</f>
        <v>23.2</v>
      </c>
      <c r="O52" s="77">
        <f>VLOOKUP($F52,INACTIVITY!$A$6:$BW$345,30,FALSE)</f>
        <v>33.700000000000003</v>
      </c>
      <c r="P52" s="77">
        <f>VLOOKUP($F52,INACTIVITY!$A$6:$BW$345,34,FALSE)</f>
        <v>26.2</v>
      </c>
      <c r="Q52" s="77">
        <f>VLOOKUP($F52,INACTIVITY!$A$6:$BW$345,38,FALSE)</f>
        <v>16.399999999999999</v>
      </c>
      <c r="R52" s="77">
        <f>VLOOKUP($F52,INACTIVITY!$A$6:$BW$345,42,FALSE)</f>
        <v>14.6</v>
      </c>
      <c r="S52" s="77">
        <f>VLOOKUP($F52,INACTIVITY!$A$6:$BW$345,46,FALSE)</f>
        <v>25.6</v>
      </c>
      <c r="T52" s="77">
        <f>VLOOKUP($F52,INACTIVITY!$A$6:$BW$345,50,FALSE)</f>
        <v>15.5</v>
      </c>
      <c r="U52" s="77">
        <f>VLOOKUP($F52,INACTIVITY!$A$6:$BW$345,54,FALSE)</f>
        <v>20</v>
      </c>
      <c r="V52" s="77">
        <f>VLOOKUP($F52,INACTIVITY!$A$6:$BW$345,58,FALSE)</f>
        <v>23.4</v>
      </c>
      <c r="W52" s="77">
        <f>VLOOKUP($F52,INACTIVITY!$A$6:$BW$345,62,FALSE)</f>
        <v>24.6</v>
      </c>
      <c r="X52" s="77">
        <f>VLOOKUP($F52,INACTIVITY!$A$6:$BW$345,66,FALSE)</f>
        <v>16.8</v>
      </c>
      <c r="Y52" s="77">
        <f>VLOOKUP($F52,INACTIVITY!$A$6:$BW$345,70,FALSE)</f>
        <v>23.4</v>
      </c>
      <c r="Z52" s="77">
        <f>VLOOKUP($F52,INACTIVITY!$A$6:$BW$345,74,FALSE)</f>
        <v>29.5</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West Devon to Rural as a Region</v>
      </c>
      <c r="G55" s="102"/>
      <c r="H55" s="103"/>
      <c r="I55" s="74">
        <f>(I52-I53)</f>
        <v>1.7043554283897642</v>
      </c>
      <c r="J55" s="74">
        <f t="shared" ref="J55:Z55" si="10">(J52-J53)</f>
        <v>1.0914772727272748</v>
      </c>
      <c r="K55" s="74">
        <f t="shared" si="10"/>
        <v>-6.2465393458776219E-2</v>
      </c>
      <c r="L55" s="74">
        <f t="shared" si="10"/>
        <v>-5.5140653315366386</v>
      </c>
      <c r="M55" s="74">
        <f t="shared" si="10"/>
        <v>-2.2350023108920034</v>
      </c>
      <c r="N55" s="74">
        <f t="shared" si="10"/>
        <v>2.2668562420795588</v>
      </c>
      <c r="O55" s="74">
        <f t="shared" si="10"/>
        <v>12.008062872494829</v>
      </c>
      <c r="P55" s="74">
        <f t="shared" si="10"/>
        <v>4.7057542192465505</v>
      </c>
      <c r="Q55" s="74">
        <f t="shared" si="10"/>
        <v>-4.7825487944890952</v>
      </c>
      <c r="R55" s="74">
        <f t="shared" si="10"/>
        <v>-6.1745930974387715</v>
      </c>
      <c r="S55" s="74">
        <f t="shared" si="10"/>
        <v>5.3267895440276014</v>
      </c>
      <c r="T55" s="74">
        <f t="shared" si="10"/>
        <v>-4.1961946834069579</v>
      </c>
      <c r="U55" s="74">
        <f t="shared" si="10"/>
        <v>0.14757065293052918</v>
      </c>
      <c r="V55" s="74">
        <f t="shared" si="10"/>
        <v>4.1467226657196221</v>
      </c>
      <c r="W55" s="74">
        <f t="shared" si="10"/>
        <v>5.4230439908171526</v>
      </c>
      <c r="X55" s="74">
        <f t="shared" si="10"/>
        <v>-2.0520649493649294</v>
      </c>
      <c r="Y55" s="74">
        <f t="shared" si="10"/>
        <v>3.6274172781285365</v>
      </c>
      <c r="Z55" s="74">
        <f t="shared" si="10"/>
        <v>8.4148202243699295</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West Devon</v>
      </c>
      <c r="G60" s="88"/>
      <c r="H60" s="89"/>
      <c r="I60" s="76">
        <f>VLOOKUP($F60,DISABILITY!$A$718:$I$1052,DISABILITY!B$1053,FALSE)</f>
        <v>36.300000000000004</v>
      </c>
      <c r="J60" s="77">
        <f>VLOOKUP($F60,DISABILITY!$A$718:$I$1052,DISABILITY!C$1053,FALSE)</f>
        <v>11.599999999999994</v>
      </c>
      <c r="K60" s="77">
        <f>VLOOKUP($F60,DISABILITY!$A$718:$I$1052,DISABILITY!D$1053,FALSE)</f>
        <v>28.699999999999996</v>
      </c>
      <c r="L60" s="77">
        <f>VLOOKUP($F60,DISABILITY!$A$718:$I$1052,DISABILITY!E$1053,FALSE)</f>
        <v>31.200000000000003</v>
      </c>
      <c r="M60" s="77">
        <f>VLOOKUP($F60,DISABILITY!$A$718:$I$1052,DISABILITY!F$1053,FALSE)</f>
        <v>46.699999999999996</v>
      </c>
      <c r="N60" s="77">
        <f>VLOOKUP($F60,DISABILITY!$A$718:$I$1052,DISABILITY!G$1053,FALSE)</f>
        <v>19.099999999999994</v>
      </c>
      <c r="O60" s="77">
        <f>VLOOKUP($F60,DISABILITY!$A$718:$I$1052,DISABILITY!H$1053,FALSE)</f>
        <v>34.200000000000003</v>
      </c>
      <c r="P60" s="77">
        <f>VLOOKUP($F60,DISABILITY!$A$718:$I$1052,DISABILITY!I$1053,FALSE)</f>
        <v>15.399999999999999</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West Devon to Rural as a Region</v>
      </c>
      <c r="G63" s="102"/>
      <c r="H63" s="103"/>
      <c r="I63" s="74">
        <f>(I60-I61)</f>
        <v>8.879843459352756</v>
      </c>
      <c r="J63" s="74">
        <f t="shared" ref="J63:P63" si="12">(J60-J61)</f>
        <v>-15.719044407051193</v>
      </c>
      <c r="K63" s="74">
        <f t="shared" si="12"/>
        <v>0.58087163850179024</v>
      </c>
      <c r="L63" s="74">
        <f t="shared" si="12"/>
        <v>5.2090654610033269</v>
      </c>
      <c r="M63" s="74">
        <f t="shared" si="12"/>
        <v>21.224774181333878</v>
      </c>
      <c r="N63" s="74">
        <f t="shared" si="12"/>
        <v>-6.4312476854419884</v>
      </c>
      <c r="O63" s="74">
        <f t="shared" si="12"/>
        <v>10.402777712003058</v>
      </c>
      <c r="P63" s="74">
        <f t="shared" si="12"/>
        <v>-9.9541779303421762</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West Devon</v>
      </c>
      <c r="G68" s="88"/>
      <c r="H68" s="89"/>
      <c r="I68" s="76" t="str">
        <f>VLOOKUP($F68,'WORKLESS HOUSEHOLDS'!$DW$4:$EC$397,7,FALSE)</f>
        <v>*</v>
      </c>
      <c r="J68" s="77">
        <f>VLOOKUP($F68,'WORKLESS HOUSEHOLDS'!$DN$4:$DT$397,7,FALSE)</f>
        <v>11.386512495690916</v>
      </c>
      <c r="K68" s="77">
        <f>VLOOKUP($F68,'WORKLESS HOUSEHOLDS'!$DE$4:$DK$397,7,FALSE)</f>
        <v>6.8171103573921847</v>
      </c>
      <c r="L68" s="77">
        <f>VLOOKUP($F68,'WORKLESS HOUSEHOLDS'!$CV$4:$DB$397,7,FALSE)</f>
        <v>6.0888123716061351</v>
      </c>
      <c r="M68" s="77">
        <f>VLOOKUP($F68,'WORKLESS HOUSEHOLDS'!$CM$4:$CS$397,7,FALSE)</f>
        <v>7.9400041418771909</v>
      </c>
      <c r="N68" s="77" t="str">
        <f>VLOOKUP($F68,'WORKLESS HOUSEHOLDS'!$CD$4:$CJ$397,7,FALSE)</f>
        <v>*</v>
      </c>
      <c r="O68" s="77">
        <f>VLOOKUP($F68,'WORKLESS HOUSEHOLDS'!$BU$4:$CA$397,7,FALSE)</f>
        <v>8.6478380404898783</v>
      </c>
      <c r="P68" s="77" t="str">
        <f>VLOOKUP($F68,'WORKLESS HOUSEHOLDS'!$BL$4:$BR$397,7,FALSE)</f>
        <v>#</v>
      </c>
      <c r="Q68" s="77" t="str">
        <f>VLOOKUP($F68,'WORKLESS HOUSEHOLDS'!$BC$4:$BI$397,7,FALSE)</f>
        <v>#</v>
      </c>
      <c r="R68" s="77">
        <f>VLOOKUP($F68,'WORKLESS HOUSEHOLDS'!$AT$4:$AZ$397,7,FALSE)</f>
        <v>17.371794871794872</v>
      </c>
      <c r="S68" s="77" t="str">
        <f>VLOOKUP($F68,'WORKLESS HOUSEHOLDS'!$AK$4:$AQ$397,7,FALSE)</f>
        <v>#</v>
      </c>
      <c r="T68" s="77">
        <f>VLOOKUP($F68,'WORKLESS HOUSEHOLDS'!$AB$4:$AH$397,7,FALSE)</f>
        <v>16.695041498191106</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West Devon to Rural as a Region</v>
      </c>
      <c r="G71" s="102"/>
      <c r="H71" s="103"/>
      <c r="I71" s="74" t="e">
        <f>(I68-I69)</f>
        <v>#VALUE!</v>
      </c>
      <c r="J71" s="74">
        <f t="shared" ref="J71:W71" si="14">(J68-J69)</f>
        <v>0.47535765821589138</v>
      </c>
      <c r="K71" s="74">
        <f t="shared" si="14"/>
        <v>-3.4761353717636592</v>
      </c>
      <c r="L71" s="74">
        <f t="shared" si="14"/>
        <v>-4.8771942897235974</v>
      </c>
      <c r="M71" s="74">
        <f t="shared" si="14"/>
        <v>-3.7537750393112823</v>
      </c>
      <c r="N71" s="74" t="e">
        <f t="shared" si="14"/>
        <v>#VALUE!</v>
      </c>
      <c r="O71" s="74">
        <f t="shared" si="14"/>
        <v>-2.3874152072526336</v>
      </c>
      <c r="P71" s="74" t="e">
        <f t="shared" si="14"/>
        <v>#VALUE!</v>
      </c>
      <c r="Q71" s="74" t="e">
        <f t="shared" si="14"/>
        <v>#VALUE!</v>
      </c>
      <c r="R71" s="74">
        <f t="shared" si="14"/>
        <v>6.6656985480653184</v>
      </c>
      <c r="S71" s="74" t="e">
        <f t="shared" si="14"/>
        <v>#VALUE!</v>
      </c>
      <c r="T71" s="74">
        <f t="shared" si="14"/>
        <v>6.7913733035583554</v>
      </c>
      <c r="U71" s="74" t="e">
        <f t="shared" si="14"/>
        <v>#VALUE!</v>
      </c>
      <c r="V71" s="74" t="e">
        <f t="shared" si="14"/>
        <v>#VALUE!</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West Devon</v>
      </c>
      <c r="G76" s="88"/>
      <c r="H76" s="89"/>
      <c r="I76" s="76">
        <f>VLOOKUP($F76,'SKILLED EMPLOYMENT'!$A$1506:$BW$1841,6,FALSE)</f>
        <v>54.5</v>
      </c>
      <c r="J76" s="77">
        <f>VLOOKUP($F76,'SKILLED EMPLOYMENT'!$A$1506:$BW$1841,10,FALSE)</f>
        <v>53</v>
      </c>
      <c r="K76" s="77">
        <f>VLOOKUP($F76,'SKILLED EMPLOYMENT'!$A$1506:$BW$1841,14,FALSE)</f>
        <v>54</v>
      </c>
      <c r="L76" s="77">
        <f>VLOOKUP($F76,'SKILLED EMPLOYMENT'!$A$1506:$BW$1841,18,FALSE)</f>
        <v>52.100000000000009</v>
      </c>
      <c r="M76" s="77">
        <f>VLOOKUP($F76,'SKILLED EMPLOYMENT'!$A$1506:$BW$1841,22,FALSE)</f>
        <v>54.7</v>
      </c>
      <c r="N76" s="77">
        <f>VLOOKUP($F76,'SKILLED EMPLOYMENT'!$A$1506:$BW$1841,26,FALSE)</f>
        <v>49.9</v>
      </c>
      <c r="O76" s="77">
        <f>VLOOKUP($F76,'SKILLED EMPLOYMENT'!$A$1506:$BW$1841,30,FALSE)</f>
        <v>49.1</v>
      </c>
      <c r="P76" s="77">
        <f>VLOOKUP($F76,'SKILLED EMPLOYMENT'!$A$1506:$BW$1841,34,FALSE)</f>
        <v>56.599999999999994</v>
      </c>
      <c r="Q76" s="77">
        <f>VLOOKUP($F76,'SKILLED EMPLOYMENT'!$A$1506:$BW$1841,38,FALSE)</f>
        <v>55.3</v>
      </c>
      <c r="R76" s="77">
        <f>VLOOKUP($F76,'SKILLED EMPLOYMENT'!$A$1506:$BW$1841,42,FALSE)</f>
        <v>60.2</v>
      </c>
      <c r="S76" s="77">
        <f>VLOOKUP($F76,'SKILLED EMPLOYMENT'!$A$1506:$BW$1841,46,FALSE)</f>
        <v>65.2</v>
      </c>
      <c r="T76" s="77">
        <f>VLOOKUP($F76,'SKILLED EMPLOYMENT'!$A$1506:$BW$1841,50,FALSE)</f>
        <v>61.5</v>
      </c>
      <c r="U76" s="77">
        <f>VLOOKUP($F76,'SKILLED EMPLOYMENT'!$A$1506:$BW$1841,54,FALSE)</f>
        <v>56.5</v>
      </c>
      <c r="V76" s="77">
        <f>VLOOKUP($F76,'SKILLED EMPLOYMENT'!$A$1506:$BW$1841,58,FALSE)</f>
        <v>53.800000000000004</v>
      </c>
      <c r="W76" s="77">
        <f>VLOOKUP($F76,'SKILLED EMPLOYMENT'!$A$1506:$BW$1841,62,FALSE)</f>
        <v>57.4</v>
      </c>
      <c r="X76" s="77">
        <f>VLOOKUP($F76,'SKILLED EMPLOYMENT'!$A$1506:$BW$1841,66,FALSE)</f>
        <v>57.4</v>
      </c>
      <c r="Y76" s="77">
        <f>VLOOKUP($F76,'SKILLED EMPLOYMENT'!$A$1506:$BW$1841,70,FALSE)</f>
        <v>48.699999999999996</v>
      </c>
      <c r="Z76" s="77">
        <f>VLOOKUP($F76,'SKILLED EMPLOYMENT'!$A$1506:$BW$1841,74,FALSE)</f>
        <v>67.400000000000006</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West Devon to Rural as a Region</v>
      </c>
      <c r="G79" s="102"/>
      <c r="H79" s="103"/>
      <c r="I79" s="74">
        <f>(I76-I77)</f>
        <v>1.7999999999999972</v>
      </c>
      <c r="J79" s="74">
        <f t="shared" ref="J79:Z79" si="17">(J76-J77)</f>
        <v>0.10000000000000142</v>
      </c>
      <c r="K79" s="74">
        <f t="shared" si="17"/>
        <v>0.5</v>
      </c>
      <c r="L79" s="74">
        <f t="shared" si="17"/>
        <v>-1.8999999999999915</v>
      </c>
      <c r="M79" s="74">
        <f t="shared" si="17"/>
        <v>0.60000000000000142</v>
      </c>
      <c r="N79" s="74">
        <f t="shared" si="17"/>
        <v>-4.5</v>
      </c>
      <c r="O79" s="74">
        <f t="shared" si="17"/>
        <v>-6.2999999999999972</v>
      </c>
      <c r="P79" s="74">
        <f t="shared" si="17"/>
        <v>0.99999999999999289</v>
      </c>
      <c r="Q79" s="74">
        <f t="shared" si="17"/>
        <v>-0.10000000000000142</v>
      </c>
      <c r="R79" s="74">
        <f t="shared" si="17"/>
        <v>4</v>
      </c>
      <c r="S79" s="74">
        <f t="shared" si="17"/>
        <v>9</v>
      </c>
      <c r="T79" s="74">
        <f t="shared" si="17"/>
        <v>4.7000000000000028</v>
      </c>
      <c r="U79" s="74">
        <f t="shared" si="17"/>
        <v>-0.10000000000000142</v>
      </c>
      <c r="V79" s="74">
        <f t="shared" si="17"/>
        <v>-3.2999999999999972</v>
      </c>
      <c r="W79" s="74">
        <f t="shared" si="17"/>
        <v>-0.39999999999999858</v>
      </c>
      <c r="X79" s="74">
        <f t="shared" si="17"/>
        <v>-1.3999999999999986</v>
      </c>
      <c r="Y79" s="74">
        <f t="shared" si="17"/>
        <v>-10.000000000000007</v>
      </c>
      <c r="Z79" s="74">
        <f t="shared" si="17"/>
        <v>9.0000000000000071</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s6cUWUVH0dO9lcd8tkQh2cY3Vi5gnDVwEqWSE9LD9DScJCxw31iqwHRI90gqlbHwZGG9s4kQL7Z9v8jm0x2QZw==" saltValue="G6eEuMPOWy0yNFwiSBBsyw=="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2022-08-02T13:27:48Z</dcterms:modified>
</cp:coreProperties>
</file>