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F64E4450-0BBF-49A6-A4F0-E6F34467C343}" xr6:coauthVersionLast="47" xr6:coauthVersionMax="47" xr10:uidLastSave="{3E50BD16-B584-413E-BBF3-D4A211E065A6}"/>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<sst xmlns="http://schemas.openxmlformats.org/spreadsheetml/2006/main" count="32859" uniqueCount="1676">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</sst>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West Northamptonshire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22.09</c:v>
                </c:pt>
                <c:pt idx="1">
                  <c:v>22.03</c:v>
                </c:pt>
                <c:pt idx="2">
                  <c:v>23.49</c:v>
                </c:pt>
                <c:pt idx="3">
                  <c:v>24.37</c:v>
                </c:pt>
                <c:pt idx="4">
                  <c:v>24.93</c:v>
                </c:pt>
                <c:pt idx="5">
                  <c:v>25.3</c:v>
                </c:pt>
                <c:pt idx="6">
                  <c:v>25.53</c:v>
                </c:pt>
                <c:pt idx="7">
                  <c:v>26.21</c:v>
                </c:pt>
                <c:pt idx="8">
                  <c:v>26.81</c:v>
                </c:pt>
                <c:pt idx="9">
                  <c:v>27.81</c:v>
                </c:pt>
                <c:pt idx="10">
                  <c:v>28.43</c:v>
                </c:pt>
                <c:pt idx="11">
                  <c:v>28.98</c:v>
                </c:pt>
                <c:pt idx="12">
                  <c:v>29.46</c:v>
                </c:pt>
                <c:pt idx="13">
                  <c:v>30.14</c:v>
                </c:pt>
                <c:pt idx="14">
                  <c:v>30.98</c:v>
                </c:pt>
                <c:pt idx="15">
                  <c:v>31.46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West Northamptonshire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#N/A</c:v>
                </c:pt>
                <c:pt idx="1">
                  <c:v>#N/A</c:v>
                </c:pt>
                <c:pt idx="2">
                  <c:v>#N/A</c:v>
                </c:pt>
                <c:pt idx="3">
                  <c:v>#N/A</c:v>
                </c:pt>
                <c:pt idx="4">
                  <c:v>#N/A</c:v>
                </c:pt>
                <c:pt idx="5">
                  <c:v>#N/A</c:v>
                </c:pt>
                <c:pt idx="6">
                  <c:v>#N/A</c:v>
                </c:pt>
                <c:pt idx="7">
                  <c:v>#N/A</c:v>
                </c:pt>
                <c:pt idx="8">
                  <c:v>#N/A</c:v>
                </c:pt>
                <c:pt idx="9">
                  <c:v>#N/A</c:v>
                </c:pt>
                <c:pt idx="10">
                  <c:v>#N/A</c:v>
                </c:pt>
                <c:pt idx="11">
                  <c:v>#N/A</c:v>
                </c:pt>
                <c:pt idx="12">
                  <c:v>555.5</c:v>
                </c:pt>
                <c:pt idx="13">
                  <c:v>573.6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West Northamptonshire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c:v>
                </c:pt>
                <c:pt idx="1">
                  <c:v>77.599999999999994</c:v>
                </c:pt>
                <c:pt idx="2">
                  <c:v>79.400000000000006</c:v>
                </c:pt>
                <c:pt idx="3">
                  <c:v>78.900000000000006</c:v>
                </c:pt>
                <c:pt idx="4">
                  <c:v>78.7</c:v>
                </c:pt>
                <c:pt idx="5">
                  <c:v>75.400000000000006</c:v>
                </c:pt>
                <c:pt idx="6">
                  <c:v>74.7</c:v>
                </c:pt>
                <c:pt idx="7">
                  <c:v>73.599999999999994</c:v>
                </c:pt>
                <c:pt idx="8">
                  <c:v>75.599999999999994</c:v>
                </c:pt>
                <c:pt idx="9">
                  <c:v>77.3</c:v>
                </c:pt>
                <c:pt idx="10">
                  <c:v>78.3</c:v>
                </c:pt>
                <c:pt idx="11">
                  <c:v>79.8</c:v>
                </c:pt>
                <c:pt idx="12">
                  <c:v>80.599999999999994</c:v>
                </c:pt>
                <c:pt idx="13">
                  <c:v>75.7</c:v>
                </c:pt>
                <c:pt idx="14">
                  <c:v>79.3</c:v>
                </c:pt>
                <c:pt idx="15">
                  <c:v>80.8</c:v>
                </c:pt>
                <c:pt idx="16">
                  <c:v>77.599999999999994</c:v>
                </c:pt>
                <c:pt idx="17">
                  <c:v>75.7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West Northamptonshire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13650</c:v>
                </c:pt>
                <c:pt idx="1">
                  <c:v>14247</c:v>
                </c:pt>
                <c:pt idx="2">
                  <c:v>14853</c:v>
                </c:pt>
                <c:pt idx="3">
                  <c:v>16022</c:v>
                </c:pt>
                <c:pt idx="4">
                  <c:v>16067</c:v>
                </c:pt>
                <c:pt idx="5">
                  <c:v>15938</c:v>
                </c:pt>
                <c:pt idx="6">
                  <c:v>16072</c:v>
                </c:pt>
                <c:pt idx="7">
                  <c:v>17103</c:v>
                </c:pt>
                <c:pt idx="8">
                  <c:v>17832</c:v>
                </c:pt>
                <c:pt idx="9">
                  <c:v>18287</c:v>
                </c:pt>
                <c:pt idx="10">
                  <c:v>18874</c:v>
                </c:pt>
                <c:pt idx="11">
                  <c:v>20011</c:v>
                </c:pt>
                <c:pt idx="12">
                  <c:v>20146</c:v>
                </c:pt>
                <c:pt idx="13">
                  <c:v>20683</c:v>
                </c:pt>
                <c:pt idx="14">
                  <c:v>21748</c:v>
                </c:pt>
                <c:pt idx="15">
                  <c:v>22227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West Northamptonshire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#N/A</c:v>
                </c:pt>
                <c:pt idx="1">
                  <c:v>#N/A</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West Northamptonshire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18.600000000000001</c:v>
                </c:pt>
                <c:pt idx="1">
                  <c:v>19.100000000000001</c:v>
                </c:pt>
                <c:pt idx="2">
                  <c:v>17.7</c:v>
                </c:pt>
                <c:pt idx="3">
                  <c:v>18.8</c:v>
                </c:pt>
                <c:pt idx="4">
                  <c:v>17.600000000000001</c:v>
                </c:pt>
                <c:pt idx="5">
                  <c:v>18.600000000000001</c:v>
                </c:pt>
                <c:pt idx="6">
                  <c:v>20.5</c:v>
                </c:pt>
                <c:pt idx="7">
                  <c:v>20.5</c:v>
                </c:pt>
                <c:pt idx="8">
                  <c:v>20.6</c:v>
                </c:pt>
                <c:pt idx="9">
                  <c:v>17.600000000000001</c:v>
                </c:pt>
                <c:pt idx="10">
                  <c:v>18.2</c:v>
                </c:pt>
                <c:pt idx="11">
                  <c:v>19</c:v>
                </c:pt>
                <c:pt idx="12">
                  <c:v>16.8</c:v>
                </c:pt>
                <c:pt idx="13">
                  <c:v>19.100000000000001</c:v>
                </c:pt>
                <c:pt idx="14">
                  <c:v>17.100000000000001</c:v>
                </c:pt>
                <c:pt idx="15">
                  <c:v>16.2</c:v>
                </c:pt>
                <c:pt idx="16">
                  <c:v>17.2</c:v>
                </c:pt>
                <c:pt idx="17">
                  <c:v>20.3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West Northamptonshire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34.200000000000003</c:v>
                </c:pt>
                <c:pt idx="1">
                  <c:v>22.100000000000009</c:v>
                </c:pt>
                <c:pt idx="2">
                  <c:v>18.099999999999994</c:v>
                </c:pt>
                <c:pt idx="3">
                  <c:v>19.900000000000006</c:v>
                </c:pt>
                <c:pt idx="4">
                  <c:v>17.5</c:v>
                </c:pt>
                <c:pt idx="5">
                  <c:v>22.299999999999997</c:v>
                </c:pt>
                <c:pt idx="6">
                  <c:v>28.800000000000004</c:v>
                </c:pt>
                <c:pt idx="7">
                  <c:v>22.199999999999996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West Northamptonshire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5.9677205979626935</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West Northamptonshire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49.3</c:v>
                </c:pt>
                <c:pt idx="1">
                  <c:v>52.900000000000006</c:v>
                </c:pt>
                <c:pt idx="2">
                  <c:v>53.3</c:v>
                </c:pt>
                <c:pt idx="3">
                  <c:v>52.1</c:v>
                </c:pt>
                <c:pt idx="4">
                  <c:v>52.1</c:v>
                </c:pt>
                <c:pt idx="5">
                  <c:v>56.4</c:v>
                </c:pt>
                <c:pt idx="6">
                  <c:v>54</c:v>
                </c:pt>
                <c:pt idx="7">
                  <c:v>53.900000000000006</c:v>
                </c:pt>
                <c:pt idx="8">
                  <c:v>49.3</c:v>
                </c:pt>
                <c:pt idx="9">
                  <c:v>52.4</c:v>
                </c:pt>
                <c:pt idx="10">
                  <c:v>57.1</c:v>
                </c:pt>
                <c:pt idx="11">
                  <c:v>53.300000000000004</c:v>
                </c:pt>
                <c:pt idx="12">
                  <c:v>53.9</c:v>
                </c:pt>
                <c:pt idx="13">
                  <c:v>59.400000000000006</c:v>
                </c:pt>
                <c:pt idx="14">
                  <c:v>56</c:v>
                </c:pt>
                <c:pt idx="15">
                  <c:v>53.3</c:v>
                </c:pt>
                <c:pt idx="16">
                  <c:v>53.7</c:v>
                </c:pt>
                <c:pt idx="17">
                  <c:v>53.900000000000006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West Northamptonshire follows a similar pattern to both rural and England, but at a higher level.</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has increased over the years within the West Northamptonshire area, bringing it in line with the rural and England situation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No data available for West Northamptonshire.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West Northamptonshire's economic inactivity rate has fluctuated over the years but has remained consistently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West Northamptonshire shows no real pattern of change with a peak of 34.2% in 2014 and a low of 17.5% in 2018.</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No data available for West Northamptonshire until 2020, showing a lower proportion than the England and rural situation at that time.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76200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982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West Northamptonshire does not show any consistent increase from 2004 to 2021, albeit with higher proportions in some individual years, thus taking its position further away from the England and rural situation in 2021.</a:t>
          </a:r>
          <a:endParaRPr lang="en-GB" sz="1100">
            <a:latin typeface="Avenir Next LT Pro" panose="020B0504020202020204" pitchFamily="34" charset="0"/>
          </a:endParaRPr>
        </a:p>
      </xdr:txBody>
    </xdr:sp>
    <xdr:clientData/>
  </xdr:twoCellAnchor>
  <xdr:twoCellAnchor>
    <xdr:from>
      <xdr:col>0</xdr:col>
      <xdr:colOff>594360</xdr:colOff>
      <xdr:row>20</xdr:row>
      <xdr:rowOff>601980</xdr:rowOff>
    </xdr:from>
    <xdr:to>
      <xdr:col>1</xdr:col>
      <xdr:colOff>2575560</xdr:colOff>
      <xdr:row>22</xdr:row>
      <xdr:rowOff>129540</xdr:rowOff>
    </xdr:to>
    <xdr:sp macro="" textlink="">
      <xdr:nvSpPr>
        <xdr:cNvPr id="20" name="TextBox 19">
          <a:extLst>
            <a:ext uri="{FF2B5EF4-FFF2-40B4-BE49-F238E27FC236}">
              <a16:creationId xmlns:a16="http://schemas.microsoft.com/office/drawing/2014/main" id="{208F94D1-987B-43F4-8F24-E185146F9326}"/>
            </a:ext>
          </a:extLst>
        </xdr:cNvPr>
        <xdr:cNvSpPr txBox="1"/>
      </xdr:nvSpPr>
      <xdr:spPr>
        <a:xfrm>
          <a:off x="59436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West Northamptonshire, where data is available, has increased form 2020 to 2021,and is marginally greater than the rural average situation.</a:t>
          </a:r>
          <a:endParaRPr lang="en-GB" sz="1100">
            <a:latin typeface="Avenir Next LT Pro" panose="020B0504020202020204" pitchFamily="34" charset="0"/>
          </a:endParaRPr>
        </a:p>
      </xdr:txBody>
    </xdr:sp>
    <xdr:clientData/>
  </xdr:twoCellAnchor>
  <xdr:twoCellAnchor>
    <xdr:from>
      <xdr:col>0</xdr:col>
      <xdr:colOff>632460</xdr:colOff>
      <xdr:row>12</xdr:row>
      <xdr:rowOff>525780</xdr:rowOff>
    </xdr:from>
    <xdr:to>
      <xdr:col>1</xdr:col>
      <xdr:colOff>2613660</xdr:colOff>
      <xdr:row>14</xdr:row>
      <xdr:rowOff>30480</xdr:rowOff>
    </xdr:to>
    <xdr:sp macro="" textlink="">
      <xdr:nvSpPr>
        <xdr:cNvPr id="21" name="TextBox 20">
          <a:extLst>
            <a:ext uri="{FF2B5EF4-FFF2-40B4-BE49-F238E27FC236}">
              <a16:creationId xmlns:a16="http://schemas.microsoft.com/office/drawing/2014/main" id="{E3C2DF84-3474-4FC1-888D-50E692921DDA}"/>
            </a:ext>
          </a:extLst>
        </xdr:cNvPr>
        <xdr:cNvSpPr txBox="1"/>
      </xdr:nvSpPr>
      <xdr:spPr>
        <a:xfrm>
          <a:off x="63246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West Northamptonshire roughly follows a similar path to the rural situation, but a greater rate of increase takes it from being lower in 2004 to higher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123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West Northamptonshire</v>
      </c>
      <c r="G12" s="88" t="str">
        <f>IFERROR(VLOOKUP(F12,GVA!B244:B552,1,FALSE),VLOOKUP(F12,GVA!B6:C230,2,FALSE))</f>
        <v>West Northamptonshire</v>
      </c>
      <c r="H12" s="89" t="str">
        <f>IF(F12=G12,"",G12)</f>
        <v/>
      </c>
      <c r="I12" s="76">
        <f>IFERROR(VLOOKUP($F12,GVA!$B$7:$S$230,GVA!D$3,FALSE),VLOOKUP($F12,GVA!$B$244:$T$554,GVA!E$3,FALSE))</f>
        <v>22.09</v>
      </c>
      <c r="J12" s="77">
        <f>IFERROR(VLOOKUP($F12,GVA!$B$7:$S$230,GVA!E$3,FALSE),VLOOKUP($F12,GVA!$B$244:$T$554,GVA!F$3,FALSE))</f>
        <v>22.03</v>
      </c>
      <c r="K12" s="77">
        <f>IFERROR(VLOOKUP($F12,GVA!$B$7:$S$230,GVA!F$3,FALSE),VLOOKUP($F12,GVA!$B$244:$T$554,GVA!G$3,FALSE))</f>
        <v>23.49</v>
      </c>
      <c r="L12" s="77">
        <f>IFERROR(VLOOKUP($F12,GVA!$B$7:$S$230,GVA!G$3,FALSE),VLOOKUP($F12,GVA!$B$244:$T$554,GVA!H$3,FALSE))</f>
        <v>24.37</v>
      </c>
      <c r="M12" s="77">
        <f>IFERROR(VLOOKUP($F12,GVA!$B$7:$S$230,GVA!H$3,FALSE),VLOOKUP($F12,GVA!$B$244:$T$554,GVA!I$3,FALSE))</f>
        <v>24.93</v>
      </c>
      <c r="N12" s="77">
        <f>IFERROR(VLOOKUP($F12,GVA!$B$7:$S$230,GVA!I$3,FALSE),VLOOKUP($F12,GVA!$B$244:$T$554,GVA!J$3,FALSE))</f>
        <v>25.3</v>
      </c>
      <c r="O12" s="77">
        <f>IFERROR(VLOOKUP($F12,GVA!$B$7:$S$230,GVA!J$3,FALSE),VLOOKUP($F12,GVA!$B$244:$T$554,GVA!K$3,FALSE))</f>
        <v>25.53</v>
      </c>
      <c r="P12" s="77">
        <f>IFERROR(VLOOKUP($F12,GVA!$B$7:$S$230,GVA!K$3,FALSE),VLOOKUP($F12,GVA!$B$244:$T$554,GVA!L$3,FALSE))</f>
        <v>26.21</v>
      </c>
      <c r="Q12" s="77">
        <f>IFERROR(VLOOKUP($F12,GVA!$B$7:$S$230,GVA!L$3,FALSE),VLOOKUP($F12,GVA!$B$244:$T$554,GVA!M$3,FALSE))</f>
        <v>26.81</v>
      </c>
      <c r="R12" s="77">
        <f>IFERROR(VLOOKUP($F12,GVA!$B$7:$S$230,GVA!M$3,FALSE),VLOOKUP($F12,GVA!$B$244:$T$554,GVA!N$3,FALSE))</f>
        <v>27.81</v>
      </c>
      <c r="S12" s="77">
        <f>IFERROR(VLOOKUP($F12,GVA!$B$7:$S$230,GVA!N$3,FALSE),VLOOKUP($F12,GVA!$B$244:$T$554,GVA!O$3,FALSE))</f>
        <v>28.43</v>
      </c>
      <c r="T12" s="77">
        <f>IFERROR(VLOOKUP($F12,GVA!$B$7:$S$230,GVA!O$3,FALSE),VLOOKUP($F12,GVA!$B$244:$T$554,GVA!P$3,FALSE))</f>
        <v>28.98</v>
      </c>
      <c r="U12" s="77">
        <f>IFERROR(VLOOKUP($F12,GVA!$B$7:$S$230,GVA!P$3,FALSE),VLOOKUP($F12,GVA!$B$244:$T$554,GVA!Q$3,FALSE))</f>
        <v>29.46</v>
      </c>
      <c r="V12" s="77">
        <f>IFERROR(VLOOKUP($F12,GVA!$B$7:$S$230,GVA!Q$3,FALSE),VLOOKUP($F12,GVA!$B$244:$T$554,GVA!R$3,FALSE))</f>
        <v>30.14</v>
      </c>
      <c r="W12" s="77">
        <f>IFERROR(VLOOKUP($F12,GVA!$B$7:$S$230,GVA!R$3,FALSE),VLOOKUP($F12,GVA!$B$244:$T$554,GVA!S$3,FALSE))</f>
        <v>30.98</v>
      </c>
      <c r="X12" s="77">
        <f>IFERROR(VLOOKUP($F12,GVA!$B$7:$S$230,GVA!S$3,FALSE),VLOOKUP($F12,GVA!$B$244:$T$554,GVA!T$3,FALSE))</f>
        <v>31.46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West Northamptonshire to Rural as a Region</v>
      </c>
      <c r="G15" s="102"/>
      <c r="H15" s="103"/>
      <c r="I15" s="74">
        <f>100*((I12-I13)/I13)</f>
        <v>-6.160202693476645</v>
      </c>
      <c r="J15" s="74">
        <f t="shared" ref="J15:X15" si="0">100*((J12-J13)/J13)</f>
        <v>-6.1545327301864194</v>
      </c>
      <c r="K15" s="74">
        <f t="shared" si="0"/>
        <v>-3.348958869083543</v>
      </c>
      <c r="L15" s="74">
        <f t="shared" si="0"/>
        <v>-1.8864669005579064</v>
      </c>
      <c r="M15" s="74">
        <f t="shared" si="0"/>
        <v>-1.3245501194498088</v>
      </c>
      <c r="N15" s="74">
        <f t="shared" si="0"/>
        <v>-0.67812927920138799</v>
      </c>
      <c r="O15" s="74">
        <f t="shared" si="0"/>
        <v>-1.0085996390274643</v>
      </c>
      <c r="P15" s="74">
        <f t="shared" si="0"/>
        <v>0.13508166300538105</v>
      </c>
      <c r="Q15" s="74">
        <f t="shared" si="0"/>
        <v>0.37170744751970491</v>
      </c>
      <c r="R15" s="74">
        <f t="shared" si="0"/>
        <v>2.3407415195762273</v>
      </c>
      <c r="S15" s="74">
        <f t="shared" si="0"/>
        <v>2.9153576646110126</v>
      </c>
      <c r="T15" s="74">
        <f t="shared" si="0"/>
        <v>2.9554566831892712</v>
      </c>
      <c r="U15" s="74">
        <f t="shared" si="0"/>
        <v>2.1603345566835226</v>
      </c>
      <c r="V15" s="74">
        <f t="shared" si="0"/>
        <v>1.7527078351385699</v>
      </c>
      <c r="W15" s="74">
        <f t="shared" si="0"/>
        <v>2.4660490059811151</v>
      </c>
      <c r="X15" s="74">
        <f t="shared" si="0"/>
        <v>2.9743094170228708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West Northamptonshire</v>
      </c>
      <c r="G20" s="88"/>
      <c r="H20" s="89"/>
      <c r="I20" s="80" t="e">
        <f>IF(VLOOKUP($F20,PAY!$A$11:$AE$349,4,FALSE)="-",#N/A,VLOOKUP($F20,PAY!$A$11:$AE$349,4,FALSE))</f>
        <v>#N/A</v>
      </c>
      <c r="J20" s="80" t="e">
        <f>IF(VLOOKUP($F20,PAY!$A$11:$AE$349,6,FALSE)="-",#N/A,VLOOKUP($F20,PAY!$A$11:$AE$349,6,FALSE))</f>
        <v>#N/A</v>
      </c>
      <c r="K20" s="80" t="e">
        <f>IF(VLOOKUP($F20,PAY!$A$11:$AE$349,8,FALSE)="-",#N/A,VLOOKUP($F20,PAY!$A$11:$AE$349,8,FALSE))</f>
        <v>#N/A</v>
      </c>
      <c r="L20" s="80" t="e">
        <f>IF(VLOOKUP($F20,PAY!$A$11:$AE$349,10,FALSE)="-",#N/A,VLOOKUP($F20,PAY!$A$11:$AE$349,10,FALSE))</f>
        <v>#N/A</v>
      </c>
      <c r="M20" s="80" t="e">
        <f>IF(VLOOKUP($F20,PAY!$A$11:$AE$349,12,FALSE)="-",#N/A,VLOOKUP($F20,PAY!$A$11:$AE$349,12,FALSE))</f>
        <v>#N/A</v>
      </c>
      <c r="N20" s="80" t="e">
        <f>IF(VLOOKUP($F20,PAY!$A$11:$AE$349,14,FALSE)="-",#N/A,VLOOKUP($F20,PAY!$A$11:$AE$349,14,FALSE))</f>
        <v>#N/A</v>
      </c>
      <c r="O20" s="80" t="e">
        <f>IF(VLOOKUP($F20,PAY!$A$11:$AE$349,16,FALSE)="-",#N/A,VLOOKUP($F20,PAY!$A$11:$AE$349,16,FALSE))</f>
        <v>#N/A</v>
      </c>
      <c r="P20" s="80" t="e">
        <f>IF(VLOOKUP($F20,PAY!$A$11:$AE$349,18,FALSE)="-",#N/A,VLOOKUP($F20,PAY!$A$11:$AE$349,18,FALSE))</f>
        <v>#N/A</v>
      </c>
      <c r="Q20" s="80" t="e">
        <f>IF(VLOOKUP($F20,PAY!$A$11:$AE$349,20,FALSE)="-",#N/A,VLOOKUP($F20,PAY!$A$11:$AE$349,20,FALSE))</f>
        <v>#N/A</v>
      </c>
      <c r="R20" s="80" t="e">
        <f>IF(VLOOKUP($F20,PAY!$A$11:$AE$349,22,FALSE)="-",#N/A,VLOOKUP($F20,PAY!$A$11:$AE$349,22,FALSE))</f>
        <v>#N/A</v>
      </c>
      <c r="S20" s="80" t="e">
        <f>IF(VLOOKUP($F20,PAY!$A$11:$AE$349,24,FALSE)="-",#N/A,VLOOKUP($F20,PAY!$A$11:$AE$349,24,FALSE))</f>
        <v>#N/A</v>
      </c>
      <c r="T20" s="80" t="e">
        <f>IF(VLOOKUP($F20,PAY!$A$11:$AE$349,26,FALSE)="-",#N/A,VLOOKUP($F20,PAY!$A$11:$AE$349,26,FALSE))</f>
        <v>#N/A</v>
      </c>
      <c r="U20" s="80">
        <f>IF(VLOOKUP($F20,PAY!$A$11:$AE$349,28,FALSE)="-",#N/A,VLOOKUP($F20,PAY!$A$11:$AE$349,28,FALSE))</f>
        <v>555.5</v>
      </c>
      <c r="V20" s="80">
        <f>IF(VLOOKUP($F20,PAY!$A$11:$AE$349,30,FALSE)="-",#N/A,VLOOKUP($F20,PAY!$A$11:$AE$349,30,FALSE))</f>
        <v>573.6</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West Northamptonshire to Rural as a Region</v>
      </c>
      <c r="G23" s="102"/>
      <c r="H23" s="103"/>
      <c r="I23" s="74" t="e">
        <f>100*((I20-I21)/I21)</f>
        <v>#N/A</v>
      </c>
      <c r="J23" s="74" t="e">
        <f t="shared" ref="J23:V23" si="2">100*((J20-J21)/J21)</f>
        <v>#N/A</v>
      </c>
      <c r="K23" s="74" t="e">
        <f t="shared" si="2"/>
        <v>#N/A</v>
      </c>
      <c r="L23" s="74" t="e">
        <f t="shared" si="2"/>
        <v>#N/A</v>
      </c>
      <c r="M23" s="74" t="e">
        <f t="shared" si="2"/>
        <v>#N/A</v>
      </c>
      <c r="N23" s="74" t="e">
        <f t="shared" si="2"/>
        <v>#N/A</v>
      </c>
      <c r="O23" s="74" t="e">
        <f t="shared" si="2"/>
        <v>#N/A</v>
      </c>
      <c r="P23" s="74" t="e">
        <f t="shared" si="2"/>
        <v>#N/A</v>
      </c>
      <c r="Q23" s="74" t="e">
        <f t="shared" si="2"/>
        <v>#N/A</v>
      </c>
      <c r="R23" s="74" t="e">
        <f t="shared" si="2"/>
        <v>#N/A</v>
      </c>
      <c r="S23" s="74" t="e">
        <f t="shared" si="2"/>
        <v>#N/A</v>
      </c>
      <c r="T23" s="74" t="e">
        <f t="shared" si="2"/>
        <v>#N/A</v>
      </c>
      <c r="U23" s="74">
        <f t="shared" si="2"/>
        <v>4.604442226104358</v>
      </c>
      <c r="V23" s="74">
        <f t="shared" si="2"/>
        <v>1.6563071844485768</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West Northamptonshire</v>
      </c>
      <c r="G28" s="88"/>
      <c r="H28" s="89"/>
      <c r="I28" s="76">
        <f>VLOOKUP($F28,EMPLOYMENT!$A$6:$BW$345,6,FALSE)</f>
        <v>79</v>
      </c>
      <c r="J28" s="77">
        <f>VLOOKUP($F28,EMPLOYMENT!$A$6:$BW$345,10,FALSE)</f>
        <v>77.599999999999994</v>
      </c>
      <c r="K28" s="77">
        <f>VLOOKUP($F28,EMPLOYMENT!$A$6:$BW$345,14,FALSE)</f>
        <v>79.400000000000006</v>
      </c>
      <c r="L28" s="77">
        <f>VLOOKUP($F28,EMPLOYMENT!$A$6:$BW$345,18,FALSE)</f>
        <v>78.900000000000006</v>
      </c>
      <c r="M28" s="77">
        <f>VLOOKUP($F28,EMPLOYMENT!$A$6:$BW$345,22,FALSE)</f>
        <v>78.7</v>
      </c>
      <c r="N28" s="77">
        <f>VLOOKUP($F28,EMPLOYMENT!$A$6:$BW$345,26,FALSE)</f>
        <v>75.400000000000006</v>
      </c>
      <c r="O28" s="77">
        <f>VLOOKUP($F28,EMPLOYMENT!$A$6:$BW$345,30,FALSE)</f>
        <v>74.7</v>
      </c>
      <c r="P28" s="77">
        <f>VLOOKUP($F28,EMPLOYMENT!$A$6:$BW$345,34,FALSE)</f>
        <v>73.599999999999994</v>
      </c>
      <c r="Q28" s="77">
        <f>VLOOKUP($F28,EMPLOYMENT!$A$6:$BW$345,38,FALSE)</f>
        <v>75.599999999999994</v>
      </c>
      <c r="R28" s="77">
        <f>VLOOKUP($F28,EMPLOYMENT!$A$6:$BW$345,42,FALSE)</f>
        <v>77.3</v>
      </c>
      <c r="S28" s="77">
        <f>VLOOKUP($F28,EMPLOYMENT!$A$6:$BW$345,46,FALSE)</f>
        <v>78.3</v>
      </c>
      <c r="T28" s="77">
        <f>VLOOKUP($F28,EMPLOYMENT!$A$6:$BW$345,50,FALSE)</f>
        <v>79.8</v>
      </c>
      <c r="U28" s="77">
        <f>VLOOKUP($F28,EMPLOYMENT!$A$6:$BW$345,54,FALSE)</f>
        <v>80.599999999999994</v>
      </c>
      <c r="V28" s="77">
        <f>VLOOKUP($F28,EMPLOYMENT!$A$6:$BW$345,58,FALSE)</f>
        <v>75.7</v>
      </c>
      <c r="W28" s="77">
        <f>VLOOKUP($F28,EMPLOYMENT!$A$6:$BW$345,62,FALSE)</f>
        <v>79.3</v>
      </c>
      <c r="X28" s="77">
        <f>VLOOKUP($F28,EMPLOYMENT!$A$6:$BW$345,66,FALSE)</f>
        <v>80.8</v>
      </c>
      <c r="Y28" s="77">
        <f>VLOOKUP($F28,EMPLOYMENT!$A$6:$BW$345,70,FALSE)</f>
        <v>77.599999999999994</v>
      </c>
      <c r="Z28" s="77">
        <f>VLOOKUP($F28,EMPLOYMENT!$A$6:$BW$345,74,FALSE)</f>
        <v>75.7</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West Northamptonshire to Rural as a Region</v>
      </c>
      <c r="G31" s="102"/>
      <c r="H31" s="103"/>
      <c r="I31" s="74">
        <f>(I28-I29)</f>
        <v>2.8886580805982618</v>
      </c>
      <c r="J31" s="74">
        <f t="shared" ref="J31:Z31" si="4">(J28-J29)</f>
        <v>1.2870245333170374</v>
      </c>
      <c r="K31" s="74">
        <f t="shared" si="4"/>
        <v>3.5268111005132425</v>
      </c>
      <c r="L31" s="74">
        <f t="shared" si="4"/>
        <v>3.259531697372168</v>
      </c>
      <c r="M31" s="74">
        <f t="shared" si="4"/>
        <v>2.9644756266682606</v>
      </c>
      <c r="N31" s="74">
        <f t="shared" si="4"/>
        <v>0.89046015712682447</v>
      </c>
      <c r="O31" s="74">
        <f t="shared" si="4"/>
        <v>1.1528668610301338</v>
      </c>
      <c r="P31" s="74">
        <f t="shared" si="4"/>
        <v>-0.13429540327761913</v>
      </c>
      <c r="Q31" s="74">
        <f t="shared" si="4"/>
        <v>1.5668425245374209</v>
      </c>
      <c r="R31" s="74">
        <f t="shared" si="4"/>
        <v>2.5555250700997902</v>
      </c>
      <c r="S31" s="74">
        <f t="shared" si="4"/>
        <v>2.1911396599243886</v>
      </c>
      <c r="T31" s="74">
        <f t="shared" si="4"/>
        <v>2.6094680243909778</v>
      </c>
      <c r="U31" s="74">
        <f t="shared" si="4"/>
        <v>3.6283675182919524</v>
      </c>
      <c r="V31" s="74">
        <f t="shared" si="4"/>
        <v>-2.3327868852458948</v>
      </c>
      <c r="W31" s="74">
        <f t="shared" si="4"/>
        <v>1.2518431065858522</v>
      </c>
      <c r="X31" s="74">
        <f t="shared" si="4"/>
        <v>2.2087006210432918</v>
      </c>
      <c r="Y31" s="74">
        <f t="shared" si="4"/>
        <v>0.58565370387078985</v>
      </c>
      <c r="Z31" s="74">
        <f t="shared" si="4"/>
        <v>-0.45575807787903955</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West Northamptonshire</v>
      </c>
      <c r="G36" s="88" t="str">
        <f>IFERROR(VLOOKUP(F36,GDHI!B338:C574,2,FALSE),VLOOKUP(F36,GDHI!C3:C336,1,FALSE))</f>
        <v>West Northamptonshire</v>
      </c>
      <c r="H36" s="89" t="str">
        <f>IF(F36=G36,"",G36)</f>
        <v/>
      </c>
      <c r="I36" s="83">
        <f>IFERROR(VLOOKUP($F36,GDHI!$B$338:$U$574,GDHI!G$578,FALSE),VLOOKUP($F36,GDHI!$C$3:$U$336,GDHI!F$578,FALSE))</f>
        <v>13650</v>
      </c>
      <c r="J36" s="84">
        <f>IFERROR(VLOOKUP($F36,GDHI!$B$338:$U$574,GDHI!H$578,FALSE),VLOOKUP($F36,GDHI!$C$3:$U$336,GDHI!G$578,FALSE))</f>
        <v>14247</v>
      </c>
      <c r="K36" s="84">
        <f>IFERROR(VLOOKUP($F36,GDHI!$B$338:$U$574,GDHI!I$578,FALSE),VLOOKUP($F36,GDHI!$C$3:$U$336,GDHI!H$578,FALSE))</f>
        <v>14853</v>
      </c>
      <c r="L36" s="84">
        <f>IFERROR(VLOOKUP($F36,GDHI!$B$338:$U$574,GDHI!J$578,FALSE),VLOOKUP($F36,GDHI!$C$3:$U$336,GDHI!I$578,FALSE))</f>
        <v>16022</v>
      </c>
      <c r="M36" s="84">
        <f>IFERROR(VLOOKUP($F36,GDHI!$B$338:$U$574,GDHI!K$578,FALSE),VLOOKUP($F36,GDHI!$C$3:$U$336,GDHI!J$578,FALSE))</f>
        <v>16067</v>
      </c>
      <c r="N36" s="84">
        <f>IFERROR(VLOOKUP($F36,GDHI!$B$338:$U$574,GDHI!L$578,FALSE),VLOOKUP($F36,GDHI!$C$3:$U$336,GDHI!K$578,FALSE))</f>
        <v>15938</v>
      </c>
      <c r="O36" s="84">
        <f>IFERROR(VLOOKUP($F36,GDHI!$B$338:$U$574,GDHI!M$578,FALSE),VLOOKUP($F36,GDHI!$C$3:$U$336,GDHI!L$578,FALSE))</f>
        <v>16072</v>
      </c>
      <c r="P36" s="84">
        <f>IFERROR(VLOOKUP($F36,GDHI!$B$338:$U$574,GDHI!N$578,FALSE),VLOOKUP($F36,GDHI!$C$3:$U$336,GDHI!M$578,FALSE))</f>
        <v>17103</v>
      </c>
      <c r="Q36" s="84">
        <f>IFERROR(VLOOKUP($F36,GDHI!$B$338:$U$574,GDHI!O$578,FALSE),VLOOKUP($F36,GDHI!$C$3:$U$336,GDHI!N$578,FALSE))</f>
        <v>17832</v>
      </c>
      <c r="R36" s="84">
        <f>IFERROR(VLOOKUP($F36,GDHI!$B$338:$U$574,GDHI!P$578,FALSE),VLOOKUP($F36,GDHI!$C$3:$U$336,GDHI!O$578,FALSE))</f>
        <v>18287</v>
      </c>
      <c r="S36" s="84">
        <f>IFERROR(VLOOKUP($F36,GDHI!$B$338:$U$574,GDHI!Q$578,FALSE),VLOOKUP($F36,GDHI!$C$3:$U$336,GDHI!P$578,FALSE))</f>
        <v>18874</v>
      </c>
      <c r="T36" s="84">
        <f>IFERROR(VLOOKUP($F36,GDHI!$B$338:$U$574,GDHI!R$578,FALSE),VLOOKUP($F36,GDHI!$C$3:$U$336,GDHI!Q$578,FALSE))</f>
        <v>20011</v>
      </c>
      <c r="U36" s="84">
        <f>IFERROR(VLOOKUP($F36,GDHI!$B$338:$U$574,GDHI!S$578,FALSE),VLOOKUP($F36,GDHI!$C$3:$U$336,GDHI!R$578,FALSE))</f>
        <v>20146</v>
      </c>
      <c r="V36" s="84">
        <f>IFERROR(VLOOKUP($F36,GDHI!$B$338:$U$574,GDHI!T$578,FALSE),VLOOKUP($F36,GDHI!$C$3:$U$336,GDHI!S$578,FALSE))</f>
        <v>20683</v>
      </c>
      <c r="W36" s="84">
        <f>IFERROR(VLOOKUP($F36,GDHI!$B$338:$U$574,GDHI!U$578,FALSE),VLOOKUP($F36,GDHI!$C$3:$U$336,GDHI!T$578,FALSE))</f>
        <v>21748</v>
      </c>
      <c r="X36" s="84">
        <f>IFERROR(VLOOKUP($F36,GDHI!$B$338:$U$574,GDHI!V$578,FALSE),VLOOKUP($F36,GDHI!$C$3:$U$336,GDHI!U$578,FALSE))</f>
        <v>22227</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West Northamptonshire to Rural as a Region</v>
      </c>
      <c r="G39" s="102"/>
      <c r="H39" s="103"/>
      <c r="I39" s="74">
        <f>100*((I36-I37)/I37)</f>
        <v>-7.202828104286346</v>
      </c>
      <c r="J39" s="74">
        <f t="shared" ref="J39:X39" si="6">100*((J36-J37)/J37)</f>
        <v>-7.1338834048146964</v>
      </c>
      <c r="K39" s="74">
        <f t="shared" si="6"/>
        <v>-6.7267430255429144</v>
      </c>
      <c r="L39" s="74">
        <f t="shared" si="6"/>
        <v>-3.2965516944055895</v>
      </c>
      <c r="M39" s="74">
        <f t="shared" si="6"/>
        <v>-5.8392281432726509</v>
      </c>
      <c r="N39" s="74">
        <f t="shared" si="6"/>
        <v>-7.8350962581018297</v>
      </c>
      <c r="O39" s="74">
        <f t="shared" si="6"/>
        <v>-8.2015278802446581</v>
      </c>
      <c r="P39" s="74">
        <f t="shared" si="6"/>
        <v>-3.9159873836613559</v>
      </c>
      <c r="Q39" s="74">
        <f t="shared" si="6"/>
        <v>-2.9094345639737171</v>
      </c>
      <c r="R39" s="74">
        <f t="shared" si="6"/>
        <v>-3.1097929811260343</v>
      </c>
      <c r="S39" s="74">
        <f t="shared" si="6"/>
        <v>-2.6914557282508</v>
      </c>
      <c r="T39" s="74">
        <f t="shared" si="6"/>
        <v>-2.1866718805098788</v>
      </c>
      <c r="U39" s="74">
        <f t="shared" si="6"/>
        <v>-2.3219732039166772</v>
      </c>
      <c r="V39" s="74">
        <f t="shared" si="6"/>
        <v>-1.3473957484550867</v>
      </c>
      <c r="W39" s="74">
        <f t="shared" si="6"/>
        <v>-0.42982082260053833</v>
      </c>
      <c r="X39" s="74">
        <f t="shared" si="6"/>
        <v>-0.17125860369968551</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West Northamptonshire</v>
      </c>
      <c r="G44" s="88"/>
      <c r="H44" s="89"/>
      <c r="I44" s="76" t="e">
        <f>VLOOKUP($F44,'LOW PAID'!$A$9:$N$444,6,FALSE)</f>
        <v>#N/A</v>
      </c>
      <c r="J44" s="77" t="e">
        <f>VLOOKUP($F44,'LOW PAID'!$P$9:$W$444,6,FALSE)</f>
        <v>#N/A</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West Northamptonshire to Rural as a Region</v>
      </c>
      <c r="G47" s="102"/>
      <c r="H47" s="103"/>
      <c r="I47" s="74" t="e">
        <f>(I44-I45)</f>
        <v>#N/A</v>
      </c>
      <c r="J47" s="74" t="e">
        <f>(J44-J45)</f>
        <v>#N/A</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West Northamptonshire</v>
      </c>
      <c r="G52" s="88"/>
      <c r="H52" s="89"/>
      <c r="I52" s="76">
        <f>VLOOKUP($F52,INACTIVITY!$A$6:$BW$345,6,FALSE)</f>
        <v>18.600000000000001</v>
      </c>
      <c r="J52" s="77">
        <f>VLOOKUP($F52,INACTIVITY!$A$6:$BW$345,10,FALSE)</f>
        <v>19.100000000000001</v>
      </c>
      <c r="K52" s="77">
        <f>VLOOKUP($F52,INACTIVITY!$A$6:$BW$345,14,FALSE)</f>
        <v>17.7</v>
      </c>
      <c r="L52" s="77">
        <f>VLOOKUP($F52,INACTIVITY!$A$6:$BW$345,18,FALSE)</f>
        <v>18.8</v>
      </c>
      <c r="M52" s="77">
        <f>VLOOKUP($F52,INACTIVITY!$A$6:$BW$345,22,FALSE)</f>
        <v>17.600000000000001</v>
      </c>
      <c r="N52" s="77">
        <f>VLOOKUP($F52,INACTIVITY!$A$6:$BW$345,26,FALSE)</f>
        <v>18.600000000000001</v>
      </c>
      <c r="O52" s="77">
        <f>VLOOKUP($F52,INACTIVITY!$A$6:$BW$345,30,FALSE)</f>
        <v>20.5</v>
      </c>
      <c r="P52" s="77">
        <f>VLOOKUP($F52,INACTIVITY!$A$6:$BW$345,34,FALSE)</f>
        <v>20.5</v>
      </c>
      <c r="Q52" s="77">
        <f>VLOOKUP($F52,INACTIVITY!$A$6:$BW$345,38,FALSE)</f>
        <v>20.6</v>
      </c>
      <c r="R52" s="77">
        <f>VLOOKUP($F52,INACTIVITY!$A$6:$BW$345,42,FALSE)</f>
        <v>17.600000000000001</v>
      </c>
      <c r="S52" s="77">
        <f>VLOOKUP($F52,INACTIVITY!$A$6:$BW$345,46,FALSE)</f>
        <v>18.2</v>
      </c>
      <c r="T52" s="77">
        <f>VLOOKUP($F52,INACTIVITY!$A$6:$BW$345,50,FALSE)</f>
        <v>19</v>
      </c>
      <c r="U52" s="77">
        <f>VLOOKUP($F52,INACTIVITY!$A$6:$BW$345,54,FALSE)</f>
        <v>16.8</v>
      </c>
      <c r="V52" s="77">
        <f>VLOOKUP($F52,INACTIVITY!$A$6:$BW$345,58,FALSE)</f>
        <v>19.100000000000001</v>
      </c>
      <c r="W52" s="77">
        <f>VLOOKUP($F52,INACTIVITY!$A$6:$BW$345,62,FALSE)</f>
        <v>17.100000000000001</v>
      </c>
      <c r="X52" s="77">
        <f>VLOOKUP($F52,INACTIVITY!$A$6:$BW$345,66,FALSE)</f>
        <v>16.2</v>
      </c>
      <c r="Y52" s="77">
        <f>VLOOKUP($F52,INACTIVITY!$A$6:$BW$345,70,FALSE)</f>
        <v>17.2</v>
      </c>
      <c r="Z52" s="77">
        <f>VLOOKUP($F52,INACTIVITY!$A$6:$BW$345,74,FALSE)</f>
        <v>20.3</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West Northamptonshire to Rural as a Region</v>
      </c>
      <c r="G55" s="102"/>
      <c r="H55" s="103"/>
      <c r="I55" s="74">
        <f>(I52-I53)</f>
        <v>-2.7956445716102358</v>
      </c>
      <c r="J55" s="74">
        <f t="shared" ref="J55:Z55" si="10">(J52-J53)</f>
        <v>-1.9085227272727252</v>
      </c>
      <c r="K55" s="74">
        <f t="shared" si="10"/>
        <v>-3.1624653934587776</v>
      </c>
      <c r="L55" s="74">
        <f t="shared" si="10"/>
        <v>-2.5140653315366386</v>
      </c>
      <c r="M55" s="74">
        <f t="shared" si="10"/>
        <v>-3.2350023108920034</v>
      </c>
      <c r="N55" s="74">
        <f t="shared" si="10"/>
        <v>-2.333143757920439</v>
      </c>
      <c r="O55" s="74">
        <f t="shared" si="10"/>
        <v>-1.1919371275051738</v>
      </c>
      <c r="P55" s="74">
        <f t="shared" si="10"/>
        <v>-0.99424578075344883</v>
      </c>
      <c r="Q55" s="74">
        <f t="shared" si="10"/>
        <v>-0.58254879448909236</v>
      </c>
      <c r="R55" s="74">
        <f t="shared" si="10"/>
        <v>-3.1745930974387697</v>
      </c>
      <c r="S55" s="74">
        <f t="shared" si="10"/>
        <v>-2.0732104559724007</v>
      </c>
      <c r="T55" s="74">
        <f t="shared" si="10"/>
        <v>-0.69619468340695789</v>
      </c>
      <c r="U55" s="74">
        <f t="shared" si="10"/>
        <v>-3.0524293470694701</v>
      </c>
      <c r="V55" s="74">
        <f t="shared" si="10"/>
        <v>-0.15327733428037504</v>
      </c>
      <c r="W55" s="74">
        <f t="shared" si="10"/>
        <v>-2.0769560091828474</v>
      </c>
      <c r="X55" s="74">
        <f t="shared" si="10"/>
        <v>-2.6520649493649309</v>
      </c>
      <c r="Y55" s="74">
        <f t="shared" si="10"/>
        <v>-2.5725827218714628</v>
      </c>
      <c r="Z55" s="74">
        <f t="shared" si="10"/>
        <v>-0.7851797756300698</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West Northamptonshire</v>
      </c>
      <c r="G60" s="88"/>
      <c r="H60" s="89"/>
      <c r="I60" s="76">
        <f>VLOOKUP($F60,DISABILITY!$A$718:$I$1052,DISABILITY!B$1053,FALSE)</f>
        <v>34.200000000000003</v>
      </c>
      <c r="J60" s="77">
        <f>VLOOKUP($F60,DISABILITY!$A$718:$I$1052,DISABILITY!C$1053,FALSE)</f>
        <v>22.100000000000009</v>
      </c>
      <c r="K60" s="77">
        <f>VLOOKUP($F60,DISABILITY!$A$718:$I$1052,DISABILITY!D$1053,FALSE)</f>
        <v>18.099999999999994</v>
      </c>
      <c r="L60" s="77">
        <f>VLOOKUP($F60,DISABILITY!$A$718:$I$1052,DISABILITY!E$1053,FALSE)</f>
        <v>19.900000000000006</v>
      </c>
      <c r="M60" s="77">
        <f>VLOOKUP($F60,DISABILITY!$A$718:$I$1052,DISABILITY!F$1053,FALSE)</f>
        <v>17.5</v>
      </c>
      <c r="N60" s="77">
        <f>VLOOKUP($F60,DISABILITY!$A$718:$I$1052,DISABILITY!G$1053,FALSE)</f>
        <v>22.299999999999997</v>
      </c>
      <c r="O60" s="77">
        <f>VLOOKUP($F60,DISABILITY!$A$718:$I$1052,DISABILITY!H$1053,FALSE)</f>
        <v>28.800000000000004</v>
      </c>
      <c r="P60" s="77">
        <f>VLOOKUP($F60,DISABILITY!$A$718:$I$1052,DISABILITY!I$1053,FALSE)</f>
        <v>22.199999999999996</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West Northamptonshire to Rural as a Region</v>
      </c>
      <c r="G63" s="102"/>
      <c r="H63" s="103"/>
      <c r="I63" s="74">
        <f>(I60-I61)</f>
        <v>6.7798434593527546</v>
      </c>
      <c r="J63" s="74">
        <f t="shared" ref="J63:P63" si="12">(J60-J61)</f>
        <v>-5.2190444070511788</v>
      </c>
      <c r="K63" s="74">
        <f t="shared" si="12"/>
        <v>-10.019128361498211</v>
      </c>
      <c r="L63" s="74">
        <f t="shared" si="12"/>
        <v>-6.0909345389966703</v>
      </c>
      <c r="M63" s="74">
        <f t="shared" si="12"/>
        <v>-7.975225818666118</v>
      </c>
      <c r="N63" s="74">
        <f t="shared" si="12"/>
        <v>-3.2312476854419856</v>
      </c>
      <c r="O63" s="74">
        <f t="shared" si="12"/>
        <v>5.0027777120030592</v>
      </c>
      <c r="P63" s="74">
        <f t="shared" si="12"/>
        <v>-3.1541779303421791</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West Northamptonshire</v>
      </c>
      <c r="G68" s="88"/>
      <c r="H68" s="89"/>
      <c r="I68" s="76" t="e">
        <f>VLOOKUP($F68,'WORKLESS HOUSEHOLDS'!$DW$4:$EC$397,7,FALSE)</f>
        <v>#N/A</v>
      </c>
      <c r="J68" s="77" t="e">
        <f>VLOOKUP($F68,'WORKLESS HOUSEHOLDS'!$DN$4:$DT$397,7,FALSE)</f>
        <v>#N/A</v>
      </c>
      <c r="K68" s="77" t="e">
        <f>VLOOKUP($F68,'WORKLESS HOUSEHOLDS'!$DE$4:$DK$397,7,FALSE)</f>
        <v>#N/A</v>
      </c>
      <c r="L68" s="77" t="e">
        <f>VLOOKUP($F68,'WORKLESS HOUSEHOLDS'!$CV$4:$DB$397,7,FALSE)</f>
        <v>#N/A</v>
      </c>
      <c r="M68" s="77" t="e">
        <f>VLOOKUP($F68,'WORKLESS HOUSEHOLDS'!$CM$4:$CS$397,7,FALSE)</f>
        <v>#N/A</v>
      </c>
      <c r="N68" s="77" t="e">
        <f>VLOOKUP($F68,'WORKLESS HOUSEHOLDS'!$CD$4:$CJ$397,7,FALSE)</f>
        <v>#N/A</v>
      </c>
      <c r="O68" s="77" t="e">
        <f>VLOOKUP($F68,'WORKLESS HOUSEHOLDS'!$BU$4:$CA$397,7,FALSE)</f>
        <v>#N/A</v>
      </c>
      <c r="P68" s="77" t="e">
        <f>VLOOKUP($F68,'WORKLESS HOUSEHOLDS'!$BL$4:$BR$397,7,FALSE)</f>
        <v>#N/A</v>
      </c>
      <c r="Q68" s="77" t="e">
        <f>VLOOKUP($F68,'WORKLESS HOUSEHOLDS'!$BC$4:$BI$397,7,FALSE)</f>
        <v>#N/A</v>
      </c>
      <c r="R68" s="77" t="e">
        <f>VLOOKUP($F68,'WORKLESS HOUSEHOLDS'!$AT$4:$AZ$397,7,FALSE)</f>
        <v>#N/A</v>
      </c>
      <c r="S68" s="77" t="e">
        <f>VLOOKUP($F68,'WORKLESS HOUSEHOLDS'!$AK$4:$AQ$397,7,FALSE)</f>
        <v>#N/A</v>
      </c>
      <c r="T68" s="77" t="e">
        <f>VLOOKUP($F68,'WORKLESS HOUSEHOLDS'!$AB$4:$AH$397,7,FALSE)</f>
        <v>#N/A</v>
      </c>
      <c r="U68" s="77" t="e">
        <f>VLOOKUP($F68,'WORKLESS HOUSEHOLDS'!$S$4:$Y$397,7,FALSE)</f>
        <v>#N/A</v>
      </c>
      <c r="V68" s="77" t="e">
        <f>VLOOKUP($F68,'WORKLESS HOUSEHOLDS'!$J$4:$P$397,7,FALSE)</f>
        <v>#N/A</v>
      </c>
      <c r="W68" s="77">
        <f>VLOOKUP($F68,'WORKLESS HOUSEHOLDS'!$B$4:$H$397,7,FALSE)</f>
        <v>5.9677205979626935</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West Northamptonshire to Rural as a Region</v>
      </c>
      <c r="G71" s="102"/>
      <c r="H71" s="103"/>
      <c r="I71" s="74" t="e">
        <f>(I68-I69)</f>
        <v>#N/A</v>
      </c>
      <c r="J71" s="74" t="e">
        <f t="shared" ref="J71:W71" si="14">(J68-J69)</f>
        <v>#N/A</v>
      </c>
      <c r="K71" s="74" t="e">
        <f t="shared" si="14"/>
        <v>#N/A</v>
      </c>
      <c r="L71" s="74" t="e">
        <f t="shared" si="14"/>
        <v>#N/A</v>
      </c>
      <c r="M71" s="74" t="e">
        <f t="shared" si="14"/>
        <v>#N/A</v>
      </c>
      <c r="N71" s="74" t="e">
        <f t="shared" si="14"/>
        <v>#N/A</v>
      </c>
      <c r="O71" s="74" t="e">
        <f t="shared" si="14"/>
        <v>#N/A</v>
      </c>
      <c r="P71" s="74" t="e">
        <f t="shared" si="14"/>
        <v>#N/A</v>
      </c>
      <c r="Q71" s="74" t="e">
        <f t="shared" si="14"/>
        <v>#N/A</v>
      </c>
      <c r="R71" s="74" t="e">
        <f t="shared" si="14"/>
        <v>#N/A</v>
      </c>
      <c r="S71" s="74" t="e">
        <f t="shared" si="14"/>
        <v>#N/A</v>
      </c>
      <c r="T71" s="74" t="e">
        <f t="shared" si="14"/>
        <v>#N/A</v>
      </c>
      <c r="U71" s="74" t="e">
        <f t="shared" si="14"/>
        <v>#N/A</v>
      </c>
      <c r="V71" s="74" t="e">
        <f t="shared" si="14"/>
        <v>#N/A</v>
      </c>
      <c r="W71" s="74">
        <f t="shared" si="14"/>
        <v>-4.3849808252214997</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West Northamptonshire</v>
      </c>
      <c r="G76" s="88"/>
      <c r="H76" s="89"/>
      <c r="I76" s="76">
        <f>VLOOKUP($F76,'SKILLED EMPLOYMENT'!$A$1506:$BW$1841,6,FALSE)</f>
        <v>49.3</v>
      </c>
      <c r="J76" s="77">
        <f>VLOOKUP($F76,'SKILLED EMPLOYMENT'!$A$1506:$BW$1841,10,FALSE)</f>
        <v>52.900000000000006</v>
      </c>
      <c r="K76" s="77">
        <f>VLOOKUP($F76,'SKILLED EMPLOYMENT'!$A$1506:$BW$1841,14,FALSE)</f>
        <v>53.3</v>
      </c>
      <c r="L76" s="77">
        <f>VLOOKUP($F76,'SKILLED EMPLOYMENT'!$A$1506:$BW$1841,18,FALSE)</f>
        <v>52.1</v>
      </c>
      <c r="M76" s="77">
        <f>VLOOKUP($F76,'SKILLED EMPLOYMENT'!$A$1506:$BW$1841,22,FALSE)</f>
        <v>52.1</v>
      </c>
      <c r="N76" s="77">
        <f>VLOOKUP($F76,'SKILLED EMPLOYMENT'!$A$1506:$BW$1841,26,FALSE)</f>
        <v>56.4</v>
      </c>
      <c r="O76" s="77">
        <f>VLOOKUP($F76,'SKILLED EMPLOYMENT'!$A$1506:$BW$1841,30,FALSE)</f>
        <v>54</v>
      </c>
      <c r="P76" s="77">
        <f>VLOOKUP($F76,'SKILLED EMPLOYMENT'!$A$1506:$BW$1841,34,FALSE)</f>
        <v>53.900000000000006</v>
      </c>
      <c r="Q76" s="77">
        <f>VLOOKUP($F76,'SKILLED EMPLOYMENT'!$A$1506:$BW$1841,38,FALSE)</f>
        <v>49.3</v>
      </c>
      <c r="R76" s="77">
        <f>VLOOKUP($F76,'SKILLED EMPLOYMENT'!$A$1506:$BW$1841,42,FALSE)</f>
        <v>52.4</v>
      </c>
      <c r="S76" s="77">
        <f>VLOOKUP($F76,'SKILLED EMPLOYMENT'!$A$1506:$BW$1841,46,FALSE)</f>
        <v>57.1</v>
      </c>
      <c r="T76" s="77">
        <f>VLOOKUP($F76,'SKILLED EMPLOYMENT'!$A$1506:$BW$1841,50,FALSE)</f>
        <v>53.300000000000004</v>
      </c>
      <c r="U76" s="77">
        <f>VLOOKUP($F76,'SKILLED EMPLOYMENT'!$A$1506:$BW$1841,54,FALSE)</f>
        <v>53.9</v>
      </c>
      <c r="V76" s="77">
        <f>VLOOKUP($F76,'SKILLED EMPLOYMENT'!$A$1506:$BW$1841,58,FALSE)</f>
        <v>59.400000000000006</v>
      </c>
      <c r="W76" s="77">
        <f>VLOOKUP($F76,'SKILLED EMPLOYMENT'!$A$1506:$BW$1841,62,FALSE)</f>
        <v>56</v>
      </c>
      <c r="X76" s="77">
        <f>VLOOKUP($F76,'SKILLED EMPLOYMENT'!$A$1506:$BW$1841,66,FALSE)</f>
        <v>53.3</v>
      </c>
      <c r="Y76" s="77">
        <f>VLOOKUP($F76,'SKILLED EMPLOYMENT'!$A$1506:$BW$1841,70,FALSE)</f>
        <v>53.7</v>
      </c>
      <c r="Z76" s="77">
        <f>VLOOKUP($F76,'SKILLED EMPLOYMENT'!$A$1506:$BW$1841,74,FALSE)</f>
        <v>53.900000000000006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West Northamptonshire to Rural as a Region</v>
      </c>
      <c r="G79" s="102"/>
      <c r="H79" s="103"/>
      <c r="I79" s="74">
        <f>(I76-I77)</f>
        <v>-3.4000000000000057</v>
      </c>
      <c r="J79" s="74">
        <f t="shared" ref="J79:Z79" si="17">(J76-J77)</f>
        <v>7.1054273576010019E-15</v>
      </c>
      <c r="K79" s="74">
        <f t="shared" si="17"/>
        <v>-0.20000000000000284</v>
      </c>
      <c r="L79" s="74">
        <f t="shared" si="17"/>
        <v>-1.8999999999999986</v>
      </c>
      <c r="M79" s="74">
        <f t="shared" si="17"/>
        <v>-2</v>
      </c>
      <c r="N79" s="74">
        <f t="shared" si="17"/>
        <v>2</v>
      </c>
      <c r="O79" s="74">
        <f t="shared" si="17"/>
        <v>-1.3999999999999986</v>
      </c>
      <c r="P79" s="74">
        <f t="shared" si="17"/>
        <v>-1.6999999999999957</v>
      </c>
      <c r="Q79" s="74">
        <f t="shared" si="17"/>
        <v>-6.1000000000000014</v>
      </c>
      <c r="R79" s="74">
        <f t="shared" si="17"/>
        <v>-3.8000000000000043</v>
      </c>
      <c r="S79" s="74">
        <f t="shared" si="17"/>
        <v>0.89999999999999858</v>
      </c>
      <c r="T79" s="74">
        <f t="shared" si="17"/>
        <v>-3.4999999999999929</v>
      </c>
      <c r="U79" s="74">
        <f t="shared" si="17"/>
        <v>-2.7000000000000028</v>
      </c>
      <c r="V79" s="74">
        <f t="shared" si="17"/>
        <v>2.3000000000000043</v>
      </c>
      <c r="W79" s="74">
        <f t="shared" si="17"/>
        <v>-1.7999999999999972</v>
      </c>
      <c r="X79" s="74">
        <f t="shared" si="17"/>
        <v>-5.5</v>
      </c>
      <c r="Y79" s="74">
        <f t="shared" si="17"/>
        <v>-5</v>
      </c>
      <c r="Z79" s="74">
        <f t="shared" si="17"/>
        <v>-4.4999999999999929</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Vm/xjp9O3svdqy6VTscadrpEqTERKcqJ2RWGftLCCi4nEylYpkSgF/xY8Sxd8anyPs7Ch1nkQfk4b8sZJ+qxeA==" saltValue="b5yVoNWF8YNZNmemhH+UG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2022-08-02T13:35:37Z</dcterms:modified>
</cp:coreProperties>
</file>