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EAA9B4B5-CCD2-490C-806F-8FFCEBA4CD65}" xr6:coauthVersionLast="47" xr6:coauthVersionMax="47" xr10:uidLastSave="{2DA3DA78-20CA-4A6B-890C-654C09EA3F5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<sst xmlns="http://schemas.openxmlformats.org/spreadsheetml/2006/main" count="32859" uniqueCount="1676">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</sst>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Wychavon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20.62</c:v>
                </c:pt>
                <c:pt idx="1">
                  <c:v>20.7</c:v>
                </c:pt>
                <c:pt idx="2">
                  <c:v>21.26</c:v>
                </c:pt>
                <c:pt idx="3">
                  <c:v>21.6</c:v>
                </c:pt>
                <c:pt idx="4">
                  <c:v>21.76</c:v>
                </c:pt>
                <c:pt idx="5">
                  <c:v>22.12</c:v>
                </c:pt>
                <c:pt idx="6">
                  <c:v>22.47</c:v>
                </c:pt>
                <c:pt idx="7">
                  <c:v>23.22</c:v>
                </c:pt>
                <c:pt idx="8">
                  <c:v>23.63</c:v>
                </c:pt>
                <c:pt idx="9">
                  <c:v>24.36</c:v>
                </c:pt>
                <c:pt idx="10">
                  <c:v>24.78</c:v>
                </c:pt>
                <c:pt idx="11">
                  <c:v>25.42</c:v>
                </c:pt>
                <c:pt idx="12">
                  <c:v>26.22</c:v>
                </c:pt>
                <c:pt idx="13">
                  <c:v>27.49</c:v>
                </c:pt>
                <c:pt idx="14">
                  <c:v>28.81</c:v>
                </c:pt>
                <c:pt idx="15">
                  <c:v>29.6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Wychavon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403.5</c:v>
                </c:pt>
                <c:pt idx="1">
                  <c:v>425.4</c:v>
                </c:pt>
                <c:pt idx="2">
                  <c:v>437.9</c:v>
                </c:pt>
                <c:pt idx="3">
                  <c:v>452.2</c:v>
                </c:pt>
                <c:pt idx="4">
                  <c:v>431.6</c:v>
                </c:pt>
                <c:pt idx="5">
                  <c:v>448.5</c:v>
                </c:pt>
                <c:pt idx="6">
                  <c:v>462.1</c:v>
                </c:pt>
                <c:pt idx="7">
                  <c:v>493.9</c:v>
                </c:pt>
                <c:pt idx="8">
                  <c:v>514.9</c:v>
                </c:pt>
                <c:pt idx="9">
                  <c:v>510.9</c:v>
                </c:pt>
                <c:pt idx="10">
                  <c:v>505.7</c:v>
                </c:pt>
                <c:pt idx="11">
                  <c:v>525.1</c:v>
                </c:pt>
                <c:pt idx="12">
                  <c:v>516.20000000000005</c:v>
                </c:pt>
                <c:pt idx="13">
                  <c:v>568</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Wychavon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77.099999999999994</c:v>
                </c:pt>
                <c:pt idx="1">
                  <c:v>80.599999999999994</c:v>
                </c:pt>
                <c:pt idx="2">
                  <c:v>79.900000000000006</c:v>
                </c:pt>
                <c:pt idx="3">
                  <c:v>76.099999999999994</c:v>
                </c:pt>
                <c:pt idx="4">
                  <c:v>80.099999999999994</c:v>
                </c:pt>
                <c:pt idx="5">
                  <c:v>77.099999999999994</c:v>
                </c:pt>
                <c:pt idx="6">
                  <c:v>78.8</c:v>
                </c:pt>
                <c:pt idx="7">
                  <c:v>78.3</c:v>
                </c:pt>
                <c:pt idx="8">
                  <c:v>75.599999999999994</c:v>
                </c:pt>
                <c:pt idx="9">
                  <c:v>73.7</c:v>
                </c:pt>
                <c:pt idx="10">
                  <c:v>79.599999999999994</c:v>
                </c:pt>
                <c:pt idx="11">
                  <c:v>79.5</c:v>
                </c:pt>
                <c:pt idx="12">
                  <c:v>81.3</c:v>
                </c:pt>
                <c:pt idx="13">
                  <c:v>75.099999999999994</c:v>
                </c:pt>
                <c:pt idx="14">
                  <c:v>81.5</c:v>
                </c:pt>
                <c:pt idx="15">
                  <c:v>78.3</c:v>
                </c:pt>
                <c:pt idx="16">
                  <c:v>79.2</c:v>
                </c:pt>
                <c:pt idx="17">
                  <c:v>80.900000000000006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Wychavon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15657</c:v>
                </c:pt>
                <c:pt idx="1">
                  <c:v>16461</c:v>
                </c:pt>
                <c:pt idx="2">
                  <c:v>17211</c:v>
                </c:pt>
                <c:pt idx="3">
                  <c:v>17554</c:v>
                </c:pt>
                <c:pt idx="4">
                  <c:v>17971</c:v>
                </c:pt>
                <c:pt idx="5">
                  <c:v>17932</c:v>
                </c:pt>
                <c:pt idx="6">
                  <c:v>17925</c:v>
                </c:pt>
                <c:pt idx="7">
                  <c:v>18277</c:v>
                </c:pt>
                <c:pt idx="8">
                  <c:v>18686</c:v>
                </c:pt>
                <c:pt idx="9">
                  <c:v>19329</c:v>
                </c:pt>
                <c:pt idx="10">
                  <c:v>20144</c:v>
                </c:pt>
                <c:pt idx="11">
                  <c:v>21272</c:v>
                </c:pt>
                <c:pt idx="12">
                  <c:v>21579</c:v>
                </c:pt>
                <c:pt idx="13">
                  <c:v>21566</c:v>
                </c:pt>
                <c:pt idx="14">
                  <c:v>22838</c:v>
                </c:pt>
                <c:pt idx="15">
                  <c:v>23462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Wychavon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27.6</c:v>
                </c:pt>
                <c:pt idx="1">
                  <c:v>27.8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Wychavon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22.1</c:v>
                </c:pt>
                <c:pt idx="1">
                  <c:v>17.399999999999999</c:v>
                </c:pt>
                <c:pt idx="2">
                  <c:v>17.100000000000001</c:v>
                </c:pt>
                <c:pt idx="3">
                  <c:v>21.1</c:v>
                </c:pt>
                <c:pt idx="4">
                  <c:v>17.100000000000001</c:v>
                </c:pt>
                <c:pt idx="5">
                  <c:v>18.5</c:v>
                </c:pt>
                <c:pt idx="6">
                  <c:v>19.100000000000001</c:v>
                </c:pt>
                <c:pt idx="7">
                  <c:v>20.100000000000001</c:v>
                </c:pt>
                <c:pt idx="8">
                  <c:v>19.7</c:v>
                </c:pt>
                <c:pt idx="9">
                  <c:v>23.8</c:v>
                </c:pt>
                <c:pt idx="10">
                  <c:v>16.100000000000001</c:v>
                </c:pt>
                <c:pt idx="11">
                  <c:v>19</c:v>
                </c:pt>
                <c:pt idx="12">
                  <c:v>16</c:v>
                </c:pt>
                <c:pt idx="13">
                  <c:v>22</c:v>
                </c:pt>
                <c:pt idx="14">
                  <c:v>17.3</c:v>
                </c:pt>
                <c:pt idx="15">
                  <c:v>19.5</c:v>
                </c:pt>
                <c:pt idx="16">
                  <c:v>20.100000000000001</c:v>
                </c:pt>
                <c:pt idx="17">
                  <c:v>17.899999999999999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Wychavon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22.800000000000004</c:v>
                </c:pt>
                <c:pt idx="1">
                  <c:v>25.6</c:v>
                </c:pt>
                <c:pt idx="2">
                  <c:v>28.5</c:v>
                </c:pt>
                <c:pt idx="3">
                  <c:v>28</c:v>
                </c:pt>
                <c:pt idx="4">
                  <c:v>33.800000000000004</c:v>
                </c:pt>
                <c:pt idx="5">
                  <c:v>31.699999999999996</c:v>
                </c:pt>
                <c:pt idx="6">
                  <c:v>14</c:v>
                </c:pt>
                <c:pt idx="7">
                  <c:v>25.899999999999991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Wychavon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5.1007431700532297</c:v>
                </c:pt>
                <c:pt idx="1">
                  <c:v>27.148313064995428</c:v>
                </c:pt>
                <c:pt idx="2">
                  <c:v>7.1423647850764844</c:v>
                </c:pt>
                <c:pt idx="3">
                  <c:v>10.332790404520832</c:v>
                </c:pt>
                <c:pt idx="4">
                  <c:v>3.8946432433731464</c:v>
                </c:pt>
                <c:pt idx="5">
                  <c:v>0</c:v>
                </c:pt>
                <c:pt idx="6">
                  <c:v>6.199596774193548</c:v>
                </c:pt>
                <c:pt idx="7">
                  <c:v>5.6465085198797196</c:v>
                </c:pt>
                <c:pt idx="8">
                  <c:v>7.3194521012679701</c:v>
                </c:pt>
                <c:pt idx="9">
                  <c:v>11.959125019958487</c:v>
                </c:pt>
                <c:pt idx="10">
                  <c:v>0</c:v>
                </c:pt>
                <c:pt idx="11">
                  <c:v>5.3656293116664111</c:v>
                </c:pt>
                <c:pt idx="12">
                  <c:v>0</c:v>
                </c:pt>
                <c:pt idx="13">
                  <c:v>18.259935553168635</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Wychavon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c:v>
                </c:pt>
                <c:pt idx="1">
                  <c:v>50.9</c:v>
                </c:pt>
                <c:pt idx="2">
                  <c:v>55.1</c:v>
                </c:pt>
                <c:pt idx="3">
                  <c:v>57.3</c:v>
                </c:pt>
                <c:pt idx="4">
                  <c:v>54</c:v>
                </c:pt>
                <c:pt idx="5">
                  <c:v>53.9</c:v>
                </c:pt>
                <c:pt idx="6">
                  <c:v>55.900000000000006</c:v>
                </c:pt>
                <c:pt idx="7">
                  <c:v>50.5</c:v>
                </c:pt>
                <c:pt idx="8">
                  <c:v>60.5</c:v>
                </c:pt>
                <c:pt idx="9">
                  <c:v>59.800000000000004</c:v>
                </c:pt>
                <c:pt idx="10">
                  <c:v>59.400000000000006</c:v>
                </c:pt>
                <c:pt idx="11">
                  <c:v>59.2</c:v>
                </c:pt>
                <c:pt idx="12">
                  <c:v>60.800000000000004</c:v>
                </c:pt>
                <c:pt idx="13">
                  <c:v>61.2</c:v>
                </c:pt>
                <c:pt idx="14">
                  <c:v>67.600000000000009</c:v>
                </c:pt>
                <c:pt idx="15">
                  <c:v>56.300000000000004</c:v>
                </c:pt>
                <c:pt idx="16">
                  <c:v>54.500000000000007</c:v>
                </c:pt>
                <c:pt idx="17">
                  <c:v>51.8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Wychavon has fluctuated over the years but has generally been greater than both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Wychavon is greater than the rural situation and the England situation from 2004 to 2019 and can be seen increasing at a similar rate.</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Wychavon's proportion is greater than that seen in England and 'Rural as a Region' in both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Wychavon's economic inactivity rate has fluctuated and has been in most years from 2004 to 2021 below that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Wychavon has from 2014 to 2021 been similar to both the England and rural situation, with the exception of the three years 2018 to 2020.</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Wychavon has been less stable and has in certain years been significantly greater than both the England and rural average position, and in other years significantly lower.</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Wychavon in general has had a higher or similar proportion of employed people in skilled employment to that seen for 'Rural as a Region', but has subsequently declined from 2017 to 2021 to levels below both England and rural.</a:t>
          </a:r>
          <a:endParaRPr lang="en-GB" sz="1100">
            <a:latin typeface="Avenir Next LT Pro" panose="020B0504020202020204" pitchFamily="34" charset="0"/>
          </a:endParaRPr>
        </a:p>
      </xdr:txBody>
    </xdr:sp>
    <xdr:clientData/>
  </xdr:twoCellAnchor>
  <xdr:twoCellAnchor>
    <xdr:from>
      <xdr:col>0</xdr:col>
      <xdr:colOff>586740</xdr:colOff>
      <xdr:row>12</xdr:row>
      <xdr:rowOff>457200</xdr:rowOff>
    </xdr:from>
    <xdr:to>
      <xdr:col>1</xdr:col>
      <xdr:colOff>2567940</xdr:colOff>
      <xdr:row>14</xdr:row>
      <xdr:rowOff>106680</xdr:rowOff>
    </xdr:to>
    <xdr:sp macro="" textlink="">
      <xdr:nvSpPr>
        <xdr:cNvPr id="20" name="TextBox 19">
          <a:extLst>
            <a:ext uri="{FF2B5EF4-FFF2-40B4-BE49-F238E27FC236}">
              <a16:creationId xmlns:a16="http://schemas.microsoft.com/office/drawing/2014/main" id="{1DE8E15E-7F67-4DF1-8F98-82DEFB84A48C}"/>
            </a:ext>
          </a:extLst>
        </xdr:cNvPr>
        <xdr:cNvSpPr txBox="1"/>
      </xdr:nvSpPr>
      <xdr:spPr>
        <a:xfrm>
          <a:off x="586740" y="3444240"/>
          <a:ext cx="6682740" cy="9448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Wychavon between 2004 and 2019 is lower than both the rural and England average, but increases at a rate similar to England bringing it closer to the rural situation in 2019.</a:t>
          </a:r>
          <a:endParaRPr lang="en-GB" sz="1100">
            <a:latin typeface="Avenir Next LT Pro" panose="020B0504020202020204" pitchFamily="34" charset="0"/>
          </a:endParaRPr>
        </a:p>
      </xdr:txBody>
    </xdr:sp>
    <xdr:clientData/>
  </xdr:twoCellAnchor>
  <xdr:twoCellAnchor>
    <xdr:from>
      <xdr:col>0</xdr:col>
      <xdr:colOff>571500</xdr:colOff>
      <xdr:row>20</xdr:row>
      <xdr:rowOff>556260</xdr:rowOff>
    </xdr:from>
    <xdr:to>
      <xdr:col>1</xdr:col>
      <xdr:colOff>2552700</xdr:colOff>
      <xdr:row>21</xdr:row>
      <xdr:rowOff>594360</xdr:rowOff>
    </xdr:to>
    <xdr:sp macro="" textlink="">
      <xdr:nvSpPr>
        <xdr:cNvPr id="21" name="TextBox 20">
          <a:extLst>
            <a:ext uri="{FF2B5EF4-FFF2-40B4-BE49-F238E27FC236}">
              <a16:creationId xmlns:a16="http://schemas.microsoft.com/office/drawing/2014/main" id="{172E19E4-B128-4158-830A-ACC7FD6A5CF1}"/>
            </a:ext>
          </a:extLst>
        </xdr:cNvPr>
        <xdr:cNvSpPr txBox="1"/>
      </xdr:nvSpPr>
      <xdr:spPr>
        <a:xfrm>
          <a:off x="571500" y="7482840"/>
          <a:ext cx="6682740" cy="685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Wychavon has fluctuated a little over the years, but generally follows the path seen for rural.</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341</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Wychavon</v>
      </c>
      <c r="G12" s="88" t="str">
        <f>IFERROR(VLOOKUP(F12,GVA!B244:B552,1,FALSE),VLOOKUP(F12,GVA!B6:C230,2,FALSE))</f>
        <v>Wychavon</v>
      </c>
      <c r="H12" s="89" t="str">
        <f>IF(F12=G12,"",G12)</f>
        <v/>
      </c>
      <c r="I12" s="76">
        <f>IFERROR(VLOOKUP($F12,GVA!$B$7:$S$230,GVA!D$3,FALSE),VLOOKUP($F12,GVA!$B$244:$T$554,GVA!E$3,FALSE))</f>
        <v>20.62</v>
      </c>
      <c r="J12" s="77">
        <f>IFERROR(VLOOKUP($F12,GVA!$B$7:$S$230,GVA!E$3,FALSE),VLOOKUP($F12,GVA!$B$244:$T$554,GVA!F$3,FALSE))</f>
        <v>20.7</v>
      </c>
      <c r="K12" s="77">
        <f>IFERROR(VLOOKUP($F12,GVA!$B$7:$S$230,GVA!F$3,FALSE),VLOOKUP($F12,GVA!$B$244:$T$554,GVA!G$3,FALSE))</f>
        <v>21.26</v>
      </c>
      <c r="L12" s="77">
        <f>IFERROR(VLOOKUP($F12,GVA!$B$7:$S$230,GVA!G$3,FALSE),VLOOKUP($F12,GVA!$B$244:$T$554,GVA!H$3,FALSE))</f>
        <v>21.6</v>
      </c>
      <c r="M12" s="77">
        <f>IFERROR(VLOOKUP($F12,GVA!$B$7:$S$230,GVA!H$3,FALSE),VLOOKUP($F12,GVA!$B$244:$T$554,GVA!I$3,FALSE))</f>
        <v>21.76</v>
      </c>
      <c r="N12" s="77">
        <f>IFERROR(VLOOKUP($F12,GVA!$B$7:$S$230,GVA!I$3,FALSE),VLOOKUP($F12,GVA!$B$244:$T$554,GVA!J$3,FALSE))</f>
        <v>22.12</v>
      </c>
      <c r="O12" s="77">
        <f>IFERROR(VLOOKUP($F12,GVA!$B$7:$S$230,GVA!J$3,FALSE),VLOOKUP($F12,GVA!$B$244:$T$554,GVA!K$3,FALSE))</f>
        <v>22.47</v>
      </c>
      <c r="P12" s="77">
        <f>IFERROR(VLOOKUP($F12,GVA!$B$7:$S$230,GVA!K$3,FALSE),VLOOKUP($F12,GVA!$B$244:$T$554,GVA!L$3,FALSE))</f>
        <v>23.22</v>
      </c>
      <c r="Q12" s="77">
        <f>IFERROR(VLOOKUP($F12,GVA!$B$7:$S$230,GVA!L$3,FALSE),VLOOKUP($F12,GVA!$B$244:$T$554,GVA!M$3,FALSE))</f>
        <v>23.63</v>
      </c>
      <c r="R12" s="77">
        <f>IFERROR(VLOOKUP($F12,GVA!$B$7:$S$230,GVA!M$3,FALSE),VLOOKUP($F12,GVA!$B$244:$T$554,GVA!N$3,FALSE))</f>
        <v>24.36</v>
      </c>
      <c r="S12" s="77">
        <f>IFERROR(VLOOKUP($F12,GVA!$B$7:$S$230,GVA!N$3,FALSE),VLOOKUP($F12,GVA!$B$244:$T$554,GVA!O$3,FALSE))</f>
        <v>24.78</v>
      </c>
      <c r="T12" s="77">
        <f>IFERROR(VLOOKUP($F12,GVA!$B$7:$S$230,GVA!O$3,FALSE),VLOOKUP($F12,GVA!$B$244:$T$554,GVA!P$3,FALSE))</f>
        <v>25.42</v>
      </c>
      <c r="U12" s="77">
        <f>IFERROR(VLOOKUP($F12,GVA!$B$7:$S$230,GVA!P$3,FALSE),VLOOKUP($F12,GVA!$B$244:$T$554,GVA!Q$3,FALSE))</f>
        <v>26.22</v>
      </c>
      <c r="V12" s="77">
        <f>IFERROR(VLOOKUP($F12,GVA!$B$7:$S$230,GVA!Q$3,FALSE),VLOOKUP($F12,GVA!$B$244:$T$554,GVA!R$3,FALSE))</f>
        <v>27.49</v>
      </c>
      <c r="W12" s="77">
        <f>IFERROR(VLOOKUP($F12,GVA!$B$7:$S$230,GVA!R$3,FALSE),VLOOKUP($F12,GVA!$B$244:$T$554,GVA!S$3,FALSE))</f>
        <v>28.81</v>
      </c>
      <c r="X12" s="77">
        <f>IFERROR(VLOOKUP($F12,GVA!$B$7:$S$230,GVA!S$3,FALSE),VLOOKUP($F12,GVA!$B$244:$T$554,GVA!T$3,FALSE))</f>
        <v>29.6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Wychavon to Rural as a Region</v>
      </c>
      <c r="G15" s="102"/>
      <c r="H15" s="103"/>
      <c r="I15" s="74">
        <f>100*((I12-I13)/I13)</f>
        <v>-12.404861002240304</v>
      </c>
      <c r="J15" s="74">
        <f t="shared" ref="J15:X15" si="0">100*((J12-J13)/J13)</f>
        <v>-11.82019189808711</v>
      </c>
      <c r="K15" s="74">
        <f t="shared" si="0"/>
        <v>-12.52443020675674</v>
      </c>
      <c r="L15" s="74">
        <f t="shared" si="0"/>
        <v>-13.038477023063223</v>
      </c>
      <c r="M15" s="74">
        <f t="shared" si="0"/>
        <v>-13.871729265913665</v>
      </c>
      <c r="N15" s="74">
        <f t="shared" si="0"/>
        <v>-13.162064018021132</v>
      </c>
      <c r="O15" s="74">
        <f t="shared" si="0"/>
        <v>-12.873608847980703</v>
      </c>
      <c r="P15" s="74">
        <f t="shared" si="0"/>
        <v>-11.288187859023855</v>
      </c>
      <c r="Q15" s="74">
        <f t="shared" si="0"/>
        <v>-11.533627490306205</v>
      </c>
      <c r="R15" s="74">
        <f t="shared" si="0"/>
        <v>-10.355251225570768</v>
      </c>
      <c r="S15" s="74">
        <f t="shared" si="0"/>
        <v>-10.29748283752863</v>
      </c>
      <c r="T15" s="74">
        <f t="shared" si="0"/>
        <v>-9.6919355111569558</v>
      </c>
      <c r="U15" s="74">
        <f t="shared" si="0"/>
        <v>-9.0752215860067285</v>
      </c>
      <c r="V15" s="74">
        <f t="shared" si="0"/>
        <v>-7.1936981291320814</v>
      </c>
      <c r="W15" s="74">
        <f t="shared" si="0"/>
        <v>-4.711204910835515</v>
      </c>
      <c r="X15" s="74">
        <f t="shared" si="0"/>
        <v>-3.1138093215550846</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Wychavon</v>
      </c>
      <c r="G20" s="88"/>
      <c r="H20" s="89"/>
      <c r="I20" s="80">
        <f>IF(VLOOKUP($F20,PAY!$A$11:$AE$349,4,FALSE)="-",#N/A,VLOOKUP($F20,PAY!$A$11:$AE$349,4,FALSE))</f>
        <v>403.5</v>
      </c>
      <c r="J20" s="80">
        <f>IF(VLOOKUP($F20,PAY!$A$11:$AE$349,6,FALSE)="-",#N/A,VLOOKUP($F20,PAY!$A$11:$AE$349,6,FALSE))</f>
        <v>425.4</v>
      </c>
      <c r="K20" s="80">
        <f>IF(VLOOKUP($F20,PAY!$A$11:$AE$349,8,FALSE)="-",#N/A,VLOOKUP($F20,PAY!$A$11:$AE$349,8,FALSE))</f>
        <v>437.9</v>
      </c>
      <c r="L20" s="80">
        <f>IF(VLOOKUP($F20,PAY!$A$11:$AE$349,10,FALSE)="-",#N/A,VLOOKUP($F20,PAY!$A$11:$AE$349,10,FALSE))</f>
        <v>452.2</v>
      </c>
      <c r="M20" s="80">
        <f>IF(VLOOKUP($F20,PAY!$A$11:$AE$349,12,FALSE)="-",#N/A,VLOOKUP($F20,PAY!$A$11:$AE$349,12,FALSE))</f>
        <v>431.6</v>
      </c>
      <c r="N20" s="80">
        <f>IF(VLOOKUP($F20,PAY!$A$11:$AE$349,14,FALSE)="-",#N/A,VLOOKUP($F20,PAY!$A$11:$AE$349,14,FALSE))</f>
        <v>448.5</v>
      </c>
      <c r="O20" s="80">
        <f>IF(VLOOKUP($F20,PAY!$A$11:$AE$349,16,FALSE)="-",#N/A,VLOOKUP($F20,PAY!$A$11:$AE$349,16,FALSE))</f>
        <v>462.1</v>
      </c>
      <c r="P20" s="80">
        <f>IF(VLOOKUP($F20,PAY!$A$11:$AE$349,18,FALSE)="-",#N/A,VLOOKUP($F20,PAY!$A$11:$AE$349,18,FALSE))</f>
        <v>493.9</v>
      </c>
      <c r="Q20" s="80">
        <f>IF(VLOOKUP($F20,PAY!$A$11:$AE$349,20,FALSE)="-",#N/A,VLOOKUP($F20,PAY!$A$11:$AE$349,20,FALSE))</f>
        <v>514.9</v>
      </c>
      <c r="R20" s="80">
        <f>IF(VLOOKUP($F20,PAY!$A$11:$AE$349,22,FALSE)="-",#N/A,VLOOKUP($F20,PAY!$A$11:$AE$349,22,FALSE))</f>
        <v>510.9</v>
      </c>
      <c r="S20" s="80">
        <f>IF(VLOOKUP($F20,PAY!$A$11:$AE$349,24,FALSE)="-",#N/A,VLOOKUP($F20,PAY!$A$11:$AE$349,24,FALSE))</f>
        <v>505.7</v>
      </c>
      <c r="T20" s="80">
        <f>IF(VLOOKUP($F20,PAY!$A$11:$AE$349,26,FALSE)="-",#N/A,VLOOKUP($F20,PAY!$A$11:$AE$349,26,FALSE))</f>
        <v>525.1</v>
      </c>
      <c r="U20" s="80">
        <f>IF(VLOOKUP($F20,PAY!$A$11:$AE$349,28,FALSE)="-",#N/A,VLOOKUP($F20,PAY!$A$11:$AE$349,28,FALSE))</f>
        <v>516.20000000000005</v>
      </c>
      <c r="V20" s="80">
        <f>IF(VLOOKUP($F20,PAY!$A$11:$AE$349,30,FALSE)="-",#N/A,VLOOKUP($F20,PAY!$A$11:$AE$349,30,FALSE))</f>
        <v>568</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Wychavon to Rural as a Region</v>
      </c>
      <c r="G23" s="102"/>
      <c r="H23" s="103"/>
      <c r="I23" s="74">
        <f>100*((I20-I21)/I21)</f>
        <v>-6.8112984704616659</v>
      </c>
      <c r="J23" s="74">
        <f t="shared" ref="J23:V23" si="2">100*((J20-J21)/J21)</f>
        <v>-2.637752474681017</v>
      </c>
      <c r="K23" s="74">
        <f t="shared" si="2"/>
        <v>-2.2790381035510694</v>
      </c>
      <c r="L23" s="74">
        <f t="shared" si="2"/>
        <v>0.34324300031460908</v>
      </c>
      <c r="M23" s="74">
        <f t="shared" si="2"/>
        <v>-5.1934979785453379</v>
      </c>
      <c r="N23" s="74">
        <f t="shared" si="2"/>
        <v>-3.1677534667373575</v>
      </c>
      <c r="O23" s="74">
        <f t="shared" si="2"/>
        <v>-1.8484462297074153</v>
      </c>
      <c r="P23" s="74">
        <f t="shared" si="2"/>
        <v>4.0180320920052486</v>
      </c>
      <c r="Q23" s="74">
        <f t="shared" si="2"/>
        <v>5.1927766614687014</v>
      </c>
      <c r="R23" s="74">
        <f t="shared" si="2"/>
        <v>1.3575921949749779</v>
      </c>
      <c r="S23" s="74">
        <f t="shared" si="2"/>
        <v>-1.696184946980879</v>
      </c>
      <c r="T23" s="74">
        <f t="shared" si="2"/>
        <v>-1.6111727008500734</v>
      </c>
      <c r="U23" s="74">
        <f t="shared" si="2"/>
        <v>-2.7960160627991462</v>
      </c>
      <c r="V23" s="74">
        <f t="shared" si="2"/>
        <v>0.66384672379147358</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Wychavon</v>
      </c>
      <c r="G28" s="88"/>
      <c r="H28" s="89"/>
      <c r="I28" s="76">
        <f>VLOOKUP($F28,EMPLOYMENT!$A$6:$BW$345,6,FALSE)</f>
        <v>77.099999999999994</v>
      </c>
      <c r="J28" s="77">
        <f>VLOOKUP($F28,EMPLOYMENT!$A$6:$BW$345,10,FALSE)</f>
        <v>80.599999999999994</v>
      </c>
      <c r="K28" s="77">
        <f>VLOOKUP($F28,EMPLOYMENT!$A$6:$BW$345,14,FALSE)</f>
        <v>79.900000000000006</v>
      </c>
      <c r="L28" s="77">
        <f>VLOOKUP($F28,EMPLOYMENT!$A$6:$BW$345,18,FALSE)</f>
        <v>76.099999999999994</v>
      </c>
      <c r="M28" s="77">
        <f>VLOOKUP($F28,EMPLOYMENT!$A$6:$BW$345,22,FALSE)</f>
        <v>80.099999999999994</v>
      </c>
      <c r="N28" s="77">
        <f>VLOOKUP($F28,EMPLOYMENT!$A$6:$BW$345,26,FALSE)</f>
        <v>77.099999999999994</v>
      </c>
      <c r="O28" s="77">
        <f>VLOOKUP($F28,EMPLOYMENT!$A$6:$BW$345,30,FALSE)</f>
        <v>78.8</v>
      </c>
      <c r="P28" s="77">
        <f>VLOOKUP($F28,EMPLOYMENT!$A$6:$BW$345,34,FALSE)</f>
        <v>78.3</v>
      </c>
      <c r="Q28" s="77">
        <f>VLOOKUP($F28,EMPLOYMENT!$A$6:$BW$345,38,FALSE)</f>
        <v>75.599999999999994</v>
      </c>
      <c r="R28" s="77">
        <f>VLOOKUP($F28,EMPLOYMENT!$A$6:$BW$345,42,FALSE)</f>
        <v>73.7</v>
      </c>
      <c r="S28" s="77">
        <f>VLOOKUP($F28,EMPLOYMENT!$A$6:$BW$345,46,FALSE)</f>
        <v>79.599999999999994</v>
      </c>
      <c r="T28" s="77">
        <f>VLOOKUP($F28,EMPLOYMENT!$A$6:$BW$345,50,FALSE)</f>
        <v>79.5</v>
      </c>
      <c r="U28" s="77">
        <f>VLOOKUP($F28,EMPLOYMENT!$A$6:$BW$345,54,FALSE)</f>
        <v>81.3</v>
      </c>
      <c r="V28" s="77">
        <f>VLOOKUP($F28,EMPLOYMENT!$A$6:$BW$345,58,FALSE)</f>
        <v>75.099999999999994</v>
      </c>
      <c r="W28" s="77">
        <f>VLOOKUP($F28,EMPLOYMENT!$A$6:$BW$345,62,FALSE)</f>
        <v>81.5</v>
      </c>
      <c r="X28" s="77">
        <f>VLOOKUP($F28,EMPLOYMENT!$A$6:$BW$345,66,FALSE)</f>
        <v>78.3</v>
      </c>
      <c r="Y28" s="77">
        <f>VLOOKUP($F28,EMPLOYMENT!$A$6:$BW$345,70,FALSE)</f>
        <v>79.2</v>
      </c>
      <c r="Z28" s="77">
        <f>VLOOKUP($F28,EMPLOYMENT!$A$6:$BW$345,74,FALSE)</f>
        <v>80.900000000000006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Wychavon to Rural as a Region</v>
      </c>
      <c r="G31" s="102"/>
      <c r="H31" s="103"/>
      <c r="I31" s="74">
        <f>(I28-I29)</f>
        <v>0.98865808059825611</v>
      </c>
      <c r="J31" s="74">
        <f t="shared" ref="J31:Z31" si="4">(J28-J29)</f>
        <v>4.2870245333170374</v>
      </c>
      <c r="K31" s="74">
        <f t="shared" si="4"/>
        <v>4.0268111005132425</v>
      </c>
      <c r="L31" s="74">
        <f t="shared" si="4"/>
        <v>0.4595316973721566</v>
      </c>
      <c r="M31" s="74">
        <f t="shared" si="4"/>
        <v>4.3644756266682521</v>
      </c>
      <c r="N31" s="74">
        <f t="shared" si="4"/>
        <v>2.5904601571268131</v>
      </c>
      <c r="O31" s="74">
        <f t="shared" si="4"/>
        <v>5.2528668610301281</v>
      </c>
      <c r="P31" s="74">
        <f t="shared" si="4"/>
        <v>4.5657045967223837</v>
      </c>
      <c r="Q31" s="74">
        <f t="shared" si="4"/>
        <v>1.5668425245374209</v>
      </c>
      <c r="R31" s="74">
        <f t="shared" si="4"/>
        <v>-1.0444749299002041</v>
      </c>
      <c r="S31" s="74">
        <f t="shared" si="4"/>
        <v>3.4911396599243858</v>
      </c>
      <c r="T31" s="74">
        <f t="shared" si="4"/>
        <v>2.3094680243909806</v>
      </c>
      <c r="U31" s="74">
        <f t="shared" si="4"/>
        <v>4.3283675182919552</v>
      </c>
      <c r="V31" s="74">
        <f t="shared" si="4"/>
        <v>-2.9327868852459034</v>
      </c>
      <c r="W31" s="74">
        <f t="shared" si="4"/>
        <v>3.451843106585855</v>
      </c>
      <c r="X31" s="74">
        <f t="shared" si="4"/>
        <v>-0.29129937895670821</v>
      </c>
      <c r="Y31" s="74">
        <f t="shared" si="4"/>
        <v>2.1856537038707984</v>
      </c>
      <c r="Z31" s="74">
        <f t="shared" si="4"/>
        <v>4.7442419221209633</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Wychavon</v>
      </c>
      <c r="G36" s="88" t="str">
        <f>IFERROR(VLOOKUP(F36,GDHI!B338:C574,2,FALSE),VLOOKUP(F36,GDHI!C3:C336,1,FALSE))</f>
        <v>Wychavon</v>
      </c>
      <c r="H36" s="89" t="str">
        <f>IF(F36=G36,"",G36)</f>
        <v/>
      </c>
      <c r="I36" s="83">
        <f>IFERROR(VLOOKUP($F36,GDHI!$B$338:$U$574,GDHI!G$578,FALSE),VLOOKUP($F36,GDHI!$C$3:$U$336,GDHI!F$578,FALSE))</f>
        <v>15657</v>
      </c>
      <c r="J36" s="84">
        <f>IFERROR(VLOOKUP($F36,GDHI!$B$338:$U$574,GDHI!H$578,FALSE),VLOOKUP($F36,GDHI!$C$3:$U$336,GDHI!G$578,FALSE))</f>
        <v>16461</v>
      </c>
      <c r="K36" s="84">
        <f>IFERROR(VLOOKUP($F36,GDHI!$B$338:$U$574,GDHI!I$578,FALSE),VLOOKUP($F36,GDHI!$C$3:$U$336,GDHI!H$578,FALSE))</f>
        <v>17211</v>
      </c>
      <c r="L36" s="84">
        <f>IFERROR(VLOOKUP($F36,GDHI!$B$338:$U$574,GDHI!J$578,FALSE),VLOOKUP($F36,GDHI!$C$3:$U$336,GDHI!I$578,FALSE))</f>
        <v>17554</v>
      </c>
      <c r="M36" s="84">
        <f>IFERROR(VLOOKUP($F36,GDHI!$B$338:$U$574,GDHI!K$578,FALSE),VLOOKUP($F36,GDHI!$C$3:$U$336,GDHI!J$578,FALSE))</f>
        <v>17971</v>
      </c>
      <c r="N36" s="84">
        <f>IFERROR(VLOOKUP($F36,GDHI!$B$338:$U$574,GDHI!L$578,FALSE),VLOOKUP($F36,GDHI!$C$3:$U$336,GDHI!K$578,FALSE))</f>
        <v>17932</v>
      </c>
      <c r="O36" s="84">
        <f>IFERROR(VLOOKUP($F36,GDHI!$B$338:$U$574,GDHI!M$578,FALSE),VLOOKUP($F36,GDHI!$C$3:$U$336,GDHI!L$578,FALSE))</f>
        <v>17925</v>
      </c>
      <c r="P36" s="84">
        <f>IFERROR(VLOOKUP($F36,GDHI!$B$338:$U$574,GDHI!N$578,FALSE),VLOOKUP($F36,GDHI!$C$3:$U$336,GDHI!M$578,FALSE))</f>
        <v>18277</v>
      </c>
      <c r="Q36" s="84">
        <f>IFERROR(VLOOKUP($F36,GDHI!$B$338:$U$574,GDHI!O$578,FALSE),VLOOKUP($F36,GDHI!$C$3:$U$336,GDHI!N$578,FALSE))</f>
        <v>18686</v>
      </c>
      <c r="R36" s="84">
        <f>IFERROR(VLOOKUP($F36,GDHI!$B$338:$U$574,GDHI!P$578,FALSE),VLOOKUP($F36,GDHI!$C$3:$U$336,GDHI!O$578,FALSE))</f>
        <v>19329</v>
      </c>
      <c r="S36" s="84">
        <f>IFERROR(VLOOKUP($F36,GDHI!$B$338:$U$574,GDHI!Q$578,FALSE),VLOOKUP($F36,GDHI!$C$3:$U$336,GDHI!P$578,FALSE))</f>
        <v>20144</v>
      </c>
      <c r="T36" s="84">
        <f>IFERROR(VLOOKUP($F36,GDHI!$B$338:$U$574,GDHI!R$578,FALSE),VLOOKUP($F36,GDHI!$C$3:$U$336,GDHI!Q$578,FALSE))</f>
        <v>21272</v>
      </c>
      <c r="U36" s="84">
        <f>IFERROR(VLOOKUP($F36,GDHI!$B$338:$U$574,GDHI!S$578,FALSE),VLOOKUP($F36,GDHI!$C$3:$U$336,GDHI!R$578,FALSE))</f>
        <v>21579</v>
      </c>
      <c r="V36" s="84">
        <f>IFERROR(VLOOKUP($F36,GDHI!$B$338:$U$574,GDHI!T$578,FALSE),VLOOKUP($F36,GDHI!$C$3:$U$336,GDHI!S$578,FALSE))</f>
        <v>21566</v>
      </c>
      <c r="W36" s="84">
        <f>IFERROR(VLOOKUP($F36,GDHI!$B$338:$U$574,GDHI!U$578,FALSE),VLOOKUP($F36,GDHI!$C$3:$U$336,GDHI!T$578,FALSE))</f>
        <v>22838</v>
      </c>
      <c r="X36" s="84">
        <f>IFERROR(VLOOKUP($F36,GDHI!$B$338:$U$574,GDHI!V$578,FALSE),VLOOKUP($F36,GDHI!$C$3:$U$336,GDHI!U$578,FALSE))</f>
        <v>23462</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Wychavon to Rural as a Region</v>
      </c>
      <c r="G39" s="102"/>
      <c r="H39" s="103"/>
      <c r="I39" s="74">
        <f>100*((I36-I37)/I37)</f>
        <v>6.4414154118086948</v>
      </c>
      <c r="J39" s="74">
        <f t="shared" ref="J39:X39" si="6">100*((J36-J37)/J37)</f>
        <v>7.2976167104194083</v>
      </c>
      <c r="K39" s="74">
        <f t="shared" si="6"/>
        <v>8.0809281483458495</v>
      </c>
      <c r="L39" s="74">
        <f t="shared" si="6"/>
        <v>5.950089349419815</v>
      </c>
      <c r="M39" s="74">
        <f t="shared" si="6"/>
        <v>5.3191778824452101</v>
      </c>
      <c r="N39" s="74">
        <f t="shared" si="6"/>
        <v>3.695636460014931</v>
      </c>
      <c r="O39" s="74">
        <f t="shared" si="6"/>
        <v>2.3822556462552584</v>
      </c>
      <c r="P39" s="74">
        <f t="shared" si="6"/>
        <v>2.6795005898860662</v>
      </c>
      <c r="Q39" s="74">
        <f t="shared" si="6"/>
        <v>1.7403715644676492</v>
      </c>
      <c r="R39" s="74">
        <f t="shared" si="6"/>
        <v>2.4110467254232453</v>
      </c>
      <c r="S39" s="74">
        <f t="shared" si="6"/>
        <v>3.8562740177024422</v>
      </c>
      <c r="T39" s="74">
        <f t="shared" si="6"/>
        <v>3.9770684002695447</v>
      </c>
      <c r="U39" s="74">
        <f t="shared" si="6"/>
        <v>4.6259376666674292</v>
      </c>
      <c r="V39" s="74">
        <f t="shared" si="6"/>
        <v>2.8642877381819658</v>
      </c>
      <c r="W39" s="74">
        <f t="shared" si="6"/>
        <v>4.5605918729744763</v>
      </c>
      <c r="X39" s="74">
        <f t="shared" si="6"/>
        <v>5.3755311396048935</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Wychavon</v>
      </c>
      <c r="G44" s="88"/>
      <c r="H44" s="89"/>
      <c r="I44" s="76">
        <f>VLOOKUP($F44,'LOW PAID'!$A$9:$N$444,6,FALSE)</f>
        <v>27.6</v>
      </c>
      <c r="J44" s="77">
        <f>VLOOKUP($F44,'LOW PAID'!$P$9:$W$444,6,FALSE)</f>
        <v>27.8</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Wychavon to Rural as a Region</v>
      </c>
      <c r="G47" s="102"/>
      <c r="H47" s="103"/>
      <c r="I47" s="74">
        <f>(I44-I45)</f>
        <v>2.4061253217868845</v>
      </c>
      <c r="J47" s="74">
        <f>(J44-J45)</f>
        <v>2.1138834909699469</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Wychavon</v>
      </c>
      <c r="G52" s="88"/>
      <c r="H52" s="89"/>
      <c r="I52" s="76">
        <f>VLOOKUP($F52,INACTIVITY!$A$6:$BW$345,6,FALSE)</f>
        <v>22.1</v>
      </c>
      <c r="J52" s="77">
        <f>VLOOKUP($F52,INACTIVITY!$A$6:$BW$345,10,FALSE)</f>
        <v>17.399999999999999</v>
      </c>
      <c r="K52" s="77">
        <f>VLOOKUP($F52,INACTIVITY!$A$6:$BW$345,14,FALSE)</f>
        <v>17.100000000000001</v>
      </c>
      <c r="L52" s="77">
        <f>VLOOKUP($F52,INACTIVITY!$A$6:$BW$345,18,FALSE)</f>
        <v>21.1</v>
      </c>
      <c r="M52" s="77">
        <f>VLOOKUP($F52,INACTIVITY!$A$6:$BW$345,22,FALSE)</f>
        <v>17.100000000000001</v>
      </c>
      <c r="N52" s="77">
        <f>VLOOKUP($F52,INACTIVITY!$A$6:$BW$345,26,FALSE)</f>
        <v>18.5</v>
      </c>
      <c r="O52" s="77">
        <f>VLOOKUP($F52,INACTIVITY!$A$6:$BW$345,30,FALSE)</f>
        <v>19.100000000000001</v>
      </c>
      <c r="P52" s="77">
        <f>VLOOKUP($F52,INACTIVITY!$A$6:$BW$345,34,FALSE)</f>
        <v>20.100000000000001</v>
      </c>
      <c r="Q52" s="77">
        <f>VLOOKUP($F52,INACTIVITY!$A$6:$BW$345,38,FALSE)</f>
        <v>19.7</v>
      </c>
      <c r="R52" s="77">
        <f>VLOOKUP($F52,INACTIVITY!$A$6:$BW$345,42,FALSE)</f>
        <v>23.8</v>
      </c>
      <c r="S52" s="77">
        <f>VLOOKUP($F52,INACTIVITY!$A$6:$BW$345,46,FALSE)</f>
        <v>16.100000000000001</v>
      </c>
      <c r="T52" s="77">
        <f>VLOOKUP($F52,INACTIVITY!$A$6:$BW$345,50,FALSE)</f>
        <v>19</v>
      </c>
      <c r="U52" s="77">
        <f>VLOOKUP($F52,INACTIVITY!$A$6:$BW$345,54,FALSE)</f>
        <v>16</v>
      </c>
      <c r="V52" s="77">
        <f>VLOOKUP($F52,INACTIVITY!$A$6:$BW$345,58,FALSE)</f>
        <v>22</v>
      </c>
      <c r="W52" s="77">
        <f>VLOOKUP($F52,INACTIVITY!$A$6:$BW$345,62,FALSE)</f>
        <v>17.3</v>
      </c>
      <c r="X52" s="77">
        <f>VLOOKUP($F52,INACTIVITY!$A$6:$BW$345,66,FALSE)</f>
        <v>19.5</v>
      </c>
      <c r="Y52" s="77">
        <f>VLOOKUP($F52,INACTIVITY!$A$6:$BW$345,70,FALSE)</f>
        <v>20.100000000000001</v>
      </c>
      <c r="Z52" s="77">
        <f>VLOOKUP($F52,INACTIVITY!$A$6:$BW$345,74,FALSE)</f>
        <v>17.899999999999999</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Wychavon to Rural as a Region</v>
      </c>
      <c r="G55" s="102"/>
      <c r="H55" s="103"/>
      <c r="I55" s="74">
        <f>(I52-I53)</f>
        <v>0.70435542838976417</v>
      </c>
      <c r="J55" s="74">
        <f t="shared" ref="J55:Z55" si="10">(J52-J53)</f>
        <v>-3.608522727272728</v>
      </c>
      <c r="K55" s="74">
        <f t="shared" si="10"/>
        <v>-3.7624653934587755</v>
      </c>
      <c r="L55" s="74">
        <f t="shared" si="10"/>
        <v>-0.21406533153663787</v>
      </c>
      <c r="M55" s="74">
        <f t="shared" si="10"/>
        <v>-3.7350023108920034</v>
      </c>
      <c r="N55" s="74">
        <f t="shared" si="10"/>
        <v>-2.4331437579204405</v>
      </c>
      <c r="O55" s="74">
        <f t="shared" si="10"/>
        <v>-2.5919371275051724</v>
      </c>
      <c r="P55" s="74">
        <f t="shared" si="10"/>
        <v>-1.3942457807534474</v>
      </c>
      <c r="Q55" s="74">
        <f t="shared" si="10"/>
        <v>-1.4825487944890945</v>
      </c>
      <c r="R55" s="74">
        <f t="shared" si="10"/>
        <v>3.0254069025612296</v>
      </c>
      <c r="S55" s="74">
        <f t="shared" si="10"/>
        <v>-4.1732104559723986</v>
      </c>
      <c r="T55" s="74">
        <f t="shared" si="10"/>
        <v>-0.69619468340695789</v>
      </c>
      <c r="U55" s="74">
        <f t="shared" si="10"/>
        <v>-3.8524293470694708</v>
      </c>
      <c r="V55" s="74">
        <f t="shared" si="10"/>
        <v>2.7467226657196235</v>
      </c>
      <c r="W55" s="74">
        <f t="shared" si="10"/>
        <v>-1.8769560091828481</v>
      </c>
      <c r="X55" s="74">
        <f t="shared" si="10"/>
        <v>0.64793505063506984</v>
      </c>
      <c r="Y55" s="74">
        <f t="shared" si="10"/>
        <v>0.32741727812853938</v>
      </c>
      <c r="Z55" s="74">
        <f t="shared" si="10"/>
        <v>-3.1851797756300719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Wychavon</v>
      </c>
      <c r="G60" s="88"/>
      <c r="H60" s="89"/>
      <c r="I60" s="76">
        <f>VLOOKUP($F60,DISABILITY!$A$718:$I$1052,DISABILITY!B$1053,FALSE)</f>
        <v>22.800000000000004</v>
      </c>
      <c r="J60" s="77">
        <f>VLOOKUP($F60,DISABILITY!$A$718:$I$1052,DISABILITY!C$1053,FALSE)</f>
        <v>25.6</v>
      </c>
      <c r="K60" s="77">
        <f>VLOOKUP($F60,DISABILITY!$A$718:$I$1052,DISABILITY!D$1053,FALSE)</f>
        <v>28.5</v>
      </c>
      <c r="L60" s="77">
        <f>VLOOKUP($F60,DISABILITY!$A$718:$I$1052,DISABILITY!E$1053,FALSE)</f>
        <v>28</v>
      </c>
      <c r="M60" s="77">
        <f>VLOOKUP($F60,DISABILITY!$A$718:$I$1052,DISABILITY!F$1053,FALSE)</f>
        <v>33.800000000000004</v>
      </c>
      <c r="N60" s="77">
        <f>VLOOKUP($F60,DISABILITY!$A$718:$I$1052,DISABILITY!G$1053,FALSE)</f>
        <v>31.699999999999996</v>
      </c>
      <c r="O60" s="77">
        <f>VLOOKUP($F60,DISABILITY!$A$718:$I$1052,DISABILITY!H$1053,FALSE)</f>
        <v>14</v>
      </c>
      <c r="P60" s="77">
        <f>VLOOKUP($F60,DISABILITY!$A$718:$I$1052,DISABILITY!I$1053,FALSE)</f>
        <v>25.899999999999991</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Wychavon to Rural as a Region</v>
      </c>
      <c r="G63" s="102"/>
      <c r="H63" s="103"/>
      <c r="I63" s="74">
        <f>(I60-I61)</f>
        <v>-4.620156540647244</v>
      </c>
      <c r="J63" s="74">
        <f t="shared" ref="J63:P63" si="12">(J60-J61)</f>
        <v>-1.7190444070511859</v>
      </c>
      <c r="K63" s="74">
        <f t="shared" si="12"/>
        <v>0.38087163850179451</v>
      </c>
      <c r="L63" s="74">
        <f t="shared" si="12"/>
        <v>2.0090654610033241</v>
      </c>
      <c r="M63" s="74">
        <f t="shared" si="12"/>
        <v>8.3247741813338862</v>
      </c>
      <c r="N63" s="74">
        <f t="shared" si="12"/>
        <v>6.168752314558013</v>
      </c>
      <c r="O63" s="74">
        <f t="shared" si="12"/>
        <v>-9.7972222879969451</v>
      </c>
      <c r="P63" s="74">
        <f t="shared" si="12"/>
        <v>0.54582206965781666</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Wychavon</v>
      </c>
      <c r="G68" s="88"/>
      <c r="H68" s="89"/>
      <c r="I68" s="76">
        <f>VLOOKUP($F68,'WORKLESS HOUSEHOLDS'!$DW$4:$EC$397,7,FALSE)</f>
        <v>5.1007431700532297</v>
      </c>
      <c r="J68" s="77">
        <f>VLOOKUP($F68,'WORKLESS HOUSEHOLDS'!$DN$4:$DT$397,7,FALSE)</f>
        <v>27.148313064995428</v>
      </c>
      <c r="K68" s="77">
        <f>VLOOKUP($F68,'WORKLESS HOUSEHOLDS'!$DE$4:$DK$397,7,FALSE)</f>
        <v>7.1423647850764844</v>
      </c>
      <c r="L68" s="77">
        <f>VLOOKUP($F68,'WORKLESS HOUSEHOLDS'!$CV$4:$DB$397,7,FALSE)</f>
        <v>10.332790404520832</v>
      </c>
      <c r="M68" s="77">
        <f>VLOOKUP($F68,'WORKLESS HOUSEHOLDS'!$CM$4:$CS$397,7,FALSE)</f>
        <v>3.8946432433731464</v>
      </c>
      <c r="N68" s="77" t="str">
        <f>VLOOKUP($F68,'WORKLESS HOUSEHOLDS'!$CD$4:$CJ$397,7,FALSE)</f>
        <v>*</v>
      </c>
      <c r="O68" s="77">
        <f>VLOOKUP($F68,'WORKLESS HOUSEHOLDS'!$BU$4:$CA$397,7,FALSE)</f>
        <v>6.199596774193548</v>
      </c>
      <c r="P68" s="77">
        <f>VLOOKUP($F68,'WORKLESS HOUSEHOLDS'!$BL$4:$BR$397,7,FALSE)</f>
        <v>5.6465085198797196</v>
      </c>
      <c r="Q68" s="77">
        <f>VLOOKUP($F68,'WORKLESS HOUSEHOLDS'!$BC$4:$BI$397,7,FALSE)</f>
        <v>7.3194521012679701</v>
      </c>
      <c r="R68" s="77">
        <f>VLOOKUP($F68,'WORKLESS HOUSEHOLDS'!$AT$4:$AZ$397,7,FALSE)</f>
        <v>11.959125019958487</v>
      </c>
      <c r="S68" s="77" t="str">
        <f>VLOOKUP($F68,'WORKLESS HOUSEHOLDS'!$AK$4:$AQ$397,7,FALSE)</f>
        <v>#</v>
      </c>
      <c r="T68" s="77">
        <f>VLOOKUP($F68,'WORKLESS HOUSEHOLDS'!$AB$4:$AH$397,7,FALSE)</f>
        <v>5.3656293116664111</v>
      </c>
      <c r="U68" s="77" t="str">
        <f>VLOOKUP($F68,'WORKLESS HOUSEHOLDS'!$S$4:$Y$397,7,FALSE)</f>
        <v>#</v>
      </c>
      <c r="V68" s="77">
        <f>VLOOKUP($F68,'WORKLESS HOUSEHOLDS'!$J$4:$P$397,7,FALSE)</f>
        <v>18.259935553168635</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Wychavon to Rural as a Region</v>
      </c>
      <c r="G71" s="102"/>
      <c r="H71" s="103"/>
      <c r="I71" s="74">
        <f>(I68-I69)</f>
        <v>-4.9112026925334611</v>
      </c>
      <c r="J71" s="74">
        <f t="shared" ref="J71:W71" si="14">(J68-J69)</f>
        <v>16.237158227520403</v>
      </c>
      <c r="K71" s="74">
        <f t="shared" si="14"/>
        <v>-3.1508809440793595</v>
      </c>
      <c r="L71" s="74">
        <f t="shared" si="14"/>
        <v>-0.63321625680890037</v>
      </c>
      <c r="M71" s="74">
        <f t="shared" si="14"/>
        <v>-7.7991359378153273</v>
      </c>
      <c r="N71" s="74" t="e">
        <f t="shared" si="14"/>
        <v>#VALUE!</v>
      </c>
      <c r="O71" s="74">
        <f t="shared" si="14"/>
        <v>-4.8356564735489638</v>
      </c>
      <c r="P71" s="74">
        <f t="shared" si="14"/>
        <v>-4.0449893658881182</v>
      </c>
      <c r="Q71" s="74">
        <f t="shared" si="14"/>
        <v>-3.4857261591304418</v>
      </c>
      <c r="R71" s="74">
        <f t="shared" si="14"/>
        <v>1.2530286962289328</v>
      </c>
      <c r="S71" s="74" t="e">
        <f t="shared" si="14"/>
        <v>#VALUE!</v>
      </c>
      <c r="T71" s="74">
        <f t="shared" si="14"/>
        <v>-4.5380388829663394</v>
      </c>
      <c r="U71" s="74" t="e">
        <f t="shared" si="14"/>
        <v>#VALUE!</v>
      </c>
      <c r="V71" s="74">
        <f t="shared" si="14"/>
        <v>8.3210670766289869</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Wychavon</v>
      </c>
      <c r="G76" s="88"/>
      <c r="H76" s="89"/>
      <c r="I76" s="76">
        <f>VLOOKUP($F76,'SKILLED EMPLOYMENT'!$A$1506:$BW$1841,6,FALSE)</f>
        <v>52</v>
      </c>
      <c r="J76" s="77">
        <f>VLOOKUP($F76,'SKILLED EMPLOYMENT'!$A$1506:$BW$1841,10,FALSE)</f>
        <v>50.9</v>
      </c>
      <c r="K76" s="77">
        <f>VLOOKUP($F76,'SKILLED EMPLOYMENT'!$A$1506:$BW$1841,14,FALSE)</f>
        <v>55.1</v>
      </c>
      <c r="L76" s="77">
        <f>VLOOKUP($F76,'SKILLED EMPLOYMENT'!$A$1506:$BW$1841,18,FALSE)</f>
        <v>57.3</v>
      </c>
      <c r="M76" s="77">
        <f>VLOOKUP($F76,'SKILLED EMPLOYMENT'!$A$1506:$BW$1841,22,FALSE)</f>
        <v>54</v>
      </c>
      <c r="N76" s="77">
        <f>VLOOKUP($F76,'SKILLED EMPLOYMENT'!$A$1506:$BW$1841,26,FALSE)</f>
        <v>53.9</v>
      </c>
      <c r="O76" s="77">
        <f>VLOOKUP($F76,'SKILLED EMPLOYMENT'!$A$1506:$BW$1841,30,FALSE)</f>
        <v>55.900000000000006</v>
      </c>
      <c r="P76" s="77">
        <f>VLOOKUP($F76,'SKILLED EMPLOYMENT'!$A$1506:$BW$1841,34,FALSE)</f>
        <v>50.5</v>
      </c>
      <c r="Q76" s="77">
        <f>VLOOKUP($F76,'SKILLED EMPLOYMENT'!$A$1506:$BW$1841,38,FALSE)</f>
        <v>60.5</v>
      </c>
      <c r="R76" s="77">
        <f>VLOOKUP($F76,'SKILLED EMPLOYMENT'!$A$1506:$BW$1841,42,FALSE)</f>
        <v>59.800000000000004</v>
      </c>
      <c r="S76" s="77">
        <f>VLOOKUP($F76,'SKILLED EMPLOYMENT'!$A$1506:$BW$1841,46,FALSE)</f>
        <v>59.400000000000006</v>
      </c>
      <c r="T76" s="77">
        <f>VLOOKUP($F76,'SKILLED EMPLOYMENT'!$A$1506:$BW$1841,50,FALSE)</f>
        <v>59.2</v>
      </c>
      <c r="U76" s="77">
        <f>VLOOKUP($F76,'SKILLED EMPLOYMENT'!$A$1506:$BW$1841,54,FALSE)</f>
        <v>60.800000000000004</v>
      </c>
      <c r="V76" s="77">
        <f>VLOOKUP($F76,'SKILLED EMPLOYMENT'!$A$1506:$BW$1841,58,FALSE)</f>
        <v>61.2</v>
      </c>
      <c r="W76" s="77">
        <f>VLOOKUP($F76,'SKILLED EMPLOYMENT'!$A$1506:$BW$1841,62,FALSE)</f>
        <v>67.600000000000009</v>
      </c>
      <c r="X76" s="77">
        <f>VLOOKUP($F76,'SKILLED EMPLOYMENT'!$A$1506:$BW$1841,66,FALSE)</f>
        <v>56.300000000000004</v>
      </c>
      <c r="Y76" s="77">
        <f>VLOOKUP($F76,'SKILLED EMPLOYMENT'!$A$1506:$BW$1841,70,FALSE)</f>
        <v>54.500000000000007</v>
      </c>
      <c r="Z76" s="77">
        <f>VLOOKUP($F76,'SKILLED EMPLOYMENT'!$A$1506:$BW$1841,74,FALSE)</f>
        <v>51.8</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Wychavon to Rural as a Region</v>
      </c>
      <c r="G79" s="102"/>
      <c r="H79" s="103"/>
      <c r="I79" s="74">
        <f>(I76-I77)</f>
        <v>-0.70000000000000284</v>
      </c>
      <c r="J79" s="74">
        <f t="shared" ref="J79:Z79" si="17">(J76-J77)</f>
        <v>-2</v>
      </c>
      <c r="K79" s="74">
        <f t="shared" si="17"/>
        <v>1.6000000000000014</v>
      </c>
      <c r="L79" s="74">
        <f t="shared" si="17"/>
        <v>3.2999999999999972</v>
      </c>
      <c r="M79" s="74">
        <f t="shared" si="17"/>
        <v>-0.10000000000000142</v>
      </c>
      <c r="N79" s="74">
        <f t="shared" si="17"/>
        <v>-0.5</v>
      </c>
      <c r="O79" s="74">
        <f t="shared" si="17"/>
        <v>0.50000000000000711</v>
      </c>
      <c r="P79" s="74">
        <f t="shared" si="17"/>
        <v>-5.1000000000000014</v>
      </c>
      <c r="Q79" s="74">
        <f t="shared" si="17"/>
        <v>5.1000000000000014</v>
      </c>
      <c r="R79" s="74">
        <f t="shared" si="17"/>
        <v>3.6000000000000014</v>
      </c>
      <c r="S79" s="74">
        <f t="shared" si="17"/>
        <v>3.2000000000000028</v>
      </c>
      <c r="T79" s="74">
        <f t="shared" si="17"/>
        <v>2.4000000000000057</v>
      </c>
      <c r="U79" s="74">
        <f t="shared" si="17"/>
        <v>4.2000000000000028</v>
      </c>
      <c r="V79" s="74">
        <f t="shared" si="17"/>
        <v>4.1000000000000014</v>
      </c>
      <c r="W79" s="74">
        <f t="shared" si="17"/>
        <v>9.8000000000000114</v>
      </c>
      <c r="X79" s="74">
        <f t="shared" si="17"/>
        <v>-2.4999999999999929</v>
      </c>
      <c r="Y79" s="74">
        <f t="shared" si="17"/>
        <v>-4.1999999999999957</v>
      </c>
      <c r="Z79" s="74">
        <f t="shared" si="17"/>
        <v>-6.6000000000000014</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xoowR191LSVau3BMoM62eR1yTFO69QA1NsZsVYvbN1t03NbwAIl9XR63DjtYt/fpzV0FixzkZOMJTpPUvkJbCA==" saltValue="Wcayrjl+T/jqVkaC8Kp9A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2022-08-02T13:36:56Z</dcterms:modified>
</cp:coreProperties>
</file>