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88" documentId="8_{80D32B1C-A59F-43BC-991A-1F3959971873}" xr6:coauthVersionLast="46" xr6:coauthVersionMax="46" xr10:uidLastSave="{3429D71B-ADA7-4349-B971-8EF7FFB96DAF}"/>
  <workbookProtection workbookAlgorithmName="SHA-512" workbookHashValue="DgFI7BMF+mGxKUXROWwXFYbil1uNLAU76t15x6qaVXyHBTK2Cfp+2dkMPXpsK79QMEN8APqVO4TWCVD8hG0eJQ==" workbookSaltValue="gCemw/9RQDAQgIjw6K903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8" l="1"/>
  <c r="T39" i="8" s="1"/>
  <c r="B89" i="8"/>
  <c r="B92" i="8"/>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J340" i="11"/>
  <c r="A340" i="11"/>
  <c r="A339" i="11"/>
  <c r="J338" i="11"/>
  <c r="A338" i="11"/>
  <c r="A337" i="11"/>
  <c r="A336" i="11"/>
  <c r="J335" i="11"/>
  <c r="A335" i="11"/>
  <c r="A334" i="11"/>
  <c r="A333" i="11"/>
  <c r="A332" i="11"/>
  <c r="J331" i="11"/>
  <c r="A331" i="11"/>
  <c r="A330" i="11"/>
  <c r="J329" i="11"/>
  <c r="A329" i="11"/>
  <c r="J328" i="11"/>
  <c r="A328" i="11"/>
  <c r="A327" i="11"/>
  <c r="A326" i="11"/>
  <c r="A325" i="11"/>
  <c r="A324" i="11"/>
  <c r="A323" i="11"/>
  <c r="A322" i="11"/>
  <c r="A321" i="11"/>
  <c r="A320" i="11"/>
  <c r="A319" i="11"/>
  <c r="A318" i="11"/>
  <c r="A317" i="11"/>
  <c r="J316" i="11"/>
  <c r="A316" i="11"/>
  <c r="A315" i="11"/>
  <c r="A314" i="11"/>
  <c r="J313" i="11"/>
  <c r="A313" i="11"/>
  <c r="J312" i="11"/>
  <c r="A312" i="11"/>
  <c r="J311" i="11"/>
  <c r="A311" i="11"/>
  <c r="J310" i="11"/>
  <c r="A310" i="11"/>
  <c r="A309" i="11"/>
  <c r="A308" i="11"/>
  <c r="A307" i="11"/>
  <c r="J306" i="11"/>
  <c r="A306" i="11"/>
  <c r="J305" i="11"/>
  <c r="A305" i="11"/>
  <c r="A304" i="11"/>
  <c r="A303" i="11"/>
  <c r="A302" i="11"/>
  <c r="A301" i="11"/>
  <c r="A300" i="11"/>
  <c r="A299" i="11"/>
  <c r="A298" i="11"/>
  <c r="A297" i="11"/>
  <c r="A296" i="11"/>
  <c r="A295" i="11"/>
  <c r="A294" i="11"/>
  <c r="A293" i="11"/>
  <c r="A292" i="11"/>
  <c r="A291" i="11"/>
  <c r="J290" i="11"/>
  <c r="A290" i="11"/>
  <c r="A289" i="11"/>
  <c r="A288" i="11"/>
  <c r="J287" i="11"/>
  <c r="A287" i="11"/>
  <c r="A286" i="11"/>
  <c r="J285" i="11"/>
  <c r="A285" i="11"/>
  <c r="J284" i="11"/>
  <c r="A284" i="11"/>
  <c r="A283" i="11"/>
  <c r="J282" i="11"/>
  <c r="A282" i="11"/>
  <c r="A281" i="11"/>
  <c r="A280" i="11"/>
  <c r="A279" i="11"/>
  <c r="A278" i="11"/>
  <c r="J277" i="11"/>
  <c r="A277" i="11"/>
  <c r="A276" i="11"/>
  <c r="A275" i="11"/>
  <c r="J274" i="11"/>
  <c r="A274" i="11"/>
  <c r="A273" i="11"/>
  <c r="J272" i="11"/>
  <c r="A272" i="11"/>
  <c r="A271" i="11"/>
  <c r="A270" i="11"/>
  <c r="A269" i="11"/>
  <c r="J268" i="11"/>
  <c r="A268" i="11"/>
  <c r="A267" i="11"/>
  <c r="A266" i="11"/>
  <c r="J265" i="11"/>
  <c r="A265" i="11"/>
  <c r="A264" i="11"/>
  <c r="A263" i="11"/>
  <c r="A262" i="11"/>
  <c r="A261" i="11"/>
  <c r="A260" i="11"/>
  <c r="A259" i="11"/>
  <c r="A258" i="11"/>
  <c r="A257" i="11"/>
  <c r="A256" i="11"/>
  <c r="A255" i="11"/>
  <c r="A254" i="11"/>
  <c r="A253" i="11"/>
  <c r="A252" i="11"/>
  <c r="A251" i="11"/>
  <c r="J250" i="11"/>
  <c r="A250" i="11"/>
  <c r="J249" i="11"/>
  <c r="A249" i="11"/>
  <c r="A248" i="11"/>
  <c r="A247" i="11"/>
  <c r="A246" i="11"/>
  <c r="J245" i="11"/>
  <c r="A245" i="11"/>
  <c r="A244" i="11"/>
  <c r="A243" i="11"/>
  <c r="J242" i="11"/>
  <c r="A242" i="11"/>
  <c r="A241" i="11"/>
  <c r="A240" i="11"/>
  <c r="J239" i="11"/>
  <c r="A239" i="11"/>
  <c r="J238" i="11"/>
  <c r="A238" i="11"/>
  <c r="A237" i="11"/>
  <c r="A236" i="11"/>
  <c r="A235" i="11"/>
  <c r="A234" i="11"/>
  <c r="A233" i="11"/>
  <c r="A232" i="11"/>
  <c r="J231" i="11"/>
  <c r="A231" i="11"/>
  <c r="A230" i="11"/>
  <c r="A229" i="11"/>
  <c r="A228" i="11"/>
  <c r="J227" i="11"/>
  <c r="A227" i="11"/>
  <c r="A226" i="11"/>
  <c r="J225" i="11"/>
  <c r="A225" i="11"/>
  <c r="A224" i="11"/>
  <c r="A223" i="11"/>
  <c r="A222" i="11"/>
  <c r="A221" i="11"/>
  <c r="J220" i="11"/>
  <c r="A220" i="11"/>
  <c r="A219" i="11"/>
  <c r="A218" i="11"/>
  <c r="A217" i="11"/>
  <c r="A216" i="11"/>
  <c r="A215" i="11"/>
  <c r="A214" i="11"/>
  <c r="J213" i="11"/>
  <c r="A213" i="11"/>
  <c r="A212" i="11"/>
  <c r="J211" i="11"/>
  <c r="A211" i="11"/>
  <c r="A210" i="11"/>
  <c r="A209" i="11"/>
  <c r="J208" i="11"/>
  <c r="A208" i="11"/>
  <c r="A207" i="11"/>
  <c r="A206" i="11"/>
  <c r="A205" i="11"/>
  <c r="J204" i="11"/>
  <c r="A204" i="11"/>
  <c r="A203" i="11"/>
  <c r="J202" i="11"/>
  <c r="A202" i="11"/>
  <c r="A201" i="11"/>
  <c r="A200" i="11"/>
  <c r="J199" i="11"/>
  <c r="A199" i="11"/>
  <c r="A198" i="11"/>
  <c r="A197" i="11"/>
  <c r="A196" i="11"/>
  <c r="A195" i="11"/>
  <c r="A194" i="11"/>
  <c r="A193" i="11"/>
  <c r="A192" i="11"/>
  <c r="A191" i="11"/>
  <c r="J190" i="11"/>
  <c r="A190" i="11"/>
  <c r="J189" i="11"/>
  <c r="A189" i="11"/>
  <c r="A188" i="11"/>
  <c r="J187" i="11"/>
  <c r="A187" i="11"/>
  <c r="A186" i="11"/>
  <c r="A185" i="11"/>
  <c r="A184" i="11"/>
  <c r="A183" i="11"/>
  <c r="A182" i="11"/>
  <c r="A181" i="11"/>
  <c r="A180" i="11"/>
  <c r="A179" i="11"/>
  <c r="J178" i="11"/>
  <c r="A178" i="11"/>
  <c r="A177" i="11"/>
  <c r="A176" i="11"/>
  <c r="A175" i="11"/>
  <c r="A174" i="11"/>
  <c r="J173" i="11"/>
  <c r="A173" i="11"/>
  <c r="A172" i="11"/>
  <c r="A171" i="11"/>
  <c r="A170" i="11"/>
  <c r="A169" i="11"/>
  <c r="J168" i="11"/>
  <c r="A168" i="11"/>
  <c r="J167" i="11"/>
  <c r="A167" i="11"/>
  <c r="A166" i="11"/>
  <c r="A165" i="11"/>
  <c r="J164" i="11"/>
  <c r="A164" i="11"/>
  <c r="A163" i="11"/>
  <c r="J162" i="11"/>
  <c r="A162" i="11"/>
  <c r="A161" i="11"/>
  <c r="J160" i="11"/>
  <c r="A160" i="11"/>
  <c r="A159" i="11"/>
  <c r="J158" i="11"/>
  <c r="A158" i="11"/>
  <c r="J157" i="11"/>
  <c r="A157" i="11"/>
  <c r="J156" i="11"/>
  <c r="A156" i="11"/>
  <c r="J155" i="11"/>
  <c r="A155" i="11"/>
  <c r="J154" i="11"/>
  <c r="A154" i="11"/>
  <c r="A153" i="11"/>
  <c r="A152" i="11"/>
  <c r="A151" i="11"/>
  <c r="J150" i="11"/>
  <c r="A150" i="11"/>
  <c r="J149" i="11"/>
  <c r="A149" i="11"/>
  <c r="J148" i="11"/>
  <c r="A148" i="11"/>
  <c r="A147" i="11"/>
  <c r="A146" i="11"/>
  <c r="A145" i="11"/>
  <c r="A144" i="11"/>
  <c r="A143" i="11"/>
  <c r="J142" i="11"/>
  <c r="A142" i="11"/>
  <c r="A141" i="11"/>
  <c r="A140" i="11"/>
  <c r="J139" i="11"/>
  <c r="A139" i="11"/>
  <c r="A138" i="11"/>
  <c r="A137" i="11"/>
  <c r="J136" i="11"/>
  <c r="A136" i="11"/>
  <c r="A135" i="11"/>
  <c r="J134" i="11"/>
  <c r="A134" i="11"/>
  <c r="A133" i="11"/>
  <c r="A132" i="11"/>
  <c r="A131" i="11"/>
  <c r="A130" i="11"/>
  <c r="J129" i="11"/>
  <c r="A129" i="11"/>
  <c r="A128" i="11"/>
  <c r="A127" i="11"/>
  <c r="J126" i="11"/>
  <c r="A126" i="11"/>
  <c r="A125" i="11"/>
  <c r="J124" i="11"/>
  <c r="A124" i="11"/>
  <c r="J123" i="11"/>
  <c r="A123" i="11"/>
  <c r="A122" i="11"/>
  <c r="A121" i="11"/>
  <c r="J120" i="11"/>
  <c r="A120" i="11"/>
  <c r="A119" i="11"/>
  <c r="J118" i="11"/>
  <c r="A118" i="11"/>
  <c r="A117" i="11"/>
  <c r="A116" i="11"/>
  <c r="A115" i="11"/>
  <c r="J114" i="11"/>
  <c r="A114" i="11"/>
  <c r="A113" i="11"/>
  <c r="A112" i="11"/>
  <c r="J111" i="11"/>
  <c r="A111" i="11"/>
  <c r="A110" i="11"/>
  <c r="A109" i="11"/>
  <c r="A108" i="11"/>
  <c r="A107" i="11"/>
  <c r="A106" i="11"/>
  <c r="J105" i="11"/>
  <c r="A105" i="11"/>
  <c r="A104" i="11"/>
  <c r="A103" i="11"/>
  <c r="A102" i="11"/>
  <c r="J101" i="11"/>
  <c r="A101" i="11"/>
  <c r="A100" i="11"/>
  <c r="A99" i="11"/>
  <c r="A98" i="11"/>
  <c r="A97" i="11"/>
  <c r="J96" i="11"/>
  <c r="A96" i="11"/>
  <c r="A95" i="11"/>
  <c r="A94" i="11"/>
  <c r="A93" i="11"/>
  <c r="A92" i="11"/>
  <c r="A91" i="11"/>
  <c r="A90" i="11"/>
  <c r="A89" i="11"/>
  <c r="A88" i="11"/>
  <c r="J87" i="11"/>
  <c r="A87" i="11"/>
  <c r="J86" i="11"/>
  <c r="A86" i="11"/>
  <c r="A85" i="11"/>
  <c r="A84" i="11"/>
  <c r="A83" i="11"/>
  <c r="J82" i="11"/>
  <c r="A82" i="11"/>
  <c r="J81" i="11"/>
  <c r="A81" i="11"/>
  <c r="A80" i="11"/>
  <c r="J79" i="11"/>
  <c r="A79" i="11"/>
  <c r="A78" i="11"/>
  <c r="A77" i="11"/>
  <c r="A76" i="11"/>
  <c r="A75" i="11"/>
  <c r="A74" i="11"/>
  <c r="J73" i="11"/>
  <c r="A73" i="11"/>
  <c r="J72" i="11"/>
  <c r="A72" i="11"/>
  <c r="A71" i="11"/>
  <c r="A70" i="11"/>
  <c r="J69" i="11"/>
  <c r="A69" i="11"/>
  <c r="A68" i="11"/>
  <c r="A67" i="11"/>
  <c r="A66" i="11"/>
  <c r="A65" i="11"/>
  <c r="A64" i="11"/>
  <c r="J63"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A299" i="16"/>
  <c r="E298" i="16"/>
  <c r="D298" i="16"/>
  <c r="H298" i="16" s="1"/>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A171" i="16"/>
  <c r="E170" i="16"/>
  <c r="D170" i="16"/>
  <c r="H170" i="16" s="1"/>
  <c r="A170" i="16"/>
  <c r="E169" i="16"/>
  <c r="D169" i="16"/>
  <c r="H169" i="16" s="1"/>
  <c r="A169" i="16"/>
  <c r="E168" i="16"/>
  <c r="D168" i="16"/>
  <c r="H168" i="16" s="1"/>
  <c r="A168" i="16"/>
  <c r="E167" i="16"/>
  <c r="D167" i="16"/>
  <c r="A167" i="16"/>
  <c r="E166" i="16"/>
  <c r="D166" i="16"/>
  <c r="A166" i="16"/>
  <c r="E165" i="16"/>
  <c r="D165" i="16"/>
  <c r="A165" i="16"/>
  <c r="E164" i="16"/>
  <c r="D164" i="16"/>
  <c r="A164" i="16"/>
  <c r="E163" i="16"/>
  <c r="D163" i="16"/>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A137" i="16"/>
  <c r="E136" i="16"/>
  <c r="D136" i="16"/>
  <c r="H136" i="16" s="1"/>
  <c r="A136" i="16"/>
  <c r="E135" i="16"/>
  <c r="D135" i="16"/>
  <c r="A135" i="16"/>
  <c r="E134" i="16"/>
  <c r="D134" i="16"/>
  <c r="A134" i="16"/>
  <c r="E133" i="16"/>
  <c r="D133" i="16"/>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AX14" i="16" s="1"/>
  <c r="F14" i="16" s="1"/>
  <c r="B14" i="16"/>
  <c r="B26" i="16"/>
  <c r="B30" i="16"/>
  <c r="B34" i="16"/>
  <c r="B20" i="16"/>
  <c r="B17" i="16"/>
  <c r="B23"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1" i="16"/>
  <c r="B18"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5" i="16"/>
  <c r="B27" i="16"/>
  <c r="B13" i="16"/>
  <c r="B16" i="16"/>
  <c r="B19" i="16"/>
  <c r="B25" i="16"/>
  <c r="B36" i="16"/>
  <c r="B40" i="16"/>
  <c r="B44" i="16"/>
  <c r="B48" i="16"/>
  <c r="B52" i="16"/>
  <c r="B56" i="16"/>
  <c r="B60" i="16"/>
  <c r="B64" i="16"/>
  <c r="B68" i="16"/>
  <c r="B72" i="16"/>
  <c r="B76" i="16"/>
  <c r="B80" i="16"/>
  <c r="B84" i="16"/>
  <c r="B88" i="16"/>
  <c r="B92" i="16"/>
  <c r="B24" i="16"/>
  <c r="B21" i="16"/>
  <c r="B33" i="16"/>
  <c r="B35" i="16"/>
  <c r="B2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6"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81" i="16"/>
  <c r="F181" i="16" s="1"/>
  <c r="AX228" i="16"/>
  <c r="AX252" i="16"/>
  <c r="F252" i="16" s="1"/>
  <c r="AX304" i="16"/>
  <c r="F304" i="16" s="1"/>
  <c r="AX316" i="16"/>
  <c r="AX342" i="16"/>
  <c r="H342" i="16" s="1"/>
  <c r="AX195" i="16"/>
  <c r="AX241" i="16"/>
  <c r="F241" i="16" s="1"/>
  <c r="AX247" i="16"/>
  <c r="H247" i="16" s="1"/>
  <c r="AX271" i="16"/>
  <c r="H271" i="16" s="1"/>
  <c r="AX285" i="16"/>
  <c r="F285" i="16" s="1"/>
  <c r="AX315" i="16"/>
  <c r="H315" i="16" s="1"/>
  <c r="AX321" i="16"/>
  <c r="F321" i="16" s="1"/>
  <c r="AX331" i="16"/>
  <c r="F331" i="16" s="1"/>
  <c r="AX345" i="16"/>
  <c r="F345" i="16" s="1"/>
  <c r="H14" i="16"/>
  <c r="H23" i="16"/>
  <c r="H24" i="16"/>
  <c r="H33" i="16"/>
  <c r="H35" i="16"/>
  <c r="H12" i="16"/>
  <c r="H15" i="16"/>
  <c r="H16" i="16"/>
  <c r="H18" i="16"/>
  <c r="H39" i="16"/>
  <c r="H48" i="16"/>
  <c r="H57" i="16"/>
  <c r="H59" i="16"/>
  <c r="H63" i="16"/>
  <c r="H69" i="16"/>
  <c r="H72" i="16"/>
  <c r="H76" i="16"/>
  <c r="H83" i="16"/>
  <c r="H89" i="16"/>
  <c r="H96" i="16"/>
  <c r="H100" i="16"/>
  <c r="H107" i="16"/>
  <c r="H112" i="16"/>
  <c r="H116" i="16"/>
  <c r="H130" i="16"/>
  <c r="H132" i="16"/>
  <c r="H138" i="16"/>
  <c r="H143" i="16"/>
  <c r="H151" i="16"/>
  <c r="H153" i="16"/>
  <c r="H156" i="16"/>
  <c r="H158" i="16"/>
  <c r="H172" i="16"/>
  <c r="H178" i="16"/>
  <c r="H192" i="16"/>
  <c r="H236" i="16"/>
  <c r="H270" i="16"/>
  <c r="H40" i="16"/>
  <c r="H42" i="16"/>
  <c r="H47" i="16"/>
  <c r="H49" i="16"/>
  <c r="H51" i="16"/>
  <c r="H54" i="16"/>
  <c r="H60" i="16"/>
  <c r="H64" i="16"/>
  <c r="H68" i="16"/>
  <c r="H70" i="16"/>
  <c r="H75" i="16"/>
  <c r="H79" i="16"/>
  <c r="H86" i="16"/>
  <c r="H92" i="16"/>
  <c r="H99" i="16"/>
  <c r="H103" i="16"/>
  <c r="H104" i="16"/>
  <c r="H111" i="16"/>
  <c r="H115" i="16"/>
  <c r="H120" i="16"/>
  <c r="H128" i="16"/>
  <c r="H129" i="16"/>
  <c r="H140" i="16"/>
  <c r="H146" i="16"/>
  <c r="H154" i="16"/>
  <c r="H164" i="16"/>
  <c r="H184" i="16"/>
  <c r="H196"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3" i="11"/>
  <c r="B79" i="11"/>
  <c r="B29" i="11"/>
  <c r="B37" i="11"/>
  <c r="B43" i="11"/>
  <c r="B72"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70" i="11"/>
  <c r="B71" i="11"/>
  <c r="B74" i="11"/>
  <c r="B75" i="11"/>
  <c r="B76" i="11"/>
  <c r="B77" i="11"/>
  <c r="B78" i="11"/>
  <c r="B83" i="11"/>
  <c r="B84" i="11"/>
  <c r="B85" i="11"/>
  <c r="B101" i="11"/>
  <c r="B118" i="11"/>
  <c r="B126" i="11"/>
  <c r="B134" i="11"/>
  <c r="B160" i="11"/>
  <c r="B168" i="11"/>
  <c r="B178" i="11"/>
  <c r="B346" i="11"/>
  <c r="B345" i="11"/>
  <c r="B344" i="11"/>
  <c r="B343" i="11"/>
  <c r="B342" i="11"/>
  <c r="B341" i="11"/>
  <c r="B337" i="11"/>
  <c r="B336" i="11"/>
  <c r="B330" i="11"/>
  <c r="B327" i="11"/>
  <c r="B326" i="11"/>
  <c r="B325" i="11"/>
  <c r="B324" i="11"/>
  <c r="B323" i="11"/>
  <c r="B322" i="11"/>
  <c r="B321" i="11"/>
  <c r="B320" i="11"/>
  <c r="B319" i="11"/>
  <c r="B318" i="11"/>
  <c r="B317" i="11"/>
  <c r="B289" i="11"/>
  <c r="B288" i="11"/>
  <c r="B281" i="11"/>
  <c r="B280" i="11"/>
  <c r="B279" i="11"/>
  <c r="B278" i="11"/>
  <c r="B273" i="11"/>
  <c r="B267" i="11"/>
  <c r="B266" i="11"/>
  <c r="B250" i="11"/>
  <c r="B245" i="11"/>
  <c r="B244" i="11"/>
  <c r="B243" i="11"/>
  <c r="B340" i="11"/>
  <c r="B339" i="11"/>
  <c r="B335" i="11"/>
  <c r="B334" i="11"/>
  <c r="B333" i="11"/>
  <c r="B332" i="11"/>
  <c r="B329" i="11"/>
  <c r="B316" i="11"/>
  <c r="B315" i="11"/>
  <c r="B314" i="11"/>
  <c r="B312" i="11"/>
  <c r="B310" i="11"/>
  <c r="B309" i="11"/>
  <c r="B308" i="11"/>
  <c r="B307" i="11"/>
  <c r="B305" i="11"/>
  <c r="B304" i="11"/>
  <c r="B303" i="11"/>
  <c r="B302" i="11"/>
  <c r="B301" i="11"/>
  <c r="B300" i="11"/>
  <c r="B299" i="11"/>
  <c r="B298" i="11"/>
  <c r="B297" i="11"/>
  <c r="B296" i="11"/>
  <c r="B295" i="11"/>
  <c r="B294" i="11"/>
  <c r="B293" i="11"/>
  <c r="B292" i="11"/>
  <c r="B291" i="11"/>
  <c r="B287" i="11"/>
  <c r="B286" i="11"/>
  <c r="B284" i="11"/>
  <c r="B283" i="11"/>
  <c r="B277" i="11"/>
  <c r="B276" i="11"/>
  <c r="B275" i="11"/>
  <c r="B272" i="11"/>
  <c r="B271" i="11"/>
  <c r="B270" i="11"/>
  <c r="B269" i="11"/>
  <c r="B265" i="11"/>
  <c r="B264" i="11"/>
  <c r="B263" i="11"/>
  <c r="B262" i="11"/>
  <c r="B261" i="11"/>
  <c r="B260" i="11"/>
  <c r="B259" i="11"/>
  <c r="B258" i="11"/>
  <c r="B257" i="11"/>
  <c r="B256" i="11"/>
  <c r="B255" i="11"/>
  <c r="B254" i="11"/>
  <c r="B253" i="11"/>
  <c r="B252" i="11"/>
  <c r="B251" i="11"/>
  <c r="B248" i="11"/>
  <c r="B247" i="11"/>
  <c r="B246" i="11"/>
  <c r="B241" i="11"/>
  <c r="B240" i="11"/>
  <c r="B237" i="11"/>
  <c r="B236" i="11"/>
  <c r="B235" i="11"/>
  <c r="B234" i="11"/>
  <c r="B233" i="11"/>
  <c r="B232" i="11"/>
  <c r="B226" i="11"/>
  <c r="B219" i="11"/>
  <c r="B218" i="11"/>
  <c r="B217" i="11"/>
  <c r="B216" i="11"/>
  <c r="B215" i="11"/>
  <c r="B214" i="11"/>
  <c r="B210" i="11"/>
  <c r="B209" i="11"/>
  <c r="B231" i="11"/>
  <c r="B230" i="11"/>
  <c r="B229" i="11"/>
  <c r="B228" i="11"/>
  <c r="B225" i="11"/>
  <c r="B224" i="11"/>
  <c r="B223" i="11"/>
  <c r="B222" i="11"/>
  <c r="B221" i="11"/>
  <c r="B208" i="11"/>
  <c r="B207" i="11"/>
  <c r="B206" i="11"/>
  <c r="B205" i="11"/>
  <c r="B203" i="11"/>
  <c r="B199" i="11"/>
  <c r="B198" i="11"/>
  <c r="B197" i="11"/>
  <c r="B196" i="11"/>
  <c r="B195" i="11"/>
  <c r="B194" i="11"/>
  <c r="B193" i="11"/>
  <c r="B192" i="11"/>
  <c r="B191" i="11"/>
  <c r="B188" i="11"/>
  <c r="B177" i="11"/>
  <c r="B176" i="11"/>
  <c r="B175" i="11"/>
  <c r="B174" i="11"/>
  <c r="B164" i="11"/>
  <c r="B163" i="11"/>
  <c r="B159" i="11"/>
  <c r="B150" i="11"/>
  <c r="B148" i="11"/>
  <c r="B147" i="11"/>
  <c r="B146" i="11"/>
  <c r="B145" i="11"/>
  <c r="B144" i="11"/>
  <c r="B143" i="11"/>
  <c r="B138" i="11"/>
  <c r="B137" i="11"/>
  <c r="B133" i="11"/>
  <c r="B132" i="11"/>
  <c r="B131" i="11"/>
  <c r="B130" i="11"/>
  <c r="B125" i="11"/>
  <c r="B122" i="11"/>
  <c r="B121" i="11"/>
  <c r="B117" i="11"/>
  <c r="B116" i="11"/>
  <c r="B115" i="11"/>
  <c r="B110" i="11"/>
  <c r="B109" i="11"/>
  <c r="B108" i="11"/>
  <c r="B107" i="11"/>
  <c r="B106" i="11"/>
  <c r="B100" i="11"/>
  <c r="B99" i="11"/>
  <c r="B98" i="11"/>
  <c r="B97" i="11"/>
  <c r="B239" i="11"/>
  <c r="B213" i="11"/>
  <c r="B212" i="11"/>
  <c r="B202" i="11"/>
  <c r="B201" i="11"/>
  <c r="B200" i="11"/>
  <c r="B190" i="11"/>
  <c r="B187" i="11"/>
  <c r="B186" i="11"/>
  <c r="B185" i="11"/>
  <c r="B184" i="11"/>
  <c r="B183" i="11"/>
  <c r="B182" i="11"/>
  <c r="B181" i="11"/>
  <c r="B180" i="11"/>
  <c r="B179" i="11"/>
  <c r="B173" i="11"/>
  <c r="B172" i="11"/>
  <c r="B171" i="11"/>
  <c r="B170" i="11"/>
  <c r="B169" i="11"/>
  <c r="B167" i="11"/>
  <c r="B166" i="11"/>
  <c r="B165" i="11"/>
  <c r="B162" i="11"/>
  <c r="B161" i="11"/>
  <c r="B158" i="11"/>
  <c r="B156" i="11"/>
  <c r="B154" i="11"/>
  <c r="B153" i="11"/>
  <c r="B152" i="11"/>
  <c r="B151" i="11"/>
  <c r="B149" i="11"/>
  <c r="B142" i="11"/>
  <c r="B141" i="11"/>
  <c r="B140" i="11"/>
  <c r="B136" i="11"/>
  <c r="B135" i="11"/>
  <c r="B129" i="11"/>
  <c r="B128" i="11"/>
  <c r="B127" i="11"/>
  <c r="B124" i="11"/>
  <c r="B120" i="11"/>
  <c r="B119" i="11"/>
  <c r="B114" i="11"/>
  <c r="B113" i="11"/>
  <c r="B112" i="11"/>
  <c r="B105" i="11"/>
  <c r="B104" i="11"/>
  <c r="B103" i="11"/>
  <c r="B102" i="11"/>
  <c r="B11" i="11"/>
  <c r="B13" i="11"/>
  <c r="B14" i="11"/>
  <c r="B15" i="11"/>
  <c r="B16" i="11"/>
  <c r="B17" i="11"/>
  <c r="B18" i="11"/>
  <c r="B19" i="11"/>
  <c r="B21" i="11"/>
  <c r="B22" i="11"/>
  <c r="B23" i="11"/>
  <c r="B24" i="11"/>
  <c r="B25" i="11"/>
  <c r="B30" i="11"/>
  <c r="B31" i="11"/>
  <c r="B32" i="11"/>
  <c r="B38" i="11"/>
  <c r="B39" i="11"/>
  <c r="B40" i="11"/>
  <c r="B41" i="11"/>
  <c r="B44" i="11"/>
  <c r="B47" i="11"/>
  <c r="B64" i="11"/>
  <c r="B65" i="11"/>
  <c r="B66" i="11"/>
  <c r="B67" i="11"/>
  <c r="B68" i="11"/>
  <c r="B69" i="11"/>
  <c r="B73" i="11"/>
  <c r="B80" i="11"/>
  <c r="B81" i="11"/>
  <c r="B82" i="11"/>
  <c r="B87" i="11"/>
  <c r="B88" i="11"/>
  <c r="B89" i="11"/>
  <c r="B90" i="11"/>
  <c r="B91" i="11"/>
  <c r="B92" i="11"/>
  <c r="B93" i="11"/>
  <c r="B94" i="11"/>
  <c r="B95" i="11"/>
  <c r="B96" i="11"/>
  <c r="B111" i="11"/>
  <c r="B123" i="11"/>
  <c r="B139" i="11"/>
  <c r="B155" i="11"/>
  <c r="B157" i="11"/>
  <c r="B189" i="11"/>
  <c r="B211" i="11"/>
  <c r="B238" i="11"/>
  <c r="B249" i="11"/>
  <c r="B268" i="11"/>
  <c r="B274" i="11"/>
  <c r="B282" i="11"/>
  <c r="B290" i="11"/>
  <c r="B306" i="11"/>
  <c r="B328" i="11"/>
  <c r="B338" i="11"/>
  <c r="B204" i="11"/>
  <c r="B220" i="11"/>
  <c r="B227" i="11"/>
  <c r="B242" i="11"/>
  <c r="B285" i="11"/>
  <c r="B311" i="11"/>
  <c r="B313" i="11"/>
  <c r="B331" i="11"/>
  <c r="B22" i="16"/>
  <c r="B344" i="16"/>
  <c r="B345" i="16"/>
  <c r="B354" i="16"/>
  <c r="B346" i="16"/>
  <c r="B347" i="16"/>
  <c r="B352" i="16"/>
  <c r="B353" i="16"/>
  <c r="B340" i="16"/>
  <c r="B341" i="16"/>
  <c r="B348" i="16"/>
  <c r="B349" i="16"/>
  <c r="B350" i="16"/>
  <c r="B355" i="16"/>
  <c r="B351" i="16"/>
  <c r="D8" i="16"/>
  <c r="D22" i="8" s="1"/>
  <c r="G8" i="16"/>
  <c r="I8" i="16"/>
  <c r="D50" i="8"/>
  <c r="G3" i="16"/>
  <c r="J9" i="8" s="1"/>
  <c r="K89" i="8" s="1"/>
  <c r="I3" i="16"/>
  <c r="P8" i="16"/>
  <c r="AF11" i="16"/>
  <c r="F3" i="16"/>
  <c r="H3" i="16"/>
  <c r="J11" i="8" s="1"/>
  <c r="AX343" i="16" l="1"/>
  <c r="F343" i="16" s="1"/>
  <c r="AX273" i="16"/>
  <c r="H273" i="16" s="1"/>
  <c r="AX193" i="16"/>
  <c r="F193" i="16" s="1"/>
  <c r="AX242" i="16"/>
  <c r="F242" i="16" s="1"/>
  <c r="AX325" i="16"/>
  <c r="F325" i="16" s="1"/>
  <c r="AX249" i="16"/>
  <c r="F249" i="16" s="1"/>
  <c r="AX340" i="16"/>
  <c r="H340" i="16" s="1"/>
  <c r="AX220" i="16"/>
  <c r="F220" i="16" s="1"/>
  <c r="AX190" i="16"/>
  <c r="F190" i="16" s="1"/>
  <c r="AX319" i="16"/>
  <c r="F319" i="16" s="1"/>
  <c r="AX243" i="16"/>
  <c r="H243" i="16" s="1"/>
  <c r="AX310" i="16"/>
  <c r="F310" i="16" s="1"/>
  <c r="AX184" i="16"/>
  <c r="F184" i="16" s="1"/>
  <c r="AX311" i="16"/>
  <c r="F311" i="16" s="1"/>
  <c r="AX225" i="16"/>
  <c r="F225" i="16" s="1"/>
  <c r="AX300" i="16"/>
  <c r="F300" i="16" s="1"/>
  <c r="AX179" i="16"/>
  <c r="H179" i="16" s="1"/>
  <c r="AX309" i="16"/>
  <c r="AX217" i="16"/>
  <c r="F217" i="16" s="1"/>
  <c r="AX290" i="16"/>
  <c r="F290" i="16" s="1"/>
  <c r="AX107" i="16"/>
  <c r="F107" i="16" s="1"/>
  <c r="AX354" i="16"/>
  <c r="AX291" i="16"/>
  <c r="F291" i="16" s="1"/>
  <c r="AX215" i="16"/>
  <c r="F215" i="16" s="1"/>
  <c r="AX280" i="16"/>
  <c r="AX71" i="16"/>
  <c r="H71" i="16" s="1"/>
  <c r="AX11" i="16"/>
  <c r="F11" i="16" s="1"/>
  <c r="AX289" i="16"/>
  <c r="H289" i="16" s="1"/>
  <c r="AX201" i="16"/>
  <c r="F201" i="16" s="1"/>
  <c r="AX262" i="16"/>
  <c r="AX59" i="16"/>
  <c r="F59" i="16" s="1"/>
  <c r="AX355" i="16"/>
  <c r="F355" i="16" s="1"/>
  <c r="AX287" i="16"/>
  <c r="H287" i="16" s="1"/>
  <c r="AX199" i="16"/>
  <c r="F199" i="16" s="1"/>
  <c r="AX256" i="16"/>
  <c r="F256" i="16" s="1"/>
  <c r="AX47" i="16"/>
  <c r="F47" i="16" s="1"/>
  <c r="AX283" i="16"/>
  <c r="H283" i="16" s="1"/>
  <c r="AX239" i="16"/>
  <c r="F239" i="16" s="1"/>
  <c r="AX348" i="16"/>
  <c r="F348" i="16" s="1"/>
  <c r="AX298" i="16"/>
  <c r="F298" i="16" s="1"/>
  <c r="AX238" i="16"/>
  <c r="F238" i="16" s="1"/>
  <c r="AX161" i="16"/>
  <c r="F161" i="16" s="1"/>
  <c r="AX35" i="16"/>
  <c r="F35" i="16" s="1"/>
  <c r="AX349" i="16"/>
  <c r="AX313" i="16"/>
  <c r="H313" i="16" s="1"/>
  <c r="AX277" i="16"/>
  <c r="H277" i="16" s="1"/>
  <c r="AX237" i="16"/>
  <c r="H237" i="16" s="1"/>
  <c r="AX346" i="16"/>
  <c r="F346" i="16" s="1"/>
  <c r="AX294" i="16"/>
  <c r="F294" i="16" s="1"/>
  <c r="AX232" i="16"/>
  <c r="H232" i="16" s="1"/>
  <c r="AX151" i="16"/>
  <c r="F151" i="16" s="1"/>
  <c r="AX31" i="16"/>
  <c r="AX149" i="16"/>
  <c r="F149" i="16" s="1"/>
  <c r="AX180" i="16"/>
  <c r="F180" i="16" s="1"/>
  <c r="AX147" i="16"/>
  <c r="F147" i="16" s="1"/>
  <c r="AX170" i="16"/>
  <c r="F170" i="16" s="1"/>
  <c r="AX307" i="16"/>
  <c r="H307" i="16" s="1"/>
  <c r="AX276" i="16"/>
  <c r="H276" i="16" s="1"/>
  <c r="AX337" i="16"/>
  <c r="H337" i="16" s="1"/>
  <c r="AX301" i="16"/>
  <c r="F301" i="16" s="1"/>
  <c r="AX265" i="16"/>
  <c r="F265" i="16" s="1"/>
  <c r="AX213" i="16"/>
  <c r="F213" i="16" s="1"/>
  <c r="AX334" i="16"/>
  <c r="F334" i="16" s="1"/>
  <c r="AX274" i="16"/>
  <c r="H274" i="16" s="1"/>
  <c r="AX204" i="16"/>
  <c r="F204" i="16" s="1"/>
  <c r="AX127" i="16"/>
  <c r="H127" i="16" s="1"/>
  <c r="AX128" i="16"/>
  <c r="F128" i="16" s="1"/>
  <c r="AX339" i="16"/>
  <c r="H339" i="16" s="1"/>
  <c r="AX218" i="16"/>
  <c r="AX335" i="16"/>
  <c r="F335" i="16" s="1"/>
  <c r="AX297" i="16"/>
  <c r="F297" i="16" s="1"/>
  <c r="AX263" i="16"/>
  <c r="F263" i="16" s="1"/>
  <c r="AX211" i="16"/>
  <c r="AX328" i="16"/>
  <c r="F328" i="16" s="1"/>
  <c r="AX266" i="16"/>
  <c r="F266" i="16" s="1"/>
  <c r="AX198" i="16"/>
  <c r="H198" i="16" s="1"/>
  <c r="AX123" i="16"/>
  <c r="F123" i="16" s="1"/>
  <c r="AX74" i="16"/>
  <c r="AX267" i="16"/>
  <c r="H267" i="16" s="1"/>
  <c r="AX338" i="16"/>
  <c r="AX143" i="16"/>
  <c r="F143" i="16" s="1"/>
  <c r="AX132" i="16"/>
  <c r="F132" i="16" s="1"/>
  <c r="AX333" i="16"/>
  <c r="H333" i="16" s="1"/>
  <c r="AX295" i="16"/>
  <c r="H295" i="16" s="1"/>
  <c r="AX253" i="16"/>
  <c r="F253" i="16" s="1"/>
  <c r="AX205" i="16"/>
  <c r="F205" i="16" s="1"/>
  <c r="AX324" i="16"/>
  <c r="H324" i="16" s="1"/>
  <c r="AX264" i="16"/>
  <c r="F264" i="16" s="1"/>
  <c r="AX196" i="16"/>
  <c r="F196" i="16" s="1"/>
  <c r="AX119" i="16"/>
  <c r="F119" i="16" s="1"/>
  <c r="AX36" i="16"/>
  <c r="AX336" i="16"/>
  <c r="H336" i="16" s="1"/>
  <c r="AX292" i="16"/>
  <c r="AX244" i="16"/>
  <c r="F244" i="16" s="1"/>
  <c r="AX194" i="16"/>
  <c r="F194" i="16" s="1"/>
  <c r="AX131" i="16"/>
  <c r="F131" i="16" s="1"/>
  <c r="AX25" i="16"/>
  <c r="H25" i="16" s="1"/>
  <c r="AX235" i="16"/>
  <c r="AX191" i="16"/>
  <c r="H191" i="16" s="1"/>
  <c r="AX314" i="16"/>
  <c r="AX270" i="16"/>
  <c r="F270" i="16" s="1"/>
  <c r="AX226" i="16"/>
  <c r="F226" i="16" s="1"/>
  <c r="AX171" i="16"/>
  <c r="F171" i="16" s="1"/>
  <c r="AX103" i="16"/>
  <c r="F103" i="16" s="1"/>
  <c r="AX108" i="16"/>
  <c r="H108" i="16" s="1"/>
  <c r="AX229" i="16"/>
  <c r="AX352" i="16"/>
  <c r="F352" i="16" s="1"/>
  <c r="AX312" i="16"/>
  <c r="H312" i="16" s="1"/>
  <c r="AX268" i="16"/>
  <c r="AX222" i="16"/>
  <c r="H222" i="16" s="1"/>
  <c r="AX169" i="16"/>
  <c r="F169" i="16" s="1"/>
  <c r="AX97" i="16"/>
  <c r="H97" i="16" s="1"/>
  <c r="AX80" i="16"/>
  <c r="AX208" i="16"/>
  <c r="H208" i="16" s="1"/>
  <c r="AX157" i="16"/>
  <c r="F157" i="16" s="1"/>
  <c r="AX83" i="16"/>
  <c r="F83" i="16" s="1"/>
  <c r="AX98" i="16"/>
  <c r="H98" i="16" s="1"/>
  <c r="AX240" i="16"/>
  <c r="F240" i="16" s="1"/>
  <c r="AX202" i="16"/>
  <c r="F202" i="16" s="1"/>
  <c r="AX167" i="16"/>
  <c r="F167" i="16" s="1"/>
  <c r="AX125" i="16"/>
  <c r="H125" i="16" s="1"/>
  <c r="AX55" i="16"/>
  <c r="H55" i="16" s="1"/>
  <c r="AX122" i="16"/>
  <c r="H122" i="16" s="1"/>
  <c r="AX84" i="16"/>
  <c r="H84" i="16" s="1"/>
  <c r="AX145" i="16"/>
  <c r="F145" i="16" s="1"/>
  <c r="AX95" i="16"/>
  <c r="H95" i="16" s="1"/>
  <c r="AX176" i="16"/>
  <c r="F176" i="16" s="1"/>
  <c r="AX56" i="16"/>
  <c r="H56" i="16" s="1"/>
  <c r="AX261" i="16"/>
  <c r="F261" i="16" s="1"/>
  <c r="AX223" i="16"/>
  <c r="F223" i="16" s="1"/>
  <c r="AX189" i="16"/>
  <c r="H189" i="16" s="1"/>
  <c r="AX322" i="16"/>
  <c r="H322" i="16" s="1"/>
  <c r="AX288" i="16"/>
  <c r="F288" i="16" s="1"/>
  <c r="AX250" i="16"/>
  <c r="AX216" i="16"/>
  <c r="F216" i="16" s="1"/>
  <c r="AX175" i="16"/>
  <c r="F175" i="16" s="1"/>
  <c r="AX137" i="16"/>
  <c r="F137" i="16" s="1"/>
  <c r="AX79" i="16"/>
  <c r="F79" i="16" s="1"/>
  <c r="AX168" i="16"/>
  <c r="F168" i="16" s="1"/>
  <c r="AX32" i="16"/>
  <c r="F32" i="16" s="1"/>
  <c r="AX259" i="16"/>
  <c r="F259" i="16" s="1"/>
  <c r="AX219" i="16"/>
  <c r="F219" i="16" s="1"/>
  <c r="AX187" i="16"/>
  <c r="H187" i="16" s="1"/>
  <c r="AX318" i="16"/>
  <c r="F318" i="16" s="1"/>
  <c r="AX286" i="16"/>
  <c r="F286" i="16" s="1"/>
  <c r="AX246" i="16"/>
  <c r="F246" i="16" s="1"/>
  <c r="AX214" i="16"/>
  <c r="F214" i="16" s="1"/>
  <c r="AX173" i="16"/>
  <c r="F173" i="16" s="1"/>
  <c r="AX133" i="16"/>
  <c r="F133" i="16" s="1"/>
  <c r="AX73" i="16"/>
  <c r="H73" i="16" s="1"/>
  <c r="AX152" i="16"/>
  <c r="F152" i="16" s="1"/>
  <c r="AX26" i="16"/>
  <c r="F26" i="16" s="1"/>
  <c r="AX23" i="16"/>
  <c r="F23" i="16" s="1"/>
  <c r="AX104" i="16"/>
  <c r="F104" i="16" s="1"/>
  <c r="AX156" i="16"/>
  <c r="F156" i="16" s="1"/>
  <c r="AX60" i="16"/>
  <c r="F60" i="16" s="1"/>
  <c r="AX192" i="16"/>
  <c r="F192" i="16" s="1"/>
  <c r="AX155" i="16"/>
  <c r="F155" i="16" s="1"/>
  <c r="AX121" i="16"/>
  <c r="H121" i="16" s="1"/>
  <c r="AX49" i="16"/>
  <c r="F49" i="16" s="1"/>
  <c r="AX146" i="16"/>
  <c r="F146" i="16" s="1"/>
  <c r="AX50" i="16"/>
  <c r="H50" i="16" s="1"/>
  <c r="AX341" i="16"/>
  <c r="H341" i="16" s="1"/>
  <c r="AX317" i="16"/>
  <c r="F317" i="16" s="1"/>
  <c r="AX293" i="16"/>
  <c r="AX269" i="16"/>
  <c r="H269" i="16" s="1"/>
  <c r="AX245" i="16"/>
  <c r="F245" i="16" s="1"/>
  <c r="AX221" i="16"/>
  <c r="H221" i="16" s="1"/>
  <c r="AX197" i="16"/>
  <c r="H197" i="16" s="1"/>
  <c r="AX344" i="16"/>
  <c r="H344" i="16" s="1"/>
  <c r="AX320" i="16"/>
  <c r="F320" i="16" s="1"/>
  <c r="AX296" i="16"/>
  <c r="F296" i="16" s="1"/>
  <c r="AX272" i="16"/>
  <c r="H272" i="16" s="1"/>
  <c r="AX248" i="16"/>
  <c r="H248" i="16" s="1"/>
  <c r="AX224" i="16"/>
  <c r="F224" i="16" s="1"/>
  <c r="AX200" i="16"/>
  <c r="F200" i="16" s="1"/>
  <c r="AX177" i="16"/>
  <c r="F177" i="16" s="1"/>
  <c r="AX153" i="16"/>
  <c r="F153" i="16" s="1"/>
  <c r="AX129" i="16"/>
  <c r="F129" i="16" s="1"/>
  <c r="AX105" i="16"/>
  <c r="F105" i="16" s="1"/>
  <c r="AX81" i="16"/>
  <c r="H81" i="16" s="1"/>
  <c r="AX57" i="16"/>
  <c r="F57" i="16" s="1"/>
  <c r="AX33" i="16"/>
  <c r="F33" i="16" s="1"/>
  <c r="AX178" i="16"/>
  <c r="F178" i="16" s="1"/>
  <c r="AX154" i="16"/>
  <c r="F154" i="16" s="1"/>
  <c r="AX130" i="16"/>
  <c r="F130" i="16" s="1"/>
  <c r="AX106" i="16"/>
  <c r="F106" i="16" s="1"/>
  <c r="AX82" i="16"/>
  <c r="H82" i="16" s="1"/>
  <c r="AX58" i="16"/>
  <c r="H58" i="16" s="1"/>
  <c r="AX34" i="16"/>
  <c r="H34" i="16" s="1"/>
  <c r="AX101" i="16"/>
  <c r="H101" i="16" s="1"/>
  <c r="AX77" i="16"/>
  <c r="H77" i="16" s="1"/>
  <c r="AX53" i="16"/>
  <c r="H53" i="16" s="1"/>
  <c r="AX29" i="16"/>
  <c r="H29" i="16" s="1"/>
  <c r="AX174" i="16"/>
  <c r="F174" i="16" s="1"/>
  <c r="AX150" i="16"/>
  <c r="H150" i="16" s="1"/>
  <c r="AX126" i="16"/>
  <c r="F126" i="16" s="1"/>
  <c r="AX102" i="16"/>
  <c r="H102" i="16" s="1"/>
  <c r="AX78" i="16"/>
  <c r="F78" i="16" s="1"/>
  <c r="AX54" i="16"/>
  <c r="F54" i="16" s="1"/>
  <c r="AX30" i="16"/>
  <c r="F30" i="16" s="1"/>
  <c r="AX99" i="16"/>
  <c r="F99" i="16" s="1"/>
  <c r="AX75" i="16"/>
  <c r="F75" i="16" s="1"/>
  <c r="AX51" i="16"/>
  <c r="F51" i="16" s="1"/>
  <c r="AX27" i="16"/>
  <c r="F27" i="16" s="1"/>
  <c r="AX172" i="16"/>
  <c r="F172" i="16" s="1"/>
  <c r="AX148" i="16"/>
  <c r="F148" i="16" s="1"/>
  <c r="AX124" i="16"/>
  <c r="H124" i="16" s="1"/>
  <c r="AX100" i="16"/>
  <c r="F100" i="16" s="1"/>
  <c r="AX76" i="16"/>
  <c r="F76" i="16" s="1"/>
  <c r="AX52" i="16"/>
  <c r="AX28" i="16"/>
  <c r="AX144" i="16"/>
  <c r="F144" i="16" s="1"/>
  <c r="AX120" i="16"/>
  <c r="F120" i="16" s="1"/>
  <c r="AX96" i="16"/>
  <c r="F96" i="16" s="1"/>
  <c r="AX72" i="16"/>
  <c r="F72" i="16" s="1"/>
  <c r="AX48" i="16"/>
  <c r="F48" i="16" s="1"/>
  <c r="AX24" i="16"/>
  <c r="F24" i="16" s="1"/>
  <c r="AX353" i="16"/>
  <c r="H353" i="16" s="1"/>
  <c r="AX329" i="16"/>
  <c r="AX305" i="16"/>
  <c r="F305" i="16" s="1"/>
  <c r="AX281" i="16"/>
  <c r="AX257" i="16"/>
  <c r="F257" i="16" s="1"/>
  <c r="AX233" i="16"/>
  <c r="F233" i="16" s="1"/>
  <c r="AX209" i="16"/>
  <c r="AX185" i="16"/>
  <c r="H185" i="16" s="1"/>
  <c r="AX332" i="16"/>
  <c r="F332" i="16" s="1"/>
  <c r="AX308" i="16"/>
  <c r="H308" i="16" s="1"/>
  <c r="AX284" i="16"/>
  <c r="F284" i="16" s="1"/>
  <c r="AX260" i="16"/>
  <c r="F260" i="16" s="1"/>
  <c r="AX236" i="16"/>
  <c r="F236" i="16" s="1"/>
  <c r="AX212" i="16"/>
  <c r="F212" i="16" s="1"/>
  <c r="AX188" i="16"/>
  <c r="F188" i="16" s="1"/>
  <c r="AX165" i="16"/>
  <c r="F165" i="16" s="1"/>
  <c r="AX141" i="16"/>
  <c r="H141" i="16" s="1"/>
  <c r="AX117" i="16"/>
  <c r="H117" i="16" s="1"/>
  <c r="AX93" i="16"/>
  <c r="H93" i="16" s="1"/>
  <c r="AX69" i="16"/>
  <c r="F69" i="16" s="1"/>
  <c r="AX45" i="16"/>
  <c r="F45" i="16" s="1"/>
  <c r="AX21" i="16"/>
  <c r="H21" i="16" s="1"/>
  <c r="AX166" i="16"/>
  <c r="F166" i="16" s="1"/>
  <c r="AX142" i="16"/>
  <c r="F142" i="16" s="1"/>
  <c r="AX118" i="16"/>
  <c r="H118" i="16" s="1"/>
  <c r="AX94" i="16"/>
  <c r="H94" i="16" s="1"/>
  <c r="AX70" i="16"/>
  <c r="F70" i="16" s="1"/>
  <c r="AX46" i="16"/>
  <c r="H46" i="16" s="1"/>
  <c r="AX22" i="16"/>
  <c r="H22" i="16" s="1"/>
  <c r="AX351" i="16"/>
  <c r="F351" i="16" s="1"/>
  <c r="AX327" i="16"/>
  <c r="F327" i="16" s="1"/>
  <c r="AX303" i="16"/>
  <c r="F303" i="16" s="1"/>
  <c r="AX279" i="16"/>
  <c r="F279" i="16" s="1"/>
  <c r="AX255" i="16"/>
  <c r="F255" i="16" s="1"/>
  <c r="AX231" i="16"/>
  <c r="H231" i="16" s="1"/>
  <c r="AX207" i="16"/>
  <c r="H207" i="16" s="1"/>
  <c r="AX183" i="16"/>
  <c r="F183" i="16" s="1"/>
  <c r="AX330" i="16"/>
  <c r="F330" i="16" s="1"/>
  <c r="AX306" i="16"/>
  <c r="H306" i="16" s="1"/>
  <c r="AX282" i="16"/>
  <c r="F282" i="16" s="1"/>
  <c r="AX258" i="16"/>
  <c r="H258" i="16" s="1"/>
  <c r="AX234" i="16"/>
  <c r="F234" i="16" s="1"/>
  <c r="AX210" i="16"/>
  <c r="H210" i="16" s="1"/>
  <c r="AX186" i="16"/>
  <c r="F186" i="16" s="1"/>
  <c r="AX163" i="16"/>
  <c r="F163" i="16" s="1"/>
  <c r="AX139" i="16"/>
  <c r="F139" i="16" s="1"/>
  <c r="AX115" i="16"/>
  <c r="F115" i="16" s="1"/>
  <c r="AX91" i="16"/>
  <c r="AX67" i="16"/>
  <c r="F67" i="16" s="1"/>
  <c r="AX43" i="16"/>
  <c r="F43" i="16" s="1"/>
  <c r="AX19" i="16"/>
  <c r="H19" i="16" s="1"/>
  <c r="AX164" i="16"/>
  <c r="F164" i="16" s="1"/>
  <c r="AX140" i="16"/>
  <c r="F140" i="16" s="1"/>
  <c r="AX116" i="16"/>
  <c r="F116" i="16" s="1"/>
  <c r="AX92" i="16"/>
  <c r="F92" i="16" s="1"/>
  <c r="AX68" i="16"/>
  <c r="F68" i="16" s="1"/>
  <c r="AX44" i="16"/>
  <c r="F44" i="16" s="1"/>
  <c r="AX20" i="16"/>
  <c r="AX113" i="16"/>
  <c r="H113" i="16" s="1"/>
  <c r="AX89" i="16"/>
  <c r="F89" i="16" s="1"/>
  <c r="AX65" i="16"/>
  <c r="H65" i="16" s="1"/>
  <c r="AX41" i="16"/>
  <c r="H41" i="16" s="1"/>
  <c r="AX17" i="16"/>
  <c r="H17" i="16" s="1"/>
  <c r="AX162" i="16"/>
  <c r="F162" i="16" s="1"/>
  <c r="AX138" i="16"/>
  <c r="F138" i="16" s="1"/>
  <c r="AX114" i="16"/>
  <c r="AX90" i="16"/>
  <c r="H90" i="16" s="1"/>
  <c r="AX66" i="16"/>
  <c r="F66" i="16" s="1"/>
  <c r="AX42" i="16"/>
  <c r="F42" i="16" s="1"/>
  <c r="AX18" i="16"/>
  <c r="F18" i="16" s="1"/>
  <c r="AX347" i="16"/>
  <c r="H347" i="16" s="1"/>
  <c r="AX323" i="16"/>
  <c r="H323" i="16" s="1"/>
  <c r="AX299" i="16"/>
  <c r="F299" i="16" s="1"/>
  <c r="AX275" i="16"/>
  <c r="H275" i="16" s="1"/>
  <c r="AX251" i="16"/>
  <c r="F251" i="16" s="1"/>
  <c r="AX227" i="16"/>
  <c r="F227" i="16" s="1"/>
  <c r="AX203" i="16"/>
  <c r="H203" i="16" s="1"/>
  <c r="AX350" i="16"/>
  <c r="H350" i="16" s="1"/>
  <c r="AX326" i="16"/>
  <c r="F326" i="16" s="1"/>
  <c r="AX302" i="16"/>
  <c r="H302" i="16" s="1"/>
  <c r="AX278" i="16"/>
  <c r="F278" i="16" s="1"/>
  <c r="AX254" i="16"/>
  <c r="H254" i="16" s="1"/>
  <c r="AX230" i="16"/>
  <c r="F230" i="16" s="1"/>
  <c r="AX206" i="16"/>
  <c r="F206" i="16" s="1"/>
  <c r="AX182" i="16"/>
  <c r="AX159" i="16"/>
  <c r="F159" i="16" s="1"/>
  <c r="AX135" i="16"/>
  <c r="H135" i="16" s="1"/>
  <c r="AX111" i="16"/>
  <c r="F111" i="16" s="1"/>
  <c r="AX87" i="16"/>
  <c r="F87" i="16" s="1"/>
  <c r="AX63" i="16"/>
  <c r="F63" i="16" s="1"/>
  <c r="AX39" i="16"/>
  <c r="F39" i="16" s="1"/>
  <c r="AX15" i="16"/>
  <c r="F15" i="16" s="1"/>
  <c r="AX160" i="16"/>
  <c r="F160" i="16" s="1"/>
  <c r="AX136" i="16"/>
  <c r="F136" i="16" s="1"/>
  <c r="AX112" i="16"/>
  <c r="F112" i="16" s="1"/>
  <c r="AX88" i="16"/>
  <c r="AX64" i="16"/>
  <c r="F64" i="16" s="1"/>
  <c r="AX40" i="16"/>
  <c r="F40" i="16" s="1"/>
  <c r="AX16" i="16"/>
  <c r="F16" i="16" s="1"/>
  <c r="AX109" i="16"/>
  <c r="H109" i="16" s="1"/>
  <c r="AX85" i="16"/>
  <c r="H85" i="16" s="1"/>
  <c r="AX61" i="16"/>
  <c r="F61" i="16" s="1"/>
  <c r="AX37" i="16"/>
  <c r="F37" i="16" s="1"/>
  <c r="AX13" i="16"/>
  <c r="H13" i="16" s="1"/>
  <c r="AX158" i="16"/>
  <c r="F158" i="16" s="1"/>
  <c r="AX134" i="16"/>
  <c r="F134" i="16" s="1"/>
  <c r="AX110" i="16"/>
  <c r="F110" i="16" s="1"/>
  <c r="AX86" i="16"/>
  <c r="F86" i="16" s="1"/>
  <c r="AX62" i="16"/>
  <c r="H62" i="16" s="1"/>
  <c r="AX38" i="16"/>
  <c r="H38" i="16" s="1"/>
  <c r="H176" i="16"/>
  <c r="H145" i="16"/>
  <c r="F56" i="16"/>
  <c r="H105" i="16"/>
  <c r="H325" i="16"/>
  <c r="H133" i="16"/>
  <c r="H291" i="16"/>
  <c r="H199" i="16"/>
  <c r="F108" i="16"/>
  <c r="F71" i="16"/>
  <c r="H288" i="16"/>
  <c r="H331" i="16"/>
  <c r="H171" i="16"/>
  <c r="H345" i="16"/>
  <c r="H137" i="16"/>
  <c r="H296" i="16"/>
  <c r="H180" i="16"/>
  <c r="H175" i="16"/>
  <c r="H149" i="16"/>
  <c r="H220" i="16"/>
  <c r="H215" i="16"/>
  <c r="H202" i="16"/>
  <c r="H217" i="16"/>
  <c r="H264" i="16"/>
  <c r="H299" i="16"/>
  <c r="H163" i="16"/>
  <c r="H225" i="16"/>
  <c r="F198" i="16"/>
  <c r="H294" i="16"/>
  <c r="H334" i="16"/>
  <c r="H246" i="16"/>
  <c r="H310" i="16"/>
  <c r="H214" i="16"/>
  <c r="F222" i="16"/>
  <c r="H278" i="16"/>
  <c r="H238" i="16"/>
  <c r="H119" i="16"/>
  <c r="H266" i="16"/>
  <c r="H290" i="16"/>
  <c r="F53" i="16"/>
  <c r="F150" i="16"/>
  <c r="H157" i="16"/>
  <c r="H126" i="16"/>
  <c r="H260" i="16"/>
  <c r="H188" i="16"/>
  <c r="H165" i="16"/>
  <c r="H110" i="16"/>
  <c r="H30" i="16"/>
  <c r="F102" i="16"/>
  <c r="F276" i="16"/>
  <c r="F125" i="16"/>
  <c r="H244" i="16"/>
  <c r="H300" i="16"/>
  <c r="H204" i="16"/>
  <c r="H45" i="16"/>
  <c r="H200" i="16"/>
  <c r="H224" i="16"/>
  <c r="H240" i="16"/>
  <c r="F283" i="16"/>
  <c r="H193" i="16"/>
  <c r="H332" i="16"/>
  <c r="H257" i="16"/>
  <c r="F273" i="16"/>
  <c r="F124" i="16"/>
  <c r="F232" i="16"/>
  <c r="F55" i="16"/>
  <c r="F127" i="16"/>
  <c r="F50" i="16"/>
  <c r="F248" i="16"/>
  <c r="F312" i="16"/>
  <c r="F98" i="16"/>
  <c r="F93" i="16"/>
  <c r="H213" i="16"/>
  <c r="F271" i="16"/>
  <c r="H205" i="16"/>
  <c r="F189" i="16"/>
  <c r="F221" i="16"/>
  <c r="F336" i="16"/>
  <c r="H297" i="16"/>
  <c r="H255" i="16"/>
  <c r="H226" i="16"/>
  <c r="F179" i="16"/>
  <c r="H330" i="16"/>
  <c r="H242" i="16"/>
  <c r="F247" i="16"/>
  <c r="F274" i="16"/>
  <c r="H335" i="16"/>
  <c r="H183" i="16"/>
  <c r="F277" i="16"/>
  <c r="F353" i="16"/>
  <c r="H284" i="16"/>
  <c r="H305" i="16"/>
  <c r="H249" i="16"/>
  <c r="H265" i="16"/>
  <c r="F313" i="16"/>
  <c r="F324" i="16"/>
  <c r="F289" i="16"/>
  <c r="F340" i="16"/>
  <c r="H317" i="16"/>
  <c r="H285" i="16"/>
  <c r="F339" i="16"/>
  <c r="H11" i="16"/>
  <c r="H8" i="16"/>
  <c r="F97" i="16"/>
  <c r="F122" i="16"/>
  <c r="F25" i="16"/>
  <c r="F82" i="16"/>
  <c r="F315" i="16"/>
  <c r="H343" i="16"/>
  <c r="H319" i="16"/>
  <c r="H311" i="16"/>
  <c r="H251" i="16"/>
  <c r="H219" i="16"/>
  <c r="F191" i="16"/>
  <c r="F347" i="16"/>
  <c r="F307" i="16"/>
  <c r="F342" i="16"/>
  <c r="F267" i="16"/>
  <c r="F287" i="16"/>
  <c r="F243" i="16"/>
  <c r="F337" i="16"/>
  <c r="D21" i="8"/>
  <c r="X9" i="16"/>
  <c r="AI9" i="16"/>
  <c r="AP9" i="16"/>
  <c r="J10" i="8"/>
  <c r="H87" i="16"/>
  <c r="H67" i="16"/>
  <c r="H43" i="16"/>
  <c r="F80" i="16"/>
  <c r="H80" i="16"/>
  <c r="H44" i="16"/>
  <c r="F36" i="16"/>
  <c r="H36" i="16"/>
  <c r="F31" i="16"/>
  <c r="H31" i="16"/>
  <c r="H27" i="16"/>
  <c r="H26" i="16"/>
  <c r="H144" i="16"/>
  <c r="H148" i="16"/>
  <c r="H195" i="16"/>
  <c r="F195" i="16"/>
  <c r="F228" i="16"/>
  <c r="H228" i="16"/>
  <c r="F268" i="16"/>
  <c r="H268" i="16"/>
  <c r="F280" i="16"/>
  <c r="H280" i="16"/>
  <c r="H211" i="16"/>
  <c r="F211" i="16"/>
  <c r="H227" i="16"/>
  <c r="H235" i="16"/>
  <c r="F235" i="16"/>
  <c r="H303" i="16"/>
  <c r="H314" i="16"/>
  <c r="F314" i="16"/>
  <c r="H318" i="16"/>
  <c r="F338" i="16"/>
  <c r="H338" i="16"/>
  <c r="F354" i="16"/>
  <c r="H354" i="16"/>
  <c r="H329" i="16"/>
  <c r="F329" i="16"/>
  <c r="H349" i="16"/>
  <c r="F349" i="16"/>
  <c r="H61" i="16"/>
  <c r="H37" i="16"/>
  <c r="H106" i="16"/>
  <c r="H78" i="16"/>
  <c r="F74" i="16"/>
  <c r="H74" i="16"/>
  <c r="H66" i="16"/>
  <c r="H32" i="16"/>
  <c r="H134" i="16"/>
  <c r="H166" i="16"/>
  <c r="H174" i="16"/>
  <c r="F182" i="16"/>
  <c r="H182" i="16"/>
  <c r="H194" i="16"/>
  <c r="H206" i="16"/>
  <c r="F218" i="16"/>
  <c r="H218" i="16"/>
  <c r="H230" i="16"/>
  <c r="F250" i="16"/>
  <c r="H250" i="16"/>
  <c r="F262" i="16"/>
  <c r="H262" i="16"/>
  <c r="H209" i="16"/>
  <c r="F209" i="16"/>
  <c r="H229" i="16"/>
  <c r="F229" i="16"/>
  <c r="H233" i="16"/>
  <c r="H261" i="16"/>
  <c r="H281" i="16"/>
  <c r="F281" i="16"/>
  <c r="F293" i="16"/>
  <c r="H293" i="16"/>
  <c r="F309" i="16"/>
  <c r="H309" i="16"/>
  <c r="H292" i="16"/>
  <c r="F292" i="16"/>
  <c r="H316" i="16"/>
  <c r="F316" i="16"/>
  <c r="H351" i="16"/>
  <c r="F90" i="16" l="1"/>
  <c r="F197" i="16"/>
  <c r="F13" i="16"/>
  <c r="H159" i="16"/>
  <c r="F237" i="16"/>
  <c r="F34" i="16"/>
  <c r="F269" i="16"/>
  <c r="F333" i="16"/>
  <c r="F322" i="16"/>
  <c r="F254" i="16"/>
  <c r="F21" i="16"/>
  <c r="F101" i="16"/>
  <c r="H123" i="16"/>
  <c r="F308" i="16"/>
  <c r="F295" i="16"/>
  <c r="F77" i="16"/>
  <c r="H167" i="16"/>
  <c r="F73" i="16"/>
  <c r="F95" i="16"/>
  <c r="F185" i="16"/>
  <c r="F58" i="16"/>
  <c r="F208" i="16"/>
  <c r="F210" i="16"/>
  <c r="F272" i="16"/>
  <c r="F84" i="16"/>
  <c r="F38" i="16"/>
  <c r="F109" i="16"/>
  <c r="F121" i="16"/>
  <c r="F258" i="16"/>
  <c r="F231" i="16"/>
  <c r="H259" i="16"/>
  <c r="F302" i="16"/>
  <c r="F187" i="16"/>
  <c r="F113" i="16"/>
  <c r="F46" i="16"/>
  <c r="F117" i="16"/>
  <c r="F81" i="16"/>
  <c r="F94" i="16"/>
  <c r="F203" i="16"/>
  <c r="F17" i="16"/>
  <c r="F41" i="16"/>
  <c r="F341" i="16"/>
  <c r="F344" i="16"/>
  <c r="F135" i="16"/>
  <c r="F85" i="16"/>
  <c r="F19" i="16"/>
  <c r="F275" i="16"/>
  <c r="F350" i="16"/>
  <c r="H52" i="16"/>
  <c r="F52" i="16"/>
  <c r="F141" i="16"/>
  <c r="F62" i="16"/>
  <c r="F88" i="16"/>
  <c r="AG12" i="16" s="1"/>
  <c r="H88" i="16"/>
  <c r="F323" i="16"/>
  <c r="F306" i="16"/>
  <c r="F22" i="16"/>
  <c r="F29" i="16"/>
  <c r="H20" i="16"/>
  <c r="I20" i="16" s="1"/>
  <c r="F20" i="16"/>
  <c r="H91" i="16"/>
  <c r="F91" i="16"/>
  <c r="F118" i="16"/>
  <c r="F207" i="16"/>
  <c r="F65" i="16"/>
  <c r="F114" i="16"/>
  <c r="H114" i="16"/>
  <c r="H28" i="16"/>
  <c r="F28" i="16"/>
  <c r="AG23" i="16"/>
  <c r="I95" i="16"/>
  <c r="I127" i="16"/>
  <c r="I225" i="16"/>
  <c r="I163" i="16"/>
  <c r="I299" i="16"/>
  <c r="I264" i="16"/>
  <c r="I202" i="16"/>
  <c r="I215" i="16"/>
  <c r="I220" i="16"/>
  <c r="I149" i="16"/>
  <c r="I175" i="16"/>
  <c r="I180" i="16"/>
  <c r="I296" i="16"/>
  <c r="I137" i="16"/>
  <c r="I345" i="16"/>
  <c r="I331" i="16"/>
  <c r="I288" i="16"/>
  <c r="AG19" i="16"/>
  <c r="AG14" i="16"/>
  <c r="AG21" i="16"/>
  <c r="AG13" i="16"/>
  <c r="AG11" i="16"/>
  <c r="AG15" i="16"/>
  <c r="L35" i="8"/>
  <c r="I93" i="16"/>
  <c r="I108" i="16"/>
  <c r="I91" i="16"/>
  <c r="I85" i="16"/>
  <c r="I117" i="16"/>
  <c r="I19" i="16"/>
  <c r="I52" i="16"/>
  <c r="I181" i="16"/>
  <c r="I263" i="16"/>
  <c r="I321" i="16"/>
  <c r="I21" i="16"/>
  <c r="I94" i="16"/>
  <c r="I252" i="16"/>
  <c r="I326" i="16"/>
  <c r="I97" i="16"/>
  <c r="I212" i="16"/>
  <c r="I279" i="16"/>
  <c r="I34" i="16"/>
  <c r="I124" i="16"/>
  <c r="I223" i="16"/>
  <c r="I256" i="16"/>
  <c r="I355" i="16"/>
  <c r="I169" i="16"/>
  <c r="I253" i="16"/>
  <c r="I348" i="16"/>
  <c r="I53" i="16"/>
  <c r="I168" i="16"/>
  <c r="I241" i="16"/>
  <c r="I286" i="16"/>
  <c r="I38" i="16"/>
  <c r="I173" i="16"/>
  <c r="I304" i="16"/>
  <c r="I352" i="16"/>
  <c r="I81" i="16"/>
  <c r="I186" i="16"/>
  <c r="I245" i="16"/>
  <c r="I298" i="16"/>
  <c r="I29" i="16"/>
  <c r="I46" i="16"/>
  <c r="I155" i="16"/>
  <c r="I190" i="16"/>
  <c r="I301" i="16"/>
  <c r="I73" i="16"/>
  <c r="I161" i="16"/>
  <c r="I327" i="16"/>
  <c r="I41" i="16"/>
  <c r="I147" i="16"/>
  <c r="I170" i="16"/>
  <c r="I282" i="16"/>
  <c r="I56" i="16"/>
  <c r="I131" i="16"/>
  <c r="I152" i="16"/>
  <c r="I320" i="16"/>
  <c r="I28" i="16"/>
  <c r="I136" i="16"/>
  <c r="I234" i="16"/>
  <c r="I346" i="16"/>
  <c r="I113" i="16"/>
  <c r="I142" i="16"/>
  <c r="I239"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9" i="16"/>
  <c r="I135" i="16"/>
  <c r="I157" i="16"/>
  <c r="I184" i="16"/>
  <c r="I189" i="16"/>
  <c r="I197" i="16"/>
  <c r="I207" i="16"/>
  <c r="I216" i="16"/>
  <c r="I222" i="16"/>
  <c r="I237" i="16"/>
  <c r="I244" i="16"/>
  <c r="I249" i="16"/>
  <c r="I254" i="16"/>
  <c r="I260" i="16"/>
  <c r="I267" i="16"/>
  <c r="I271" i="16"/>
  <c r="I274" i="16"/>
  <c r="I278" i="16"/>
  <c r="I287" i="16"/>
  <c r="I306" i="16"/>
  <c r="I310" i="16"/>
  <c r="I322" i="16"/>
  <c r="I332" i="16"/>
  <c r="I336" i="16"/>
  <c r="I342" i="16"/>
  <c r="I350" i="16"/>
  <c r="I126" i="16"/>
  <c r="I129" i="16"/>
  <c r="I146" i="16"/>
  <c r="I153" i="16"/>
  <c r="I165" i="16"/>
  <c r="I179" i="16"/>
  <c r="I185" i="16"/>
  <c r="I193" i="16"/>
  <c r="I198" i="16"/>
  <c r="I204" i="16"/>
  <c r="I210" i="16"/>
  <c r="I221" i="16"/>
  <c r="I226" i="16"/>
  <c r="I236" i="16"/>
  <c r="I12" i="16"/>
  <c r="I16" i="16"/>
  <c r="I23" i="16"/>
  <c r="I25" i="16"/>
  <c r="I39" i="16"/>
  <c r="I42" i="16"/>
  <c r="I49" i="16"/>
  <c r="I62" i="16"/>
  <c r="I65" i="16"/>
  <c r="I72" i="16"/>
  <c r="I83" i="16"/>
  <c r="I92" i="16"/>
  <c r="I100" i="16"/>
  <c r="I110" i="16"/>
  <c r="I115" i="16"/>
  <c r="I120" i="16"/>
  <c r="I125" i="16"/>
  <c r="I132" i="16"/>
  <c r="I141"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8" i="16"/>
  <c r="I140" i="16"/>
  <c r="I150" i="16"/>
  <c r="I156" i="16"/>
  <c r="I172" i="16"/>
  <c r="I178" i="16"/>
  <c r="I183" i="16"/>
  <c r="I191" i="16"/>
  <c r="I196" i="16"/>
  <c r="I203" i="16"/>
  <c r="I208" i="16"/>
  <c r="I224" i="16"/>
  <c r="I232" i="16"/>
  <c r="I238" i="16"/>
  <c r="I247" i="16"/>
  <c r="I255" i="16"/>
  <c r="I266" i="16"/>
  <c r="I272" i="16"/>
  <c r="I277" i="16"/>
  <c r="I284" i="16"/>
  <c r="I248" i="16"/>
  <c r="I270" i="16"/>
  <c r="I295" i="16"/>
  <c r="I302" i="16"/>
  <c r="I307" i="16"/>
  <c r="I313" i="16"/>
  <c r="I317" i="16"/>
  <c r="I323" i="16"/>
  <c r="I333"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195" i="16"/>
  <c r="I27" i="16"/>
  <c r="I43" i="16"/>
  <c r="I67" i="16"/>
  <c r="I87" i="16"/>
  <c r="I309" i="16"/>
  <c r="I293" i="16"/>
  <c r="I262" i="16"/>
  <c r="I250" i="16"/>
  <c r="I230" i="16"/>
  <c r="I218" i="16"/>
  <c r="I206" i="16"/>
  <c r="I194" i="16"/>
  <c r="I182" i="16"/>
  <c r="I174" i="16"/>
  <c r="I166" i="16"/>
  <c r="I134" i="16"/>
  <c r="I32" i="16"/>
  <c r="I66" i="16"/>
  <c r="I74" i="16"/>
  <c r="I78" i="16"/>
  <c r="I106" i="16"/>
  <c r="I354" i="16"/>
  <c r="I338" i="16"/>
  <c r="I303" i="16"/>
  <c r="I280" i="16"/>
  <c r="I268" i="16"/>
  <c r="I228" i="16"/>
  <c r="I148" i="16"/>
  <c r="I144" i="16"/>
  <c r="I26" i="16"/>
  <c r="I31" i="16"/>
  <c r="I36" i="16"/>
  <c r="I44" i="16"/>
  <c r="I80" i="16"/>
  <c r="AG17" i="16"/>
  <c r="AG20" i="16"/>
  <c r="AG18" i="16"/>
  <c r="AG16" i="16"/>
  <c r="AG26" i="16"/>
  <c r="AG24" i="16"/>
  <c r="AG22" i="16"/>
  <c r="AG25" i="16"/>
  <c r="I159" i="16" l="1"/>
  <c r="I337" i="16"/>
  <c r="I259" i="16"/>
  <c r="I55" i="16"/>
  <c r="I211" i="16"/>
  <c r="I90" i="16"/>
  <c r="I105" i="16"/>
  <c r="I176" i="16"/>
  <c r="I50" i="16"/>
  <c r="I213" i="16"/>
  <c r="I88" i="16"/>
  <c r="I283" i="16"/>
  <c r="I133" i="16"/>
  <c r="I167" i="16"/>
  <c r="I114"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123" i="16"/>
  <c r="I294" i="16"/>
  <c r="I291" i="16"/>
  <c r="I145" i="16"/>
  <c r="I171" i="16"/>
  <c r="I325" i="16"/>
  <c r="I199" i="16"/>
  <c r="I217" i="16"/>
  <c r="AE11" i="16"/>
  <c r="AE13" i="16"/>
  <c r="AE22" i="16"/>
  <c r="AE26" i="16"/>
  <c r="AE18" i="16"/>
  <c r="AE21" i="16"/>
  <c r="AE19" i="16"/>
  <c r="AE12" i="16"/>
  <c r="AE25" i="16"/>
  <c r="AE24" i="16"/>
  <c r="AE16" i="16"/>
  <c r="AE20" i="16"/>
  <c r="AE17" i="16"/>
  <c r="AE23" i="16"/>
  <c r="AE15" i="16"/>
  <c r="AE14" i="16"/>
  <c r="AG9" i="16"/>
  <c r="E51" i="8" s="1"/>
  <c r="G118" i="8"/>
  <c r="E48" i="8"/>
  <c r="Q37" i="8"/>
  <c r="L11" i="16" l="1"/>
  <c r="AA11" i="16" s="1"/>
  <c r="V37" i="8"/>
  <c r="B33" i="8" s="1"/>
  <c r="L12" i="16"/>
  <c r="AP12" i="16" s="1"/>
  <c r="B86" i="8"/>
  <c r="U86" i="8" s="1"/>
  <c r="AH18" i="16"/>
  <c r="AH12" i="16"/>
  <c r="AH20" i="16"/>
  <c r="AH26" i="16"/>
  <c r="AH23" i="16"/>
  <c r="AH17" i="16"/>
  <c r="AH19" i="16"/>
  <c r="AH16" i="16"/>
  <c r="AH21" i="16"/>
  <c r="AH13" i="16"/>
  <c r="AH14" i="16"/>
  <c r="AH15" i="16"/>
  <c r="AH24" i="16"/>
  <c r="AH22" i="16"/>
  <c r="AH25" i="16"/>
  <c r="AH11" i="16"/>
  <c r="L13" i="16"/>
  <c r="X13" i="16" s="1"/>
  <c r="Y13" i="16" s="1"/>
  <c r="S11" i="16" l="1"/>
  <c r="AP11" i="16"/>
  <c r="X11" i="16"/>
  <c r="AI11" i="16"/>
  <c r="E66" i="8"/>
  <c r="Y66" i="8" s="1"/>
  <c r="T11" i="16"/>
  <c r="M11" i="16"/>
  <c r="U11" i="16" s="1"/>
  <c r="AI12" i="16"/>
  <c r="AJ12" i="16" s="1"/>
  <c r="AA12" i="16"/>
  <c r="S12" i="16"/>
  <c r="T12" i="16"/>
  <c r="M12" i="16"/>
  <c r="N12" i="16" s="1"/>
  <c r="X12" i="16"/>
  <c r="Y11" i="16"/>
  <c r="Y12" i="16"/>
  <c r="L14" i="16"/>
  <c r="AP13" i="16"/>
  <c r="M13" i="16"/>
  <c r="N13" i="16" s="1"/>
  <c r="T13" i="16"/>
  <c r="AI13" i="16"/>
  <c r="S13" i="16"/>
  <c r="AA13" i="16"/>
  <c r="AQ12" i="16" l="1"/>
  <c r="AJ11" i="16"/>
  <c r="AB11" i="16"/>
  <c r="AQ11" i="16"/>
  <c r="U66" i="8"/>
  <c r="N11" i="16"/>
  <c r="AB12" i="16"/>
  <c r="U12"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Y19" i="16" s="1"/>
  <c r="M19" i="16"/>
  <c r="N19" i="16" s="1"/>
  <c r="T19" i="16"/>
  <c r="S19" i="16"/>
  <c r="AA19" i="16"/>
  <c r="L20" i="16"/>
  <c r="AQ19" i="16" l="1"/>
  <c r="AB19" i="16"/>
  <c r="U19" i="16"/>
  <c r="AJ19" i="16"/>
  <c r="AI20" i="16"/>
  <c r="S20" i="16"/>
  <c r="AA20" i="16"/>
  <c r="AP20" i="16"/>
  <c r="X20" i="16"/>
  <c r="Y20" i="16" s="1"/>
  <c r="M20" i="16"/>
  <c r="N20" i="16" s="1"/>
  <c r="T20" i="16"/>
  <c r="L21" i="16"/>
  <c r="U20" i="16" l="1"/>
  <c r="AB20" i="16"/>
  <c r="AQ20" i="16"/>
  <c r="AJ20" i="16"/>
  <c r="AP21" i="16"/>
  <c r="X21" i="16"/>
  <c r="Y21" i="16" s="1"/>
  <c r="M21" i="16"/>
  <c r="N21" i="16" s="1"/>
  <c r="T21" i="16"/>
  <c r="AI21" i="16"/>
  <c r="S21" i="16"/>
  <c r="AA21" i="16"/>
  <c r="L22" i="16"/>
  <c r="AB21" i="16" l="1"/>
  <c r="U21" i="16"/>
  <c r="AJ21" i="16"/>
  <c r="AQ21" i="16"/>
  <c r="AP22" i="16"/>
  <c r="X22" i="16"/>
  <c r="Y22" i="16" s="1"/>
  <c r="M22" i="16"/>
  <c r="N22" i="16" s="1"/>
  <c r="T22" i="16"/>
  <c r="AI22" i="16"/>
  <c r="S22" i="16"/>
  <c r="AA22" i="16"/>
  <c r="L23" i="16"/>
  <c r="AB22" i="16" l="1"/>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Y27" i="16" s="1"/>
  <c r="M27" i="16"/>
  <c r="N27" i="16" s="1"/>
  <c r="T27" i="16"/>
  <c r="AI27" i="16"/>
  <c r="S27" i="16"/>
  <c r="AA27" i="16"/>
  <c r="L28" i="16"/>
  <c r="AQ27" i="16" l="1"/>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Y50" i="16" s="1"/>
  <c r="M50" i="16"/>
  <c r="N50" i="16" s="1"/>
  <c r="AI50" i="16"/>
  <c r="T50" i="16"/>
  <c r="U50" i="16" l="1"/>
  <c r="AB50" i="16"/>
  <c r="AQ50" i="16"/>
  <c r="AJ50" i="16"/>
  <c r="L52" i="16"/>
  <c r="AP51" i="16"/>
  <c r="AA51" i="16"/>
  <c r="X51" i="16"/>
  <c r="M51" i="16"/>
  <c r="N51" i="16" s="1"/>
  <c r="AI51" i="16"/>
  <c r="T51" i="16"/>
  <c r="S51" i="16"/>
  <c r="Y51" i="16" l="1"/>
  <c r="AQ51" i="16"/>
  <c r="AB51" i="16"/>
  <c r="U51" i="16"/>
  <c r="AJ51" i="16"/>
  <c r="L53" i="16"/>
  <c r="S52" i="16"/>
  <c r="AP52" i="16"/>
  <c r="AA52" i="16"/>
  <c r="X52" i="16"/>
  <c r="Y52" i="16" s="1"/>
  <c r="M52" i="16"/>
  <c r="N52" i="16" s="1"/>
  <c r="AI52" i="16"/>
  <c r="T52" i="16"/>
  <c r="U52" i="16" l="1"/>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T80" i="16"/>
  <c r="S80" i="16"/>
  <c r="AP80" i="16"/>
  <c r="AA80" i="16"/>
  <c r="L81" i="16"/>
  <c r="U80" i="16" l="1"/>
  <c r="AJ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T86" i="16"/>
  <c r="S86" i="16"/>
  <c r="AP86" i="16"/>
  <c r="AA86" i="16"/>
  <c r="L87" i="16"/>
  <c r="AJ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T93" i="16"/>
  <c r="X93" i="16"/>
  <c r="Y93" i="16" s="1"/>
  <c r="M93" i="16"/>
  <c r="N93" i="16" s="1"/>
  <c r="L94" i="16"/>
  <c r="AJ93" i="16" l="1"/>
  <c r="AQ93" i="16"/>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T98" i="16"/>
  <c r="S98" i="16"/>
  <c r="AP98" i="16"/>
  <c r="AA98" i="16"/>
  <c r="L99" i="16"/>
  <c r="AJ98" i="16" l="1"/>
  <c r="U98" i="16"/>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T108" i="16"/>
  <c r="S108" i="16"/>
  <c r="AP108" i="16"/>
  <c r="AA108" i="16"/>
  <c r="L109" i="16"/>
  <c r="AJ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T114" i="16"/>
  <c r="S114" i="16"/>
  <c r="AP114" i="16"/>
  <c r="AA114" i="16"/>
  <c r="L115" i="16"/>
  <c r="AJ114" i="16" l="1"/>
  <c r="AQ114" i="16"/>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Q135" i="16" l="1"/>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T152" i="16"/>
  <c r="X152" i="16"/>
  <c r="Y152" i="16" s="1"/>
  <c r="M152" i="16"/>
  <c r="N152" i="16" s="1"/>
  <c r="L153" i="16"/>
  <c r="AJ152" i="16" l="1"/>
  <c r="U152" i="16"/>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T160" i="16"/>
  <c r="X160" i="16"/>
  <c r="Y160" i="16" s="1"/>
  <c r="M160" i="16"/>
  <c r="N160" i="16" s="1"/>
  <c r="L161" i="16"/>
  <c r="AJ160" i="16" l="1"/>
  <c r="U160" i="16"/>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AJ165" i="16" s="1"/>
  <c r="AK165" i="16" s="1"/>
  <c r="T165" i="16"/>
  <c r="S165" i="16"/>
  <c r="AP165" i="16"/>
  <c r="AA165" i="16"/>
  <c r="L166" i="16"/>
  <c r="U165" i="16" l="1"/>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J175" i="16" l="1"/>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T183" i="16"/>
  <c r="S183" i="16"/>
  <c r="AP183" i="16"/>
  <c r="AA183" i="16"/>
  <c r="L184" i="16"/>
  <c r="AJ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T197" i="16"/>
  <c r="S197" i="16"/>
  <c r="AP197" i="16"/>
  <c r="AA197" i="16"/>
  <c r="L198" i="16"/>
  <c r="AJ197"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T202" i="16"/>
  <c r="X202" i="16"/>
  <c r="Y202" i="16" s="1"/>
  <c r="M202" i="16"/>
  <c r="N202" i="16" s="1"/>
  <c r="L203" i="16"/>
  <c r="AJ202" i="16" l="1"/>
  <c r="AQ202" i="16"/>
  <c r="AB202" i="16"/>
  <c r="U202" i="16"/>
  <c r="X203" i="16"/>
  <c r="Y203" i="16" s="1"/>
  <c r="AP203" i="16"/>
  <c r="M203" i="16"/>
  <c r="N203" i="16" s="1"/>
  <c r="AA203" i="16"/>
  <c r="S203" i="16"/>
  <c r="T203" i="16"/>
  <c r="AI203" i="16"/>
  <c r="AJ203" i="16" s="1"/>
  <c r="AK203" i="16" s="1"/>
  <c r="L204" i="16"/>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AJ205" i="16" s="1"/>
  <c r="AK205" i="16" s="1"/>
  <c r="T205" i="16"/>
  <c r="S205" i="16"/>
  <c r="AP205" i="16"/>
  <c r="AQ205" i="16" s="1"/>
  <c r="AR205" i="16" s="1"/>
  <c r="AA205" i="16"/>
  <c r="L206" i="16"/>
  <c r="U205" i="16" l="1"/>
  <c r="AB205" i="16"/>
  <c r="AP206" i="16"/>
  <c r="AA206" i="16"/>
  <c r="S206" i="16"/>
  <c r="AI206" i="16"/>
  <c r="AJ206" i="16" s="1"/>
  <c r="T206" i="16"/>
  <c r="X206" i="16"/>
  <c r="Y206" i="16" s="1"/>
  <c r="M206" i="16"/>
  <c r="N206" i="16" s="1"/>
  <c r="L207" i="16"/>
  <c r="U206" i="16" l="1"/>
  <c r="AQ206" i="16"/>
  <c r="AK206" i="16"/>
  <c r="AB206" i="16"/>
  <c r="X207" i="16"/>
  <c r="Y207" i="16" s="1"/>
  <c r="M207" i="16"/>
  <c r="N207" i="16" s="1"/>
  <c r="AI207" i="16"/>
  <c r="AJ207" i="16" s="1"/>
  <c r="AK207" i="16" s="1"/>
  <c r="T207" i="16"/>
  <c r="S207" i="16"/>
  <c r="AP207" i="16"/>
  <c r="AQ207" i="16" s="1"/>
  <c r="AA207" i="16"/>
  <c r="L208" i="16"/>
  <c r="U207" i="16" l="1"/>
  <c r="AB207" i="16"/>
  <c r="AP208" i="16"/>
  <c r="AA208" i="16"/>
  <c r="S208" i="16"/>
  <c r="AI208" i="16"/>
  <c r="T208" i="16"/>
  <c r="U208" i="16" s="1"/>
  <c r="X208" i="16"/>
  <c r="Y208" i="16" s="1"/>
  <c r="M208" i="16"/>
  <c r="N208" i="16" s="1"/>
  <c r="L209" i="16"/>
  <c r="AJ208" i="16" l="1"/>
  <c r="AQ208" i="16"/>
  <c r="V208" i="16"/>
  <c r="AB208" i="16"/>
  <c r="X209" i="16"/>
  <c r="Y209" i="16" s="1"/>
  <c r="M209" i="16"/>
  <c r="N209" i="16" s="1"/>
  <c r="AI209" i="16"/>
  <c r="AJ209" i="16" s="1"/>
  <c r="AK209" i="16" s="1"/>
  <c r="T209" i="16"/>
  <c r="S209" i="16"/>
  <c r="AP209" i="16"/>
  <c r="AQ209" i="16" s="1"/>
  <c r="AR209" i="16" s="1"/>
  <c r="AA209" i="16"/>
  <c r="L210" i="16"/>
  <c r="AB209" i="16" l="1"/>
  <c r="U209" i="16"/>
  <c r="AP210" i="16"/>
  <c r="AA210" i="16"/>
  <c r="S210" i="16"/>
  <c r="AI210" i="16"/>
  <c r="AJ210" i="16" s="1"/>
  <c r="T210" i="16"/>
  <c r="X210" i="16"/>
  <c r="Y210" i="16" s="1"/>
  <c r="M210" i="16"/>
  <c r="N210" i="16" s="1"/>
  <c r="L211" i="16"/>
  <c r="E86" i="8" s="1"/>
  <c r="Y86" i="8" s="1"/>
  <c r="AQ210" i="16" l="1"/>
  <c r="U210" i="16"/>
  <c r="AK210" i="16"/>
  <c r="AB210" i="16"/>
  <c r="X211" i="16"/>
  <c r="Y211" i="16" s="1"/>
  <c r="M211" i="16"/>
  <c r="N211" i="16" s="1"/>
  <c r="AI211" i="16"/>
  <c r="T211" i="16"/>
  <c r="S211" i="16"/>
  <c r="AP211" i="16"/>
  <c r="AA211" i="16"/>
  <c r="L212" i="16"/>
  <c r="AQ211" i="16" l="1"/>
  <c r="AB211" i="16"/>
  <c r="AJ211" i="16"/>
  <c r="U211" i="16"/>
  <c r="AP212" i="16"/>
  <c r="AQ212" i="16" s="1"/>
  <c r="AR212" i="16" s="1"/>
  <c r="AA212" i="16"/>
  <c r="S212" i="16"/>
  <c r="AI212" i="16"/>
  <c r="AJ212" i="16" s="1"/>
  <c r="AK212" i="16" s="1"/>
  <c r="T212" i="16"/>
  <c r="U212" i="16" s="1"/>
  <c r="V212" i="16" s="1"/>
  <c r="X212" i="16"/>
  <c r="Y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AR213" i="16" l="1"/>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AR214" i="16" l="1"/>
  <c r="AC214" i="16"/>
  <c r="AP216" i="16"/>
  <c r="AQ216" i="16" s="1"/>
  <c r="AR216" i="16" s="1"/>
  <c r="AA216" i="16"/>
  <c r="S216" i="16"/>
  <c r="AI216" i="16"/>
  <c r="AJ216" i="16" s="1"/>
  <c r="AK216" i="16" s="1"/>
  <c r="T216" i="16"/>
  <c r="U216" i="16" s="1"/>
  <c r="V216" i="16" s="1"/>
  <c r="X216" i="16"/>
  <c r="Y216" i="16" s="1"/>
  <c r="M216" i="16"/>
  <c r="N216" i="16" s="1"/>
  <c r="L217" i="16"/>
  <c r="AB216" i="16" l="1"/>
  <c r="X217" i="16"/>
  <c r="Y217" i="16" s="1"/>
  <c r="M217" i="16"/>
  <c r="AI217" i="16"/>
  <c r="AJ217" i="16" s="1"/>
  <c r="AK217" i="16" s="1"/>
  <c r="T217" i="16"/>
  <c r="U217" i="16" s="1"/>
  <c r="S217" i="16"/>
  <c r="AP217" i="16"/>
  <c r="AQ217" i="16" s="1"/>
  <c r="AA217" i="16"/>
  <c r="AB217" i="16" s="1"/>
  <c r="AC217" i="16" s="1"/>
  <c r="N217" i="16"/>
  <c r="L218" i="16"/>
  <c r="AR217" i="16" l="1"/>
  <c r="V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M220" i="16"/>
  <c r="N220" i="16" s="1"/>
  <c r="L221" i="16"/>
  <c r="AB220" i="16" l="1"/>
  <c r="X221" i="16"/>
  <c r="Y221" i="16" s="1"/>
  <c r="M221" i="16"/>
  <c r="AI221" i="16"/>
  <c r="AJ221" i="16" s="1"/>
  <c r="AK221" i="16" s="1"/>
  <c r="T221" i="16"/>
  <c r="U221" i="16" s="1"/>
  <c r="V221" i="16" s="1"/>
  <c r="S221" i="16"/>
  <c r="AP221" i="16"/>
  <c r="AQ221" i="16" s="1"/>
  <c r="AR221" i="16" s="1"/>
  <c r="AA221" i="16"/>
  <c r="AB221" i="16" s="1"/>
  <c r="AC221" i="16" s="1"/>
  <c r="N221" i="16"/>
  <c r="L222" i="16"/>
  <c r="AC220" i="16" l="1"/>
  <c r="AP222" i="16"/>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355" i="16" l="1"/>
  <c r="Z205" i="16"/>
  <c r="Z208" i="16"/>
  <c r="Z209" i="16"/>
  <c r="Z210" i="16"/>
  <c r="Z212" i="16"/>
  <c r="Z213" i="16"/>
  <c r="Z215" i="16"/>
  <c r="Z214" i="16"/>
  <c r="Z216" i="16"/>
  <c r="Z217" i="16"/>
  <c r="Z218" i="16"/>
  <c r="Z219" i="16"/>
  <c r="Z221" i="16"/>
  <c r="Z220" i="16"/>
  <c r="Z223" i="16"/>
  <c r="Z222" i="16"/>
  <c r="Z225" i="16"/>
  <c r="Z224" i="16"/>
  <c r="Z227" i="16"/>
  <c r="Z226" i="16"/>
  <c r="Z228" i="16"/>
  <c r="Z229" i="16"/>
  <c r="Z230" i="16"/>
  <c r="Z232" i="16"/>
  <c r="Z231" i="16"/>
  <c r="Z233" i="16"/>
  <c r="Z236" i="16"/>
  <c r="Z235" i="16"/>
  <c r="Z234" i="16"/>
  <c r="Z237" i="16"/>
  <c r="Z238" i="16"/>
  <c r="Z239" i="16"/>
  <c r="Z241" i="16"/>
  <c r="Z240" i="16"/>
  <c r="Z242" i="16"/>
  <c r="Z243" i="16"/>
  <c r="Z245" i="16"/>
  <c r="Z244" i="16"/>
  <c r="Z246" i="16"/>
  <c r="Z247" i="16"/>
  <c r="Z248" i="16"/>
  <c r="Z249" i="16"/>
  <c r="Z250" i="16"/>
  <c r="Z251" i="16"/>
  <c r="Z253" i="16"/>
  <c r="Z254" i="16"/>
  <c r="Z256" i="16"/>
  <c r="Z252" i="16"/>
  <c r="Z257" i="16"/>
  <c r="Z258" i="16"/>
  <c r="Z255" i="16"/>
  <c r="Z260" i="16"/>
  <c r="Z259" i="16"/>
  <c r="Z261" i="16"/>
  <c r="Z262" i="16"/>
  <c r="Z264" i="16"/>
  <c r="Z263" i="16"/>
  <c r="Z265" i="16"/>
  <c r="Z266" i="16"/>
  <c r="Z267" i="16"/>
  <c r="Z270" i="16"/>
  <c r="Z269" i="16"/>
  <c r="Z272" i="16"/>
  <c r="Z268" i="16"/>
  <c r="Z271" i="16"/>
  <c r="Z273" i="16"/>
  <c r="Z275" i="16"/>
  <c r="Z274" i="16"/>
  <c r="Z276" i="16"/>
  <c r="Z277" i="16"/>
  <c r="Z278" i="16"/>
  <c r="Z279" i="16"/>
  <c r="Z280" i="16"/>
  <c r="Z282" i="16"/>
  <c r="Z281" i="16"/>
  <c r="Z283" i="16"/>
  <c r="Z286" i="16"/>
  <c r="Z285" i="16"/>
  <c r="Z284" i="16"/>
  <c r="Z287" i="16"/>
  <c r="Z288" i="16"/>
  <c r="Z291" i="16"/>
  <c r="Z290" i="16"/>
  <c r="Z292" i="16"/>
  <c r="Z289" i="16"/>
  <c r="Z294" i="16"/>
  <c r="Z293" i="16"/>
  <c r="Z296" i="16"/>
  <c r="Z295" i="16"/>
  <c r="Z297" i="16"/>
  <c r="Z298" i="16"/>
  <c r="Z299" i="16"/>
  <c r="Z300" i="16"/>
  <c r="Z301" i="16"/>
  <c r="Z302" i="16"/>
  <c r="Z303" i="16"/>
  <c r="Z305" i="16"/>
  <c r="Z304" i="16"/>
  <c r="Z307" i="16"/>
  <c r="Z306" i="16"/>
  <c r="Z308" i="16"/>
  <c r="Z309" i="16"/>
  <c r="Z310" i="16"/>
  <c r="Z311" i="16"/>
  <c r="Z312" i="16"/>
  <c r="Z313" i="16"/>
  <c r="Z314" i="16"/>
  <c r="Z315" i="16"/>
  <c r="Z316" i="16"/>
  <c r="Z317" i="16"/>
  <c r="Z318" i="16"/>
  <c r="Z319" i="16"/>
  <c r="Z320" i="16"/>
  <c r="Z322" i="16"/>
  <c r="Z323" i="16"/>
  <c r="Z321" i="16"/>
  <c r="Z324" i="16"/>
  <c r="Z326" i="16"/>
  <c r="Z325" i="16"/>
  <c r="Z329" i="16"/>
  <c r="Z327" i="16"/>
  <c r="Z328" i="16"/>
  <c r="Z331" i="16"/>
  <c r="Z330" i="16"/>
  <c r="Z332" i="16"/>
  <c r="Z334" i="16"/>
  <c r="Z335" i="16"/>
  <c r="Z333" i="16"/>
  <c r="Z336" i="16"/>
  <c r="Z337" i="16"/>
  <c r="Z338" i="16"/>
  <c r="Z340" i="16"/>
  <c r="Z339" i="16"/>
  <c r="Z341" i="16"/>
  <c r="Z343" i="16"/>
  <c r="Z342" i="16"/>
  <c r="Z344" i="16"/>
  <c r="Z346" i="16"/>
  <c r="Z345" i="16"/>
  <c r="Z348" i="16"/>
  <c r="Z350" i="16"/>
  <c r="Z347" i="16"/>
  <c r="Z349" i="16"/>
  <c r="Z351" i="16"/>
  <c r="Z353" i="16"/>
  <c r="Z352" i="16"/>
  <c r="Z354"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V39" i="8"/>
  <c r="O10" i="16"/>
  <c r="G119" i="8"/>
  <c r="M9" i="16"/>
  <c r="L37" i="8" s="1"/>
  <c r="K37" i="8" s="1"/>
  <c r="Y9" i="16"/>
  <c r="U69" i="8"/>
  <c r="U67" i="8"/>
  <c r="U70" i="8"/>
  <c r="U68" i="8"/>
  <c r="U71" i="8"/>
  <c r="U73" i="8"/>
  <c r="U72" i="8"/>
  <c r="AR206" i="16" l="1"/>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2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69" i="16"/>
  <c r="AC78" i="16"/>
  <c r="AC83" i="16"/>
  <c r="AC84" i="16"/>
  <c r="AC90" i="16"/>
  <c r="AC104" i="16"/>
  <c r="AC130" i="16"/>
  <c r="AC144" i="16"/>
  <c r="AC143" i="16"/>
  <c r="AC154" i="16"/>
  <c r="AC156" i="16"/>
  <c r="AC161" i="16"/>
  <c r="AC182" i="16"/>
  <c r="AC185" i="16"/>
  <c r="AC187" i="16"/>
  <c r="AC198" i="16"/>
  <c r="AC201" i="16"/>
  <c r="V11" i="16"/>
  <c r="V17" i="16"/>
  <c r="V23" i="16"/>
  <c r="V26" i="16"/>
  <c r="V35" i="16"/>
  <c r="V47" i="16"/>
  <c r="AC14" i="16"/>
  <c r="AC36" i="16"/>
  <c r="AC39" i="16"/>
  <c r="AC51" i="16"/>
  <c r="AC56" i="16"/>
  <c r="AC66" i="16"/>
  <c r="AC75" i="16"/>
  <c r="AC88" i="16"/>
  <c r="AC93" i="16"/>
  <c r="AC118" i="16"/>
  <c r="AC157" i="16"/>
  <c r="AC171" i="16"/>
  <c r="AC179" i="16"/>
  <c r="AC188"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U108" i="8" s="1"/>
  <c r="AK76" i="16"/>
  <c r="AK106" i="16"/>
  <c r="AK122" i="16"/>
  <c r="AK127" i="16"/>
  <c r="AJ9" i="16"/>
  <c r="AK83" i="16"/>
  <c r="AK101" i="16"/>
  <c r="AK103" i="16"/>
  <c r="AK143" i="16"/>
  <c r="AK171" i="16"/>
  <c r="U9" i="16"/>
  <c r="P7" i="16"/>
  <c r="Q7" i="16"/>
  <c r="Q10" i="16"/>
  <c r="AK117" i="16"/>
  <c r="AK188" i="16"/>
  <c r="AK69" i="16"/>
  <c r="AK74" i="16"/>
  <c r="AK90" i="16"/>
  <c r="AK125" i="16"/>
  <c r="AS12" i="16"/>
  <c r="B93" i="8"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P110" i="16"/>
  <c r="P276" i="16"/>
  <c r="P78" i="16"/>
  <c r="P210" i="16"/>
  <c r="P219" i="16"/>
  <c r="P22" i="16"/>
  <c r="P231" i="16"/>
  <c r="P154" i="16"/>
  <c r="P14" i="16"/>
  <c r="P17" i="16"/>
  <c r="P185" i="16"/>
  <c r="P136" i="16"/>
  <c r="P127" i="16"/>
  <c r="P21" i="16"/>
  <c r="P13" i="16"/>
  <c r="P24" i="16"/>
  <c r="P20" i="16"/>
  <c r="P16" i="16"/>
  <c r="P12" i="16"/>
  <c r="P157" i="16"/>
  <c r="P125" i="16"/>
  <c r="P23" i="16"/>
  <c r="P19" i="16"/>
  <c r="P15" i="16"/>
  <c r="P32" i="16"/>
  <c r="P43" i="16"/>
  <c r="P65" i="16"/>
  <c r="P45" i="16"/>
  <c r="R166" i="16" l="1"/>
  <c r="O11" i="16"/>
  <c r="P25" i="16"/>
  <c r="P131" i="16"/>
  <c r="Q19" i="16"/>
  <c r="P101" i="16"/>
  <c r="P82" i="16"/>
  <c r="P353" i="16"/>
  <c r="P220" i="16"/>
  <c r="P46" i="16"/>
  <c r="P56" i="16"/>
  <c r="P73" i="16"/>
  <c r="P72" i="16"/>
  <c r="P18" i="16"/>
  <c r="P275" i="16"/>
  <c r="P309" i="16"/>
  <c r="P323" i="16"/>
  <c r="P254" i="16"/>
  <c r="Q27" i="16"/>
  <c r="Q15" i="16"/>
  <c r="E50" i="8"/>
  <c r="AS13" i="16"/>
  <c r="B94" i="8" s="1"/>
  <c r="Q39" i="8"/>
  <c r="K39" i="8" s="1"/>
  <c r="K50" i="8"/>
  <c r="K51" i="8"/>
  <c r="Q37" i="16"/>
  <c r="Q32"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1"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K49" i="8"/>
  <c r="AM11" i="16"/>
  <c r="AN11" i="16" s="1"/>
  <c r="AM12" i="16"/>
  <c r="AN12" i="16" s="1"/>
  <c r="AT11" i="16"/>
  <c r="E92" i="8" s="1"/>
  <c r="Y92" i="8" s="1"/>
  <c r="AT12" i="16"/>
  <c r="AU12" i="16" s="1"/>
  <c r="U93" i="8" s="1"/>
  <c r="K48" i="8"/>
  <c r="M120" i="8" s="1"/>
  <c r="AT13" i="16"/>
  <c r="AU13" i="16" s="1"/>
  <c r="AS14" i="16"/>
  <c r="B95" i="8" s="1"/>
  <c r="AM13" i="16"/>
  <c r="AN13" i="16" s="1"/>
  <c r="E93" i="8" l="1"/>
  <c r="Y93" i="8" s="1"/>
  <c r="U94" i="8"/>
  <c r="E94" i="8"/>
  <c r="Y94" i="8" s="1"/>
  <c r="M49" i="8"/>
  <c r="M48" i="8"/>
  <c r="O121" i="8" s="1"/>
  <c r="M50" i="8"/>
  <c r="O50" i="8"/>
  <c r="O51" i="8"/>
  <c r="O49" i="8"/>
  <c r="O48" i="8"/>
  <c r="Q121" i="8" s="1"/>
  <c r="AU11" i="16"/>
  <c r="U92" i="8" s="1"/>
  <c r="M121" i="8"/>
  <c r="M118" i="8"/>
  <c r="M119" i="8"/>
  <c r="AM14" i="16"/>
  <c r="AN14" i="16" s="1"/>
  <c r="AT14" i="16"/>
  <c r="AU14" i="16" s="1"/>
  <c r="U95" i="8" s="1"/>
  <c r="AS15" i="16"/>
  <c r="B96" i="8" s="1"/>
  <c r="E95" i="8" l="1"/>
  <c r="Y95" i="8" s="1"/>
  <c r="O120" i="8"/>
  <c r="O119" i="8"/>
  <c r="O118" i="8"/>
  <c r="Q119" i="8"/>
  <c r="Q120" i="8"/>
  <c r="Q118" i="8"/>
  <c r="AM15" i="16"/>
  <c r="AN15" i="16" s="1"/>
  <c r="AS16" i="16"/>
  <c r="B97" i="8" s="1"/>
  <c r="AT15" i="16"/>
  <c r="AU15" i="16" s="1"/>
  <c r="U96" i="8" s="1"/>
  <c r="E96" i="8" l="1"/>
  <c r="Y96" i="8" s="1"/>
  <c r="AT16" i="16"/>
  <c r="AU16" i="16" s="1"/>
  <c r="U97" i="8" s="1"/>
  <c r="AS17" i="16"/>
  <c r="B98" i="8" s="1"/>
  <c r="AM16" i="16"/>
  <c r="AN16" i="16" s="1"/>
  <c r="E97" i="8" l="1"/>
  <c r="Y97" i="8" s="1"/>
  <c r="U98" i="8"/>
  <c r="E98" i="8"/>
  <c r="Y98" i="8" s="1"/>
  <c r="AM17" i="16"/>
  <c r="AN17" i="16" s="1"/>
  <c r="AS18" i="16"/>
  <c r="B99" i="8" s="1"/>
  <c r="AT17" i="16"/>
  <c r="AU17" i="16" s="1"/>
  <c r="U99" i="8" l="1"/>
  <c r="E99" i="8"/>
  <c r="Y99" i="8" s="1"/>
  <c r="AS19" i="16"/>
  <c r="B100" i="8" s="1"/>
  <c r="AT18" i="16"/>
  <c r="AU18" i="16" s="1"/>
  <c r="AM18" i="16"/>
  <c r="AN18" i="16" s="1"/>
  <c r="E100" i="8" l="1"/>
  <c r="Y100" i="8" s="1"/>
  <c r="U100" i="8"/>
  <c r="AS20" i="16"/>
  <c r="B101" i="8" s="1"/>
  <c r="AT19" i="16"/>
  <c r="AU19" i="16" s="1"/>
  <c r="AM19" i="16"/>
  <c r="AN19" i="16" s="1"/>
  <c r="E101" i="8" l="1"/>
  <c r="Y101" i="8" s="1"/>
  <c r="U101" i="8"/>
  <c r="AM20" i="16"/>
  <c r="AN20" i="16" s="1"/>
  <c r="AT20" i="16"/>
  <c r="AU20" i="16" s="1"/>
  <c r="AS21" i="16"/>
  <c r="B102" i="8" s="1"/>
  <c r="U102" i="8" l="1"/>
  <c r="E102" i="8"/>
  <c r="Y102" i="8" s="1"/>
  <c r="AS22" i="16"/>
  <c r="B103" i="8" s="1"/>
  <c r="AT21" i="16"/>
  <c r="AU21" i="16" s="1"/>
  <c r="AM21" i="16"/>
  <c r="AN21" i="16" s="1"/>
  <c r="U103" i="8" l="1"/>
  <c r="E103" i="8"/>
  <c r="Y103" i="8" s="1"/>
  <c r="AM22" i="16"/>
  <c r="AN22" i="16" s="1"/>
  <c r="AT22" i="16"/>
  <c r="AU22" i="16" s="1"/>
  <c r="AS23" i="16"/>
  <c r="B104" i="8" s="1"/>
  <c r="E104" i="8" l="1"/>
  <c r="Y104" i="8" s="1"/>
  <c r="U104" i="8"/>
  <c r="AM23" i="16"/>
  <c r="AN23" i="16" s="1"/>
  <c r="AS24" i="16"/>
  <c r="B105" i="8" s="1"/>
  <c r="AT23" i="16"/>
  <c r="AU23" i="16" s="1"/>
  <c r="U105" i="8" l="1"/>
  <c r="E105" i="8"/>
  <c r="Y105" i="8" s="1"/>
  <c r="AT24" i="16"/>
  <c r="AU24" i="16" s="1"/>
  <c r="AS25" i="16"/>
  <c r="B106" i="8" s="1"/>
  <c r="AM24" i="16"/>
  <c r="AN24" i="16" s="1"/>
  <c r="U106" i="8" l="1"/>
  <c r="E106" i="8"/>
  <c r="Y106" i="8" s="1"/>
  <c r="AS26" i="16"/>
  <c r="B107" i="8" s="1"/>
  <c r="AT25" i="16"/>
  <c r="AU25" i="16" s="1"/>
  <c r="AM25" i="16"/>
  <c r="AN25" i="16" s="1"/>
  <c r="U107" i="8" l="1"/>
  <c r="E107" i="8"/>
  <c r="Y107" i="8" s="1"/>
  <c r="AM26" i="16"/>
  <c r="AN26" i="16" s="1"/>
  <c r="AT26" i="16"/>
  <c r="AU26" i="16" s="1"/>
  <c r="AS27" i="16"/>
  <c r="AM27" i="16" l="1"/>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<sst xmlns="http://schemas.openxmlformats.org/spreadsheetml/2006/main" count="12343" uniqueCount="935">
  <si>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</si>
  <si>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</si>
  <si>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</si>
  <si>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</si>
  <si>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</si>
  <si>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</si>
  <si>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</si>
  <si>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</si>
  <si>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</si>
  <si>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</si>
  <si>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</si>
  <si>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</si>
  <si>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</si>
  <si>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</si>
  <si>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</si>
  <si>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</si>
  <si>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</si>
  <si>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</si>
  <si>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</si>
  <si>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</si>
  <si>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</si>
  <si>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</si>
  <si>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</si>
  <si>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</si>
  <si>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</si>
  <si>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</si>
  <si>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</si>
  <si>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</si>
  <si>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</si>
  <si>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</si>
  <si>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</si>
  <si>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</si>
  <si>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</si>
  <si>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</si>
  <si>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</si>
  <si>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</si>
  <si>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</si>
  <si>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</si>
  <si>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</si>
  <si>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</si>
  <si>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</si>
  <si>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</si>
  <si>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</si>
  <si>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</si>
  <si>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</si>
  <si>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</si>
  <si>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</si>
  <si>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</si>
  <si>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</si>
  <si>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</si>
  <si>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</si>
  <si>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</si>
  <si>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</si>
  <si>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</si>
  <si>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</si>
  <si>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</si>
  <si>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</si>
  <si>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</si>
  <si>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</si>
  <si>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</si>
  <si>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</si>
  <si>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</si>
  <si>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</si>
  <si>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</si>
  <si>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</si>
  <si>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</si>
  <si>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</si>
  <si>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</si>
  <si>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</si>
  <si>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</si>
  <si>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</si>
  <si>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</si>
  <si>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</si>
  <si>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</si>
  <si>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</si>
  <si>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</si>
  <si>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</si>
  <si>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</si>
  <si>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</si>
  <si>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</si>
  <si>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</si>
  <si>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</si>
  <si>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</si>
  <si>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</si>
  <si>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</si>
  <si>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</si>
  <si>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</si>
  <si>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</si>
  <si>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</si>
  <si>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</si>
  <si>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</si>
  <si>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</si>
  <si>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</si>
  <si>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</si>
  <si>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</si>
  <si>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</si>
  <si>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</si>
  <si>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</si>
  <si>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</si>
  <si>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</si>
  <si>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</si>
  <si>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</si>
  <si>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</si>
  <si>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</si>
  <si>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</si>
  <si>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</si>
  <si>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</si>
  <si>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</si>
  <si>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</si>
  <si>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</si>
  <si>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</si>
  <si>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</si>
  <si>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</si>
  <si>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</si>
  <si>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</si>
  <si>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</si>
  <si>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</si>
  <si>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</si>
  <si>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</si>
  <si>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</si>
  <si>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</si>
  <si>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</si>
  <si>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</si>
  <si>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</si>
  <si>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</si>
  <si>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</si>
  <si>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</si>
  <si>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</si>
  <si>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</si>
  <si>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</si>
  <si>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</si>
  <si>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</si>
  <si>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</si>
  <si>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</si>
  <si>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</si>
  <si>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</si>
  <si>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</si>
  <si>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</si>
  <si>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</si>
  <si>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</si>
  <si>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</si>
  <si>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</si>
  <si>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</si>
  <si>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</si>
  <si>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</si>
  <si>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</si>
  <si>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</si>
  <si>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</si>
  <si>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</si>
  <si>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</si>
  <si>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</si>
  <si>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</si>
  <si>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</si>
  <si>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</si>
  <si>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</si>
  <si>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</si>
  <si>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</si>
  <si>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</si>
  <si>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</si>
  <si>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</si>
  <si>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</si>
  <si>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</si>
  <si>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</si>
  <si>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</si>
  <si>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</si>
  <si>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</si>
  <si>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</si>
  <si>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</si>
  <si>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</si>
  <si>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</si>
  <si>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</si>
  <si>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</si>
  <si>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</si>
  <si>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</si>
  <si>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</si>
  <si>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</si>
  <si>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</si>
  <si>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</si>
  <si>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</si>
  <si>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</si>
  <si>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</si>
  <si>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</si>
  <si>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</si>
  <si>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</si>
  <si>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</si>
  <si>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</si>
  <si>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</si>
  <si>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</si>
  <si>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</si>
  <si>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</si>
  <si>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</si>
  <si>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</si>
  <si>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</si>
  <si>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</si>
  <si>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</si>
  <si>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</si>
  <si>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</si>
  <si>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</si>
  <si>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</si>
  <si>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</si>
  <si>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</si>
  <si>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</si>
  <si>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</si>
  <si>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</si>
  <si>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</si>
  <si>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</si>
  <si>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</si>
  <si>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</si>
  <si>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</si>
  <si>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</si>
  <si>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</si>
  <si>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</si>
  <si>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</si>
  <si>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</si>
  <si>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</si>
  <si>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</si>
  <si>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</si>
  <si>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</si>
  <si>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</si>
  <si>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</si>
  <si>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</si>
  <si>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</si>
  <si>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</si>
  <si>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</si>
  <si>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</si>
  <si>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</si>
  <si>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</si>
  <si>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</si>
  <si>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</si>
  <si>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</si>
  <si>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</si>
  <si>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</si>
  <si>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</si>
  <si>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</si>
  <si>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</si>
  <si>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</si>
  <si>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</si>
  <si>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</si>
  <si>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</si>
  <si>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</si>
  <si>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</si>
  <si>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</si>
  <si>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</si>
  <si>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</si>
  <si>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</si>
  <si>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</si>
  <si>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</si>
  <si>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</si>
  <si>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</si>
  <si>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</si>
  <si>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</si>
  <si>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</si>
  <si>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</si>
  <si>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</si>
  <si>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</si>
  <si>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</si>
  <si>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</si>
  <si>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</si>
  <si>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</si>
  <si>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</si>
  <si>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</si>
  <si>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</si>
  <si>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</si>
  <si>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</si>
  <si>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</si>
  <si>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</si>
  <si>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</si>
  <si>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</si>
  <si>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</si>
  <si>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</si>
  <si>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</si>
  <si>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</si>
  <si>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</si>
  <si>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</si>
  <si>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</si>
  <si>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</si>
  <si>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</si>
  <si>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</si>
  <si>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</si>
  <si>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</si>
  <si>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</si>
  <si>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</si>
  <si>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</si>
  <si>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</si>
  <si>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</si>
  <si>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</si>
  <si>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</si>
  <si>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</si>
  <si>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</si>
  <si>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</si>
  <si>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</si>
  <si>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</si>
  <si>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</si>
  <si>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</si>
  <si>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</si>
  <si>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</si>
  <si>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</si>
  <si>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</si>
  <si>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</si>
  <si>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</si>
  <si>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</si>
  <si>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</si>
  <si>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</si>
  <si>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</si>
  <si>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</si>
  <si>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</si>
  <si>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</si>
  <si>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</si>
  <si>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</si>
  <si>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</si>
  <si>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</si>
  <si>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</si>
  <si>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</si>
  <si>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</si>
  <si>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</si>
  <si>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</si>
  <si>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</si>
  <si>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</si>
  <si>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</si>
  <si>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</si>
  <si>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</si>
  <si>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</si>
  <si>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</si>
  <si>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</si>
  <si>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</si>
  <si>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</si>
  <si>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</si>
  <si>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</si>
  <si>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</si>
  <si>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</si>
  <si>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</si>
  <si>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</si>
  <si>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</si>
  <si>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</si>
  <si>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</si>
  <si>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</si>
  <si>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</si>
  <si>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</si>
  <si>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</si>
  <si>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</si>
  <si>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</si>
  <si>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</si>
  <si>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</si>
  <si>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</si>
  <si>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</si>
  <si>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</si>
  <si>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</si>
  <si>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</si>
  <si>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</si>
  <si>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</si>
  <si>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</si>
  <si>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</si>
  <si>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</si>
  <si>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</si>
  <si>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</si>
  <si>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</si>
  <si>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</si>
  <si>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</si>
  <si>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</si>
  <si>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</si>
  <si>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</si>
  <si>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</si>
  <si>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</si>
  <si>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</si>
  <si>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</si>
  <si>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</si>
  <si>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</si>
  <si>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</si>
  <si>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</si>
  <si>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</si>
  <si>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</si>
  <si>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</si>
  <si>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</si>
  <si>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</si>
  <si>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</si>
  <si>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</si>
  <si>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</si>
  <si>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</si>
  <si>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</si>
  <si>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</si>
  <si>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</si>
  <si>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</si>
  <si>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</si>
  <si>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</si>
  <si>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</si>
  <si>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</si>
  <si>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</si>
  <si>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</si>
  <si>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</si>
  <si>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</si>
  <si>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</si>
  <si>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</si>
  <si>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</si>
  <si>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</si>
  <si>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</si>
  <si>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</si>
  <si>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</si>
  <si>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</si>
  <si>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</si>
  <si>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</si>
  <si>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</si>
  <si>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</si>
  <si>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</si>
  <si>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</si>
  <si>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</si>
  <si>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</si>
  <si>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</si>
  <si>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</si>
  <si>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</si>
  <si>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</si>
  <si>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</si>
  <si>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</si>
  <si>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</si>
  <si>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</si>
  <si>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</si>
  <si>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</si>
  <si>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</si>
  <si>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</si>
  <si>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</si>
  <si>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</si>
  <si>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</si>
  <si>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</si>
  <si>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</si>
  <si>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</si>
  <si>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</si>
  <si>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</si>
  <si>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</si>
  <si>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</si>
  <si>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</si>
  <si>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</si>
  <si>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</si>
  <si>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</si>
  <si>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</si>
  <si>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</si>
  <si>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</si>
  <si>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</si>
  <si>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</si>
  <si>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</si>
  <si>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</si>
  <si>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</si>
  <si>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</si>
  <si>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</si>
  <si>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</si>
  <si>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</si>
  <si>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</si>
  <si>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</si>
  <si>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</si>
  <si>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</si>
  <si>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</si>
  <si>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</si>
  <si>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</si>
  <si>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</si>
  <si>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</si>
  <si>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</si>
  <si>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</si>
  <si>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</si>
  <si>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</si>
  <si>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</si>
  <si>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</si>
  <si>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</si>
  <si>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</si>
  <si>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</si>
  <si>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</si>
  <si>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</si>
  <si>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</si>
  <si>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</si>
  <si>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</si>
  <si>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</si>
  <si>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</si>
  <si>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</si>
  <si>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</si>
  <si>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</si>
  <si>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</si>
  <si>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</si>
  <si>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</si>
  <si>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</si>
  <si>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</si>
  <si>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</si>
  <si>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</si>
  <si>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</si>
  <si>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</si>
  <si>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</si>
  <si>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</si>
  <si>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</si>
  <si>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</si>
  <si>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</si>
  <si>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</si>
  <si>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</si>
  <si>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</si>
  <si>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</si>
  <si>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</si>
  <si>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</si>
  <si>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</si>
  <si>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</si>
  <si>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</si>
  <si>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</si>
  <si>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</si>
  <si>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</si>
  <si>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</si>
  <si>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</si>
  <si>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</si>
  <si>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</si>
  <si>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</si>
  <si>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</si>
  <si>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</si>
  <si>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</si>
  <si>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</si>
  <si>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</si>
  <si>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</si>
  <si>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</si>
  <si>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</si>
  <si>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</si>
  <si>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</si>
  <si>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</si>
  <si>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</si>
  <si>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</si>
  <si>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</si>
  <si>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</si>
  <si>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</si>
  <si>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</si>
  <si>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</si>
  <si>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</si>
  <si>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</si>
  <si>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</si>
  <si>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</si>
  <si>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</si>
  <si>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</si>
  <si>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</si>
  <si>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</si>
  <si>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</si>
  <si>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</si>
  <si>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</si>
  <si>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</si>
  <si>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</si>
  <si>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</si>
  <si>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</si>
  <si>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</si>
  <si>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</si>
  <si>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</si>
  <si>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</si>
  <si>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</si>
  <si>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</si>
  <si>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</si>
  <si>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</si>
  <si>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</si>
  <si>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</si>
  <si>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</si>
  <si>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</si>
  <si>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</si>
  <si>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</si>
  <si>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</si>
  <si>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</si>
  <si>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</si>
  <si>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</si>
  <si>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</si>
  <si>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</si>
  <si>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</si>
  <si>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</si>
  <si>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</si>
  <si>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</si>
  <si>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</si>
  <si>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</si>
  <si>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</si>
  <si>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</si>
  <si>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</si>
  <si>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</si>
  <si>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</si>
  <si>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</si>
  <si>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</si>
  <si>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</si>
  <si>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</si>
  <si>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</si>
  <si>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</si>
  <si>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</si>
  <si>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</si>
  <si>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</si>
  <si>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</si>
  <si>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</si>
  <si>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</si>
  <si>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</si>
  <si>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</si>
  <si>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</si>
  <si>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</si>
  <si>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</si>
  <si>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</si>
  <si>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</si>
  <si>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</si>
  <si>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</si>
  <si>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</si>
  <si>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</si>
  <si>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</si>
  <si>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</si>
  <si>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</si>
  <si>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</si>
  <si>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</si>
  <si>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</si>
  <si>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</si>
  <si>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</si>
  <si>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</si>
  <si>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</si>
  <si>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</si>
  <si>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</si>
  <si>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</si>
  <si>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</si>
  <si>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</si>
  <si>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</si>
  <si>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</si>
  <si>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</si>
  <si>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</si>
  <si>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</si>
  <si>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</si>
  <si>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</si>
  <si>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</si>
  <si>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</si>
  <si>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</si>
  <si>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</si>
  <si>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</si>
  <si>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</si>
  <si>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</si>
  <si>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</si>
  <si>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</si>
  <si>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</si>
  <si>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</si>
  <si>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</si>
  <si>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</si>
  <si>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</si>
  <si>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</si>
  <si>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</si>
  <si>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</si>
  <si>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</si>
  <si>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</si>
  <si>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</si>
  <si>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</si>
  <si>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</si>
  <si>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</si>
  <si>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</si>
  <si>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</si>
  <si>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</si>
  <si>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</si>
  <si>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</si>
  <si>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</si>
  <si>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</si>
  <si>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</si>
  <si>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</si>
  <si>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</si>
  <si>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</si>
  <si>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</si>
  <si>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</si>
  <si>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</si>
  <si>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</si>
  <si>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</si>
  <si>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</si>
  <si>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</si>
  <si>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</si>
  <si>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</si>
  <si>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</si>
  <si>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</si>
  <si>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</si>
  <si>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</si>
  <si>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</si>
  <si>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</si>
  <si>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</si>
  <si>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</si>
  <si>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</si>
  <si>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</si>
  <si>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</si>
  <si>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</si>
  <si>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</si>
  <si>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</si>
  <si>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</si>
  <si>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</si>
  <si>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</si>
  <si>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</si>
  <si>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</si>
  <si>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</si>
  <si>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</si>
  <si>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</si>
  <si>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</si>
  <si>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</si>
  <si>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</si>
  <si>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</si>
  <si>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</si>
  <si>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</si>
  <si>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</si>
  <si>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</si>
  <si>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</si>
  <si>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</si>
  <si>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</si>
  <si>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</si>
  <si>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</si>
  <si>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</si>
  <si>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</si>
  <si>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</si>
  <si>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</si>
  <si>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</si>
  <si>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</si>
  <si>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</si>
  <si>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</si>
  <si>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</si>
  <si>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</si>
  <si>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</si>
  <si>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</si>
  <si>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</si>
  <si>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</si>
  <si>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</si>
  <si>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</si>
  <si>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</si>
  <si>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</si>
  <si>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</si>
  <si>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</si>
  <si>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</si>
  <si>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</si>
  <si>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</si>
  <si>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</si>
  <si>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</si>
  <si>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</si>
  <si>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</si>
  <si>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</si>
  <si>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</si>
  <si>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</si>
  <si>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</si>
  <si>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</si>
  <si>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</si>
  <si>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</si>
  <si>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</si>
  <si>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</si>
  <si>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</si>
  <si>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</si>
  <si>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</si>
  <si>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</si>
  <si>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</si>
  <si>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</si>
  <si>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</si>
  <si>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</si>
  <si>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</si>
  <si>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</si>
  <si>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</si>
  <si>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</si>
  <si>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</si>
  <si>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</si>
  <si>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</si>
  <si>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</si>
  <si>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</si>
  <si>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</si>
  <si>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</si>
  <si>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</si>
  <si>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</si>
  <si>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</si>
  <si>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</si>
  <si>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</si>
  <si>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</si>
  <si>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</si>
  <si>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</si>
  <si>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</si>
  <si>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</si>
  <si>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</si>
  <si>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</si>
  <si>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</si>
  <si>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</si>
  <si>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</si>
  <si>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</si>
  <si>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</si>
  <si>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</si>
  <si>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</si>
  <si>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</si>
  <si>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</si>
  <si>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</si>
  <si>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</si>
  <si>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</si>
  <si>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</si>
  <si>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</si>
  <si>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</si>
  <si>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</si>
  <si>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</si>
  <si>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</si>
  <si>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</si>
  <si>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</si>
  <si>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</si>
  <si>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</si>
  <si>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</si>
  <si>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</si>
  <si>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</si>
  <si>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</si>
  <si>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</si>
  <si>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</si>
  <si>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</si>
  <si>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</si>
  <si>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</si>
  <si>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</si>
  <si>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</si>
  <si>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</si>
  <si>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</si>
  <si>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</si>
  <si>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</si>
  <si>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</si>
  <si>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</si>
  <si>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</si>
  <si>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</si>
  <si>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</si>
  <si>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</si>
  <si>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</si>
  <si>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</si>
  <si>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</si>
  <si>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</si>
  <si>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</si>
  <si>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</si>
  <si>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</si>
  <si>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</si>
  <si>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</si>
  <si>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</si>
  <si>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</si>
  <si>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</si>
  <si>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</si>
  <si>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</si>
  <si>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</si>
  <si>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</si>
  <si>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</si>
  <si>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</si>
  <si>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</si>
  <si>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</si>
  <si>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</si>
  <si>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</si>
  <si>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</si>
  <si>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</si>
  <si>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</si>
  <si>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</si>
  <si>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</si>
  <si>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</si>
  <si>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</si>
  <si>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</si>
  <si>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</si>
  <si>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</si>
  <si>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</si>
  <si>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</si>
  <si>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</si>
  <si>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</si>
  <si>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</si>
  <si>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</si>
  <si>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</si>
  <si>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</si>
  <si>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</si>
  <si>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</si>
  <si>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</si>
  <si>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</si>
  <si>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</si>
  <si>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</si>
  <si>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</si>
  <si>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</si>
  <si>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</si>
  <si>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</si>
  <si>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</si>
  <si>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</si>
  <si>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</si>
  <si>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</si>
  <si>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</si>
  <si>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</si>
  <si>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</si>
  <si>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</si>
  <si>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</si>
  <si>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</si>
  <si>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</si>
  <si>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</si>
  <si>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</si>
  <si>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</si>
  <si>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</si>
  <si>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</si>
  <si>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</si>
  <si>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</si>
  <si>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</si>
  <si>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</si>
  <si>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</si>
  <si>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</si>
  <si>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</si>
  <si>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</si>
  <si>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</si>
  <si>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</si>
  <si>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</si>
  <si>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</si>
  <si>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</si>
  <si>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</si>
  <si>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</si>
  <si>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</si>
  <si>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</si>
  <si>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</si>
  <si>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</si>
  <si>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</si>
  <si>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</si>
  <si>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</si>
  <si>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</si>
  <si>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</si>
  <si>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</si>
  <si>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</si>
  <si>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</si>
  <si>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</si>
  <si>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</si>
  <si>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</si>
  <si>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</si>
  <si>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</si>
  <si>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</si>
  <si>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</si>
  <si>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</si>
  <si>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</si>
  <si>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</si>
  <si>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</si>
  <si>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</si>
  <si>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</si>
  <si>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</si>
  <si>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</si>
  <si>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</si>
  <si>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2018-19</t>
  </si>
  <si>
    <t>:</t>
  </si>
  <si>
    <t>East Suffolk</t>
  </si>
  <si>
    <t>West Suffolk</t>
  </si>
  <si>
    <t>Bournemouth, Christchurch and Poole</t>
  </si>
  <si>
    <t>Barking and Dagenham</t>
  </si>
  <si>
    <t>Basingstoke and Deane</t>
  </si>
  <si>
    <t>Bath and North East Somerset</t>
  </si>
  <si>
    <t>Brighton and Hove</t>
  </si>
  <si>
    <t>Cheshire West and Chester</t>
  </si>
  <si>
    <t>Epsom and Ewell</t>
  </si>
  <si>
    <t>Folkestone and Hythe</t>
  </si>
  <si>
    <t>Hammersmith and Fulham</t>
  </si>
  <si>
    <t>Hinckley and Bosworth</t>
  </si>
  <si>
    <t>Kings Lynn and West Norfolk</t>
  </si>
  <si>
    <t>Kingston-upon-Hull</t>
  </si>
  <si>
    <t>Newark and Sherwood</t>
  </si>
  <si>
    <t>Newcastle-upon-Tyne</t>
  </si>
  <si>
    <t>Nuneaton and Bedworth</t>
  </si>
  <si>
    <t>Oadby and Wigston</t>
  </si>
  <si>
    <t>Redcar and Cleveland</t>
  </si>
  <si>
    <t>Reigate and Banstead</t>
  </si>
  <si>
    <t>Telford and Wrekin</t>
  </si>
  <si>
    <t>Tonbridge and Malling</t>
  </si>
  <si>
    <t>Windsor and Maidenhead</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</si>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</sst>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63">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0" fontId="29" fillId="0" borderId="0" xfId="0" applyFont="1" applyFill="1" applyBorder="1"/>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2" fillId="0" borderId="0" xfId="0" applyFont="1"/>
    <xf numFmtId="0" fontId="10" fillId="25" borderId="16" xfId="60" applyFont="1" applyFill="1" applyBorder="1" applyProtection="1"/>
    <xf numFmtId="169"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10"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left"/>
    </xf>
    <xf numFmtId="0" fontId="10" fillId="0" borderId="0" xfId="0" applyFont="1" applyAlignment="1">
      <alignment horizontal="left"/>
    </xf>
    <xf numFmtId="0" fontId="22" fillId="0" borderId="0" xfId="0" applyFont="1" applyAlignment="1">
      <alignment horizontal="center"/>
    </xf>
    <xf numFmtId="0" fontId="10" fillId="21" borderId="0" xfId="0" applyFont="1" applyFill="1" applyAlignment="1">
      <alignment horizontal="center"/>
    </xf>
    <xf numFmtId="0" fontId="0" fillId="0" borderId="0" xfId="0"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2" fontId="0" fillId="0" borderId="0" xfId="0" applyNumberFormat="1" applyBorder="1" applyAlignment="1">
      <alignment horizontal="center"/>
    </xf>
    <xf numFmtId="0" fontId="0" fillId="0" borderId="0" xfId="0" quotePrefix="1" applyNumberFormat="1"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21" borderId="0" xfId="0" applyFont="1" applyFill="1" applyAlignment="1">
      <alignment horizontal="left"/>
    </xf>
    <xf numFmtId="164" fontId="0" fillId="0" borderId="6" xfId="5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0" xfId="54" applyNumberFormat="1" applyFont="1" applyBorder="1" applyAlignment="1">
      <alignment horizontal="center"/>
    </xf>
    <xf numFmtId="164" fontId="0" fillId="0" borderId="15" xfId="54" applyNumberFormat="1"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
                <c:pt idx="14">
                  <c:v>u</c:v>
                </c:pt>
              </c:strCache>
            </c:strRef>
          </c:cat>
          <c:val>
            <c:numRef>
              <c:f>[0]!TopQuart</c:f>
              <c:numCache>
                <c:formatCode>General</c:formatCode>
                <c:ptCount val="25"/>
                <c:pt idx="0">
                  <c:v>0.3</c:v>
                </c:pt>
                <c:pt idx="1">
                  <c:v>1.3</c:v>
                </c:pt>
                <c:pt idx="2">
                  <c:v>1.5</c:v>
                </c:pt>
                <c:pt idx="3">
                  <c:v>3.1</c:v>
                </c:pt>
                <c:pt idx="4">
                  <c:v>3.2</c:v>
                </c:pt>
                <c:pt idx="5">
                  <c:v>3.5999999999999996</c:v>
                </c:pt>
                <c:pt idx="6">
                  <c:v>4.2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
                <c:pt idx="14">
                  <c:v>u</c:v>
                </c:pt>
              </c:strCache>
            </c:strRef>
          </c:cat>
          <c:val>
            <c:numRef>
              <c:f>[0]!SecQuart</c:f>
              <c:numCache>
                <c:formatCode>General</c:formatCode>
                <c:ptCount val="25"/>
                <c:pt idx="0">
                  <c:v>0</c:v>
                </c:pt>
                <c:pt idx="1">
                  <c:v>0</c:v>
                </c:pt>
                <c:pt idx="2">
                  <c:v>0</c:v>
                </c:pt>
                <c:pt idx="3">
                  <c:v>0</c:v>
                </c:pt>
                <c:pt idx="4">
                  <c:v>0</c:v>
                </c:pt>
                <c:pt idx="5">
                  <c:v>0</c:v>
                </c:pt>
                <c:pt idx="6">
                  <c:v>0</c:v>
                </c:pt>
                <c:pt idx="7">
                  <c:v>4.3</c:v>
                </c:pt>
                <c:pt idx="8">
                  <c:v>5.0999999999999996</c:v>
                </c:pt>
                <c:pt idx="9">
                  <c:v>5.5</c:v>
                </c:pt>
                <c:pt idx="10">
                  <c:v>6.4</c:v>
                </c:pt>
                <c:pt idx="11">
                  <c:v>8.6999999999999993</c:v>
                </c:pt>
                <c:pt idx="12">
                  <c:v>9.9</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
                <c:pt idx="14">
                  <c:v>u</c:v>
                </c:pt>
              </c:strCache>
            </c:strRef>
          </c:cat>
          <c:val>
            <c:numRef>
              <c:f>[0]!ThirdQuart</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10.199999999999999</c:v>
                </c:pt>
                <c:pt idx="14">
                  <c:v>11.1</c:v>
                </c:pt>
                <c:pt idx="15">
                  <c:v>12.3</c:v>
                </c:pt>
                <c:pt idx="16">
                  <c:v>15.299999999999999</c:v>
                </c:pt>
                <c:pt idx="17">
                  <c:v>15.7</c:v>
                </c:pt>
                <c:pt idx="18">
                  <c:v>17.8</c:v>
                </c:pt>
                <c:pt idx="19">
                  <c:v>0</c:v>
                </c:pt>
                <c:pt idx="20">
                  <c:v>0</c:v>
                </c:pt>
                <c:pt idx="21">
                  <c:v>0</c:v>
                </c:pt>
                <c:pt idx="22">
                  <c:v>0</c:v>
                </c:pt>
                <c:pt idx="23">
                  <c:v>0</c:v>
                </c:pt>
                <c:pt idx="24">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
                <c:pt idx="14">
                  <c:v>u</c:v>
                </c:pt>
              </c:strCache>
            </c:strRef>
          </c:cat>
          <c:val>
            <c:numRef>
              <c:f>[0]!BotQuart</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17.899999999999999</c:v>
                </c:pt>
                <c:pt idx="20">
                  <c:v>18.7</c:v>
                </c:pt>
                <c:pt idx="21">
                  <c:v>20</c:v>
                </c:pt>
                <c:pt idx="22">
                  <c:v>27.800000000000004</c:v>
                </c:pt>
                <c:pt idx="23">
                  <c:v>32.200000000000003</c:v>
                </c:pt>
                <c:pt idx="24">
                  <c:v>35.199999999999996</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
                <c:pt idx="14">
                  <c:v>u</c:v>
                </c:pt>
              </c:strCache>
            </c:strRef>
          </c:cat>
          <c:val>
            <c:numRef>
              <c:f>[0]!MarkData</c:f>
              <c:numCache>
                <c:formatCode>0.00</c:formatCode>
                <c:ptCount val="25"/>
                <c:pt idx="0">
                  <c:v>0.3</c:v>
                </c:pt>
                <c:pt idx="1">
                  <c:v>1.3</c:v>
                </c:pt>
                <c:pt idx="2">
                  <c:v>1.5</c:v>
                </c:pt>
                <c:pt idx="3">
                  <c:v>3.1</c:v>
                </c:pt>
                <c:pt idx="4">
                  <c:v>3.2</c:v>
                </c:pt>
                <c:pt idx="5">
                  <c:v>3.5999999999999996</c:v>
                </c:pt>
                <c:pt idx="6">
                  <c:v>4.2</c:v>
                </c:pt>
                <c:pt idx="7">
                  <c:v>4.3</c:v>
                </c:pt>
                <c:pt idx="8">
                  <c:v>5.0999999999999996</c:v>
                </c:pt>
                <c:pt idx="9">
                  <c:v>5.5</c:v>
                </c:pt>
                <c:pt idx="10">
                  <c:v>6.4</c:v>
                </c:pt>
                <c:pt idx="11">
                  <c:v>8.6999999999999993</c:v>
                </c:pt>
                <c:pt idx="12">
                  <c:v>9.9</c:v>
                </c:pt>
                <c:pt idx="13">
                  <c:v>10.199999999999999</c:v>
                </c:pt>
                <c:pt idx="14">
                  <c:v>11.1</c:v>
                </c:pt>
                <c:pt idx="15">
                  <c:v>12.3</c:v>
                </c:pt>
                <c:pt idx="16">
                  <c:v>15.299999999999999</c:v>
                </c:pt>
                <c:pt idx="17">
                  <c:v>15.7</c:v>
                </c:pt>
                <c:pt idx="18">
                  <c:v>17.8</c:v>
                </c:pt>
                <c:pt idx="19">
                  <c:v>17.899999999999999</c:v>
                </c:pt>
                <c:pt idx="20">
                  <c:v>18.7</c:v>
                </c:pt>
                <c:pt idx="21">
                  <c:v>20</c:v>
                </c:pt>
                <c:pt idx="22">
                  <c:v>27.800000000000004</c:v>
                </c:pt>
                <c:pt idx="23">
                  <c:v>32.200000000000003</c:v>
                </c:pt>
                <c:pt idx="24">
                  <c:v>35.199999999999996</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Cumbria</c:v>
                </c:pt>
                <c:pt idx="1">
                  <c:v>Counties</c:v>
                </c:pt>
                <c:pt idx="2">
                  <c:v>Regional</c:v>
                </c:pt>
                <c:pt idx="3">
                  <c:v> -   </c:v>
                </c:pt>
              </c:strCache>
            </c:strRef>
          </c:cat>
          <c:val>
            <c:numRef>
              <c:f>Profile!$E$48:$E$50</c:f>
              <c:numCache>
                <c:formatCode>0.00</c:formatCode>
                <c:ptCount val="3"/>
                <c:pt idx="0">
                  <c:v>11.1</c:v>
                </c:pt>
                <c:pt idx="1">
                  <c:v>11.651999999999999</c:v>
                </c:pt>
                <c:pt idx="2">
                  <c:v>23.15</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c:f>
              <c:numCache>
                <c:formatCode>General</c:formatCode>
                <c:ptCount val="3"/>
                <c:pt idx="0">
                  <c:v>4.2</c:v>
                </c:pt>
                <c:pt idx="1">
                  <c:v>4.2</c:v>
                </c:pt>
                <c:pt idx="2">
                  <c:v>4.2</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c:f>
              <c:numCache>
                <c:formatCode>General</c:formatCode>
                <c:ptCount val="3"/>
                <c:pt idx="0">
                  <c:v>9.9</c:v>
                </c:pt>
                <c:pt idx="1">
                  <c:v>9.9</c:v>
                </c:pt>
                <c:pt idx="2">
                  <c:v>9.9</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c:f>
              <c:numCache>
                <c:formatCode>General</c:formatCode>
                <c:ptCount val="3"/>
                <c:pt idx="0">
                  <c:v>17.8</c:v>
                </c:pt>
                <c:pt idx="1">
                  <c:v>17.8</c:v>
                </c:pt>
                <c:pt idx="2">
                  <c:v>17.8</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Cumbria</c:v>
                </c:pt>
                <c:pt idx="1">
                  <c:v>Predominantly Rural</c:v>
                </c:pt>
                <c:pt idx="2">
                  <c:v>Predominantly Urban</c:v>
                </c:pt>
                <c:pt idx="3">
                  <c:v>Significant Rural</c:v>
                </c:pt>
              </c:strCache>
            </c:strRef>
          </c:cat>
          <c:val>
            <c:numRef>
              <c:f>Profile!$G$118:$G$121</c:f>
              <c:numCache>
                <c:formatCode>0.00</c:formatCode>
                <c:ptCount val="4"/>
                <c:pt idx="0">
                  <c:v>11.1</c:v>
                </c:pt>
                <c:pt idx="1">
                  <c:v>9.0749999999999993</c:v>
                </c:pt>
                <c:pt idx="2">
                  <c:v>11.05</c:v>
                </c:pt>
                <c:pt idx="3">
                  <c:v>13.106666666666669</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4.2</c:v>
                </c:pt>
                <c:pt idx="1">
                  <c:v>4.2</c:v>
                </c:pt>
                <c:pt idx="2">
                  <c:v>4.2</c:v>
                </c:pt>
                <c:pt idx="3">
                  <c:v>4.2</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9.9</c:v>
                </c:pt>
                <c:pt idx="1">
                  <c:v>9.9</c:v>
                </c:pt>
                <c:pt idx="2">
                  <c:v>9.9</c:v>
                </c:pt>
                <c:pt idx="3">
                  <c:v>9.9</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17.8</c:v>
                </c:pt>
                <c:pt idx="1">
                  <c:v>17.8</c:v>
                </c:pt>
                <c:pt idx="2">
                  <c:v>17.8</c:v>
                </c:pt>
                <c:pt idx="3">
                  <c:v>17.8</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36" t="str">
        <f>VLOOKUP('Filtered Data'!D1,'Filtered Data'!L1:O6,3,FALSE)</f>
        <v>County</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8" t="str">
        <f>Data!B3</f>
        <v>Waste Management Indicators</v>
      </c>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2:40">
      <c r="D4" s="3"/>
      <c r="E4" s="3"/>
    </row>
    <row r="5" spans="2:40" ht="15.75" customHeight="1">
      <c r="B5" s="306" t="s">
        <v>335</v>
      </c>
      <c r="C5" s="306"/>
      <c r="D5" s="306"/>
      <c r="E5" s="306"/>
      <c r="J5" s="310" t="s">
        <v>307</v>
      </c>
      <c r="K5" s="310"/>
      <c r="L5" s="310"/>
      <c r="M5" s="310"/>
      <c r="N5" s="310"/>
      <c r="O5" s="310"/>
      <c r="P5" s="310"/>
      <c r="Q5" s="310"/>
      <c r="R5" s="310"/>
      <c r="S5" s="310"/>
      <c r="W5" s="285" t="s">
        <v>363</v>
      </c>
      <c r="X5" s="286"/>
      <c r="Y5" s="286"/>
      <c r="Z5" s="286"/>
      <c r="AA5" s="286"/>
      <c r="AB5" s="286"/>
      <c r="AC5" s="286"/>
      <c r="AD5" s="286"/>
      <c r="AE5" s="286"/>
      <c r="AF5" s="286"/>
      <c r="AG5" s="286"/>
      <c r="AH5" s="286"/>
      <c r="AI5" s="286"/>
      <c r="AJ5" s="286"/>
      <c r="AK5" s="286"/>
      <c r="AL5" s="286"/>
      <c r="AM5" s="287"/>
    </row>
    <row r="6" spans="2:40" ht="17.25" customHeight="1">
      <c r="J6" s="310"/>
      <c r="K6" s="310"/>
      <c r="L6" s="310"/>
      <c r="M6" s="310"/>
      <c r="N6" s="310"/>
      <c r="O6" s="310"/>
      <c r="P6" s="310"/>
      <c r="Q6" s="310"/>
      <c r="R6" s="310"/>
      <c r="S6" s="310"/>
      <c r="W6" s="288" t="s">
        <v>896</v>
      </c>
      <c r="X6" s="289"/>
      <c r="Y6" s="289"/>
      <c r="Z6" s="289"/>
      <c r="AA6" s="289"/>
      <c r="AB6" s="289"/>
      <c r="AC6" s="289"/>
      <c r="AD6" s="289"/>
      <c r="AE6" s="289"/>
      <c r="AF6" s="289"/>
      <c r="AG6" s="289"/>
      <c r="AH6" s="289"/>
      <c r="AI6" s="289"/>
      <c r="AJ6" s="289"/>
      <c r="AK6" s="289"/>
      <c r="AL6" s="289"/>
      <c r="AM6" s="290"/>
    </row>
    <row r="7" spans="2:40" ht="12.75" customHeight="1">
      <c r="W7" s="288"/>
      <c r="X7" s="289"/>
      <c r="Y7" s="289"/>
      <c r="Z7" s="289"/>
      <c r="AA7" s="289"/>
      <c r="AB7" s="289"/>
      <c r="AC7" s="289"/>
      <c r="AD7" s="289"/>
      <c r="AE7" s="289"/>
      <c r="AF7" s="289"/>
      <c r="AG7" s="289"/>
      <c r="AH7" s="289"/>
      <c r="AI7" s="289"/>
      <c r="AJ7" s="289"/>
      <c r="AK7" s="289"/>
      <c r="AL7" s="289"/>
      <c r="AM7" s="290"/>
    </row>
    <row r="8" spans="2:40" ht="12.75" customHeight="1">
      <c r="B8" s="311" t="str">
        <f>IF('Filtered Data'!D1="L","County:","Type of Authority:")</f>
        <v>Type of Authority:</v>
      </c>
      <c r="C8" s="312"/>
      <c r="D8" s="312"/>
      <c r="E8" s="312"/>
      <c r="F8" s="312"/>
      <c r="G8" s="312"/>
      <c r="H8" s="312"/>
      <c r="I8" s="312"/>
      <c r="J8" s="79" t="str">
        <f>IF('Filtered Data'!D1="L",'Filtered Data'!I3,VLOOKUP('Filtered Data'!D1,'Filtered Data'!L1:O5,3,FALSE))</f>
        <v>County</v>
      </c>
      <c r="K8" s="79"/>
      <c r="L8" s="79"/>
      <c r="M8" s="79"/>
      <c r="N8" s="79"/>
      <c r="O8" s="79"/>
      <c r="P8" s="79"/>
      <c r="Q8" s="79"/>
      <c r="R8" s="79"/>
      <c r="W8" s="288"/>
      <c r="X8" s="289"/>
      <c r="Y8" s="289"/>
      <c r="Z8" s="289"/>
      <c r="AA8" s="289"/>
      <c r="AB8" s="289"/>
      <c r="AC8" s="289"/>
      <c r="AD8" s="289"/>
      <c r="AE8" s="289"/>
      <c r="AF8" s="289"/>
      <c r="AG8" s="289"/>
      <c r="AH8" s="289"/>
      <c r="AI8" s="289"/>
      <c r="AJ8" s="289"/>
      <c r="AK8" s="289"/>
      <c r="AL8" s="289"/>
      <c r="AM8" s="290"/>
    </row>
    <row r="9" spans="2:40" ht="12.75" customHeight="1">
      <c r="B9" s="311" t="str">
        <f>IF('Filtered Data'!D1="L","Rural Classification:","Region:")</f>
        <v>Region:</v>
      </c>
      <c r="C9" s="312"/>
      <c r="D9" s="312"/>
      <c r="E9" s="312"/>
      <c r="F9" s="312"/>
      <c r="G9" s="312"/>
      <c r="H9" s="312"/>
      <c r="I9" s="312"/>
      <c r="J9" s="79" t="str">
        <f>IF('Filtered Data'!D1="L",'Filtered Data'!H3,'Filtered Data'!G3)</f>
        <v>North West</v>
      </c>
      <c r="K9" s="79"/>
      <c r="L9" s="79"/>
      <c r="M9" s="79"/>
      <c r="N9" s="79"/>
      <c r="O9" s="79"/>
      <c r="P9" s="79"/>
      <c r="Q9" s="79"/>
      <c r="R9" s="79"/>
      <c r="W9" s="288"/>
      <c r="X9" s="289"/>
      <c r="Y9" s="289"/>
      <c r="Z9" s="289"/>
      <c r="AA9" s="289"/>
      <c r="AB9" s="289"/>
      <c r="AC9" s="289"/>
      <c r="AD9" s="289"/>
      <c r="AE9" s="289"/>
      <c r="AF9" s="289"/>
      <c r="AG9" s="289"/>
      <c r="AH9" s="289"/>
      <c r="AI9" s="289"/>
      <c r="AJ9" s="289"/>
      <c r="AK9" s="289"/>
      <c r="AL9" s="289"/>
      <c r="AM9" s="290"/>
    </row>
    <row r="10" spans="2:40" ht="12.75" customHeight="1">
      <c r="B10" s="312" t="str">
        <f>IF('Filtered Data'!D1="L","",IF('Filtered Data'!D1="SC","Rural Classification:",IF('Filtered Data'!D1="UA","Rural Classification:","County:")))</f>
        <v>Rural Classification:</v>
      </c>
      <c r="C10" s="312"/>
      <c r="D10" s="312"/>
      <c r="E10" s="312"/>
      <c r="F10" s="312"/>
      <c r="G10" s="312"/>
      <c r="H10" s="312"/>
      <c r="I10" s="312"/>
      <c r="J10" s="278" t="str">
        <f>IF('Filtered Data'!D1="L","",IF('Filtered Data'!D1="MD",'Filtered Data'!I3,IF('Filtered Data'!D1="SD",'Filtered Data'!I3,'Filtered Data'!H3)))</f>
        <v>Predominantly Rural</v>
      </c>
      <c r="K10" s="278"/>
      <c r="L10" s="278"/>
      <c r="M10" s="278"/>
      <c r="N10" s="278"/>
      <c r="O10" s="278"/>
      <c r="P10" s="278"/>
      <c r="Q10" s="278"/>
      <c r="R10" s="278"/>
      <c r="W10" s="288"/>
      <c r="X10" s="289"/>
      <c r="Y10" s="289"/>
      <c r="Z10" s="289"/>
      <c r="AA10" s="289"/>
      <c r="AB10" s="289"/>
      <c r="AC10" s="289"/>
      <c r="AD10" s="289"/>
      <c r="AE10" s="289"/>
      <c r="AF10" s="289"/>
      <c r="AG10" s="289"/>
      <c r="AH10" s="289"/>
      <c r="AI10" s="289"/>
      <c r="AJ10" s="289"/>
      <c r="AK10" s="289"/>
      <c r="AL10" s="289"/>
      <c r="AM10" s="290"/>
    </row>
    <row r="11" spans="2:40" ht="12.75" customHeight="1">
      <c r="B11" s="312" t="str">
        <f>IF('Filtered Data'!D1="L","",IF('Filtered Data'!D1="SC","",IF('Filtered Data'!D1="UA","","Rural Classification:")))</f>
        <v/>
      </c>
      <c r="C11" s="312"/>
      <c r="D11" s="312"/>
      <c r="E11" s="312"/>
      <c r="F11" s="312"/>
      <c r="G11" s="312"/>
      <c r="H11" s="312"/>
      <c r="I11" s="312"/>
      <c r="J11" s="79" t="str">
        <f>IF('Filtered Data'!D1="MD",'Filtered Data'!H3,IF('Filtered Data'!D1="SD",'Filtered Data'!H3,""))</f>
        <v/>
      </c>
      <c r="K11" s="79"/>
      <c r="W11" s="294" t="s">
        <v>366</v>
      </c>
      <c r="X11" s="295"/>
      <c r="Y11" s="295"/>
      <c r="Z11" s="295"/>
      <c r="AA11" s="295"/>
      <c r="AB11" s="295"/>
      <c r="AC11" s="295"/>
      <c r="AD11" s="295"/>
      <c r="AE11" s="295"/>
      <c r="AF11" s="295"/>
      <c r="AG11" s="295"/>
      <c r="AH11" s="295"/>
      <c r="AI11" s="295"/>
      <c r="AJ11" s="295"/>
      <c r="AK11" s="295"/>
      <c r="AL11" s="295"/>
      <c r="AM11" s="296"/>
    </row>
    <row r="12" spans="2:40" ht="12.75" customHeight="1">
      <c r="W12" s="347" t="s">
        <v>934</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30" t="s">
        <v>367</v>
      </c>
      <c r="X13" s="331"/>
      <c r="Y13" s="331"/>
      <c r="Z13" s="331"/>
      <c r="AA13" s="331"/>
      <c r="AB13" s="331"/>
      <c r="AC13" s="331"/>
      <c r="AD13" s="331"/>
      <c r="AE13" s="331"/>
      <c r="AF13" s="331"/>
      <c r="AG13" s="331"/>
      <c r="AH13" s="331"/>
      <c r="AI13" s="331"/>
      <c r="AJ13" s="331"/>
      <c r="AK13" s="331"/>
      <c r="AL13" s="331"/>
      <c r="AM13" s="332"/>
    </row>
    <row r="14" spans="2:40" ht="25.5" customHeight="1">
      <c r="B14" s="25"/>
      <c r="C14" s="25"/>
      <c r="D14" s="25"/>
      <c r="E14" s="25"/>
      <c r="F14" s="25"/>
      <c r="G14" s="25"/>
      <c r="H14" s="25"/>
      <c r="I14" s="25"/>
      <c r="J14" s="3"/>
      <c r="K14" s="3"/>
      <c r="L14" s="3"/>
      <c r="M14" s="3"/>
      <c r="N14" s="3"/>
      <c r="O14" s="3"/>
      <c r="P14" s="3"/>
      <c r="Q14" s="3"/>
      <c r="R14" s="3"/>
      <c r="W14" s="291" t="str">
        <f>HLOOKUP(W6,Data!4:6,3,FALSE)</f>
        <v>ENV18 - DEFRA</v>
      </c>
      <c r="X14" s="292"/>
      <c r="Y14" s="292"/>
      <c r="Z14" s="292"/>
      <c r="AA14" s="292"/>
      <c r="AB14" s="292"/>
      <c r="AC14" s="292"/>
      <c r="AD14" s="292"/>
      <c r="AE14" s="292"/>
      <c r="AF14" s="292"/>
      <c r="AG14" s="292"/>
      <c r="AH14" s="292"/>
      <c r="AI14" s="292"/>
      <c r="AJ14" s="292"/>
      <c r="AK14" s="292"/>
      <c r="AL14" s="292"/>
      <c r="AM14" s="293"/>
    </row>
    <row r="15" spans="2:40"/>
    <row r="16" spans="2:40">
      <c r="B16" s="299" t="str">
        <f>W6&amp;" - "&amp;W12</f>
        <v>Percentage of municipal waste sent to landfill (Ex NI193) - 2019-20</v>
      </c>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1"/>
    </row>
    <row r="17" spans="2:42">
      <c r="B17" s="302"/>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c r="AM17" s="304"/>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08" t="s">
        <v>342</v>
      </c>
      <c r="F32" s="309"/>
      <c r="G32" s="309"/>
      <c r="H32" s="309"/>
      <c r="I32" s="309"/>
      <c r="J32" s="309"/>
      <c r="K32" s="307">
        <f>IF('Filtered Data'!$H$8="..",'Filtered Data'!O10,'Filtered Data'!O10/100)</f>
        <v>4.2000000000000003E-2</v>
      </c>
      <c r="L32" s="307"/>
      <c r="M32" s="307"/>
      <c r="N32" s="329" t="s">
        <v>353</v>
      </c>
      <c r="O32" s="329"/>
      <c r="P32" s="329"/>
      <c r="Q32" s="329"/>
      <c r="R32" s="329"/>
      <c r="S32" s="329"/>
      <c r="T32" s="307">
        <f>IF('Filtered Data'!$H$8="..",'Filtered Data'!P10,'Filtered Data'!P10/100)</f>
        <v>9.9000000000000005E-2</v>
      </c>
      <c r="U32" s="307"/>
      <c r="V32" s="307"/>
      <c r="W32" s="307"/>
      <c r="X32" s="305" t="s">
        <v>354</v>
      </c>
      <c r="Y32" s="305"/>
      <c r="Z32" s="305"/>
      <c r="AA32" s="305"/>
      <c r="AB32" s="305"/>
      <c r="AC32" s="307">
        <f>IF('Filtered Data'!$H$8="..",'Filtered Data'!Q10,'Filtered Data'!Q10/100)</f>
        <v>0.17800000000000002</v>
      </c>
      <c r="AD32" s="307"/>
      <c r="AE32" s="307"/>
      <c r="AF32" s="333" t="s">
        <v>343</v>
      </c>
      <c r="AG32" s="333"/>
      <c r="AH32" s="333"/>
      <c r="AI32" s="333"/>
      <c r="AJ32" s="333"/>
      <c r="AK32" s="333"/>
      <c r="AL32" s="333"/>
      <c r="AM32" s="10"/>
      <c r="AP32" s="85"/>
    </row>
    <row r="33" spans="2:16384">
      <c r="B33" s="4" t="str">
        <f>"The graph &amp; quartile information show data for all "&amp;V37&amp;" "&amp;VLOOKUP('Filtered Data'!D1,'Filtered Data'!L1:O6,3,FALSE)&amp;" councils in England."</f>
        <v>The graph &amp; quartile information show data for all 25 County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Cumbria</v>
      </c>
      <c r="C35" s="133"/>
      <c r="D35" s="133"/>
      <c r="E35" s="133"/>
      <c r="F35" s="133"/>
      <c r="G35" s="133"/>
      <c r="H35" s="133"/>
      <c r="I35" s="133"/>
      <c r="J35" s="133"/>
      <c r="K35" s="134" t="s">
        <v>357</v>
      </c>
      <c r="L35" s="298">
        <f>IF(ISERROR(IF('Filtered Data'!$H$8="%.",(VLOOKUP(J5,'Filtered Data'!C:H,4,FALSE))/100,(VLOOKUP(J5,'Filtered Data'!C:H,4,FALSE)))),"",(IF('Filtered Data'!$H$8="%.",(VLOOKUP(J5,'Filtered Data'!C:H,4,FALSE))/100,(VLOOKUP(J5,'Filtered Data'!C:H,4,FALSE)))))</f>
        <v>0.111</v>
      </c>
      <c r="M35" s="298"/>
      <c r="N35" s="298"/>
      <c r="O35" s="298"/>
      <c r="P35" s="135"/>
      <c r="Q35" s="298" t="s">
        <v>355</v>
      </c>
      <c r="R35" s="298"/>
      <c r="S35" s="298"/>
      <c r="T35" s="298"/>
      <c r="U35" s="298"/>
      <c r="V35" s="298"/>
      <c r="W35" s="298"/>
      <c r="AP35" s="85"/>
    </row>
    <row r="36" spans="2:16384" ht="12.75" customHeight="1">
      <c r="B36" s="297" t="str">
        <f>'Filtered Data'!R8&amp;" Quartile"</f>
        <v>Third Quartile</v>
      </c>
      <c r="C36" s="297"/>
      <c r="D36" s="297"/>
      <c r="E36" s="297"/>
      <c r="F36" s="297"/>
      <c r="G36" s="297"/>
      <c r="H36" s="297"/>
      <c r="I36" s="297"/>
      <c r="J36" s="297"/>
      <c r="K36" s="297"/>
      <c r="L36" s="297"/>
      <c r="M36" s="297"/>
      <c r="N36" s="297"/>
      <c r="O36" s="297"/>
      <c r="P36" s="297"/>
      <c r="Q36" s="297"/>
      <c r="R36" s="297"/>
      <c r="S36" s="297"/>
      <c r="T36" s="297"/>
      <c r="U36" s="297"/>
      <c r="V36" s="297"/>
      <c r="W36" s="297"/>
      <c r="Z36" s="21" t="s">
        <v>359</v>
      </c>
      <c r="AB36" s="321" t="s">
        <v>361</v>
      </c>
      <c r="AC36" s="321"/>
      <c r="AD36" s="321"/>
      <c r="AE36" s="321"/>
      <c r="AF36" s="321"/>
      <c r="AG36" s="321"/>
      <c r="AH36" s="321"/>
      <c r="AI36" s="321"/>
      <c r="AJ36" s="321"/>
      <c r="AK36" s="321"/>
      <c r="AL36" s="321"/>
      <c r="AM36" s="154"/>
      <c r="AP36" s="85"/>
    </row>
    <row r="37" spans="2:16384" ht="12.75" customHeight="1">
      <c r="B37" s="136" t="str">
        <f>VLOOKUP('Filtered Data'!D1,'Filtered Data'!L1:O6,2,FALSE)</f>
        <v>Counties</v>
      </c>
      <c r="C37" s="136"/>
      <c r="D37" s="136"/>
      <c r="E37" s="136"/>
      <c r="F37" s="136"/>
      <c r="G37" s="136"/>
      <c r="H37" s="136"/>
      <c r="I37" s="136"/>
      <c r="J37" s="322" t="s">
        <v>801</v>
      </c>
      <c r="K37" s="137" t="str">
        <f>IF(Q37="","",IF('Filtered Data'!I8="D",IF($L$35&gt;=L37,"J","L"),IF('Filtered Data'!I8="A",IF($L$35&lt;=L37,"J","L"))))</f>
        <v>J</v>
      </c>
      <c r="L37" s="325">
        <f>'Filtered Data'!M9</f>
        <v>0.11652</v>
      </c>
      <c r="M37" s="325"/>
      <c r="N37" s="325"/>
      <c r="O37" s="325"/>
      <c r="P37" s="138"/>
      <c r="Q37" s="318">
        <f>VLOOKUP(J5,'Filtered Data'!C:I,7,FALSE)</f>
        <v>15</v>
      </c>
      <c r="R37" s="318"/>
      <c r="S37" s="139"/>
      <c r="T37" s="140" t="s">
        <v>356</v>
      </c>
      <c r="U37" s="141"/>
      <c r="V37" s="318">
        <f>COUNT('Filtered Data'!I11:I355)</f>
        <v>25</v>
      </c>
      <c r="W37" s="318"/>
      <c r="AB37" s="321"/>
      <c r="AC37" s="321"/>
      <c r="AD37" s="321"/>
      <c r="AE37" s="321"/>
      <c r="AF37" s="321"/>
      <c r="AG37" s="321"/>
      <c r="AH37" s="321"/>
      <c r="AI37" s="321"/>
      <c r="AJ37" s="321"/>
      <c r="AK37" s="321"/>
      <c r="AL37" s="321"/>
      <c r="AM37" s="154"/>
      <c r="AP37" s="85"/>
    </row>
    <row r="38" spans="2:16384">
      <c r="B38" s="136"/>
      <c r="C38" s="136"/>
      <c r="D38" s="136"/>
      <c r="E38" s="136"/>
      <c r="F38" s="136"/>
      <c r="G38" s="136"/>
      <c r="H38" s="136"/>
      <c r="I38" s="136"/>
      <c r="J38" s="323"/>
      <c r="K38" s="137"/>
      <c r="L38" s="325"/>
      <c r="M38" s="325"/>
      <c r="N38" s="325"/>
      <c r="O38" s="325"/>
      <c r="P38" s="138"/>
      <c r="Q38" s="320"/>
      <c r="R38" s="320"/>
      <c r="S38" s="324"/>
      <c r="T38" s="325"/>
      <c r="U38" s="325"/>
      <c r="V38" s="318"/>
      <c r="W38" s="318"/>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23"/>
      <c r="K39" s="137" t="str">
        <f>IF(Q39="","",IF('Filtered Data'!I8="D",IF($L$35&gt;=L39,"J","L"),IF('Filtered Data'!I8="A",IF($L$35&lt;=L39,"J","L"))))</f>
        <v>J</v>
      </c>
      <c r="L39" s="325">
        <f>IF('Filtered Data'!D1="L","",IF('Filtered Data'!D1="SD",'Filtered Data'!AJ9,'Filtered Data'!AQ9))</f>
        <v>0.23149999999999998</v>
      </c>
      <c r="M39" s="325"/>
      <c r="N39" s="325"/>
      <c r="O39" s="325"/>
      <c r="P39" s="138"/>
      <c r="Q39" s="318">
        <f>IF(ISERROR(IF('Filtered Data'!D1="L","",IF('Filtered Data'!D1="SD",VLOOKUP(J5,'Filtered Data'!L:AK,26,FALSE),(VLOOKUP(J5,'Filtered Data'!L:AR,33,FALSE))))),"",(IF('Filtered Data'!D1="L","",IF('Filtered Data'!D1="SD",VLOOKUP(J5,'Filtered Data'!L:AK,26,FALSE),(VLOOKUP(J5,'Filtered Data'!L:AR,33,FALSE))))))</f>
        <v>1</v>
      </c>
      <c r="R39" s="318"/>
      <c r="S39" s="139"/>
      <c r="T39" s="141" t="str">
        <f>IF(B39="","","out of")</f>
        <v>out of</v>
      </c>
      <c r="U39" s="141"/>
      <c r="V39" s="318">
        <f>IF('Filtered Data'!D1="L","",IF('Filtered Data'!D1="SD",COUNT('Filtered Data'!AK11:AK355),(COUNT('Filtered Data'!AQ11:AQ355))))</f>
        <v>2</v>
      </c>
      <c r="W39" s="318"/>
      <c r="Z39" s="13" t="s">
        <v>360</v>
      </c>
      <c r="AB39" s="321" t="s">
        <v>362</v>
      </c>
      <c r="AC39" s="321"/>
      <c r="AD39" s="321"/>
      <c r="AE39" s="321"/>
      <c r="AF39" s="321"/>
      <c r="AG39" s="321"/>
      <c r="AH39" s="321"/>
      <c r="AI39" s="321"/>
      <c r="AJ39" s="321"/>
      <c r="AK39" s="321"/>
      <c r="AL39" s="321"/>
      <c r="AM39" s="321"/>
      <c r="AP39" s="85"/>
    </row>
    <row r="40" spans="2:16384" ht="12.75" customHeight="1">
      <c r="B40" s="150"/>
      <c r="C40" s="150"/>
      <c r="D40" s="150"/>
      <c r="E40" s="150"/>
      <c r="F40" s="150"/>
      <c r="G40" s="150"/>
      <c r="H40" s="150"/>
      <c r="I40" s="150"/>
      <c r="J40" s="149"/>
      <c r="K40" s="151"/>
      <c r="L40" s="334"/>
      <c r="M40" s="334"/>
      <c r="N40" s="334"/>
      <c r="O40" s="334"/>
      <c r="P40" s="152"/>
      <c r="Q40" s="327"/>
      <c r="R40" s="327"/>
      <c r="S40" s="334"/>
      <c r="T40" s="335"/>
      <c r="U40" s="335"/>
      <c r="V40" s="327"/>
      <c r="W40" s="327"/>
      <c r="AB40" s="321"/>
      <c r="AC40" s="321"/>
      <c r="AD40" s="321"/>
      <c r="AE40" s="321"/>
      <c r="AF40" s="321"/>
      <c r="AG40" s="321"/>
      <c r="AH40" s="321"/>
      <c r="AI40" s="321"/>
      <c r="AJ40" s="321"/>
      <c r="AK40" s="321"/>
      <c r="AL40" s="321"/>
      <c r="AM40" s="321"/>
      <c r="AP40" s="85"/>
    </row>
    <row r="41" spans="2:16384">
      <c r="B41" s="269"/>
      <c r="C41" s="269"/>
      <c r="D41" s="269"/>
      <c r="E41" s="269"/>
      <c r="F41" s="269"/>
      <c r="G41" s="269"/>
      <c r="H41" s="269"/>
      <c r="I41" s="269"/>
      <c r="J41" s="149"/>
      <c r="K41" s="270" t="str">
        <f>IF(B41="","",IF('Filtered Data'!D1="UA","",(IF($L$35&gt;=L41,"J","L"))))</f>
        <v/>
      </c>
      <c r="L41" s="345"/>
      <c r="M41" s="345"/>
      <c r="N41" s="345"/>
      <c r="O41" s="345"/>
      <c r="P41" s="271"/>
      <c r="Q41" s="326"/>
      <c r="R41" s="326"/>
      <c r="S41" s="319"/>
      <c r="T41" s="319"/>
      <c r="U41" s="319"/>
      <c r="V41" s="326"/>
      <c r="W41" s="32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358</v>
      </c>
      <c r="C43" s="342"/>
      <c r="D43" s="342"/>
      <c r="E43" s="342"/>
      <c r="F43" s="342"/>
      <c r="G43" s="342"/>
      <c r="H43" s="342"/>
      <c r="I43" s="342"/>
      <c r="J43" s="342"/>
      <c r="K43" s="342"/>
      <c r="L43" s="342"/>
      <c r="M43" s="342"/>
      <c r="N43" s="342"/>
      <c r="O43" s="337" t="str">
        <f>W6&amp;" - "&amp;W12</f>
        <v>Percentage of municipal waste sent to landfill (Ex NI193) - 2019-20</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796</v>
      </c>
      <c r="L47" s="18"/>
      <c r="M47" s="18" t="s">
        <v>797</v>
      </c>
      <c r="N47" s="18"/>
      <c r="O47" s="6" t="s">
        <v>798</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Cumbria</v>
      </c>
      <c r="E48" s="313">
        <f>IF('Filtered Data'!$H$8="..",L35,L35*100)</f>
        <v>11.1</v>
      </c>
      <c r="F48" s="313"/>
      <c r="G48" s="313"/>
      <c r="H48" s="313"/>
      <c r="I48" s="6"/>
      <c r="J48" s="6"/>
      <c r="K48" s="274">
        <f>IF('Filtered Data'!$H$8="..",K$32,K$32*100)</f>
        <v>4.2</v>
      </c>
      <c r="L48" s="274"/>
      <c r="M48" s="274">
        <f>IF('Filtered Data'!$H$8="..",T$32,T$32*100)</f>
        <v>9.9</v>
      </c>
      <c r="N48" s="274"/>
      <c r="O48" s="274">
        <f>IF('Filtered Data'!$H$8="..",AC$32,AC$32*100)</f>
        <v>17.8</v>
      </c>
      <c r="P48" s="27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Counties</v>
      </c>
      <c r="E49" s="313">
        <f>IF('Filtered Data'!$H$8="..",L37,L37*100)</f>
        <v>11.651999999999999</v>
      </c>
      <c r="F49" s="313"/>
      <c r="G49" s="313"/>
      <c r="H49" s="313"/>
      <c r="I49" s="6"/>
      <c r="J49" s="6"/>
      <c r="K49" s="274">
        <f>IF('Filtered Data'!$H$8="..",K$32,K$32*100)</f>
        <v>4.2</v>
      </c>
      <c r="L49" s="274"/>
      <c r="M49" s="274">
        <f>IF('Filtered Data'!$H$8="..",T$32,T$32*100)</f>
        <v>9.9</v>
      </c>
      <c r="N49" s="274"/>
      <c r="O49" s="274">
        <f>IF('Filtered Data'!$H$8="..",AC$32,AC$32*100)</f>
        <v>17.8</v>
      </c>
      <c r="P49" s="27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13">
        <f>IF('Filtered Data'!$H$8="..",L39,L39*100)</f>
        <v>23.15</v>
      </c>
      <c r="F50" s="313"/>
      <c r="G50" s="313"/>
      <c r="H50" s="313"/>
      <c r="I50" s="6"/>
      <c r="J50" s="6"/>
      <c r="K50" s="274">
        <f>IF('Filtered Data'!$H$8="..",K$32,K$32*100)</f>
        <v>4.2</v>
      </c>
      <c r="L50" s="274"/>
      <c r="M50" s="274">
        <f>IF('Filtered Data'!$H$8="..",T$32,T$32*100)</f>
        <v>9.9</v>
      </c>
      <c r="N50" s="274"/>
      <c r="O50" s="274">
        <f>IF('Filtered Data'!$H$8="..",AC$32,AC$32*100)</f>
        <v>17.8</v>
      </c>
      <c r="P50" s="27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72">
        <f>B38</f>
        <v>0</v>
      </c>
      <c r="E51" s="313">
        <f>IF('Filtered Data'!$H$8="..",L38,L38*100)</f>
        <v>0</v>
      </c>
      <c r="F51" s="313"/>
      <c r="G51" s="313"/>
      <c r="H51" s="313"/>
      <c r="I51" s="6"/>
      <c r="J51" s="6"/>
      <c r="K51" s="274">
        <f>IF('Filtered Data'!$H$8="..",K$32,K$32*100)</f>
        <v>4.2</v>
      </c>
      <c r="L51" s="274"/>
      <c r="M51" s="274">
        <f>IF('Filtered Data'!$H$8="..",T$32,T$32*100)</f>
        <v>9.9</v>
      </c>
      <c r="N51" s="274"/>
      <c r="O51" s="274">
        <f>IF('Filtered Data'!$H$8="..",AC$32,AC$32*100)</f>
        <v>17.8</v>
      </c>
      <c r="P51" s="27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13"/>
      <c r="F52" s="313"/>
      <c r="G52" s="313"/>
      <c r="H52" s="313"/>
      <c r="I52" s="6"/>
      <c r="J52" s="6"/>
      <c r="K52" s="274"/>
      <c r="L52" s="274"/>
      <c r="M52" s="274"/>
      <c r="N52" s="274"/>
      <c r="O52" s="274"/>
      <c r="P52" s="27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4"/>
      <c r="L53" s="274"/>
      <c r="M53" s="274"/>
      <c r="N53" s="274"/>
      <c r="O53" s="274"/>
      <c r="P53" s="27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Waste Management Indicators</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Percentage of municipal waste sent to landfill (Ex NI193) - 2019-20</v>
      </c>
      <c r="AP61" s="85"/>
    </row>
    <row r="62" spans="2:42" ht="12" customHeight="1">
      <c r="AP62" s="85"/>
    </row>
    <row r="63" spans="2:42" ht="12" customHeight="1">
      <c r="B63" s="1" t="s">
        <v>364</v>
      </c>
      <c r="AP63" s="85"/>
    </row>
    <row r="64" spans="2:42" ht="12" customHeight="1">
      <c r="AP64" s="85"/>
    </row>
    <row r="65" spans="2:42" ht="12" customHeight="1">
      <c r="B65" s="283" t="s">
        <v>355</v>
      </c>
      <c r="C65" s="283"/>
      <c r="D65" s="283"/>
      <c r="E65" s="279" t="s">
        <v>334</v>
      </c>
      <c r="F65" s="279"/>
      <c r="G65" s="279"/>
      <c r="H65" s="279"/>
      <c r="I65" s="279"/>
      <c r="J65" s="279"/>
      <c r="K65" s="279"/>
      <c r="L65" s="279"/>
      <c r="M65" s="279"/>
      <c r="N65" s="279"/>
      <c r="O65" s="279"/>
      <c r="P65" s="279"/>
      <c r="Q65" s="279"/>
      <c r="R65" s="279"/>
      <c r="S65" s="279"/>
      <c r="T65" s="279"/>
      <c r="U65" s="283" t="s">
        <v>365</v>
      </c>
      <c r="V65" s="283"/>
      <c r="W65" s="283"/>
      <c r="X65" s="283"/>
      <c r="Y65" s="24"/>
      <c r="Z65" s="24"/>
      <c r="AA65" s="24"/>
      <c r="AB65" s="24"/>
      <c r="AC65" s="23"/>
      <c r="AD65" s="24"/>
      <c r="AE65" s="24"/>
      <c r="AF65" s="24"/>
      <c r="AG65" s="24"/>
      <c r="AH65" s="11"/>
      <c r="AI65" s="24"/>
      <c r="AJ65" s="24"/>
      <c r="AK65" s="24"/>
      <c r="AL65" s="24"/>
      <c r="AP65" s="85"/>
    </row>
    <row r="66" spans="2:42" ht="12" customHeight="1">
      <c r="B66" s="314">
        <v>1</v>
      </c>
      <c r="C66" s="282"/>
      <c r="D66" s="282"/>
      <c r="E66" s="278" t="str">
        <f>VLOOKUP(B66,'Filtered Data'!K:L,2,FALSE)</f>
        <v>Buckinghamshire</v>
      </c>
      <c r="F66" s="278"/>
      <c r="G66" s="278"/>
      <c r="H66" s="278"/>
      <c r="I66" s="278"/>
      <c r="J66" s="278"/>
      <c r="K66" s="278"/>
      <c r="L66" s="278"/>
      <c r="M66" s="278"/>
      <c r="N66" s="278"/>
      <c r="O66" s="278"/>
      <c r="P66" s="278"/>
      <c r="Q66" s="278"/>
      <c r="R66" s="278"/>
      <c r="S66" s="278"/>
      <c r="T66" s="278"/>
      <c r="U66" s="276">
        <f>IF('Filtered Data'!$H$8="%.",(VLOOKUP(B66,'Filtered Data'!K:M,3,FALSE))/100,VLOOKUP(B66,'Filtered Data'!K:M,3,FALSE))</f>
        <v>3.0000000000000001E-3</v>
      </c>
      <c r="V66" s="276"/>
      <c r="W66" s="276"/>
      <c r="X66" s="276"/>
      <c r="Y66" s="179" t="str">
        <f>IF((VLOOKUP(E66,classifications!C:K,9,FALSE))="Sparse","S","")</f>
        <v/>
      </c>
      <c r="Z66" s="179"/>
      <c r="AA66" s="179"/>
      <c r="AB66" s="179"/>
      <c r="AC66" s="179"/>
      <c r="AD66" s="280"/>
      <c r="AE66" s="280"/>
      <c r="AF66" s="280"/>
      <c r="AG66" s="280"/>
      <c r="AH66" s="280"/>
      <c r="AI66" s="280"/>
      <c r="AJ66" s="280"/>
      <c r="AK66" s="280"/>
      <c r="AL66" s="280"/>
      <c r="AP66" s="85"/>
    </row>
    <row r="67" spans="2:42" ht="12" customHeight="1">
      <c r="B67" s="314">
        <v>2</v>
      </c>
      <c r="C67" s="282"/>
      <c r="D67" s="282"/>
      <c r="E67" s="278" t="str">
        <f>VLOOKUP(B67,'Filtered Data'!K:L,2,FALSE)</f>
        <v>Staffordshire</v>
      </c>
      <c r="F67" s="278"/>
      <c r="G67" s="278"/>
      <c r="H67" s="278"/>
      <c r="I67" s="278"/>
      <c r="J67" s="278"/>
      <c r="K67" s="278"/>
      <c r="L67" s="278"/>
      <c r="M67" s="278"/>
      <c r="N67" s="278"/>
      <c r="O67" s="278"/>
      <c r="P67" s="278"/>
      <c r="Q67" s="278"/>
      <c r="R67" s="278"/>
      <c r="S67" s="278"/>
      <c r="T67" s="278"/>
      <c r="U67" s="276">
        <f>IF('Filtered Data'!$H$8="%.",(VLOOKUP(B67,'Filtered Data'!K:M,3,FALSE))/100,VLOOKUP(B67,'Filtered Data'!K:M,3,FALSE))</f>
        <v>1.2999999999999999E-2</v>
      </c>
      <c r="V67" s="276"/>
      <c r="W67" s="276"/>
      <c r="X67" s="276"/>
      <c r="Y67" s="179" t="str">
        <f>IF((VLOOKUP(E67,classifications!C:K,9,FALSE))="Sparse","S","")</f>
        <v>S</v>
      </c>
      <c r="Z67" s="179"/>
      <c r="AA67" s="179"/>
      <c r="AB67" s="179"/>
      <c r="AC67" s="179"/>
      <c r="AD67" s="280"/>
      <c r="AE67" s="280"/>
      <c r="AF67" s="280"/>
      <c r="AG67" s="280"/>
      <c r="AH67" s="280"/>
      <c r="AI67" s="280"/>
      <c r="AJ67" s="280"/>
      <c r="AK67" s="280"/>
      <c r="AL67" s="280"/>
      <c r="AP67" s="85"/>
    </row>
    <row r="68" spans="2:42" ht="12" customHeight="1">
      <c r="B68" s="314">
        <v>3</v>
      </c>
      <c r="C68" s="282"/>
      <c r="D68" s="282"/>
      <c r="E68" s="278" t="str">
        <f>VLOOKUP(B68,'Filtered Data'!K:L,2,FALSE)</f>
        <v>Kent</v>
      </c>
      <c r="F68" s="278"/>
      <c r="G68" s="278"/>
      <c r="H68" s="278"/>
      <c r="I68" s="278"/>
      <c r="J68" s="278"/>
      <c r="K68" s="278"/>
      <c r="L68" s="278"/>
      <c r="M68" s="278"/>
      <c r="N68" s="278"/>
      <c r="O68" s="278"/>
      <c r="P68" s="278"/>
      <c r="Q68" s="278"/>
      <c r="R68" s="278"/>
      <c r="S68" s="278"/>
      <c r="T68" s="278"/>
      <c r="U68" s="276">
        <f>IF('Filtered Data'!$H$8="%.",(VLOOKUP(B68,'Filtered Data'!K:M,3,FALSE))/100,VLOOKUP(B68,'Filtered Data'!K:M,3,FALSE))</f>
        <v>1.4999999999999999E-2</v>
      </c>
      <c r="V68" s="276"/>
      <c r="W68" s="276"/>
      <c r="X68" s="276"/>
      <c r="Y68" s="179" t="str">
        <f>IF((VLOOKUP(E68,classifications!C:K,9,FALSE))="Sparse","S","")</f>
        <v/>
      </c>
      <c r="Z68" s="179"/>
      <c r="AA68" s="179"/>
      <c r="AB68" s="179"/>
      <c r="AC68" s="179"/>
      <c r="AD68" s="280"/>
      <c r="AE68" s="280"/>
      <c r="AF68" s="280"/>
      <c r="AG68" s="280"/>
      <c r="AH68" s="280"/>
      <c r="AI68" s="280"/>
      <c r="AJ68" s="280"/>
      <c r="AK68" s="280"/>
      <c r="AL68" s="280"/>
      <c r="AP68" s="85"/>
    </row>
    <row r="69" spans="2:42" ht="12" customHeight="1">
      <c r="B69" s="314">
        <v>4</v>
      </c>
      <c r="C69" s="282"/>
      <c r="D69" s="282"/>
      <c r="E69" s="278" t="str">
        <f>VLOOKUP(B69,'Filtered Data'!K:L,2,FALSE)</f>
        <v>Suffolk</v>
      </c>
      <c r="F69" s="278"/>
      <c r="G69" s="278"/>
      <c r="H69" s="278"/>
      <c r="I69" s="278"/>
      <c r="J69" s="278"/>
      <c r="K69" s="278"/>
      <c r="L69" s="278"/>
      <c r="M69" s="278"/>
      <c r="N69" s="278"/>
      <c r="O69" s="278"/>
      <c r="P69" s="278"/>
      <c r="Q69" s="278"/>
      <c r="R69" s="278"/>
      <c r="S69" s="278"/>
      <c r="T69" s="278"/>
      <c r="U69" s="276">
        <f>IF('Filtered Data'!$H$8="%.",(VLOOKUP(B69,'Filtered Data'!K:M,3,FALSE))/100,VLOOKUP(B69,'Filtered Data'!K:M,3,FALSE))</f>
        <v>3.1E-2</v>
      </c>
      <c r="V69" s="276"/>
      <c r="W69" s="276"/>
      <c r="X69" s="276"/>
      <c r="Y69" s="179" t="str">
        <f>IF((VLOOKUP(E69,classifications!C:K,9,FALSE))="Sparse","S","")</f>
        <v>S</v>
      </c>
      <c r="Z69" s="179"/>
      <c r="AA69" s="179"/>
      <c r="AB69" s="179"/>
      <c r="AC69" s="179"/>
      <c r="AD69" s="280"/>
      <c r="AE69" s="280"/>
      <c r="AF69" s="280"/>
      <c r="AG69" s="280"/>
      <c r="AH69" s="280"/>
      <c r="AI69" s="280"/>
      <c r="AJ69" s="280"/>
      <c r="AK69" s="280"/>
      <c r="AL69" s="280"/>
      <c r="AP69" s="85"/>
    </row>
    <row r="70" spans="2:42" ht="12" customHeight="1">
      <c r="B70" s="314">
        <v>5</v>
      </c>
      <c r="C70" s="282"/>
      <c r="D70" s="282"/>
      <c r="E70" s="278" t="str">
        <f>VLOOKUP(B70,'Filtered Data'!K:L,2,FALSE)</f>
        <v>Lincolnshire</v>
      </c>
      <c r="F70" s="278"/>
      <c r="G70" s="278"/>
      <c r="H70" s="278"/>
      <c r="I70" s="278"/>
      <c r="J70" s="278"/>
      <c r="K70" s="278"/>
      <c r="L70" s="278"/>
      <c r="M70" s="278"/>
      <c r="N70" s="278"/>
      <c r="O70" s="278"/>
      <c r="P70" s="278"/>
      <c r="Q70" s="278"/>
      <c r="R70" s="278"/>
      <c r="S70" s="278"/>
      <c r="T70" s="278"/>
      <c r="U70" s="276">
        <f>IF('Filtered Data'!$H$8="%.",(VLOOKUP(B70,'Filtered Data'!K:M,3,FALSE))/100,VLOOKUP(B70,'Filtered Data'!K:M,3,FALSE))</f>
        <v>3.2000000000000001E-2</v>
      </c>
      <c r="V70" s="276"/>
      <c r="W70" s="276"/>
      <c r="X70" s="276"/>
      <c r="Y70" s="179" t="str">
        <f>IF((VLOOKUP(E70,classifications!C:K,9,FALSE))="Sparse","S","")</f>
        <v>S</v>
      </c>
      <c r="Z70" s="179"/>
      <c r="AA70" s="179"/>
      <c r="AB70" s="179"/>
      <c r="AC70" s="179"/>
      <c r="AD70" s="280"/>
      <c r="AE70" s="280"/>
      <c r="AF70" s="280"/>
      <c r="AG70" s="280"/>
      <c r="AH70" s="280"/>
      <c r="AI70" s="280"/>
      <c r="AJ70" s="280"/>
      <c r="AK70" s="280"/>
      <c r="AL70" s="280"/>
      <c r="AP70" s="85"/>
    </row>
    <row r="71" spans="2:42" ht="12" customHeight="1">
      <c r="B71" s="314">
        <v>6</v>
      </c>
      <c r="C71" s="282"/>
      <c r="D71" s="282"/>
      <c r="E71" s="278" t="str">
        <f>VLOOKUP(B71,'Filtered Data'!K:L,2,FALSE)</f>
        <v>East Sussex</v>
      </c>
      <c r="F71" s="278"/>
      <c r="G71" s="278"/>
      <c r="H71" s="278"/>
      <c r="I71" s="278"/>
      <c r="J71" s="278"/>
      <c r="K71" s="278"/>
      <c r="L71" s="278"/>
      <c r="M71" s="278"/>
      <c r="N71" s="278"/>
      <c r="O71" s="278"/>
      <c r="P71" s="278"/>
      <c r="Q71" s="278"/>
      <c r="R71" s="278"/>
      <c r="S71" s="278"/>
      <c r="T71" s="278"/>
      <c r="U71" s="276">
        <f>IF('Filtered Data'!$H$8="%.",(VLOOKUP(B71,'Filtered Data'!K:M,3,FALSE))/100,VLOOKUP(B71,'Filtered Data'!K:M,3,FALSE))</f>
        <v>3.5999999999999997E-2</v>
      </c>
      <c r="V71" s="276"/>
      <c r="W71" s="276"/>
      <c r="X71" s="276"/>
      <c r="Y71" s="179" t="str">
        <f>IF((VLOOKUP(E71,classifications!C:K,9,FALSE))="Sparse","S","")</f>
        <v>S</v>
      </c>
      <c r="Z71" s="179"/>
      <c r="AA71" s="179"/>
      <c r="AB71" s="179"/>
      <c r="AC71" s="179"/>
      <c r="AD71" s="280"/>
      <c r="AE71" s="280"/>
      <c r="AF71" s="280"/>
      <c r="AG71" s="280"/>
      <c r="AH71" s="280"/>
      <c r="AI71" s="280"/>
      <c r="AJ71" s="280"/>
      <c r="AK71" s="280"/>
      <c r="AL71" s="280"/>
      <c r="AP71" s="85"/>
    </row>
    <row r="72" spans="2:42" ht="12" customHeight="1">
      <c r="B72" s="314">
        <v>7</v>
      </c>
      <c r="C72" s="282"/>
      <c r="D72" s="282"/>
      <c r="E72" s="278" t="str">
        <f>VLOOKUP(B72,'Filtered Data'!K:L,2,FALSE)</f>
        <v>Devon</v>
      </c>
      <c r="F72" s="278"/>
      <c r="G72" s="278"/>
      <c r="H72" s="278"/>
      <c r="I72" s="278"/>
      <c r="J72" s="278"/>
      <c r="K72" s="278"/>
      <c r="L72" s="278"/>
      <c r="M72" s="278"/>
      <c r="N72" s="278"/>
      <c r="O72" s="278"/>
      <c r="P72" s="278"/>
      <c r="Q72" s="278"/>
      <c r="R72" s="278"/>
      <c r="S72" s="278"/>
      <c r="T72" s="278"/>
      <c r="U72" s="276">
        <f>IF('Filtered Data'!$H$8="%.",(VLOOKUP(B72,'Filtered Data'!K:M,3,FALSE))/100,VLOOKUP(B72,'Filtered Data'!K:M,3,FALSE))</f>
        <v>4.2000000000000003E-2</v>
      </c>
      <c r="V72" s="276"/>
      <c r="W72" s="276"/>
      <c r="X72" s="276"/>
      <c r="Y72" s="179" t="str">
        <f>IF((VLOOKUP(E72,classifications!C:K,9,FALSE))="Sparse","S","")</f>
        <v>S</v>
      </c>
      <c r="Z72" s="179"/>
      <c r="AA72" s="179"/>
      <c r="AB72" s="179"/>
      <c r="AC72" s="179"/>
      <c r="AD72" s="280"/>
      <c r="AE72" s="280"/>
      <c r="AF72" s="280"/>
      <c r="AG72" s="280"/>
      <c r="AH72" s="280"/>
      <c r="AI72" s="280"/>
      <c r="AJ72" s="280"/>
      <c r="AK72" s="280"/>
      <c r="AL72" s="280"/>
      <c r="AP72" s="85"/>
    </row>
    <row r="73" spans="2:42" ht="12" customHeight="1">
      <c r="B73" s="314">
        <v>8</v>
      </c>
      <c r="C73" s="282"/>
      <c r="D73" s="282"/>
      <c r="E73" s="278" t="str">
        <f>VLOOKUP(B73,'Filtered Data'!K:L,2,FALSE)</f>
        <v>Oxfordshire</v>
      </c>
      <c r="F73" s="278"/>
      <c r="G73" s="278"/>
      <c r="H73" s="278"/>
      <c r="I73" s="278"/>
      <c r="J73" s="278"/>
      <c r="K73" s="278"/>
      <c r="L73" s="278"/>
      <c r="M73" s="278"/>
      <c r="N73" s="278"/>
      <c r="O73" s="278"/>
      <c r="P73" s="278"/>
      <c r="Q73" s="278"/>
      <c r="R73" s="278"/>
      <c r="S73" s="278"/>
      <c r="T73" s="278"/>
      <c r="U73" s="276">
        <f>IF('Filtered Data'!$H$8="%.",(VLOOKUP(B73,'Filtered Data'!K:M,3,FALSE))/100,VLOOKUP(B73,'Filtered Data'!K:M,3,FALSE))</f>
        <v>4.2999999999999997E-2</v>
      </c>
      <c r="V73" s="276"/>
      <c r="W73" s="276"/>
      <c r="X73" s="276"/>
      <c r="Y73" s="179" t="str">
        <f>IF((VLOOKUP(E73,classifications!C:K,9,FALSE))="Sparse","S","")</f>
        <v/>
      </c>
      <c r="Z73" s="179"/>
      <c r="AA73" s="179"/>
      <c r="AB73" s="179"/>
      <c r="AC73" s="179"/>
      <c r="AD73" s="280"/>
      <c r="AE73" s="280"/>
      <c r="AF73" s="280"/>
      <c r="AG73" s="280"/>
      <c r="AH73" s="280"/>
      <c r="AI73" s="280"/>
      <c r="AJ73" s="280"/>
      <c r="AK73" s="280"/>
      <c r="AL73" s="280"/>
      <c r="AP73" s="85"/>
    </row>
    <row r="74" spans="2:42" ht="12" customHeight="1">
      <c r="B74" s="314">
        <v>9</v>
      </c>
      <c r="C74" s="282"/>
      <c r="D74" s="282"/>
      <c r="E74" s="278" t="str">
        <f>VLOOKUP(B74,'Filtered Data'!K:L,2,FALSE)</f>
        <v>Nottinghamshire</v>
      </c>
      <c r="F74" s="278"/>
      <c r="G74" s="278"/>
      <c r="H74" s="278"/>
      <c r="I74" s="278"/>
      <c r="J74" s="278"/>
      <c r="K74" s="278"/>
      <c r="L74" s="278"/>
      <c r="M74" s="278"/>
      <c r="N74" s="278"/>
      <c r="O74" s="278"/>
      <c r="P74" s="278"/>
      <c r="Q74" s="278"/>
      <c r="R74" s="278"/>
      <c r="S74" s="278"/>
      <c r="T74" s="278"/>
      <c r="U74" s="276">
        <f>IF('Filtered Data'!$H$8="%.",(VLOOKUP(B74,'Filtered Data'!K:M,3,FALSE))/100,VLOOKUP(B74,'Filtered Data'!K:M,3,FALSE))</f>
        <v>5.0999999999999997E-2</v>
      </c>
      <c r="V74" s="276"/>
      <c r="W74" s="276"/>
      <c r="X74" s="276"/>
      <c r="Y74" s="179" t="str">
        <f>IF((VLOOKUP(E74,classifications!C:K,9,FALSE))="Sparse","S","")</f>
        <v>S</v>
      </c>
      <c r="Z74" s="179"/>
      <c r="AA74" s="179"/>
      <c r="AB74" s="179"/>
      <c r="AC74" s="179"/>
      <c r="AD74" s="280"/>
      <c r="AE74" s="280"/>
      <c r="AF74" s="280"/>
      <c r="AG74" s="280"/>
      <c r="AH74" s="280"/>
      <c r="AI74" s="280"/>
      <c r="AJ74" s="280"/>
      <c r="AK74" s="280"/>
      <c r="AL74" s="280"/>
      <c r="AP74" s="85"/>
    </row>
    <row r="75" spans="2:42" ht="12" customHeight="1">
      <c r="B75" s="314">
        <v>10</v>
      </c>
      <c r="C75" s="282"/>
      <c r="D75" s="282"/>
      <c r="E75" s="278" t="str">
        <f>VLOOKUP(B75,'Filtered Data'!K:L,2,FALSE)</f>
        <v>Hampshire</v>
      </c>
      <c r="F75" s="278"/>
      <c r="G75" s="278"/>
      <c r="H75" s="278"/>
      <c r="I75" s="278"/>
      <c r="J75" s="278"/>
      <c r="K75" s="278"/>
      <c r="L75" s="278"/>
      <c r="M75" s="278"/>
      <c r="N75" s="278"/>
      <c r="O75" s="278"/>
      <c r="P75" s="278"/>
      <c r="Q75" s="278"/>
      <c r="R75" s="278"/>
      <c r="S75" s="278"/>
      <c r="T75" s="278"/>
      <c r="U75" s="276">
        <f>IF('Filtered Data'!$H$8="%.",(VLOOKUP(B75,'Filtered Data'!K:M,3,FALSE))/100,VLOOKUP(B75,'Filtered Data'!K:M,3,FALSE))</f>
        <v>5.5E-2</v>
      </c>
      <c r="V75" s="276"/>
      <c r="W75" s="276"/>
      <c r="X75" s="276"/>
      <c r="Y75" s="179" t="str">
        <f>IF((VLOOKUP(E75,classifications!C:K,9,FALSE))="Sparse","S","")</f>
        <v>S</v>
      </c>
      <c r="Z75" s="179"/>
      <c r="AA75" s="179"/>
      <c r="AB75" s="179"/>
      <c r="AC75" s="179"/>
      <c r="AD75" s="280"/>
      <c r="AE75" s="280"/>
      <c r="AF75" s="280"/>
      <c r="AG75" s="280"/>
      <c r="AH75" s="280"/>
      <c r="AI75" s="280"/>
      <c r="AJ75" s="280"/>
      <c r="AK75" s="280"/>
      <c r="AL75" s="280"/>
      <c r="AP75" s="85"/>
    </row>
    <row r="76" spans="2:42" ht="12" customHeight="1">
      <c r="B76" s="314">
        <v>11</v>
      </c>
      <c r="C76" s="282"/>
      <c r="D76" s="282"/>
      <c r="E76" s="278" t="str">
        <f>VLOOKUP(B76,'Filtered Data'!K:L,2,FALSE)</f>
        <v>Surrey</v>
      </c>
      <c r="F76" s="278"/>
      <c r="G76" s="278"/>
      <c r="H76" s="278"/>
      <c r="I76" s="278"/>
      <c r="J76" s="278"/>
      <c r="K76" s="278"/>
      <c r="L76" s="278"/>
      <c r="M76" s="278"/>
      <c r="N76" s="278"/>
      <c r="O76" s="278"/>
      <c r="P76" s="278"/>
      <c r="Q76" s="278"/>
      <c r="R76" s="278"/>
      <c r="S76" s="278"/>
      <c r="T76" s="278"/>
      <c r="U76" s="276">
        <f>IF('Filtered Data'!$H$8="%.",(VLOOKUP(B76,'Filtered Data'!K:M,3,FALSE))/100,VLOOKUP(B76,'Filtered Data'!K:M,3,FALSE))</f>
        <v>6.4000000000000001E-2</v>
      </c>
      <c r="V76" s="276"/>
      <c r="W76" s="276"/>
      <c r="X76" s="276"/>
      <c r="Y76" s="179" t="str">
        <f>IF((VLOOKUP(E76,classifications!C:K,9,FALSE))="Sparse","S","")</f>
        <v/>
      </c>
      <c r="Z76" s="179"/>
      <c r="AA76" s="179"/>
      <c r="AB76" s="179"/>
      <c r="AC76" s="179"/>
      <c r="AD76" s="280"/>
      <c r="AE76" s="280"/>
      <c r="AF76" s="280"/>
      <c r="AG76" s="280"/>
      <c r="AH76" s="280"/>
      <c r="AI76" s="280"/>
      <c r="AJ76" s="280"/>
      <c r="AK76" s="280"/>
      <c r="AL76" s="280"/>
      <c r="AP76" s="85"/>
    </row>
    <row r="77" spans="2:42" ht="12" customHeight="1">
      <c r="B77" s="314">
        <v>12</v>
      </c>
      <c r="C77" s="282"/>
      <c r="D77" s="282"/>
      <c r="E77" s="278" t="str">
        <f>VLOOKUP(B77,'Filtered Data'!K:L,2,FALSE)</f>
        <v>North Yorkshire</v>
      </c>
      <c r="F77" s="278"/>
      <c r="G77" s="278"/>
      <c r="H77" s="278"/>
      <c r="I77" s="278"/>
      <c r="J77" s="278"/>
      <c r="K77" s="278"/>
      <c r="L77" s="278"/>
      <c r="M77" s="278"/>
      <c r="N77" s="278"/>
      <c r="O77" s="278"/>
      <c r="P77" s="278"/>
      <c r="Q77" s="278"/>
      <c r="R77" s="278"/>
      <c r="S77" s="278"/>
      <c r="T77" s="278"/>
      <c r="U77" s="276">
        <f>IF('Filtered Data'!$H$8="%.",(VLOOKUP(B77,'Filtered Data'!K:M,3,FALSE))/100,VLOOKUP(B77,'Filtered Data'!K:M,3,FALSE))</f>
        <v>8.6999999999999994E-2</v>
      </c>
      <c r="V77" s="276"/>
      <c r="W77" s="276"/>
      <c r="X77" s="276"/>
      <c r="Y77" s="179" t="str">
        <f>IF((VLOOKUP(E77,classifications!C:K,9,FALSE))="Sparse","S","")</f>
        <v>S</v>
      </c>
      <c r="Z77" s="179"/>
      <c r="AA77" s="179"/>
      <c r="AB77" s="179"/>
      <c r="AC77" s="179"/>
      <c r="AD77" s="280"/>
      <c r="AE77" s="280"/>
      <c r="AF77" s="280"/>
      <c r="AG77" s="280"/>
      <c r="AH77" s="280"/>
      <c r="AI77" s="280"/>
      <c r="AJ77" s="280"/>
      <c r="AK77" s="280"/>
      <c r="AL77" s="280"/>
      <c r="AP77" s="85"/>
    </row>
    <row r="78" spans="2:42" ht="12" customHeight="1">
      <c r="B78" s="314">
        <v>13</v>
      </c>
      <c r="C78" s="282"/>
      <c r="D78" s="282"/>
      <c r="E78" s="278" t="str">
        <f>VLOOKUP(B78,'Filtered Data'!K:L,2,FALSE)</f>
        <v>Worcestershire</v>
      </c>
      <c r="F78" s="278"/>
      <c r="G78" s="278"/>
      <c r="H78" s="278"/>
      <c r="I78" s="278"/>
      <c r="J78" s="278"/>
      <c r="K78" s="278"/>
      <c r="L78" s="278"/>
      <c r="M78" s="278"/>
      <c r="N78" s="278"/>
      <c r="O78" s="278"/>
      <c r="P78" s="278"/>
      <c r="Q78" s="278"/>
      <c r="R78" s="278"/>
      <c r="S78" s="278"/>
      <c r="T78" s="278"/>
      <c r="U78" s="276">
        <f>IF('Filtered Data'!$H$8="%.",(VLOOKUP(B78,'Filtered Data'!K:M,3,FALSE))/100,VLOOKUP(B78,'Filtered Data'!K:M,3,FALSE))</f>
        <v>9.9000000000000005E-2</v>
      </c>
      <c r="V78" s="276"/>
      <c r="W78" s="276"/>
      <c r="X78" s="276"/>
      <c r="Y78" s="179" t="str">
        <f>IF((VLOOKUP(E78,classifications!C:K,9,FALSE))="Sparse","S","")</f>
        <v>S</v>
      </c>
      <c r="Z78" s="179"/>
      <c r="AA78" s="179"/>
      <c r="AB78" s="179"/>
      <c r="AC78" s="179"/>
      <c r="AD78" s="280"/>
      <c r="AE78" s="280"/>
      <c r="AF78" s="280"/>
      <c r="AG78" s="280"/>
      <c r="AH78" s="280"/>
      <c r="AI78" s="280"/>
      <c r="AJ78" s="280"/>
      <c r="AK78" s="280"/>
      <c r="AL78" s="280"/>
      <c r="AP78" s="85"/>
    </row>
    <row r="79" spans="2:42" ht="12" customHeight="1">
      <c r="B79" s="314">
        <v>14</v>
      </c>
      <c r="C79" s="282"/>
      <c r="D79" s="282"/>
      <c r="E79" s="278" t="str">
        <f>VLOOKUP(B79,'Filtered Data'!K:L,2,FALSE)</f>
        <v>Norfolk</v>
      </c>
      <c r="F79" s="278"/>
      <c r="G79" s="278"/>
      <c r="H79" s="278"/>
      <c r="I79" s="278"/>
      <c r="J79" s="278"/>
      <c r="K79" s="278"/>
      <c r="L79" s="278"/>
      <c r="M79" s="278"/>
      <c r="N79" s="278"/>
      <c r="O79" s="278"/>
      <c r="P79" s="278"/>
      <c r="Q79" s="278"/>
      <c r="R79" s="278"/>
      <c r="S79" s="278"/>
      <c r="T79" s="278"/>
      <c r="U79" s="276">
        <f>IF('Filtered Data'!$H$8="%.",(VLOOKUP(B79,'Filtered Data'!K:M,3,FALSE))/100,VLOOKUP(B79,'Filtered Data'!K:M,3,FALSE))</f>
        <v>0.10199999999999999</v>
      </c>
      <c r="V79" s="276"/>
      <c r="W79" s="276"/>
      <c r="X79" s="276"/>
      <c r="Y79" s="179" t="str">
        <f>IF((VLOOKUP(E79,classifications!C:K,9,FALSE))="Sparse","S","")</f>
        <v>S</v>
      </c>
      <c r="Z79" s="179"/>
      <c r="AA79" s="179"/>
      <c r="AB79" s="179"/>
      <c r="AC79" s="179"/>
      <c r="AD79" s="280"/>
      <c r="AE79" s="280"/>
      <c r="AF79" s="280"/>
      <c r="AG79" s="280"/>
      <c r="AH79" s="280"/>
      <c r="AI79" s="280"/>
      <c r="AJ79" s="280"/>
      <c r="AK79" s="280"/>
      <c r="AL79" s="280"/>
      <c r="AP79" s="85"/>
    </row>
    <row r="80" spans="2:42" ht="12" customHeight="1">
      <c r="B80" s="314">
        <v>15</v>
      </c>
      <c r="C80" s="282"/>
      <c r="D80" s="282"/>
      <c r="E80" s="278" t="str">
        <f>VLOOKUP(B80,'Filtered Data'!K:L,2,FALSE)</f>
        <v>Cumbria</v>
      </c>
      <c r="F80" s="278"/>
      <c r="G80" s="278"/>
      <c r="H80" s="278"/>
      <c r="I80" s="278"/>
      <c r="J80" s="278"/>
      <c r="K80" s="278"/>
      <c r="L80" s="278"/>
      <c r="M80" s="278"/>
      <c r="N80" s="278"/>
      <c r="O80" s="278"/>
      <c r="P80" s="278"/>
      <c r="Q80" s="278"/>
      <c r="R80" s="278"/>
      <c r="S80" s="278"/>
      <c r="T80" s="278"/>
      <c r="U80" s="276">
        <f>IF('Filtered Data'!$H$8="%.",(VLOOKUP(B80,'Filtered Data'!K:M,3,FALSE))/100,VLOOKUP(B80,'Filtered Data'!K:M,3,FALSE))</f>
        <v>0.111</v>
      </c>
      <c r="V80" s="276"/>
      <c r="W80" s="276"/>
      <c r="X80" s="276"/>
      <c r="Y80" s="179" t="str">
        <f>IF((VLOOKUP(E80,classifications!C:K,9,FALSE))="Sparse","S","")</f>
        <v>S</v>
      </c>
      <c r="Z80" s="179"/>
      <c r="AA80" s="179"/>
      <c r="AB80" s="179"/>
      <c r="AC80" s="179"/>
      <c r="AD80" s="280"/>
      <c r="AE80" s="280"/>
      <c r="AF80" s="280"/>
      <c r="AG80" s="280"/>
      <c r="AH80" s="280"/>
      <c r="AI80" s="280"/>
      <c r="AJ80" s="280"/>
      <c r="AK80" s="280"/>
      <c r="AL80" s="280"/>
      <c r="AP80" s="85"/>
    </row>
    <row r="81" spans="1:48" ht="12" customHeight="1">
      <c r="B81" s="314">
        <v>16</v>
      </c>
      <c r="C81" s="282"/>
      <c r="D81" s="282"/>
      <c r="E81" s="278" t="str">
        <f>VLOOKUP(B81,'Filtered Data'!K:L,2,FALSE)</f>
        <v>Warwickshire</v>
      </c>
      <c r="F81" s="278"/>
      <c r="G81" s="278"/>
      <c r="H81" s="278"/>
      <c r="I81" s="278"/>
      <c r="J81" s="278"/>
      <c r="K81" s="278"/>
      <c r="L81" s="278"/>
      <c r="M81" s="278"/>
      <c r="N81" s="278"/>
      <c r="O81" s="278"/>
      <c r="P81" s="278"/>
      <c r="Q81" s="278"/>
      <c r="R81" s="278"/>
      <c r="S81" s="278"/>
      <c r="T81" s="278"/>
      <c r="U81" s="276">
        <f>IF('Filtered Data'!$H$8="%.",(VLOOKUP(B81,'Filtered Data'!K:M,3,FALSE))/100,VLOOKUP(B81,'Filtered Data'!K:M,3,FALSE))</f>
        <v>0.123</v>
      </c>
      <c r="V81" s="276"/>
      <c r="W81" s="276"/>
      <c r="X81" s="276"/>
      <c r="Y81" s="179" t="str">
        <f>IF((VLOOKUP(E81,classifications!C:K,9,FALSE))="Sparse","S","")</f>
        <v>S</v>
      </c>
      <c r="Z81" s="179"/>
      <c r="AA81" s="179"/>
      <c r="AB81" s="179"/>
      <c r="AC81" s="179"/>
      <c r="AD81" s="280"/>
      <c r="AE81" s="280"/>
      <c r="AF81" s="280"/>
      <c r="AG81" s="280"/>
      <c r="AH81" s="280"/>
      <c r="AI81" s="280"/>
      <c r="AJ81" s="280"/>
      <c r="AK81" s="280"/>
      <c r="AL81" s="280"/>
      <c r="AP81" s="85"/>
    </row>
    <row r="82" spans="1:48" ht="12" customHeight="1">
      <c r="B82" s="314">
        <v>17</v>
      </c>
      <c r="C82" s="282"/>
      <c r="D82" s="282"/>
      <c r="E82" s="278" t="str">
        <f>VLOOKUP(B82,'Filtered Data'!K:L,2,FALSE)</f>
        <v>Northamptonshire</v>
      </c>
      <c r="F82" s="278"/>
      <c r="G82" s="278"/>
      <c r="H82" s="278"/>
      <c r="I82" s="278"/>
      <c r="J82" s="278"/>
      <c r="K82" s="278"/>
      <c r="L82" s="278"/>
      <c r="M82" s="278"/>
      <c r="N82" s="278"/>
      <c r="O82" s="278"/>
      <c r="P82" s="278"/>
      <c r="Q82" s="278"/>
      <c r="R82" s="278"/>
      <c r="S82" s="278"/>
      <c r="T82" s="278"/>
      <c r="U82" s="276">
        <f>IF('Filtered Data'!$H$8="%.",(VLOOKUP(B82,'Filtered Data'!K:M,3,FALSE))/100,VLOOKUP(B82,'Filtered Data'!K:M,3,FALSE))</f>
        <v>0.153</v>
      </c>
      <c r="V82" s="276"/>
      <c r="W82" s="276"/>
      <c r="X82" s="276"/>
      <c r="Y82" s="179" t="str">
        <f>IF((VLOOKUP(E82,classifications!C:K,9,FALSE))="Sparse","S","")</f>
        <v/>
      </c>
      <c r="Z82" s="179"/>
      <c r="AA82" s="179"/>
      <c r="AB82" s="179"/>
      <c r="AC82" s="179"/>
      <c r="AD82" s="280"/>
      <c r="AE82" s="280"/>
      <c r="AF82" s="280"/>
      <c r="AG82" s="280"/>
      <c r="AH82" s="280"/>
      <c r="AI82" s="280"/>
      <c r="AJ82" s="280"/>
      <c r="AK82" s="280"/>
      <c r="AL82" s="280"/>
      <c r="AP82" s="85"/>
    </row>
    <row r="83" spans="1:48" ht="12" customHeight="1">
      <c r="B83" s="314">
        <v>18</v>
      </c>
      <c r="C83" s="282"/>
      <c r="D83" s="282"/>
      <c r="E83" s="278" t="str">
        <f>VLOOKUP(B83,'Filtered Data'!K:L,2,FALSE)</f>
        <v>Hertfordshire</v>
      </c>
      <c r="F83" s="278"/>
      <c r="G83" s="278"/>
      <c r="H83" s="278"/>
      <c r="I83" s="278"/>
      <c r="J83" s="278"/>
      <c r="K83" s="278"/>
      <c r="L83" s="278"/>
      <c r="M83" s="278"/>
      <c r="N83" s="278"/>
      <c r="O83" s="278"/>
      <c r="P83" s="278"/>
      <c r="Q83" s="278"/>
      <c r="R83" s="278"/>
      <c r="S83" s="278"/>
      <c r="T83" s="278"/>
      <c r="U83" s="276">
        <f>IF('Filtered Data'!$H$8="%.",(VLOOKUP(B83,'Filtered Data'!K:M,3,FALSE))/100,VLOOKUP(B83,'Filtered Data'!K:M,3,FALSE))</f>
        <v>0.157</v>
      </c>
      <c r="V83" s="276"/>
      <c r="W83" s="276"/>
      <c r="X83" s="276"/>
      <c r="Y83" s="179" t="str">
        <f>IF((VLOOKUP(E83,classifications!C:K,9,FALSE))="Sparse","S","")</f>
        <v/>
      </c>
      <c r="Z83" s="179"/>
      <c r="AA83" s="179"/>
      <c r="AB83" s="179"/>
      <c r="AC83" s="179"/>
      <c r="AD83" s="280"/>
      <c r="AE83" s="280"/>
      <c r="AF83" s="280"/>
      <c r="AG83" s="280"/>
      <c r="AH83" s="280"/>
      <c r="AI83" s="280"/>
      <c r="AJ83" s="280"/>
      <c r="AK83" s="280"/>
      <c r="AL83" s="280"/>
      <c r="AP83" s="85"/>
    </row>
    <row r="84" spans="1:48" ht="12" customHeight="1">
      <c r="B84" s="314">
        <v>19</v>
      </c>
      <c r="C84" s="282"/>
      <c r="D84" s="282"/>
      <c r="E84" s="278" t="str">
        <f>VLOOKUP(B84,'Filtered Data'!K:L,2,FALSE)</f>
        <v>Gloucestershire</v>
      </c>
      <c r="F84" s="278"/>
      <c r="G84" s="278"/>
      <c r="H84" s="278"/>
      <c r="I84" s="278"/>
      <c r="J84" s="278"/>
      <c r="K84" s="278"/>
      <c r="L84" s="278"/>
      <c r="M84" s="278"/>
      <c r="N84" s="278"/>
      <c r="O84" s="278"/>
      <c r="P84" s="278"/>
      <c r="Q84" s="278"/>
      <c r="R84" s="278"/>
      <c r="S84" s="278"/>
      <c r="T84" s="278"/>
      <c r="U84" s="276">
        <f>IF('Filtered Data'!$H$8="%.",(VLOOKUP(B84,'Filtered Data'!K:M,3,FALSE))/100,VLOOKUP(B84,'Filtered Data'!K:M,3,FALSE))</f>
        <v>0.17799999999999999</v>
      </c>
      <c r="V84" s="276"/>
      <c r="W84" s="276"/>
      <c r="X84" s="276"/>
      <c r="Y84" s="179" t="str">
        <f>IF((VLOOKUP(E84,classifications!C:K,9,FALSE))="Sparse","S","")</f>
        <v/>
      </c>
      <c r="Z84" s="179"/>
      <c r="AA84" s="179"/>
      <c r="AB84" s="179"/>
      <c r="AC84" s="179"/>
      <c r="AD84" s="280"/>
      <c r="AE84" s="280"/>
      <c r="AF84" s="280"/>
      <c r="AG84" s="280"/>
      <c r="AH84" s="280"/>
      <c r="AI84" s="280"/>
      <c r="AJ84" s="280"/>
      <c r="AK84" s="280"/>
      <c r="AL84" s="280"/>
      <c r="AP84" s="85"/>
    </row>
    <row r="85" spans="1:48" ht="12" customHeight="1">
      <c r="B85" s="314">
        <v>20</v>
      </c>
      <c r="C85" s="314"/>
      <c r="D85" s="314"/>
      <c r="E85" s="278" t="str">
        <f>VLOOKUP(B85,'Filtered Data'!K:L,2,FALSE)</f>
        <v>West Sussex</v>
      </c>
      <c r="F85" s="278"/>
      <c r="G85" s="278"/>
      <c r="H85" s="278"/>
      <c r="I85" s="278"/>
      <c r="J85" s="278"/>
      <c r="K85" s="278"/>
      <c r="L85" s="278"/>
      <c r="M85" s="278"/>
      <c r="N85" s="278"/>
      <c r="O85" s="278"/>
      <c r="P85" s="278"/>
      <c r="Q85" s="278"/>
      <c r="R85" s="278"/>
      <c r="S85" s="278"/>
      <c r="T85" s="278"/>
      <c r="U85" s="276">
        <f>IF('Filtered Data'!$H$8="%.",(VLOOKUP(B85,'Filtered Data'!K:M,3,FALSE))/100,VLOOKUP(B85,'Filtered Data'!K:M,3,FALSE))</f>
        <v>0.17899999999999999</v>
      </c>
      <c r="V85" s="276"/>
      <c r="W85" s="276"/>
      <c r="X85" s="276"/>
      <c r="Y85" s="179" t="str">
        <f>IF((VLOOKUP(E85,classifications!C:K,9,FALSE))="Sparse","S","")</f>
        <v/>
      </c>
      <c r="Z85" s="179"/>
      <c r="AA85" s="179"/>
      <c r="AB85" s="179"/>
      <c r="AC85" s="179"/>
      <c r="AD85" s="280"/>
      <c r="AE85" s="280"/>
      <c r="AF85" s="280"/>
      <c r="AG85" s="280"/>
      <c r="AH85" s="280"/>
      <c r="AI85" s="280"/>
      <c r="AJ85" s="280"/>
      <c r="AK85" s="280"/>
      <c r="AL85" s="280"/>
      <c r="AP85" s="85"/>
    </row>
    <row r="86" spans="1:48" ht="12" customHeight="1">
      <c r="A86" s="80"/>
      <c r="B86" s="353" t="str">
        <f>IF(Q37&lt;=MAX(B66:D85),"",Q37)</f>
        <v/>
      </c>
      <c r="C86" s="353"/>
      <c r="D86" s="353"/>
      <c r="E86" s="317" t="str">
        <f>IF(B86="","",VLOOKUP(B86,'Filtered Data'!K:L,2,FALSE))</f>
        <v/>
      </c>
      <c r="F86" s="317"/>
      <c r="G86" s="317"/>
      <c r="H86" s="317"/>
      <c r="I86" s="317"/>
      <c r="J86" s="317"/>
      <c r="K86" s="317"/>
      <c r="L86" s="317"/>
      <c r="M86" s="317"/>
      <c r="N86" s="317"/>
      <c r="O86" s="317"/>
      <c r="P86" s="317"/>
      <c r="Q86" s="317"/>
      <c r="R86" s="317"/>
      <c r="S86" s="317"/>
      <c r="T86" s="317"/>
      <c r="U86" s="284" t="str">
        <f>IF(B86="","",L35)</f>
        <v/>
      </c>
      <c r="V86" s="284"/>
      <c r="W86" s="284"/>
      <c r="X86" s="284"/>
      <c r="Y86" s="179" t="str">
        <f>IF(B86="","",IF((VLOOKUP(E86,classifications!C:K,9,FALSE))="Sparse","S",""))</f>
        <v/>
      </c>
      <c r="Z86" s="179"/>
      <c r="AA86" s="179"/>
      <c r="AB86" s="179"/>
      <c r="AC86" s="179"/>
      <c r="AD86" s="281"/>
      <c r="AE86" s="281"/>
      <c r="AF86" s="281"/>
      <c r="AG86" s="281"/>
      <c r="AH86" s="281"/>
      <c r="AI86" s="281"/>
      <c r="AJ86" s="281"/>
      <c r="AK86" s="281"/>
      <c r="AL86" s="28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Data'!D1="Sd","",IF('Filtered Data'!D1="sc","Regional Authorites:","County Authorities:")))</f>
        <v>Regional Authorites:</v>
      </c>
      <c r="K89" s="1" t="str">
        <f>IF('Filtered Data'!D1="SC",J9,J10)</f>
        <v>North West</v>
      </c>
      <c r="U89" s="1"/>
      <c r="AD89" s="1"/>
      <c r="AP89" s="85"/>
    </row>
    <row r="90" spans="1:48" ht="12" customHeight="1">
      <c r="B90" s="1"/>
      <c r="AV90" s="85"/>
    </row>
    <row r="91" spans="1:48" ht="12" customHeight="1">
      <c r="B91" s="283" t="str">
        <f>IF('Filtered Data'!D1="MD","","Rank")</f>
        <v>Rank</v>
      </c>
      <c r="C91" s="283"/>
      <c r="D91" s="283"/>
      <c r="E91" s="279" t="str">
        <f>IF('Filtered Data'!D1="MD","","Authority")</f>
        <v>Authority</v>
      </c>
      <c r="F91" s="279"/>
      <c r="G91" s="279"/>
      <c r="H91" s="279"/>
      <c r="I91" s="279"/>
      <c r="J91" s="279"/>
      <c r="K91" s="279"/>
      <c r="L91" s="279"/>
      <c r="M91" s="279"/>
      <c r="N91" s="279"/>
      <c r="O91" s="268"/>
      <c r="P91" s="268"/>
      <c r="Q91" s="268"/>
      <c r="R91" s="268"/>
      <c r="S91" s="268"/>
      <c r="T91" s="268"/>
      <c r="U91" s="283" t="str">
        <f>IF('Filtered Data'!D1="MD","","Value")</f>
        <v>Value</v>
      </c>
      <c r="V91" s="283"/>
      <c r="W91" s="283"/>
      <c r="AA91" s="283"/>
      <c r="AB91" s="283"/>
      <c r="AC91" s="283"/>
      <c r="AD91" s="279"/>
      <c r="AE91" s="279"/>
      <c r="AF91" s="279"/>
      <c r="AG91" s="279"/>
      <c r="AH91" s="279"/>
      <c r="AI91" s="279"/>
      <c r="AJ91" s="279"/>
      <c r="AK91" s="279"/>
      <c r="AL91" s="279"/>
      <c r="AM91" s="279"/>
      <c r="AN91" s="283"/>
      <c r="AO91" s="283"/>
      <c r="AP91" s="283"/>
      <c r="AV91" s="85"/>
    </row>
    <row r="92" spans="1:48" ht="12" customHeight="1">
      <c r="B92" s="315">
        <f>IF('Filtered Data'!$D$1="MD","",IF('Filtered Data'!$D$1="SC",'Filtered Data'!AS11,'Filtered Data'!AL11))</f>
        <v>1</v>
      </c>
      <c r="C92" s="316"/>
      <c r="D92" s="316"/>
      <c r="E92" s="317" t="str">
        <f>IF(B92="","",IF('Filtered Data'!$D$1="SC",VLOOKUP(B92,'Filtered Data'!AS:AU,2,FALSE),VLOOKUP(B92,'Filtered Data'!AL:AN,2,FALSE)))</f>
        <v>Cumbria</v>
      </c>
      <c r="F92" s="317"/>
      <c r="G92" s="317"/>
      <c r="H92" s="317"/>
      <c r="I92" s="317"/>
      <c r="J92" s="317"/>
      <c r="K92" s="317"/>
      <c r="L92" s="317"/>
      <c r="M92" s="317"/>
      <c r="N92" s="317"/>
      <c r="O92" s="317"/>
      <c r="P92" s="317"/>
      <c r="Q92" s="317"/>
      <c r="R92" s="317"/>
      <c r="S92" s="317"/>
      <c r="T92" s="317"/>
      <c r="U92" s="276">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0.111</v>
      </c>
      <c r="V92" s="276"/>
      <c r="W92" s="276"/>
      <c r="X92" s="276"/>
      <c r="Y92" s="180" t="str">
        <f>IF(E92="","",IF((VLOOKUP(E92,classifications!C:K,9,FALSE))="Sparse","S",""))</f>
        <v>S</v>
      </c>
      <c r="AA92" s="277"/>
      <c r="AB92" s="282"/>
      <c r="AC92" s="282"/>
      <c r="AD92" s="278"/>
      <c r="AE92" s="278"/>
      <c r="AF92" s="278"/>
      <c r="AG92" s="278"/>
      <c r="AH92" s="278"/>
      <c r="AI92" s="278"/>
      <c r="AJ92" s="278"/>
      <c r="AK92" s="278"/>
      <c r="AL92" s="278"/>
      <c r="AM92" s="278"/>
      <c r="AN92" s="275"/>
      <c r="AO92" s="275"/>
      <c r="AP92" s="275"/>
      <c r="AQ92" s="275"/>
      <c r="AR92" s="180"/>
      <c r="AV92" s="85"/>
    </row>
    <row r="93" spans="1:48" ht="12" customHeight="1">
      <c r="B93" s="315">
        <f>IF('Filtered Data'!$D$1="MD","",IF('Filtered Data'!$D$1="SC",'Filtered Data'!AS12,'Filtered Data'!AL12))</f>
        <v>2</v>
      </c>
      <c r="C93" s="316"/>
      <c r="D93" s="316"/>
      <c r="E93" s="317" t="str">
        <f>IF(B93="","",IF('Filtered Data'!$D$1="SC",VLOOKUP(B93,'Filtered Data'!AS:AU,2,FALSE),VLOOKUP(B93,'Filtered Data'!AL:AN,2,FALSE)))</f>
        <v>Lancashire</v>
      </c>
      <c r="F93" s="317"/>
      <c r="G93" s="317"/>
      <c r="H93" s="317"/>
      <c r="I93" s="317"/>
      <c r="J93" s="317"/>
      <c r="K93" s="317"/>
      <c r="L93" s="317"/>
      <c r="M93" s="317"/>
      <c r="N93" s="317"/>
      <c r="O93" s="317"/>
      <c r="P93" s="317"/>
      <c r="Q93" s="317"/>
      <c r="R93" s="317"/>
      <c r="S93" s="317"/>
      <c r="T93" s="317"/>
      <c r="U93" s="276">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0.35199999999999998</v>
      </c>
      <c r="V93" s="276"/>
      <c r="W93" s="276"/>
      <c r="X93" s="276"/>
      <c r="Y93" s="180" t="str">
        <f>IF(E93="","",IF((VLOOKUP(E93,classifications!C:K,9,FALSE))="Sparse","S",""))</f>
        <v>S</v>
      </c>
      <c r="AA93" s="277"/>
      <c r="AB93" s="277"/>
      <c r="AC93" s="277"/>
      <c r="AD93" s="278"/>
      <c r="AE93" s="278"/>
      <c r="AF93" s="278"/>
      <c r="AG93" s="278"/>
      <c r="AH93" s="278"/>
      <c r="AI93" s="278"/>
      <c r="AJ93" s="278"/>
      <c r="AK93" s="278"/>
      <c r="AL93" s="278"/>
      <c r="AM93" s="278"/>
      <c r="AN93" s="275"/>
      <c r="AO93" s="275"/>
      <c r="AP93" s="275"/>
      <c r="AQ93" s="275"/>
      <c r="AR93" s="180"/>
      <c r="AV93" s="85"/>
    </row>
    <row r="94" spans="1:48" ht="12" customHeight="1">
      <c r="B94" s="315" t="str">
        <f>IF('Filtered Data'!$D$1="MD","",IF('Filtered Data'!$D$1="SC",'Filtered Data'!AS13,'Filtered Data'!AL13))</f>
        <v/>
      </c>
      <c r="C94" s="316"/>
      <c r="D94" s="316"/>
      <c r="E94" s="317" t="str">
        <f>IF(B94="","",IF('Filtered Data'!$D$1="SC",VLOOKUP(B94,'Filtered Data'!AS:AU,2,FALSE),VLOOKUP(B94,'Filtered Data'!AL:AN,2,FALSE)))</f>
        <v/>
      </c>
      <c r="F94" s="317"/>
      <c r="G94" s="317"/>
      <c r="H94" s="317"/>
      <c r="I94" s="317"/>
      <c r="J94" s="317"/>
      <c r="K94" s="317"/>
      <c r="L94" s="317"/>
      <c r="M94" s="317"/>
      <c r="N94" s="317"/>
      <c r="O94" s="317"/>
      <c r="P94" s="317"/>
      <c r="Q94" s="317"/>
      <c r="R94" s="317"/>
      <c r="S94" s="317"/>
      <c r="T94" s="317"/>
      <c r="U94" s="276" t="str">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
      </c>
      <c r="V94" s="276"/>
      <c r="W94" s="276"/>
      <c r="X94" s="276"/>
      <c r="Y94" s="180" t="str">
        <f>IF(E94="","",IF((VLOOKUP(E94,classifications!C:K,9,FALSE))="Sparse","S",""))</f>
        <v/>
      </c>
      <c r="AA94" s="277"/>
      <c r="AB94" s="277"/>
      <c r="AC94" s="277"/>
      <c r="AD94" s="278"/>
      <c r="AE94" s="278"/>
      <c r="AF94" s="278"/>
      <c r="AG94" s="278"/>
      <c r="AH94" s="278"/>
      <c r="AI94" s="278"/>
      <c r="AJ94" s="278"/>
      <c r="AK94" s="278"/>
      <c r="AL94" s="278"/>
      <c r="AM94" s="278"/>
      <c r="AN94" s="275"/>
      <c r="AO94" s="275"/>
      <c r="AP94" s="275"/>
      <c r="AQ94" s="275"/>
      <c r="AR94" s="180"/>
      <c r="AV94" s="85"/>
    </row>
    <row r="95" spans="1:48" ht="12" customHeight="1">
      <c r="B95" s="315" t="str">
        <f>IF('Filtered Data'!$D$1="MD","",IF('Filtered Data'!$D$1="SC",'Filtered Data'!AS14,'Filtered Data'!AL14))</f>
        <v/>
      </c>
      <c r="C95" s="316"/>
      <c r="D95" s="316"/>
      <c r="E95" s="317" t="str">
        <f>IF(B95="","",IF('Filtered Data'!$D$1="SC",VLOOKUP(B95,'Filtered Data'!AS:AU,2,FALSE),VLOOKUP(B95,'Filtered Data'!AL:AN,2,FALSE)))</f>
        <v/>
      </c>
      <c r="F95" s="317"/>
      <c r="G95" s="317"/>
      <c r="H95" s="317"/>
      <c r="I95" s="317"/>
      <c r="J95" s="317"/>
      <c r="K95" s="317"/>
      <c r="L95" s="317"/>
      <c r="M95" s="317"/>
      <c r="N95" s="317"/>
      <c r="O95" s="317"/>
      <c r="P95" s="317"/>
      <c r="Q95" s="317"/>
      <c r="R95" s="317"/>
      <c r="S95" s="317"/>
      <c r="T95" s="317"/>
      <c r="U95" s="276" t="str">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
      </c>
      <c r="V95" s="276"/>
      <c r="W95" s="276"/>
      <c r="X95" s="276"/>
      <c r="Y95" s="180" t="str">
        <f>IF(E95="","",IF((VLOOKUP(E95,classifications!C:K,9,FALSE))="Sparse","S",""))</f>
        <v/>
      </c>
      <c r="AA95" s="277"/>
      <c r="AB95" s="277"/>
      <c r="AC95" s="277"/>
      <c r="AD95" s="278"/>
      <c r="AE95" s="278"/>
      <c r="AF95" s="278"/>
      <c r="AG95" s="278"/>
      <c r="AH95" s="278"/>
      <c r="AI95" s="278"/>
      <c r="AJ95" s="278"/>
      <c r="AK95" s="278"/>
      <c r="AL95" s="278"/>
      <c r="AM95" s="278"/>
      <c r="AN95" s="275"/>
      <c r="AO95" s="275"/>
      <c r="AP95" s="275"/>
      <c r="AQ95" s="275"/>
      <c r="AR95" s="180"/>
      <c r="AV95" s="85"/>
    </row>
    <row r="96" spans="1:48" ht="12" customHeight="1">
      <c r="B96" s="315" t="str">
        <f>IF('Filtered Data'!$D$1="MD","",IF('Filtered Data'!$D$1="SC",'Filtered Data'!AS15,'Filtered Data'!AL15))</f>
        <v/>
      </c>
      <c r="C96" s="316"/>
      <c r="D96" s="316"/>
      <c r="E96" s="317" t="str">
        <f>IF(B96="","",IF('Filtered Data'!$D$1="SC",VLOOKUP(B96,'Filtered Data'!AS:AU,2,FALSE),VLOOKUP(B96,'Filtered Data'!AL:AN,2,FALSE)))</f>
        <v/>
      </c>
      <c r="F96" s="317"/>
      <c r="G96" s="317"/>
      <c r="H96" s="317"/>
      <c r="I96" s="317"/>
      <c r="J96" s="317"/>
      <c r="K96" s="317"/>
      <c r="L96" s="317"/>
      <c r="M96" s="317"/>
      <c r="N96" s="317"/>
      <c r="O96" s="317"/>
      <c r="P96" s="317"/>
      <c r="Q96" s="317"/>
      <c r="R96" s="317"/>
      <c r="S96" s="317"/>
      <c r="T96" s="317"/>
      <c r="U96" s="276" t="str">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
      </c>
      <c r="V96" s="276"/>
      <c r="W96" s="276"/>
      <c r="X96" s="276"/>
      <c r="Y96" s="180" t="str">
        <f>IF(E96="","",IF((VLOOKUP(E96,classifications!C:K,9,FALSE))="Sparse","S",""))</f>
        <v/>
      </c>
      <c r="AA96" s="277"/>
      <c r="AB96" s="277"/>
      <c r="AC96" s="277"/>
      <c r="AD96" s="278"/>
      <c r="AE96" s="278"/>
      <c r="AF96" s="278"/>
      <c r="AG96" s="278"/>
      <c r="AH96" s="278"/>
      <c r="AI96" s="278"/>
      <c r="AJ96" s="278"/>
      <c r="AK96" s="278"/>
      <c r="AL96" s="278"/>
      <c r="AM96" s="278"/>
      <c r="AN96" s="275"/>
      <c r="AO96" s="275"/>
      <c r="AP96" s="275"/>
      <c r="AQ96" s="275"/>
      <c r="AR96" s="180"/>
      <c r="AV96" s="85"/>
    </row>
    <row r="97" spans="2:48" ht="12" customHeight="1">
      <c r="B97" s="315" t="str">
        <f>IF('Filtered Data'!$D$1="MD","",IF('Filtered Data'!$D$1="SC",'Filtered Data'!AS16,'Filtered Data'!AL16))</f>
        <v/>
      </c>
      <c r="C97" s="316"/>
      <c r="D97" s="316"/>
      <c r="E97" s="317" t="str">
        <f>IF(B97="","",IF('Filtered Data'!$D$1="SC",VLOOKUP(B97,'Filtered Data'!AS:AU,2,FALSE),VLOOKUP(B97,'Filtered Data'!AL:AN,2,FALSE)))</f>
        <v/>
      </c>
      <c r="F97" s="317"/>
      <c r="G97" s="317"/>
      <c r="H97" s="317"/>
      <c r="I97" s="317"/>
      <c r="J97" s="317"/>
      <c r="K97" s="317"/>
      <c r="L97" s="317"/>
      <c r="M97" s="317"/>
      <c r="N97" s="317"/>
      <c r="O97" s="317"/>
      <c r="P97" s="317"/>
      <c r="Q97" s="317"/>
      <c r="R97" s="317"/>
      <c r="S97" s="317"/>
      <c r="T97" s="317"/>
      <c r="U97" s="276" t="str">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
      </c>
      <c r="V97" s="276"/>
      <c r="W97" s="276"/>
      <c r="X97" s="276"/>
      <c r="Y97" s="180" t="str">
        <f>IF(E97="","",IF((VLOOKUP(E97,classifications!C:K,9,FALSE))="Sparse","S",""))</f>
        <v/>
      </c>
      <c r="AA97" s="277"/>
      <c r="AB97" s="277"/>
      <c r="AC97" s="277"/>
      <c r="AD97" s="278"/>
      <c r="AE97" s="278"/>
      <c r="AF97" s="278"/>
      <c r="AG97" s="278"/>
      <c r="AH97" s="278"/>
      <c r="AI97" s="278"/>
      <c r="AJ97" s="278"/>
      <c r="AK97" s="278"/>
      <c r="AL97" s="278"/>
      <c r="AM97" s="278"/>
      <c r="AN97" s="275"/>
      <c r="AO97" s="275"/>
      <c r="AP97" s="275"/>
      <c r="AQ97" s="275"/>
      <c r="AR97" s="180"/>
      <c r="AV97" s="85"/>
    </row>
    <row r="98" spans="2:48" ht="12" customHeight="1">
      <c r="B98" s="315" t="str">
        <f>IF('Filtered Data'!$D$1="MD","",IF('Filtered Data'!$D$1="SC",'Filtered Data'!AS17,'Filtered Data'!AL17))</f>
        <v/>
      </c>
      <c r="C98" s="316"/>
      <c r="D98" s="316"/>
      <c r="E98" s="317" t="str">
        <f>IF(B98="","",IF('Filtered Data'!$D$1="SC",VLOOKUP(B98,'Filtered Data'!AS:AU,2,FALSE),VLOOKUP(B98,'Filtered Data'!AL:AN,2,FALSE)))</f>
        <v/>
      </c>
      <c r="F98" s="317"/>
      <c r="G98" s="317"/>
      <c r="H98" s="317"/>
      <c r="I98" s="317"/>
      <c r="J98" s="317"/>
      <c r="K98" s="317"/>
      <c r="L98" s="317"/>
      <c r="M98" s="317"/>
      <c r="N98" s="317"/>
      <c r="O98" s="317"/>
      <c r="P98" s="317"/>
      <c r="Q98" s="317"/>
      <c r="R98" s="317"/>
      <c r="S98" s="317"/>
      <c r="T98" s="317"/>
      <c r="U98" s="276"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76"/>
      <c r="W98" s="276"/>
      <c r="X98" s="276"/>
      <c r="Y98" s="180" t="str">
        <f>IF(E98="","",IF((VLOOKUP(E98,classifications!C:K,9,FALSE))="Sparse","S",""))</f>
        <v/>
      </c>
      <c r="AA98" s="277"/>
      <c r="AB98" s="277"/>
      <c r="AC98" s="277"/>
      <c r="AD98" s="278"/>
      <c r="AE98" s="278"/>
      <c r="AF98" s="278"/>
      <c r="AG98" s="278"/>
      <c r="AH98" s="278"/>
      <c r="AI98" s="278"/>
      <c r="AJ98" s="278"/>
      <c r="AK98" s="278"/>
      <c r="AL98" s="278"/>
      <c r="AM98" s="278"/>
      <c r="AN98" s="275"/>
      <c r="AO98" s="275"/>
      <c r="AP98" s="275"/>
      <c r="AQ98" s="275"/>
      <c r="AR98" s="180"/>
      <c r="AV98" s="85"/>
    </row>
    <row r="99" spans="2:48" ht="12" customHeight="1">
      <c r="B99" s="315" t="str">
        <f>IF('Filtered Data'!$D$1="MD","",IF('Filtered Data'!$D$1="SC",'Filtered Data'!AS18,'Filtered Data'!AL18))</f>
        <v/>
      </c>
      <c r="C99" s="316"/>
      <c r="D99" s="316"/>
      <c r="E99" s="317" t="str">
        <f>IF(B99="","",IF('Filtered Data'!$D$1="SC",VLOOKUP(B99,'Filtered Data'!AS:AU,2,FALSE),VLOOKUP(B99,'Filtered Data'!AL:AN,2,FALSE)))</f>
        <v/>
      </c>
      <c r="F99" s="317"/>
      <c r="G99" s="317"/>
      <c r="H99" s="317"/>
      <c r="I99" s="317"/>
      <c r="J99" s="317"/>
      <c r="K99" s="317"/>
      <c r="L99" s="317"/>
      <c r="M99" s="317"/>
      <c r="N99" s="317"/>
      <c r="O99" s="317"/>
      <c r="P99" s="317"/>
      <c r="Q99" s="317"/>
      <c r="R99" s="317"/>
      <c r="S99" s="317"/>
      <c r="T99" s="317"/>
      <c r="U99" s="276"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76"/>
      <c r="W99" s="276"/>
      <c r="X99" s="276"/>
      <c r="Y99" s="180" t="str">
        <f>IF(E99="","",IF((VLOOKUP(E99,classifications!C:K,9,FALSE))="Sparse","S",""))</f>
        <v/>
      </c>
      <c r="AA99" s="277"/>
      <c r="AB99" s="277"/>
      <c r="AC99" s="277"/>
      <c r="AD99" s="278"/>
      <c r="AE99" s="278"/>
      <c r="AF99" s="278"/>
      <c r="AG99" s="278"/>
      <c r="AH99" s="278"/>
      <c r="AI99" s="278"/>
      <c r="AJ99" s="278"/>
      <c r="AK99" s="278"/>
      <c r="AL99" s="278"/>
      <c r="AM99" s="278"/>
      <c r="AN99" s="275"/>
      <c r="AO99" s="275"/>
      <c r="AP99" s="275"/>
      <c r="AQ99" s="275"/>
      <c r="AR99" s="180"/>
      <c r="AV99" s="85"/>
    </row>
    <row r="100" spans="2:48" ht="12" customHeight="1">
      <c r="B100" s="315" t="str">
        <f>IF('Filtered Data'!$D$1="MD","",IF('Filtered Data'!$D$1="SC",'Filtered Data'!AS19,'Filtered Data'!AL19))</f>
        <v/>
      </c>
      <c r="C100" s="316"/>
      <c r="D100" s="316"/>
      <c r="E100" s="317" t="str">
        <f>IF(B100="","",IF('Filtered Data'!$D$1="SC",VLOOKUP(B100,'Filtered Data'!AS:AU,2,FALSE),VLOOKUP(B100,'Filtered Data'!AL:AN,2,FALSE)))</f>
        <v/>
      </c>
      <c r="F100" s="317"/>
      <c r="G100" s="317"/>
      <c r="H100" s="317"/>
      <c r="I100" s="317"/>
      <c r="J100" s="317"/>
      <c r="K100" s="317"/>
      <c r="L100" s="317"/>
      <c r="M100" s="317"/>
      <c r="N100" s="317"/>
      <c r="O100" s="317"/>
      <c r="P100" s="317"/>
      <c r="Q100" s="317"/>
      <c r="R100" s="317"/>
      <c r="S100" s="317"/>
      <c r="T100" s="317"/>
      <c r="U100" s="276"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76"/>
      <c r="W100" s="276"/>
      <c r="X100" s="276"/>
      <c r="Y100" s="180" t="str">
        <f>IF(E100="","",IF((VLOOKUP(E100,classifications!C:K,9,FALSE))="Sparse","S",""))</f>
        <v/>
      </c>
      <c r="AA100" s="277"/>
      <c r="AB100" s="277"/>
      <c r="AC100" s="277"/>
      <c r="AD100" s="278"/>
      <c r="AE100" s="278"/>
      <c r="AF100" s="278"/>
      <c r="AG100" s="278"/>
      <c r="AH100" s="278"/>
      <c r="AI100" s="278"/>
      <c r="AJ100" s="278"/>
      <c r="AK100" s="278"/>
      <c r="AL100" s="278"/>
      <c r="AM100" s="278"/>
      <c r="AN100" s="275"/>
      <c r="AO100" s="275"/>
      <c r="AP100" s="275"/>
      <c r="AQ100" s="275"/>
      <c r="AR100" s="180"/>
      <c r="AV100" s="85"/>
    </row>
    <row r="101" spans="2:48" ht="12" customHeight="1">
      <c r="B101" s="315" t="str">
        <f>IF('Filtered Data'!$D$1="MD","",IF('Filtered Data'!$D$1="SC",'Filtered Data'!AS20,'Filtered Data'!AL20))</f>
        <v/>
      </c>
      <c r="C101" s="316"/>
      <c r="D101" s="316"/>
      <c r="E101" s="317" t="str">
        <f>IF(B101="","",IF('Filtered Data'!$D$1="SC",VLOOKUP(B101,'Filtered Data'!AS:AU,2,FALSE),VLOOKUP(B101,'Filtered Data'!AL:AN,2,FALSE)))</f>
        <v/>
      </c>
      <c r="F101" s="317"/>
      <c r="G101" s="317"/>
      <c r="H101" s="317"/>
      <c r="I101" s="317"/>
      <c r="J101" s="317"/>
      <c r="K101" s="317"/>
      <c r="L101" s="317"/>
      <c r="M101" s="317"/>
      <c r="N101" s="317"/>
      <c r="O101" s="317"/>
      <c r="P101" s="317"/>
      <c r="Q101" s="317"/>
      <c r="R101" s="317"/>
      <c r="S101" s="317"/>
      <c r="T101" s="317"/>
      <c r="U101" s="276"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76"/>
      <c r="W101" s="276"/>
      <c r="X101" s="276"/>
      <c r="Y101" s="180" t="str">
        <f>IF(E101="","",IF((VLOOKUP(E101,classifications!C:K,9,FALSE))="Sparse","S",""))</f>
        <v/>
      </c>
      <c r="AA101" s="277"/>
      <c r="AB101" s="277"/>
      <c r="AC101" s="277"/>
      <c r="AD101" s="278"/>
      <c r="AE101" s="278"/>
      <c r="AF101" s="278"/>
      <c r="AG101" s="278"/>
      <c r="AH101" s="278"/>
      <c r="AI101" s="278"/>
      <c r="AJ101" s="278"/>
      <c r="AK101" s="278"/>
      <c r="AL101" s="278"/>
      <c r="AM101" s="278"/>
      <c r="AN101" s="275"/>
      <c r="AO101" s="275"/>
      <c r="AP101" s="275"/>
      <c r="AQ101" s="275"/>
      <c r="AR101" s="180"/>
      <c r="AV101" s="85"/>
    </row>
    <row r="102" spans="2:48" ht="12" customHeight="1">
      <c r="B102" s="315" t="str">
        <f>IF('Filtered Data'!$D$1="MD","",IF('Filtered Data'!$D$1="SC",'Filtered Data'!AS21,'Filtered Data'!AL21))</f>
        <v/>
      </c>
      <c r="C102" s="316"/>
      <c r="D102" s="316"/>
      <c r="E102" s="317" t="str">
        <f>IF(B102="","",IF('Filtered Data'!$D$1="SC",VLOOKUP(B102,'Filtered Data'!AS:AU,2,FALSE),VLOOKUP(B102,'Filtered Data'!AL:AN,2,FALSE)))</f>
        <v/>
      </c>
      <c r="F102" s="317"/>
      <c r="G102" s="317"/>
      <c r="H102" s="317"/>
      <c r="I102" s="317"/>
      <c r="J102" s="317"/>
      <c r="K102" s="317"/>
      <c r="L102" s="317"/>
      <c r="M102" s="317"/>
      <c r="N102" s="317"/>
      <c r="O102" s="317"/>
      <c r="P102" s="317"/>
      <c r="Q102" s="317"/>
      <c r="R102" s="317"/>
      <c r="S102" s="317"/>
      <c r="T102" s="317"/>
      <c r="U102" s="276"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76"/>
      <c r="W102" s="276"/>
      <c r="X102" s="276"/>
      <c r="Y102" s="180" t="str">
        <f>IF(E102="","",IF((VLOOKUP(E102,classifications!C:K,9,FALSE))="Sparse","S",""))</f>
        <v/>
      </c>
      <c r="AA102" s="277"/>
      <c r="AB102" s="277"/>
      <c r="AC102" s="277"/>
      <c r="AD102" s="278"/>
      <c r="AE102" s="278"/>
      <c r="AF102" s="278"/>
      <c r="AG102" s="278"/>
      <c r="AH102" s="278"/>
      <c r="AI102" s="278"/>
      <c r="AJ102" s="278"/>
      <c r="AK102" s="278"/>
      <c r="AL102" s="278"/>
      <c r="AM102" s="278"/>
      <c r="AN102" s="275"/>
      <c r="AO102" s="275"/>
      <c r="AP102" s="275"/>
      <c r="AQ102" s="275"/>
      <c r="AR102" s="180"/>
      <c r="AV102" s="85"/>
    </row>
    <row r="103" spans="2:48" ht="12" customHeight="1">
      <c r="B103" s="315" t="str">
        <f>IF('Filtered Data'!$D$1="MD","",IF('Filtered Data'!$D$1="SC",'Filtered Data'!AS22,'Filtered Data'!AL22))</f>
        <v/>
      </c>
      <c r="C103" s="316"/>
      <c r="D103" s="316"/>
      <c r="E103" s="317" t="str">
        <f>IF(B103="","",IF('Filtered Data'!$D$1="SC",VLOOKUP(B103,'Filtered Data'!AS:AU,2,FALSE),VLOOKUP(B103,'Filtered Data'!AL:AN,2,FALSE)))</f>
        <v/>
      </c>
      <c r="F103" s="317"/>
      <c r="G103" s="317"/>
      <c r="H103" s="317"/>
      <c r="I103" s="317"/>
      <c r="J103" s="317"/>
      <c r="K103" s="317"/>
      <c r="L103" s="317"/>
      <c r="M103" s="317"/>
      <c r="N103" s="317"/>
      <c r="O103" s="317"/>
      <c r="P103" s="317"/>
      <c r="Q103" s="317"/>
      <c r="R103" s="317"/>
      <c r="S103" s="317"/>
      <c r="T103" s="317"/>
      <c r="U103" s="276"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76"/>
      <c r="W103" s="276"/>
      <c r="X103" s="276"/>
      <c r="Y103" s="180" t="str">
        <f>IF(E103="","",IF((VLOOKUP(E103,classifications!C:K,9,FALSE))="Sparse","S",""))</f>
        <v/>
      </c>
      <c r="AA103" s="277"/>
      <c r="AB103" s="277"/>
      <c r="AC103" s="277"/>
      <c r="AD103" s="278"/>
      <c r="AE103" s="278"/>
      <c r="AF103" s="278"/>
      <c r="AG103" s="278"/>
      <c r="AH103" s="278"/>
      <c r="AI103" s="278"/>
      <c r="AJ103" s="278"/>
      <c r="AK103" s="278"/>
      <c r="AL103" s="278"/>
      <c r="AM103" s="278"/>
      <c r="AN103" s="275"/>
      <c r="AO103" s="275"/>
      <c r="AP103" s="275"/>
      <c r="AQ103" s="275"/>
      <c r="AR103" s="180"/>
      <c r="AV103" s="85"/>
    </row>
    <row r="104" spans="2:48" ht="12" customHeight="1">
      <c r="B104" s="315" t="str">
        <f>IF('Filtered Data'!$D$1="MD","",IF('Filtered Data'!$D$1="SC",'Filtered Data'!AS23,'Filtered Data'!AL23))</f>
        <v/>
      </c>
      <c r="C104" s="316"/>
      <c r="D104" s="316"/>
      <c r="E104" s="317" t="str">
        <f>IF(B104="","",IF('Filtered Data'!$D$1="SC",VLOOKUP(B104,'Filtered Data'!AS:AU,2,FALSE),VLOOKUP(B104,'Filtered Data'!AL:AN,2,FALSE)))</f>
        <v/>
      </c>
      <c r="F104" s="317"/>
      <c r="G104" s="317"/>
      <c r="H104" s="317"/>
      <c r="I104" s="317"/>
      <c r="J104" s="317"/>
      <c r="K104" s="317"/>
      <c r="L104" s="317"/>
      <c r="M104" s="317"/>
      <c r="N104" s="317"/>
      <c r="O104" s="317"/>
      <c r="P104" s="317"/>
      <c r="Q104" s="317"/>
      <c r="R104" s="317"/>
      <c r="S104" s="317"/>
      <c r="T104" s="317"/>
      <c r="U104" s="276"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76"/>
      <c r="W104" s="276"/>
      <c r="X104" s="276"/>
      <c r="Y104" s="180" t="str">
        <f>IF(E104="","",IF((VLOOKUP(E104,classifications!C:K,9,FALSE))="Sparse","S",""))</f>
        <v/>
      </c>
      <c r="AA104" s="277"/>
      <c r="AB104" s="277"/>
      <c r="AC104" s="277"/>
      <c r="AD104" s="278"/>
      <c r="AE104" s="278"/>
      <c r="AF104" s="278"/>
      <c r="AG104" s="278"/>
      <c r="AH104" s="278"/>
      <c r="AI104" s="278"/>
      <c r="AJ104" s="278"/>
      <c r="AK104" s="278"/>
      <c r="AL104" s="278"/>
      <c r="AM104" s="278"/>
      <c r="AN104" s="275"/>
      <c r="AO104" s="275"/>
      <c r="AP104" s="275"/>
      <c r="AQ104" s="275"/>
      <c r="AR104" s="180"/>
      <c r="AV104" s="85"/>
    </row>
    <row r="105" spans="2:48" ht="12" customHeight="1">
      <c r="B105" s="315" t="str">
        <f>IF('Filtered Data'!$D$1="MD","",IF('Filtered Data'!$D$1="SC",'Filtered Data'!AS24,'Filtered Data'!AL24))</f>
        <v/>
      </c>
      <c r="C105" s="316"/>
      <c r="D105" s="316"/>
      <c r="E105" s="317" t="str">
        <f>IF(B105="","",IF('Filtered Data'!$D$1="SC",VLOOKUP(B105,'Filtered Data'!AS:AU,2,FALSE),VLOOKUP(B105,'Filtered Data'!AL:AN,2,FALSE)))</f>
        <v/>
      </c>
      <c r="F105" s="317"/>
      <c r="G105" s="317"/>
      <c r="H105" s="317"/>
      <c r="I105" s="317"/>
      <c r="J105" s="317"/>
      <c r="K105" s="317"/>
      <c r="L105" s="317"/>
      <c r="M105" s="317"/>
      <c r="N105" s="317"/>
      <c r="O105" s="317"/>
      <c r="P105" s="317"/>
      <c r="Q105" s="317"/>
      <c r="R105" s="317"/>
      <c r="S105" s="317"/>
      <c r="T105" s="317"/>
      <c r="U105" s="276"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76"/>
      <c r="W105" s="276"/>
      <c r="X105" s="276"/>
      <c r="Y105" s="180" t="str">
        <f>IF(E105="","",IF((VLOOKUP(E105,classifications!C:K,9,FALSE))="Sparse","S",""))</f>
        <v/>
      </c>
      <c r="AA105" s="277"/>
      <c r="AB105" s="277"/>
      <c r="AC105" s="277"/>
      <c r="AD105" s="278"/>
      <c r="AE105" s="278"/>
      <c r="AF105" s="278"/>
      <c r="AG105" s="278"/>
      <c r="AH105" s="278"/>
      <c r="AI105" s="278"/>
      <c r="AJ105" s="278"/>
      <c r="AK105" s="278"/>
      <c r="AL105" s="278"/>
      <c r="AM105" s="278"/>
      <c r="AN105" s="275"/>
      <c r="AO105" s="275"/>
      <c r="AP105" s="275"/>
      <c r="AQ105" s="275"/>
      <c r="AR105" s="180"/>
      <c r="AV105" s="85"/>
    </row>
    <row r="106" spans="2:48" ht="12" customHeight="1">
      <c r="B106" s="315" t="str">
        <f>IF('Filtered Data'!$D$1="MD","",IF('Filtered Data'!$D$1="SC",'Filtered Data'!AS25,'Filtered Data'!AL25))</f>
        <v/>
      </c>
      <c r="C106" s="316"/>
      <c r="D106" s="316"/>
      <c r="E106" s="317" t="str">
        <f>IF(B106="","",IF('Filtered Data'!$D$1="SC",VLOOKUP(B106,'Filtered Data'!AS:AU,2,FALSE),VLOOKUP(B106,'Filtered Data'!AL:AN,2,FALSE)))</f>
        <v/>
      </c>
      <c r="F106" s="317"/>
      <c r="G106" s="317"/>
      <c r="H106" s="317"/>
      <c r="I106" s="317"/>
      <c r="J106" s="317"/>
      <c r="K106" s="317"/>
      <c r="L106" s="317"/>
      <c r="M106" s="317"/>
      <c r="N106" s="317"/>
      <c r="O106" s="317"/>
      <c r="P106" s="317"/>
      <c r="Q106" s="317"/>
      <c r="R106" s="317"/>
      <c r="S106" s="317"/>
      <c r="T106" s="317"/>
      <c r="U106" s="276"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76"/>
      <c r="W106" s="276"/>
      <c r="X106" s="276"/>
      <c r="Y106" s="180" t="str">
        <f>IF(E106="","",IF((VLOOKUP(E106,classifications!C:K,9,FALSE))="Sparse","S",""))</f>
        <v/>
      </c>
      <c r="AA106" s="277"/>
      <c r="AB106" s="277"/>
      <c r="AC106" s="277"/>
      <c r="AD106" s="278"/>
      <c r="AE106" s="278"/>
      <c r="AF106" s="278"/>
      <c r="AG106" s="278"/>
      <c r="AH106" s="278"/>
      <c r="AI106" s="278"/>
      <c r="AJ106" s="278"/>
      <c r="AK106" s="278"/>
      <c r="AL106" s="278"/>
      <c r="AM106" s="278"/>
      <c r="AN106" s="275"/>
      <c r="AO106" s="275"/>
      <c r="AP106" s="275"/>
      <c r="AQ106" s="275"/>
      <c r="AR106" s="180"/>
      <c r="AV106" s="85"/>
    </row>
    <row r="107" spans="2:48" ht="12" customHeight="1">
      <c r="B107" s="315" t="str">
        <f>IF('Filtered Data'!$D$1="MD","",IF('Filtered Data'!$D$1="SC",'Filtered Data'!AS26,'Filtered Data'!AL26))</f>
        <v/>
      </c>
      <c r="C107" s="316"/>
      <c r="D107" s="316"/>
      <c r="E107" s="317" t="str">
        <f>IF(B107="","",IF('Filtered Data'!$D$1="SC",VLOOKUP(B107,'Filtered Data'!AS:AU,2,FALSE),VLOOKUP(B107,'Filtered Data'!AL:AN,2,FALSE)))</f>
        <v/>
      </c>
      <c r="F107" s="317"/>
      <c r="G107" s="317"/>
      <c r="H107" s="317"/>
      <c r="I107" s="317"/>
      <c r="J107" s="317"/>
      <c r="K107" s="317"/>
      <c r="L107" s="317"/>
      <c r="M107" s="317"/>
      <c r="N107" s="317"/>
      <c r="O107" s="317"/>
      <c r="P107" s="317"/>
      <c r="Q107" s="317"/>
      <c r="R107" s="317"/>
      <c r="S107" s="317"/>
      <c r="T107" s="317"/>
      <c r="U107" s="276"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76"/>
      <c r="W107" s="276"/>
      <c r="X107" s="276"/>
      <c r="Y107" s="180" t="str">
        <f>IF(E107="","",IF((VLOOKUP(E107,classifications!C:K,9,FALSE))="Sparse","S",""))</f>
        <v/>
      </c>
      <c r="AA107" s="277"/>
      <c r="AB107" s="277"/>
      <c r="AC107" s="277"/>
      <c r="AD107" s="278"/>
      <c r="AE107" s="278"/>
      <c r="AF107" s="278"/>
      <c r="AG107" s="278"/>
      <c r="AH107" s="278"/>
      <c r="AI107" s="278"/>
      <c r="AJ107" s="278"/>
      <c r="AK107" s="278"/>
      <c r="AL107" s="278"/>
      <c r="AM107" s="278"/>
      <c r="AN107" s="275"/>
      <c r="AO107" s="275"/>
      <c r="AP107" s="275"/>
      <c r="AQ107" s="275"/>
      <c r="AR107" s="180"/>
      <c r="AV107" s="85"/>
    </row>
    <row r="108" spans="2:48" ht="12" customHeight="1">
      <c r="B108" s="282"/>
      <c r="C108" s="282"/>
      <c r="D108" s="282"/>
      <c r="E108" s="279" t="s">
        <v>341</v>
      </c>
      <c r="F108" s="279"/>
      <c r="G108" s="279"/>
      <c r="H108" s="279"/>
      <c r="I108" s="279"/>
      <c r="J108" s="279"/>
      <c r="K108" s="279"/>
      <c r="L108" s="279"/>
      <c r="M108" s="279"/>
      <c r="N108" s="279"/>
      <c r="O108" s="268"/>
      <c r="P108" s="268"/>
      <c r="Q108" s="268"/>
      <c r="R108" s="268"/>
      <c r="S108" s="268"/>
      <c r="T108" s="268"/>
      <c r="U108" s="350">
        <f>L39</f>
        <v>0.23149999999999998</v>
      </c>
      <c r="V108" s="350"/>
      <c r="W108" s="350"/>
      <c r="X108" s="350"/>
      <c r="Y108" s="180"/>
      <c r="AA108" s="282"/>
      <c r="AB108" s="282"/>
      <c r="AC108" s="282"/>
      <c r="AD108" s="24"/>
      <c r="AE108" s="24"/>
      <c r="AF108" s="24"/>
      <c r="AG108" s="24"/>
      <c r="AH108" s="24"/>
      <c r="AI108" s="24"/>
      <c r="AJ108" s="24"/>
      <c r="AK108" s="24"/>
      <c r="AL108" s="24"/>
      <c r="AM108" s="27"/>
      <c r="AN108" s="351"/>
      <c r="AO108" s="351"/>
      <c r="AP108" s="351"/>
      <c r="AQ108" s="351"/>
      <c r="AV108" s="85"/>
    </row>
    <row r="109" spans="2:48" ht="12" customHeight="1">
      <c r="W109" s="22">
        <f>COUNT(AA92:AB107)</f>
        <v>0</v>
      </c>
    </row>
    <row r="110" spans="2:48" ht="19.5" customHeight="1">
      <c r="B110" s="346" t="str">
        <f>B3</f>
        <v>Waste Management Indicators</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8" ht="12" customHeight="1"/>
    <row r="112" spans="2:48" ht="12" customHeight="1">
      <c r="B112" s="279" t="s">
        <v>373</v>
      </c>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row>
    <row r="113" spans="2:40" ht="12" customHeight="1"/>
    <row r="114" spans="2:40" ht="12" customHeight="1">
      <c r="B114" s="299" t="str">
        <f>W6&amp;" - "&amp;W12</f>
        <v>Percentage of municipal waste sent to landfill (Ex NI193) - 2019-20</v>
      </c>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26"/>
    </row>
    <row r="115" spans="2:40" ht="12" customHeight="1">
      <c r="B115" s="302"/>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c r="AF115" s="303"/>
      <c r="AG115" s="303"/>
      <c r="AH115" s="303"/>
      <c r="AI115" s="303"/>
      <c r="AJ115" s="303"/>
      <c r="AK115" s="303"/>
      <c r="AL115" s="303"/>
      <c r="AM115" s="30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796</v>
      </c>
      <c r="N117" s="18"/>
      <c r="O117" s="18" t="s">
        <v>797</v>
      </c>
      <c r="P117" s="18"/>
      <c r="Q117" s="6" t="s">
        <v>798</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Cumbria</v>
      </c>
      <c r="G118" s="273">
        <f>IF('Filtered Data'!H8="..",L35,L35*100)</f>
        <v>11.1</v>
      </c>
      <c r="H118" s="273"/>
      <c r="I118" s="273"/>
      <c r="J118" s="273"/>
      <c r="K118" s="273"/>
      <c r="L118" s="6"/>
      <c r="M118" s="274">
        <f>K$48</f>
        <v>4.2</v>
      </c>
      <c r="N118" s="274"/>
      <c r="O118" s="274">
        <f>M$48</f>
        <v>9.9</v>
      </c>
      <c r="P118" s="274"/>
      <c r="Q118" s="274">
        <f>O$48</f>
        <v>17.8</v>
      </c>
      <c r="R118" s="27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383</v>
      </c>
      <c r="G119" s="273">
        <f>IF('Filtered Data'!H8="%%",(AVERAGEIF('Filtered Data'!AA$10:AA$492,$F119,'Filtered Data'!M$10:M$492))*100,(AVERAGEIF('Filtered Data'!AA$10:AA$492,$F119,'Filtered Data'!M$10:M$492)))</f>
        <v>9.0749999999999993</v>
      </c>
      <c r="H119" s="273"/>
      <c r="I119" s="273"/>
      <c r="J119" s="273"/>
      <c r="K119" s="273"/>
      <c r="L119" s="6"/>
      <c r="M119" s="274">
        <f>K$48</f>
        <v>4.2</v>
      </c>
      <c r="N119" s="274"/>
      <c r="O119" s="274">
        <f>M$48</f>
        <v>9.9</v>
      </c>
      <c r="P119" s="274"/>
      <c r="Q119" s="274">
        <f>O$48</f>
        <v>17.8</v>
      </c>
      <c r="R119" s="27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385</v>
      </c>
      <c r="G120" s="273">
        <f>IF('Filtered Data'!H8="%%",(AVERAGEIF('Filtered Data'!AA$10:AA$492,$F120,'Filtered Data'!M$10:M$492))*100,(AVERAGEIF('Filtered Data'!AA$10:AA$492,$F120,'Filtered Data'!M$10:M$492)))</f>
        <v>11.05</v>
      </c>
      <c r="H120" s="273"/>
      <c r="I120" s="273"/>
      <c r="J120" s="273"/>
      <c r="K120" s="273"/>
      <c r="L120" s="6"/>
      <c r="M120" s="274">
        <f>K$48</f>
        <v>4.2</v>
      </c>
      <c r="N120" s="274"/>
      <c r="O120" s="274">
        <f>M$48</f>
        <v>9.9</v>
      </c>
      <c r="P120" s="274"/>
      <c r="Q120" s="274">
        <f>O$48</f>
        <v>17.8</v>
      </c>
      <c r="R120" s="27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372</v>
      </c>
      <c r="G121" s="273">
        <f>IF('Filtered Data'!H8="%%",(AVERAGEIF('Filtered Data'!AA$10:AA$492,$F121,'Filtered Data'!M$10:M$492))*100,(AVERAGEIF('Filtered Data'!AA$10:AA$492,$F121,'Filtered Data'!M$10:M$492)))</f>
        <v>13.106666666666669</v>
      </c>
      <c r="H121" s="273"/>
      <c r="I121" s="273"/>
      <c r="J121" s="273"/>
      <c r="K121" s="273"/>
      <c r="L121" s="6"/>
      <c r="M121" s="274">
        <f>K$48</f>
        <v>4.2</v>
      </c>
      <c r="N121" s="274"/>
      <c r="O121" s="274">
        <f>M$48</f>
        <v>9.9</v>
      </c>
      <c r="P121" s="274"/>
      <c r="Q121" s="274">
        <f>O$48</f>
        <v>17.8</v>
      </c>
      <c r="R121" s="27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3"/>
      <c r="H122" s="273"/>
      <c r="I122" s="273"/>
      <c r="J122" s="273"/>
      <c r="K122" s="273"/>
      <c r="L122" s="6"/>
      <c r="M122" s="274"/>
      <c r="N122" s="274"/>
      <c r="O122" s="274"/>
      <c r="P122" s="274"/>
      <c r="Q122" s="274"/>
      <c r="R122" s="27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3"/>
      <c r="H123" s="273"/>
      <c r="I123" s="273"/>
      <c r="J123" s="273"/>
      <c r="K123" s="273"/>
      <c r="L123" s="6"/>
      <c r="M123" s="274"/>
      <c r="N123" s="274"/>
      <c r="O123" s="274"/>
      <c r="P123" s="274"/>
      <c r="Q123" s="274"/>
      <c r="R123" s="27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3"/>
      <c r="H124" s="273"/>
      <c r="I124" s="273"/>
      <c r="J124" s="273"/>
      <c r="K124" s="273"/>
      <c r="L124" s="6"/>
      <c r="M124" s="274"/>
      <c r="N124" s="274"/>
      <c r="O124" s="274"/>
      <c r="P124" s="274"/>
      <c r="Q124" s="274"/>
      <c r="R124" s="27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B3:AN3"/>
    <mergeCell ref="N32:S32"/>
    <mergeCell ref="AC32:AE32"/>
    <mergeCell ref="B10:I10"/>
    <mergeCell ref="W13:AM13"/>
    <mergeCell ref="AF32:AL32"/>
    <mergeCell ref="L40:O40"/>
    <mergeCell ref="L39:O39"/>
    <mergeCell ref="S40:U40"/>
    <mergeCell ref="W12:AM12"/>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81:D81"/>
    <mergeCell ref="B83:D83"/>
    <mergeCell ref="E79:T79"/>
    <mergeCell ref="B93:D93"/>
    <mergeCell ref="E80:T80"/>
    <mergeCell ref="E83:T83"/>
    <mergeCell ref="B76:D76"/>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A107 AB92:AC92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17" customWidth="1"/>
    <col min="21" max="21" width="8" style="224" customWidth="1"/>
    <col min="22" max="22" width="7.44140625" style="224" customWidth="1"/>
    <col min="23" max="23" width="6" style="224" customWidth="1"/>
    <col min="24" max="24" width="19.44140625" style="61" customWidth="1"/>
    <col min="25" max="25" width="10.33203125" style="31" customWidth="1"/>
    <col min="26" max="26" width="8.88671875" style="31" customWidth="1"/>
    <col min="27" max="27" width="14.5546875" style="217" customWidth="1"/>
    <col min="28" max="29" width="7.5546875" style="218" customWidth="1"/>
    <col min="30" max="30" width="4.33203125" style="218"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0"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379</v>
      </c>
      <c r="D1" s="93" t="s">
        <v>390</v>
      </c>
      <c r="E1" s="47"/>
      <c r="F1" s="47"/>
      <c r="G1" s="47"/>
      <c r="H1" s="107"/>
      <c r="I1" s="108"/>
      <c r="K1" s="87"/>
      <c r="L1" s="48" t="s">
        <v>360</v>
      </c>
      <c r="M1" s="124" t="s">
        <v>384</v>
      </c>
      <c r="N1" s="124" t="s">
        <v>384</v>
      </c>
      <c r="O1" s="124"/>
      <c r="P1" s="124"/>
      <c r="Q1" s="124"/>
      <c r="R1" s="124"/>
      <c r="T1" s="356" t="s">
        <v>825</v>
      </c>
      <c r="U1" s="357"/>
      <c r="V1" s="357"/>
      <c r="W1" s="358"/>
      <c r="X1" s="87"/>
      <c r="AA1" s="356" t="s">
        <v>824</v>
      </c>
      <c r="AB1" s="357"/>
      <c r="AC1" s="357"/>
      <c r="AD1" s="358"/>
      <c r="AE1" s="89"/>
      <c r="AF1" s="47"/>
      <c r="AI1" s="87"/>
      <c r="AL1" s="47"/>
      <c r="AP1" s="87"/>
      <c r="AQ1" s="103"/>
      <c r="AR1" s="47"/>
      <c r="AS1" s="47"/>
      <c r="AT1" s="47"/>
      <c r="AU1" s="47"/>
      <c r="AV1" s="47"/>
      <c r="AW1" s="115"/>
      <c r="AX1" s="68"/>
      <c r="AY1" s="169"/>
      <c r="AZ1" s="68"/>
    </row>
    <row r="2" spans="1:735" s="48" customFormat="1">
      <c r="A2" s="81"/>
      <c r="B2" s="81"/>
      <c r="D2" s="47"/>
      <c r="E2" s="47"/>
      <c r="F2" s="47"/>
      <c r="G2" s="47"/>
      <c r="H2" s="107"/>
      <c r="I2" s="108"/>
      <c r="K2" s="87"/>
      <c r="L2" s="48" t="s">
        <v>387</v>
      </c>
      <c r="M2" s="124" t="s">
        <v>415</v>
      </c>
      <c r="N2" s="124" t="s">
        <v>421</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406</v>
      </c>
    </row>
    <row r="3" spans="1:735" s="48" customFormat="1">
      <c r="A3" s="81"/>
      <c r="B3" s="81"/>
      <c r="C3" s="48" t="s">
        <v>409</v>
      </c>
      <c r="D3" s="48" t="str">
        <f>Profile!J5</f>
        <v>Cumbria</v>
      </c>
      <c r="F3" s="108" t="str">
        <f>VLOOKUP(D3,classifications!C:G,4,FALSE)</f>
        <v>SC</v>
      </c>
      <c r="G3" s="48" t="str">
        <f>VLOOKUP(D3,classifications!C:E,3,FALSE)</f>
        <v>North West</v>
      </c>
      <c r="H3" s="118" t="str">
        <f>VLOOKUP(D3,classifications!C:H,6,FALSE)</f>
        <v>Predominantly Rural</v>
      </c>
      <c r="I3" s="48" t="str">
        <f>VLOOKUP(D3,classifications!C:J,8,FALSE)</f>
        <v>Cumbria</v>
      </c>
      <c r="J3" s="47" t="str">
        <f>VLOOKUP(D3,classifications!C:I,7,FALSE)</f>
        <v>Predominantly Rural</v>
      </c>
      <c r="K3" s="87"/>
      <c r="L3" s="48" t="s">
        <v>388</v>
      </c>
      <c r="M3" s="124" t="s">
        <v>416</v>
      </c>
      <c r="N3" s="124" t="s">
        <v>397</v>
      </c>
      <c r="O3" s="124"/>
      <c r="P3" s="124"/>
      <c r="Q3" s="124"/>
      <c r="R3" s="124"/>
      <c r="T3" s="217"/>
      <c r="U3" s="218"/>
      <c r="V3" s="218"/>
      <c r="W3" s="218"/>
      <c r="X3" s="87"/>
      <c r="AA3" s="217"/>
      <c r="AB3" s="218"/>
      <c r="AC3" s="218"/>
      <c r="AD3" s="218"/>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390</v>
      </c>
      <c r="M4" s="124" t="s">
        <v>417</v>
      </c>
      <c r="N4" s="124" t="s">
        <v>302</v>
      </c>
      <c r="O4" s="124"/>
      <c r="P4" s="124"/>
      <c r="Q4" s="124"/>
      <c r="R4" s="124"/>
      <c r="T4" s="217"/>
      <c r="U4" s="218"/>
      <c r="V4" s="218"/>
      <c r="W4" s="218"/>
      <c r="X4" s="87"/>
      <c r="AA4" s="217"/>
      <c r="AB4" s="218"/>
      <c r="AC4" s="218"/>
      <c r="AD4" s="218"/>
      <c r="AE4" s="87"/>
      <c r="AF4" s="47"/>
      <c r="AI4" s="87"/>
      <c r="AL4" s="47"/>
      <c r="AP4" s="87"/>
      <c r="AQ4" s="103"/>
      <c r="AR4" s="47"/>
      <c r="AS4" s="47"/>
      <c r="AT4" s="47"/>
      <c r="AU4" s="47"/>
      <c r="AV4" s="47"/>
      <c r="AW4" s="115"/>
      <c r="AX4" s="68"/>
      <c r="AZ4" s="68"/>
    </row>
    <row r="5" spans="1:735" s="48" customFormat="1">
      <c r="A5" s="81"/>
      <c r="B5" s="81"/>
      <c r="C5" s="48" t="s">
        <v>407</v>
      </c>
      <c r="D5" s="119" t="str">
        <f>Profile!W6</f>
        <v>Percentage of municipal waste sent to landfill (Ex NI193)</v>
      </c>
      <c r="E5" s="119"/>
      <c r="F5" s="47"/>
      <c r="G5" s="47"/>
      <c r="H5" s="107"/>
      <c r="I5" s="108"/>
      <c r="K5" s="87" t="s">
        <v>3</v>
      </c>
      <c r="L5" s="48" t="s">
        <v>382</v>
      </c>
      <c r="M5" s="124" t="s">
        <v>418</v>
      </c>
      <c r="N5" s="124" t="s">
        <v>5</v>
      </c>
      <c r="O5" s="124"/>
      <c r="P5" s="124"/>
      <c r="T5" s="217"/>
      <c r="U5" s="218"/>
      <c r="V5" s="218"/>
      <c r="W5" s="218"/>
      <c r="X5" s="87"/>
      <c r="AA5" s="217"/>
      <c r="AB5" s="218"/>
      <c r="AC5" s="218"/>
      <c r="AD5" s="218"/>
      <c r="AE5" s="87"/>
      <c r="AF5" s="47"/>
      <c r="AI5" s="87"/>
      <c r="AL5" s="47"/>
      <c r="AP5" s="87"/>
      <c r="AQ5" s="103"/>
      <c r="AR5" s="47"/>
      <c r="AS5" s="47"/>
      <c r="AT5" s="47"/>
      <c r="AU5" s="47"/>
      <c r="AV5" s="47"/>
      <c r="AW5" s="115"/>
      <c r="AX5" s="68"/>
      <c r="AZ5" s="68"/>
    </row>
    <row r="6" spans="1:735" s="48" customFormat="1">
      <c r="A6" s="81"/>
      <c r="B6" s="81"/>
      <c r="C6" s="48" t="s">
        <v>408</v>
      </c>
      <c r="D6" s="120" t="str">
        <f>Profile!W12</f>
        <v>2019-20</v>
      </c>
      <c r="E6" s="120"/>
      <c r="F6" s="47"/>
      <c r="G6" s="47"/>
      <c r="H6" s="107"/>
      <c r="I6" s="109"/>
      <c r="K6" s="87" t="s">
        <v>3</v>
      </c>
      <c r="L6" s="48" t="s">
        <v>419</v>
      </c>
      <c r="M6" s="124" t="s">
        <v>420</v>
      </c>
      <c r="N6" s="124" t="s">
        <v>422</v>
      </c>
      <c r="O6" s="124"/>
      <c r="P6" s="144" t="s">
        <v>403</v>
      </c>
      <c r="Q6" s="144" t="s">
        <v>404</v>
      </c>
      <c r="T6" s="217"/>
      <c r="U6" s="218"/>
      <c r="V6" s="218"/>
      <c r="W6" s="218"/>
      <c r="X6" s="87"/>
      <c r="AA6" s="217"/>
      <c r="AB6" s="218"/>
      <c r="AC6" s="218"/>
      <c r="AD6" s="218"/>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0.3</v>
      </c>
      <c r="Q7" s="145">
        <f>IF(I8="A",MAX(N11:N355),MIN(N11:N355))</f>
        <v>35.199999999999996</v>
      </c>
      <c r="T7" s="217"/>
      <c r="U7" s="218"/>
      <c r="V7" s="218"/>
      <c r="W7" s="218"/>
      <c r="X7" s="87"/>
      <c r="AA7" s="217"/>
      <c r="AB7" s="218"/>
      <c r="AC7" s="218"/>
      <c r="AD7" s="218"/>
      <c r="AE7" s="87"/>
      <c r="AF7" s="47"/>
      <c r="AI7" s="87"/>
      <c r="AL7" s="47"/>
      <c r="AP7" s="87"/>
      <c r="AQ7" s="103"/>
      <c r="AR7" s="47"/>
      <c r="AS7" s="47"/>
      <c r="AT7" s="47"/>
      <c r="AU7" s="47"/>
      <c r="AV7" s="47"/>
      <c r="AW7" s="115"/>
      <c r="AX7" s="68"/>
      <c r="AZ7" s="68"/>
    </row>
    <row r="8" spans="1:735" s="48" customFormat="1" ht="15.6">
      <c r="A8" s="81"/>
      <c r="B8" s="81"/>
      <c r="C8" s="120" t="s">
        <v>795</v>
      </c>
      <c r="D8" s="206" t="str">
        <f>VLOOKUP(D5,'Indicator info'!B:E,2,FALSE)</f>
        <v>%</v>
      </c>
      <c r="E8" s="206"/>
      <c r="F8" s="120" t="s">
        <v>794</v>
      </c>
      <c r="G8" s="207" t="str">
        <f>VLOOKUP(D5,'Indicator info'!B:E,3,FALSE)</f>
        <v>%</v>
      </c>
      <c r="H8" s="208" t="str">
        <f>D8&amp;G8</f>
        <v>%%</v>
      </c>
      <c r="I8" s="209" t="str">
        <f>VLOOKUP(D5,'Indicator info'!B:E,4,FALSE)</f>
        <v>A</v>
      </c>
      <c r="K8" s="87"/>
      <c r="M8" s="147"/>
      <c r="N8" s="147"/>
      <c r="O8" s="147"/>
      <c r="P8" s="110" t="str">
        <f>D3</f>
        <v>Cumbria</v>
      </c>
      <c r="Q8" s="146">
        <f>VLOOKUP(D3,L11:N355,3,FALSE)</f>
        <v>11.1</v>
      </c>
      <c r="R8" s="147" t="str">
        <f>IF(I8="A",IF(Q8&gt;Q10,"Bottom",IF(Q8&gt;P10,"Third",IF(Q8&gt;O10,"Second","Top"))),IF(Q8&gt;=O10,"Top",IF(Q8&gt;=P10,"Second",IF(Q8&gt;=Q10,"Third","Bottom"))))</f>
        <v>Third</v>
      </c>
      <c r="T8" s="217"/>
      <c r="U8" s="218"/>
      <c r="V8" s="218"/>
      <c r="W8" s="218"/>
      <c r="X8" s="87"/>
      <c r="AA8" s="217"/>
      <c r="AB8" s="218"/>
      <c r="AC8" s="218"/>
      <c r="AD8" s="218"/>
      <c r="AE8" s="87"/>
      <c r="AF8" s="47"/>
      <c r="AI8" s="87"/>
      <c r="AL8" s="47"/>
      <c r="AP8" s="87"/>
      <c r="AQ8" s="103"/>
      <c r="AR8" s="47"/>
      <c r="AS8" s="47"/>
      <c r="AT8" s="47"/>
      <c r="AU8" s="47"/>
      <c r="AV8" s="47"/>
      <c r="AW8" s="115"/>
      <c r="AX8" s="191"/>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6" customFormat="1" ht="46.5" customHeight="1">
      <c r="A9" s="82"/>
      <c r="B9" s="82"/>
      <c r="C9" s="31"/>
      <c r="D9" s="49"/>
      <c r="E9" s="49"/>
      <c r="F9" s="49"/>
      <c r="G9" s="49"/>
      <c r="H9" s="67" t="str">
        <f>"Results for "&amp;D1&amp;" Authorities only"</f>
        <v>Results for SC Authorities only</v>
      </c>
      <c r="I9" s="111"/>
      <c r="J9" s="41"/>
      <c r="K9" s="54" t="str">
        <f>"Rank &amp; Quartiles for all "&amp;D1&amp;" Authorities"</f>
        <v>Rank &amp; Quartiles for all SC Authorities</v>
      </c>
      <c r="L9" s="55"/>
      <c r="M9" s="123">
        <f>IF($H$8="%.",(AVERAGE(M11:M355))/100,(AVERAGE(M11:M355)))</f>
        <v>0.11652</v>
      </c>
      <c r="N9" s="123"/>
      <c r="O9" s="126" t="s">
        <v>342</v>
      </c>
      <c r="P9" s="126" t="s">
        <v>353</v>
      </c>
      <c r="Q9" s="126" t="s">
        <v>354</v>
      </c>
      <c r="R9" s="128" t="s">
        <v>402</v>
      </c>
      <c r="S9" s="53"/>
      <c r="T9" s="219" t="s">
        <v>820</v>
      </c>
      <c r="U9" s="220">
        <f>IF($H$8="%.",(AVERAGE(U11:U355))/100,(AVERAGE(U11:U355)))</f>
        <v>0.1151875</v>
      </c>
      <c r="V9" s="221"/>
      <c r="W9" s="221"/>
      <c r="X9" s="121" t="str">
        <f>"Lower Level Ranking for Authorites in "&amp;H3&amp;" &amp; are a "&amp;F3</f>
        <v>Lower Level Ranking for Authorites in Predominantly Rural &amp; are a SC</v>
      </c>
      <c r="Y9" s="123" t="e">
        <f>IF($H$8="%.",(AVERAGE(Y11:Y355))/100,(AVERAGE(Y11:Y355)))</f>
        <v>#DIV/0!</v>
      </c>
      <c r="Z9" s="122"/>
      <c r="AA9" s="229" t="s">
        <v>381</v>
      </c>
      <c r="AB9" s="220">
        <f>IF($H$8="%.",(AVERAGE(AB11:AB355))/100,(AVERAGE(AB11:AB355)))</f>
        <v>9.0749999999999997E-2</v>
      </c>
      <c r="AC9" s="230"/>
      <c r="AD9" s="230"/>
      <c r="AE9" s="54" t="s">
        <v>411</v>
      </c>
      <c r="AG9" s="123">
        <f>IF($H$8="%.",(AVERAGE(AG11:AG355))/100,(AVERAGE(AG11:AG355)))</f>
        <v>0.1242</v>
      </c>
      <c r="AI9" s="121" t="str">
        <f>"County Ranking &amp; Top Authorites in "&amp;I3&amp;" &amp; are a "&amp;F3</f>
        <v>County Ranking &amp; Top Authorites in Cumbria &amp; are a SC</v>
      </c>
      <c r="AJ9" s="123">
        <f>IF($H$8="%.",(AVERAGE(AJ11:AJ355))/100,(AVERAGE(AJ11:AJ355)))</f>
        <v>0.111</v>
      </c>
      <c r="AK9" s="122"/>
      <c r="AL9" s="70"/>
      <c r="AM9" s="31"/>
      <c r="AN9" s="31"/>
      <c r="AP9" s="121" t="str">
        <f>"Regional Ranking in for "&amp;F3</f>
        <v>Regional Ranking in for SC</v>
      </c>
      <c r="AQ9" s="123">
        <f>IF($H$8="%.",(AVERAGE(AQ11:AQ355))/100,(AVERAGE(AQ11:AQ355)))</f>
        <v>0.23149999999999998</v>
      </c>
      <c r="AR9" s="122"/>
      <c r="AS9" s="122"/>
      <c r="AT9" s="122"/>
      <c r="AU9" s="122"/>
      <c r="AV9" s="49"/>
      <c r="AW9" s="115"/>
      <c r="AX9" s="176" t="str">
        <f>Profile!$W$6</f>
        <v>Percentage of municipal waste sent to landfill (Ex NI193)</v>
      </c>
      <c r="AY9" s="48"/>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6"/>
    </row>
    <row r="10" spans="1:735" s="43" customFormat="1">
      <c r="A10" s="83" t="s">
        <v>412</v>
      </c>
      <c r="B10" s="83"/>
      <c r="C10" s="43" t="s">
        <v>400</v>
      </c>
      <c r="D10" s="43" t="s">
        <v>379</v>
      </c>
      <c r="E10" s="43" t="s">
        <v>374</v>
      </c>
      <c r="F10" s="43" t="s">
        <v>375</v>
      </c>
      <c r="H10" s="78" t="s">
        <v>375</v>
      </c>
      <c r="I10" s="78" t="s">
        <v>355</v>
      </c>
      <c r="K10" s="73" t="s">
        <v>355</v>
      </c>
      <c r="L10" s="74" t="s">
        <v>334</v>
      </c>
      <c r="M10" s="129" t="s">
        <v>375</v>
      </c>
      <c r="N10" s="129" t="s">
        <v>800</v>
      </c>
      <c r="O10" s="130">
        <f>IF(I8="A",QUARTILE(N:N,1),QUARTILE(N:N,3))</f>
        <v>4.2</v>
      </c>
      <c r="P10" s="130">
        <f>QUARTILE(N:N,2)</f>
        <v>9.9</v>
      </c>
      <c r="Q10" s="130">
        <f>IF(I8="A",QUARTILE(N:N,3),QUARTILE(N:N,1))</f>
        <v>17.8</v>
      </c>
      <c r="R10" s="129"/>
      <c r="S10" s="75"/>
      <c r="T10" s="222" t="s">
        <v>374</v>
      </c>
      <c r="U10" s="223" t="s">
        <v>375</v>
      </c>
      <c r="V10" s="223" t="s">
        <v>355</v>
      </c>
      <c r="W10" s="223"/>
      <c r="X10" s="76" t="s">
        <v>380</v>
      </c>
      <c r="Y10" s="43" t="s">
        <v>375</v>
      </c>
      <c r="Z10" s="43" t="s">
        <v>355</v>
      </c>
      <c r="AA10" s="222" t="s">
        <v>381</v>
      </c>
      <c r="AB10" s="223" t="s">
        <v>375</v>
      </c>
      <c r="AC10" s="223" t="s">
        <v>355</v>
      </c>
      <c r="AD10" s="223"/>
      <c r="AE10" s="76" t="s">
        <v>355</v>
      </c>
      <c r="AF10" s="43" t="s">
        <v>410</v>
      </c>
      <c r="AG10" s="104" t="s">
        <v>375</v>
      </c>
      <c r="AI10" s="76" t="s">
        <v>302</v>
      </c>
      <c r="AJ10" s="43" t="s">
        <v>375</v>
      </c>
      <c r="AK10" s="77" t="s">
        <v>355</v>
      </c>
      <c r="AL10" s="77" t="s">
        <v>376</v>
      </c>
      <c r="AM10" s="43" t="s">
        <v>410</v>
      </c>
      <c r="AN10" s="43" t="s">
        <v>375</v>
      </c>
      <c r="AO10" s="78"/>
      <c r="AP10" s="76" t="s">
        <v>340</v>
      </c>
      <c r="AQ10" s="104" t="s">
        <v>375</v>
      </c>
      <c r="AR10" s="43" t="s">
        <v>355</v>
      </c>
      <c r="AS10" s="77" t="s">
        <v>376</v>
      </c>
      <c r="AT10" s="43" t="s">
        <v>410</v>
      </c>
      <c r="AU10" s="43" t="s">
        <v>375</v>
      </c>
      <c r="AW10" s="172"/>
      <c r="AX10" s="211" t="str">
        <f>D6</f>
        <v>2019-20</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6"/>
    </row>
    <row r="11" spans="1:735">
      <c r="A11" s="84" t="str">
        <f>$D$1&amp;1</f>
        <v>SC1</v>
      </c>
      <c r="B11" s="85" t="str">
        <f>IF(ISERROR(VLOOKUP(A11,classifications!A:C,3,FALSE)),0,VLOOKUP(A11,classifications!A:C,3,FALSE))</f>
        <v>Cumbria</v>
      </c>
      <c r="C11" s="31" t="s">
        <v>4</v>
      </c>
      <c r="D11" s="49" t="str">
        <f>VLOOKUP($C11,classifications!$C:$J,4,FALSE)</f>
        <v>SD</v>
      </c>
      <c r="E11" s="49">
        <f>VLOOKUP(C11,classifications!C:K,9,FALSE)</f>
        <v>0</v>
      </c>
      <c r="F11" s="59">
        <f t="shared" ref="F11:F74" si="0">HLOOKUP($D$6,AX$10:ZX$355,ROW()-9,FALSE)</f>
        <v>0</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Buckinghamshire</v>
      </c>
      <c r="M11" s="153">
        <f t="shared" ref="M11:M74" si="3">IF(L11="","",IF(VLOOKUP(L11,C:D,2,FALSE)=$F$3,VLOOKUP(L11,C:H,6,FALSE),""))</f>
        <v>3.0000000000000001E-3</v>
      </c>
      <c r="N11" s="148">
        <f>IF(L11="","",IF($H$8="%%",M11*100,M11))</f>
        <v>0.3</v>
      </c>
      <c r="O11" s="131">
        <f>IF(I$8="A",IF(N11&gt;=$P$7,IF(N11&lt;=$O$10,N11,""),""),IF(N11&lt;=$P$7,IF(N11&gt;=$O$10,N11,""),""))</f>
        <v>0.3</v>
      </c>
      <c r="P11" s="131" t="str">
        <f>IF(I$8="A",IF(N11&gt;$O$10,IF(N11&lt;=$P$10,N11,""),""),IF(N11&lt;$O$10,IF(N11&gt;=$P$10,N11,""),""))</f>
        <v/>
      </c>
      <c r="Q11" s="131" t="str">
        <f>IF(I$8="A",IF(N11&gt;$P$10,IF(N11&lt;=$Q$10,N11,""),""),IF(N11&lt;$P$10,IF(N11&gt;=$Q$10,N11,""),""))</f>
        <v/>
      </c>
      <c r="R11" s="127" t="str">
        <f>IF(I$8="A",IF(N11&gt;$Q$10,N11,""),IF(N11&lt;$Q$10,N11,""))</f>
        <v/>
      </c>
      <c r="S11" s="60" t="str">
        <f>IF(L11=D$3,"u","")</f>
        <v/>
      </c>
      <c r="T11" s="217">
        <f>IF(L11="","",VLOOKUP(L11,classifications!C:K,9,FALSE))</f>
        <v>0</v>
      </c>
      <c r="U11" s="224" t="str">
        <f>IF(T11="Sparse",M11,"")</f>
        <v/>
      </c>
      <c r="V11" s="225" t="str">
        <f>IF(U11="","",IF($I$8="A",(RANK(U11,U$11:U$355)+COUNTIF(U$11:U11,U11)-1),(RANK(U11,U$11:U$355,1)+COUNTIF(U$11:U11,U11)-1)))</f>
        <v/>
      </c>
      <c r="W11" s="226"/>
      <c r="X11" s="61" t="str">
        <f>IF(L11="","",VLOOKUP($L11,classifications!$C:$J,6,FALSE))</f>
        <v>Significant Rural</v>
      </c>
      <c r="Y11" s="49" t="b">
        <f t="shared" ref="Y11:Y74" si="4">IF($D$1="UA",IF(X11="Largely Rural (rural including hub towns 50-79%) ",M11,IF(X11="Mainly Rural (rural including hub towns &gt;=80%) ",M11,IF(X11="Urban with Significant Rural (rural including hub towns 26-49%)",M11,""))),IF($D$1="SD",IF(X11=$H$3,M11,"")))</f>
        <v>0</v>
      </c>
      <c r="Z11" s="57" t="e">
        <f>IF(Y11="","",IF(I$8="A",(RANK(Y11,Y$11:Y$355,1)+COUNTIF(Y$11:Y11,Y11)-1),(RANK(Y11,Y$11:Y$355)+COUNTIF(Y$11:Y11,Y11)-1)))</f>
        <v>#N/A</v>
      </c>
      <c r="AA11" s="231" t="str">
        <f>IF(L11="","",VLOOKUP($L11,classifications!C:I,7,FALSE))</f>
        <v>Significant Rural</v>
      </c>
      <c r="AB11" s="225" t="str">
        <f>IF(AA11=$J$3,M11,"")</f>
        <v/>
      </c>
      <c r="AC11" s="225" t="str">
        <f>IF(AB11="","",IF($I$8="A",(RANK(AB11,AB$11:AB$355)+COUNTIF(AB$11:AB11,AB11)-1),(RANK(AB11,AB$11:AB$355,1)+COUNTIF(AB$11:AB11,AB11)-1)))</f>
        <v/>
      </c>
      <c r="AD11" s="225"/>
      <c r="AE11" s="71">
        <f>IF(I$8="A",(RANK(AG11,AG$11:AG$355,1)+COUNTIF(AG$11:AG11,AG11)-1),(RANK(AG11,AG$11:AG$355)+COUNTIF(AG$11:AG11,AG11)-1))</f>
        <v>9</v>
      </c>
      <c r="AF11" s="69" t="str">
        <f>'Filtered Data'!D3</f>
        <v>Cumbria</v>
      </c>
      <c r="AG11" s="142">
        <f>VLOOKUP(Profile!$J$5,$C$11:$H$355,4,FALSE)</f>
        <v>0.111</v>
      </c>
      <c r="AH11" s="72">
        <f>AE11</f>
        <v>9</v>
      </c>
      <c r="AI11" s="61" t="str">
        <f>IF(L11="","",VLOOKUP($L11,classifications!$C:$J,8,FALSE))</f>
        <v>Buckinghamshire</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Cumbria</v>
      </c>
      <c r="AN11" s="31">
        <f t="shared" ref="AN11:AN74" si="7">(VLOOKUP(AM11,L:M,2,FALSE))</f>
        <v>0.111</v>
      </c>
      <c r="AP11" s="61" t="str">
        <f>IF(L11="","",VLOOKUP($L11,classifications!$C:$E,3,FALSE))</f>
        <v>South East</v>
      </c>
      <c r="AQ11" s="62" t="str">
        <f>IF(AP11=$G$3,$M11,"")</f>
        <v/>
      </c>
      <c r="AR11" s="57" t="str">
        <f>IF(AQ11="","",IF(I$8="A",(RANK(AQ11,AQ$11:AQ$355,1)+COUNTIF(AQ$11:AQ11,AQ11)-1),(RANK(AQ11,AQ$11:AQ$355)+COUNTIF(AQ$11:AQ11,AQ11)-1)))</f>
        <v/>
      </c>
      <c r="AS11" s="57">
        <v>1</v>
      </c>
      <c r="AT11" s="57" t="str">
        <f t="shared" ref="AT11:AT74" si="8">IF(AS11="","",INDEX(L$11:L$355,MATCH(AS11,AR$11:AR$355,0)))</f>
        <v>Cumbria</v>
      </c>
      <c r="AU11" s="62">
        <f t="shared" ref="AU11:AU74" si="9">IF(AT11="","",VLOOKUP(AT11,L:M,2,FALSE))</f>
        <v>0.111</v>
      </c>
      <c r="AX11" s="44">
        <f>HLOOKUP($AX$9&amp;$AX$10,Data!$A$1:$ZZ$1992,(MATCH($C11,Data!$A$1:$A$1992,0)),FALSE)</f>
        <v>0</v>
      </c>
      <c r="AY11" s="156"/>
      <c r="AZ11" s="44"/>
    </row>
    <row r="12" spans="1:735">
      <c r="A12" s="84" t="str">
        <f>$D$1&amp;2</f>
        <v>SC2</v>
      </c>
      <c r="B12" s="85" t="str">
        <f>IF(ISERROR(VLOOKUP(A12,classifications!A:C,3,FALSE)),0,VLOOKUP(A12,classifications!A:C,3,FALSE))</f>
        <v>Derbyshire</v>
      </c>
      <c r="C12" s="31" t="s">
        <v>6</v>
      </c>
      <c r="D12" s="49" t="str">
        <f>VLOOKUP($C12,classifications!$C:$J,4,FALSE)</f>
        <v>SD</v>
      </c>
      <c r="E12" s="49" t="str">
        <f>VLOOKUP(C12,classifications!C:K,9,FALSE)</f>
        <v>Sparse</v>
      </c>
      <c r="F12" s="59">
        <f t="shared" si="0"/>
        <v>0</v>
      </c>
      <c r="G12" s="105"/>
      <c r="H12" s="60" t="str">
        <f t="shared" si="1"/>
        <v/>
      </c>
      <c r="I12" s="112" t="str">
        <f>IF(H12="","",IF($I$8="A",(RANK(H12,H$11:H$355,1)+COUNTIF(H$11:H12,H12)-1),(RANK(H12,H$11:H$355)+COUNTIF(H$11:H12,H12)-1)))</f>
        <v/>
      </c>
      <c r="J12" s="58"/>
      <c r="K12" s="51">
        <f t="shared" ref="K12:K75" si="10">IF(K11="","",IF(K11+1&gt;(COUNT(H$11:H$355)),"",K11+1))</f>
        <v>2</v>
      </c>
      <c r="L12" s="59" t="str">
        <f t="shared" si="2"/>
        <v>Staffordshire</v>
      </c>
      <c r="M12" s="153">
        <f t="shared" si="3"/>
        <v>1.2999999999999999E-2</v>
      </c>
      <c r="N12" s="148">
        <f>IF(L12="","",IF($H$8="%%",M12*100,M12))</f>
        <v>1.3</v>
      </c>
      <c r="O12" s="131">
        <f t="shared" ref="O12:O74" si="11">IF(I$8="A",IF(N12&gt;=$P$7,IF(N12&lt;=$O$10,N12,""),""),IF(N12&lt;=$P$7,IF(N12&gt;=$O$10,N12,""),""))</f>
        <v>1.3</v>
      </c>
      <c r="P12" s="131" t="str">
        <f>IF(I$8="A",IF(N12&gt;$O$10,IF(N12&lt;=$P$10,N12,""),""),IF(N12&lt;$O$10,IF(N12&gt;=$P$10,N12,""),""))</f>
        <v/>
      </c>
      <c r="Q12" s="131" t="str">
        <f>IF(I$8="A",IF(N12&gt;$P$10,IF(N12&lt;=$Q$10,N12,""),""),IF(N12&lt;$P$10,IF(N12&gt;=$Q$10,N12,""),""))</f>
        <v/>
      </c>
      <c r="R12" s="127" t="str">
        <f>IF(I$8="A",IF(N12&gt;$Q$10,N12,""),IF(N12&lt;$Q$10,N12,""))</f>
        <v/>
      </c>
      <c r="S12" s="60" t="str">
        <f t="shared" ref="S12:S75" si="12">IF(L12=D$3,"u","")</f>
        <v/>
      </c>
      <c r="T12" s="217" t="str">
        <f>IF(L12="","",VLOOKUP(L12,classifications!C:K,9,FALSE))</f>
        <v>Sparse</v>
      </c>
      <c r="U12" s="224">
        <f t="shared" ref="U12:U42" si="13">IF(T12="Sparse",M12,"")</f>
        <v>1.2999999999999999E-2</v>
      </c>
      <c r="V12" s="225">
        <f>IF(U12="","",IF($I$8="A",(RANK(U12,U$11:U$355)+COUNTIF(U$11:U12,U12)-1),(RANK(U12,U$11:U$355,1)+COUNTIF(U$11:U12,U12)-1)))</f>
        <v>16</v>
      </c>
      <c r="W12" s="226"/>
      <c r="X12" s="61" t="str">
        <f>IF(L12="","",VLOOKUP($L12,classifications!$C:$J,6,FALSE))</f>
        <v>Significant Rural</v>
      </c>
      <c r="Y12" s="49" t="b">
        <f t="shared" si="4"/>
        <v>0</v>
      </c>
      <c r="Z12" s="57" t="e">
        <f>IF(Y12="","",IF(I$8="A",(RANK(Y12,Y$11:Y$355,1)+COUNTIF(Y$11:Y12,Y12)-1),(RANK(Y12,Y$11:Y$355)+COUNTIF(Y$11:Y12,Y12)-1)))</f>
        <v>#N/A</v>
      </c>
      <c r="AA12" s="231" t="str">
        <f>IF(L12="","",VLOOKUP($L12,classifications!C:I,7,FALSE))</f>
        <v>Significant Rural</v>
      </c>
      <c r="AB12" s="225" t="str">
        <f t="shared" ref="AB12:AB75" si="14">IF(AA12=$J$3,M12,"")</f>
        <v/>
      </c>
      <c r="AC12" s="225" t="str">
        <f>IF(AB12="","",IF($I$8="A",(RANK(AB12,AB$11:AB$355)+COUNTIF(AB$11:AB12,AB12)-1),(RANK(AB12,AB$11:AB$355,1)+COUNTIF(AB$11:AB12,AB12)-1)))</f>
        <v/>
      </c>
      <c r="AD12" s="225"/>
      <c r="AE12" s="71">
        <f>IF(I$8="A",(RANK(AG12,AG$11:AG$355,1)+COUNTIF(AG$11:AG12,AG12)-1),(RANK(AG12,AG$11:AG$355)+COUNTIF(AG$11:AG12,AG12)-1))</f>
        <v>13</v>
      </c>
      <c r="AF12" s="6" t="str">
        <f>VLOOKUP(Profile!$J$5,Families!$C:$R,2,FALSE)</f>
        <v>Derbyshire</v>
      </c>
      <c r="AG12" s="143">
        <f t="shared" ref="AG12:AG26" si="15">VLOOKUP(AF12,$C$11:$H$355,4,FALSE)</f>
        <v>0.2</v>
      </c>
      <c r="AH12" s="72">
        <f>AE12</f>
        <v>13</v>
      </c>
      <c r="AI12" s="61" t="str">
        <f>IF(L12="","",VLOOKUP($L12,classifications!$C:$J,8,FALSE))</f>
        <v>Staffordshire</v>
      </c>
      <c r="AJ12" s="62" t="str">
        <f t="shared" si="5"/>
        <v/>
      </c>
      <c r="AK12" s="57" t="str">
        <f>IF(AJ12="","",IF(I$8="A",(RANK(AJ12,AJ$11:AJ$355,1)+COUNTIF(AJ$11:AJ12,AJ12)-1),(RANK(AJ12,AJ$11:AJ$355)+COUNTIF(AJ$11:AJ12,AJ12)-1)))</f>
        <v/>
      </c>
      <c r="AL12" s="52" t="str">
        <f t="shared" ref="AL12:AL75" si="16">IF(AL11="","",IF(AL11+1&gt;(COUNT(AJ$11:AJ$355)),"",AL11+1))</f>
        <v/>
      </c>
      <c r="AM12" s="31" t="str">
        <f t="shared" si="6"/>
        <v/>
      </c>
      <c r="AN12" s="31" t="str">
        <f t="shared" si="7"/>
        <v/>
      </c>
      <c r="AP12" s="61" t="str">
        <f>IF(L12="","",VLOOKUP($L12,classifications!$C:$E,3,FALSE))</f>
        <v>West Midlands</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Lancashire</v>
      </c>
      <c r="AU12" s="62">
        <f t="shared" si="9"/>
        <v>0.35199999999999998</v>
      </c>
      <c r="AX12" s="44">
        <f>HLOOKUP($AX$9&amp;$AX$10,Data!$A$1:$ZZ$1992,(MATCH($C12,Data!$A$1:$A$1992,0)),FALSE)</f>
        <v>0</v>
      </c>
      <c r="AY12" s="156"/>
      <c r="AZ12" s="44"/>
    </row>
    <row r="13" spans="1:735">
      <c r="A13" s="84" t="str">
        <f>$D$1&amp;3</f>
        <v>SC3</v>
      </c>
      <c r="B13" s="85" t="str">
        <f>IF(ISERROR(VLOOKUP(A13,classifications!A:C,3,FALSE)),0,VLOOKUP(A13,classifications!A:C,3,FALSE))</f>
        <v>Devon</v>
      </c>
      <c r="C13" s="31" t="s">
        <v>7</v>
      </c>
      <c r="D13" s="49" t="str">
        <f>VLOOKUP($C13,classifications!$C:$J,4,FALSE)</f>
        <v>SD</v>
      </c>
      <c r="E13" s="49">
        <f>VLOOKUP(C13,classifications!C:K,9,FALSE)</f>
        <v>0</v>
      </c>
      <c r="F13" s="59">
        <f t="shared" si="0"/>
        <v>0</v>
      </c>
      <c r="G13" s="105"/>
      <c r="H13" s="60" t="str">
        <f t="shared" si="1"/>
        <v/>
      </c>
      <c r="I13" s="112" t="str">
        <f>IF(H13="","",IF($I$8="A",(RANK(H13,H$11:H$355,1)+COUNTIF(H$11:H13,H13)-1),(RANK(H13,H$11:H$355)+COUNTIF(H$11:H13,H13)-1)))</f>
        <v/>
      </c>
      <c r="J13" s="58"/>
      <c r="K13" s="51">
        <f t="shared" si="10"/>
        <v>3</v>
      </c>
      <c r="L13" s="59" t="str">
        <f t="shared" si="2"/>
        <v>Kent</v>
      </c>
      <c r="M13" s="153">
        <f t="shared" si="3"/>
        <v>1.4999999999999999E-2</v>
      </c>
      <c r="N13" s="148">
        <f>IF(L13="","",IF($H$8="%%",M13*100,M13))</f>
        <v>1.5</v>
      </c>
      <c r="O13" s="131">
        <f t="shared" si="11"/>
        <v>1.5</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17">
        <f>IF(L13="","",VLOOKUP(L13,classifications!C:K,9,FALSE))</f>
        <v>0</v>
      </c>
      <c r="U13" s="224" t="str">
        <f t="shared" si="13"/>
        <v/>
      </c>
      <c r="V13" s="225" t="str">
        <f>IF(U13="","",IF($I$8="A",(RANK(U13,U$11:U$355)+COUNTIF(U$11:U13,U13)-1),(RANK(U13,U$11:U$355,1)+COUNTIF(U$11:U13,U13)-1)))</f>
        <v/>
      </c>
      <c r="W13" s="226"/>
      <c r="X13" s="61" t="str">
        <f>IF(L13="","",VLOOKUP($L13,classifications!$C:$J,6,FALSE))</f>
        <v>Significant Rural</v>
      </c>
      <c r="Y13" s="49" t="b">
        <f t="shared" si="4"/>
        <v>0</v>
      </c>
      <c r="Z13" s="57" t="e">
        <f>IF(Y13="","",IF(I$8="A",(RANK(Y13,Y$11:Y$355,1)+COUNTIF(Y$11:Y13,Y13)-1),(RANK(Y13,Y$11:Y$355)+COUNTIF(Y$11:Y13,Y13)-1)))</f>
        <v>#N/A</v>
      </c>
      <c r="AA13" s="231" t="str">
        <f>IF(L13="","",VLOOKUP($L13,classifications!C:I,7,FALSE))</f>
        <v>Significant Rural</v>
      </c>
      <c r="AB13" s="225" t="str">
        <f>IF(AA13=$J$3,M13,"")</f>
        <v/>
      </c>
      <c r="AC13" s="225" t="str">
        <f>IF(AB13="","",IF($I$8="A",(RANK(AB13,AB$11:AB$355)+COUNTIF(AB$11:AB13,AB13)-1),(RANK(AB13,AB$11:AB$355,1)+COUNTIF(AB$11:AB13,AB13)-1)))</f>
        <v/>
      </c>
      <c r="AD13" s="225"/>
      <c r="AE13" s="71">
        <f>IF(I$8="A",(RANK(AG13,AG$11:AG$355,1)+COUNTIF(AG$11:AG13,AG13)-1),(RANK(AG13,AG$11:AG$355)+COUNTIF(AG$11:AG13,AG13)-1))</f>
        <v>6</v>
      </c>
      <c r="AF13" s="6" t="str">
        <f>VLOOKUP(Profile!$J$5,Families!$C:$R,3,FALSE)</f>
        <v>North Yorkshire</v>
      </c>
      <c r="AG13" s="143">
        <f t="shared" si="15"/>
        <v>8.6999999999999994E-2</v>
      </c>
      <c r="AH13" s="72">
        <f t="shared" ref="AH13:AH26" si="22">AE13</f>
        <v>6</v>
      </c>
      <c r="AI13" s="61" t="str">
        <f>IF(L13="","",VLOOKUP($L13,classifications!$C:$J,8,FALSE))</f>
        <v>Kent</v>
      </c>
      <c r="AJ13" s="62" t="str">
        <f>IF(AI13=$I$3,M13,"")</f>
        <v/>
      </c>
      <c r="AK13" s="57" t="str">
        <f>IF(AJ13="","",IF(I$8="A",(RANK(AJ13,AJ$11:AJ$355,1)+COUNTIF(AJ$11:AJ13,AJ13)-1),(RANK(AJ13,AJ$11:AJ$355)+COUNTIF(AJ$11:AJ13,AJ13)-1)))</f>
        <v/>
      </c>
      <c r="AL13" s="52" t="str">
        <f t="shared" si="16"/>
        <v/>
      </c>
      <c r="AM13" s="31" t="str">
        <f t="shared" si="6"/>
        <v/>
      </c>
      <c r="AN13" s="31" t="str">
        <f t="shared" si="7"/>
        <v/>
      </c>
      <c r="AP13" s="61" t="str">
        <f>IF(L13="","",VLOOKUP($L13,classifications!$C:$E,3,FALSE))</f>
        <v>East of England</v>
      </c>
      <c r="AQ13" s="62" t="str">
        <f t="shared" si="17"/>
        <v/>
      </c>
      <c r="AR13" s="57" t="str">
        <f>IF(AQ13="","",IF(I$8="A",(RANK(AQ13,AQ$11:AQ$355,1)+COUNTIF(AQ$11:AQ13,AQ13)-1),(RANK(AQ13,AQ$11:AQ$355)+COUNTIF(AQ$11:AQ13,AQ13)-1)))</f>
        <v/>
      </c>
      <c r="AS13" s="52" t="str">
        <f t="shared" si="18"/>
        <v/>
      </c>
      <c r="AT13" s="57" t="str">
        <f t="shared" si="8"/>
        <v/>
      </c>
      <c r="AU13" s="62" t="str">
        <f t="shared" si="9"/>
        <v/>
      </c>
      <c r="AX13" s="44">
        <f>HLOOKUP($AX$9&amp;$AX$10,Data!$A$1:$ZZ$1992,(MATCH($C13,Data!$A$1:$A$1992,0)),FALSE)</f>
        <v>0</v>
      </c>
      <c r="AY13" s="156"/>
      <c r="AZ13" s="44"/>
    </row>
    <row r="14" spans="1:735">
      <c r="A14" s="84" t="str">
        <f>$D$1&amp;4</f>
        <v>SC4</v>
      </c>
      <c r="B14" s="85" t="str">
        <f>IF(ISERROR(VLOOKUP(A14,classifications!A:C,3,FALSE)),0,VLOOKUP(A14,classifications!A:C,3,FALSE))</f>
        <v>East Sussex</v>
      </c>
      <c r="C14" s="31" t="s">
        <v>8</v>
      </c>
      <c r="D14" s="49" t="str">
        <f>VLOOKUP($C14,classifications!$C:$J,4,FALSE)</f>
        <v>SD</v>
      </c>
      <c r="E14" s="49">
        <f>VLOOKUP(C14,classifications!C:K,9,FALSE)</f>
        <v>0</v>
      </c>
      <c r="F14" s="59">
        <f t="shared" si="0"/>
        <v>0</v>
      </c>
      <c r="G14" s="105"/>
      <c r="H14" s="60" t="str">
        <f t="shared" si="1"/>
        <v/>
      </c>
      <c r="I14" s="112" t="str">
        <f>IF(H14="","",IF($I$8="A",(RANK(H14,H$11:H$355,1)+COUNTIF(H$11:H14,H14)-1),(RANK(H14,H$11:H$355)+COUNTIF(H$11:H14,H14)-1)))</f>
        <v/>
      </c>
      <c r="J14" s="58"/>
      <c r="K14" s="51">
        <f t="shared" si="10"/>
        <v>4</v>
      </c>
      <c r="L14" s="59" t="str">
        <f t="shared" si="2"/>
        <v>Suffolk</v>
      </c>
      <c r="M14" s="153">
        <f t="shared" si="3"/>
        <v>3.1E-2</v>
      </c>
      <c r="N14" s="148">
        <f t="shared" ref="N14:N75" si="23">IF(L14="","",IF($H$8="%%",M14*100,M14))</f>
        <v>3.1</v>
      </c>
      <c r="O14" s="131">
        <f t="shared" si="11"/>
        <v>3.1</v>
      </c>
      <c r="P14" s="131" t="str">
        <f t="shared" si="19"/>
        <v/>
      </c>
      <c r="Q14" s="131" t="str">
        <f t="shared" si="20"/>
        <v/>
      </c>
      <c r="R14" s="127" t="str">
        <f t="shared" si="21"/>
        <v/>
      </c>
      <c r="S14" s="60" t="str">
        <f t="shared" si="12"/>
        <v/>
      </c>
      <c r="T14" s="217" t="str">
        <f>IF(L14="","",VLOOKUP(L14,classifications!C:K,9,FALSE))</f>
        <v>Sparse</v>
      </c>
      <c r="U14" s="224">
        <f t="shared" si="13"/>
        <v>3.1E-2</v>
      </c>
      <c r="V14" s="225">
        <f>IF(U14="","",IF($I$8="A",(RANK(U14,U$11:U$355)+COUNTIF(U$11:U14,U14)-1),(RANK(U14,U$11:U$355,1)+COUNTIF(U$11:U14,U14)-1)))</f>
        <v>15</v>
      </c>
      <c r="W14" s="226"/>
      <c r="X14" s="61" t="str">
        <f>IF(L14="","",VLOOKUP($L14,classifications!$C:$J,6,FALSE))</f>
        <v>Predominantly Rural</v>
      </c>
      <c r="Y14" s="49" t="b">
        <f t="shared" si="4"/>
        <v>0</v>
      </c>
      <c r="Z14" s="57" t="e">
        <f>IF(Y14="","",IF(I$8="A",(RANK(Y14,Y$11:Y$355,1)+COUNTIF(Y$11:Y14,Y14)-1),(RANK(Y14,Y$11:Y$355)+COUNTIF(Y$11:Y14,Y14)-1)))</f>
        <v>#N/A</v>
      </c>
      <c r="AA14" s="231" t="str">
        <f>IF(L14="","",VLOOKUP($L14,classifications!C:I,7,FALSE))</f>
        <v>Predominantly Rural</v>
      </c>
      <c r="AB14" s="225">
        <f t="shared" si="14"/>
        <v>3.1E-2</v>
      </c>
      <c r="AC14" s="225">
        <f>IF(AB14="","",IF($I$8="A",(RANK(AB14,AB$11:AB$355)+COUNTIF(AB$11:AB14,AB14)-1),(RANK(AB14,AB$11:AB$355,1)+COUNTIF(AB$11:AB14,AB14)-1)))</f>
        <v>8</v>
      </c>
      <c r="AD14" s="225"/>
      <c r="AE14" s="71">
        <f>IF(I$8="A",(RANK(AG14,AG$11:AG$355,1)+COUNTIF(AG$11:AG14,AG14)-1),(RANK(AG14,AG$11:AG$355)+COUNTIF(AG$11:AG14,AG14)-1))</f>
        <v>3</v>
      </c>
      <c r="AF14" s="6" t="str">
        <f>VLOOKUP(Profile!$J$5,Families!$C:$R,4,FALSE)</f>
        <v>Lincolnshire</v>
      </c>
      <c r="AG14" s="143">
        <f t="shared" si="15"/>
        <v>3.2000000000000001E-2</v>
      </c>
      <c r="AH14" s="72">
        <f t="shared" si="22"/>
        <v>3</v>
      </c>
      <c r="AI14" s="61" t="str">
        <f>IF(L14="","",VLOOKUP($L14,classifications!$C:$J,8,FALSE))</f>
        <v>Suffolk</v>
      </c>
      <c r="AJ14" s="62" t="str">
        <f t="shared" si="5"/>
        <v/>
      </c>
      <c r="AK14" s="57" t="str">
        <f>IF(AJ14="","",IF(I$8="A",(RANK(AJ14,AJ$11:AJ$355,1)+COUNTIF(AJ$11:AJ14,AJ14)-1),(RANK(AJ14,AJ$11:AJ$355)+COUNTIF(AJ$11:AJ14,AJ14)-1)))</f>
        <v/>
      </c>
      <c r="AL14" s="52" t="str">
        <f t="shared" si="16"/>
        <v/>
      </c>
      <c r="AM14" s="31" t="str">
        <f t="shared" si="6"/>
        <v/>
      </c>
      <c r="AN14" s="31" t="str">
        <f t="shared" si="7"/>
        <v/>
      </c>
      <c r="AP14" s="61" t="str">
        <f>IF(L14="","",VLOOKUP($L14,classifications!$C:$E,3,FALSE))</f>
        <v>East of England</v>
      </c>
      <c r="AQ14" s="62" t="str">
        <f t="shared" si="17"/>
        <v/>
      </c>
      <c r="AR14" s="57" t="str">
        <f>IF(AQ14="","",IF(I$8="A",(RANK(AQ14,AQ$11:AQ$355,1)+COUNTIF(AQ$11:AQ14,AQ14)-1),(RANK(AQ14,AQ$11:AQ$355)+COUNTIF(AQ$11:AQ14,AQ14)-1)))</f>
        <v/>
      </c>
      <c r="AS14" s="52" t="str">
        <f t="shared" si="18"/>
        <v/>
      </c>
      <c r="AT14" s="57" t="str">
        <f t="shared" si="8"/>
        <v/>
      </c>
      <c r="AU14" s="62" t="str">
        <f t="shared" si="9"/>
        <v/>
      </c>
      <c r="AX14" s="44">
        <f>HLOOKUP($AX$9&amp;$AX$10,Data!$A$1:$ZZ$1992,(MATCH($C14,Data!$A$1:$A$1992,0)),FALSE)</f>
        <v>0</v>
      </c>
      <c r="AY14" s="156"/>
      <c r="AZ14" s="44"/>
    </row>
    <row r="15" spans="1:735">
      <c r="A15" s="84" t="str">
        <f>$D$1&amp;5</f>
        <v>SC5</v>
      </c>
      <c r="B15" s="85" t="str">
        <f>IF(ISERROR(VLOOKUP(A15,classifications!A:C,3,FALSE)),0,VLOOKUP(A15,classifications!A:C,3,FALSE))</f>
        <v>Essex</v>
      </c>
      <c r="C15" s="31" t="s">
        <v>9</v>
      </c>
      <c r="D15" s="49" t="str">
        <f>VLOOKUP($C15,classifications!$C:$J,4,FALSE)</f>
        <v>SD</v>
      </c>
      <c r="E15" s="49">
        <f>VLOOKUP(C15,classifications!C:K,9,FALSE)</f>
        <v>0</v>
      </c>
      <c r="F15" s="59">
        <f t="shared" si="0"/>
        <v>0</v>
      </c>
      <c r="G15" s="105"/>
      <c r="H15" s="60" t="str">
        <f t="shared" si="1"/>
        <v/>
      </c>
      <c r="I15" s="112" t="str">
        <f>IF(H15="","",IF($I$8="A",(RANK(H15,H$11:H$355,1)+COUNTIF(H$11:H15,H15)-1),(RANK(H15,H$11:H$355)+COUNTIF(H$11:H15,H15)-1)))</f>
        <v/>
      </c>
      <c r="J15" s="58"/>
      <c r="K15" s="51">
        <f t="shared" si="10"/>
        <v>5</v>
      </c>
      <c r="L15" s="59" t="str">
        <f t="shared" si="2"/>
        <v>Lincolnshire</v>
      </c>
      <c r="M15" s="153">
        <f t="shared" si="3"/>
        <v>3.2000000000000001E-2</v>
      </c>
      <c r="N15" s="148">
        <f t="shared" si="23"/>
        <v>3.2</v>
      </c>
      <c r="O15" s="131">
        <f t="shared" si="11"/>
        <v>3.2</v>
      </c>
      <c r="P15" s="131" t="str">
        <f t="shared" si="19"/>
        <v/>
      </c>
      <c r="Q15" s="131" t="str">
        <f t="shared" si="20"/>
        <v/>
      </c>
      <c r="R15" s="127" t="str">
        <f t="shared" si="21"/>
        <v/>
      </c>
      <c r="S15" s="60" t="str">
        <f t="shared" si="12"/>
        <v/>
      </c>
      <c r="T15" s="217" t="str">
        <f>IF(L15="","",VLOOKUP(L15,classifications!C:K,9,FALSE))</f>
        <v>Sparse</v>
      </c>
      <c r="U15" s="224">
        <f t="shared" si="13"/>
        <v>3.2000000000000001E-2</v>
      </c>
      <c r="V15" s="225">
        <f>IF(U15="","",IF($I$8="A",(RANK(U15,U$11:U$355)+COUNTIF(U$11:U15,U15)-1),(RANK(U15,U$11:U$355,1)+COUNTIF(U$11:U15,U15)-1)))</f>
        <v>14</v>
      </c>
      <c r="W15" s="226"/>
      <c r="X15" s="61" t="str">
        <f>IF(L15="","",VLOOKUP($L15,classifications!$C:$J,6,FALSE))</f>
        <v>Predominantly Rural</v>
      </c>
      <c r="Y15" s="49" t="b">
        <f t="shared" si="4"/>
        <v>0</v>
      </c>
      <c r="Z15" s="57" t="e">
        <f>IF(Y15="","",IF(I$8="A",(RANK(Y15,Y$11:Y$355,1)+COUNTIF(Y$11:Y15,Y15)-1),(RANK(Y15,Y$11:Y$355)+COUNTIF(Y$11:Y15,Y15)-1)))</f>
        <v>#N/A</v>
      </c>
      <c r="AA15" s="231" t="str">
        <f>IF(L15="","",VLOOKUP($L15,classifications!C:I,7,FALSE))</f>
        <v>Predominantly Rural</v>
      </c>
      <c r="AB15" s="225">
        <f t="shared" si="14"/>
        <v>3.2000000000000001E-2</v>
      </c>
      <c r="AC15" s="225">
        <f>IF(AB15="","",IF($I$8="A",(RANK(AB15,AB$11:AB$355)+COUNTIF(AB$11:AB15,AB15)-1),(RANK(AB15,AB$11:AB$355,1)+COUNTIF(AB$11:AB15,AB15)-1)))</f>
        <v>7</v>
      </c>
      <c r="AD15" s="225"/>
      <c r="AE15" s="71">
        <f>IF(I$8="A",(RANK(AG15,AG$11:AG$355,1)+COUNTIF(AG$11:AG15,AG15)-1),(RANK(AG15,AG$11:AG$355)+COUNTIF(AG$11:AG15,AG15)-1))</f>
        <v>1</v>
      </c>
      <c r="AF15" s="6" t="str">
        <f>VLOOKUP(Profile!$J$5,Families!$C:$R,5,FALSE)</f>
        <v>Staffordshire</v>
      </c>
      <c r="AG15" s="143">
        <f t="shared" si="15"/>
        <v>1.2999999999999999E-2</v>
      </c>
      <c r="AH15" s="72">
        <f t="shared" si="22"/>
        <v>1</v>
      </c>
      <c r="AI15" s="61" t="str">
        <f>IF(L15="","",VLOOKUP($L15,classifications!$C:$J,8,FALSE))</f>
        <v>Lincolnshire</v>
      </c>
      <c r="AJ15" s="62" t="str">
        <f t="shared" si="5"/>
        <v/>
      </c>
      <c r="AK15" s="57" t="str">
        <f>IF(AJ15="","",IF(I$8="A",(RANK(AJ15,AJ$11:AJ$355,1)+COUNTIF(AJ$11:AJ15,AJ15)-1),(RANK(AJ15,AJ$11:AJ$355)+COUNTIF(AJ$11:AJ15,AJ15)-1)))</f>
        <v/>
      </c>
      <c r="AL15" s="52" t="str">
        <f t="shared" si="16"/>
        <v/>
      </c>
      <c r="AM15" s="31" t="str">
        <f t="shared" si="6"/>
        <v/>
      </c>
      <c r="AN15" s="31" t="str">
        <f t="shared" si="7"/>
        <v/>
      </c>
      <c r="AP15" s="61" t="str">
        <f>IF(L15="","",VLOOKUP($L15,classifications!$C:$E,3,FALSE))</f>
        <v>East Midlands</v>
      </c>
      <c r="AQ15" s="62" t="str">
        <f t="shared" si="17"/>
        <v/>
      </c>
      <c r="AR15" s="57" t="str">
        <f>IF(AQ15="","",IF(I$8="A",(RANK(AQ15,AQ$11:AQ$355,1)+COUNTIF(AQ$11:AQ15,AQ15)-1),(RANK(AQ15,AQ$11:AQ$355)+COUNTIF(AQ$11:AQ15,AQ15)-1)))</f>
        <v/>
      </c>
      <c r="AS15" s="52" t="str">
        <f t="shared" si="18"/>
        <v/>
      </c>
      <c r="AT15" s="57" t="str">
        <f t="shared" si="8"/>
        <v/>
      </c>
      <c r="AU15" s="62" t="str">
        <f t="shared" si="9"/>
        <v/>
      </c>
      <c r="AX15" s="44">
        <f>HLOOKUP($AX$9&amp;$AX$10,Data!$A$1:$ZZ$1992,(MATCH($C15,Data!$A$1:$A$1992,0)),FALSE)</f>
        <v>0</v>
      </c>
      <c r="AY15" s="156"/>
      <c r="AZ15" s="44"/>
    </row>
    <row r="16" spans="1:735">
      <c r="A16" s="84" t="str">
        <f>$D$1&amp;6</f>
        <v>SC6</v>
      </c>
      <c r="B16" s="85" t="str">
        <f>IF(ISERROR(VLOOKUP(A16,classifications!A:C,3,FALSE)),0,VLOOKUP(A16,classifications!A:C,3,FALSE))</f>
        <v>Hampshire</v>
      </c>
      <c r="C16" s="31" t="s">
        <v>10</v>
      </c>
      <c r="D16" s="49" t="str">
        <f>VLOOKUP($C16,classifications!$C:$J,4,FALSE)</f>
        <v>SD</v>
      </c>
      <c r="E16" s="49" t="str">
        <f>VLOOKUP(C16,classifications!C:K,9,FALSE)</f>
        <v>Sparse</v>
      </c>
      <c r="F16" s="59">
        <f t="shared" si="0"/>
        <v>0</v>
      </c>
      <c r="G16" s="105"/>
      <c r="H16" s="60" t="str">
        <f t="shared" si="1"/>
        <v/>
      </c>
      <c r="I16" s="112" t="str">
        <f>IF(H16="","",IF($I$8="A",(RANK(H16,H$11:H$355,1)+COUNTIF(H$11:H16,H16)-1),(RANK(H16,H$11:H$355)+COUNTIF(H$11:H16,H16)-1)))</f>
        <v/>
      </c>
      <c r="J16" s="58"/>
      <c r="K16" s="51">
        <f t="shared" si="10"/>
        <v>6</v>
      </c>
      <c r="L16" s="59" t="str">
        <f t="shared" si="2"/>
        <v>East Sussex</v>
      </c>
      <c r="M16" s="153">
        <f t="shared" si="3"/>
        <v>3.5999999999999997E-2</v>
      </c>
      <c r="N16" s="148">
        <f t="shared" si="23"/>
        <v>3.5999999999999996</v>
      </c>
      <c r="O16" s="131">
        <f t="shared" si="11"/>
        <v>3.5999999999999996</v>
      </c>
      <c r="P16" s="131" t="str">
        <f t="shared" si="19"/>
        <v/>
      </c>
      <c r="Q16" s="131" t="str">
        <f t="shared" si="20"/>
        <v/>
      </c>
      <c r="R16" s="127" t="str">
        <f t="shared" si="21"/>
        <v/>
      </c>
      <c r="S16" s="60" t="str">
        <f t="shared" si="12"/>
        <v/>
      </c>
      <c r="T16" s="217" t="str">
        <f>IF(L16="","",VLOOKUP(L16,classifications!C:K,9,FALSE))</f>
        <v>Sparse</v>
      </c>
      <c r="U16" s="224">
        <f t="shared" si="13"/>
        <v>3.5999999999999997E-2</v>
      </c>
      <c r="V16" s="225">
        <f>IF(U16="","",IF($I$8="A",(RANK(U16,U$11:U$355)+COUNTIF(U$11:U16,U16)-1),(RANK(U16,U$11:U$355,1)+COUNTIF(U$11:U16,U16)-1)))</f>
        <v>13</v>
      </c>
      <c r="W16" s="226"/>
      <c r="X16" s="61" t="str">
        <f>IF(L16="","",VLOOKUP($L16,classifications!$C:$J,6,FALSE))</f>
        <v>Significant Rural</v>
      </c>
      <c r="Y16" s="49" t="b">
        <f t="shared" si="4"/>
        <v>0</v>
      </c>
      <c r="Z16" s="57" t="e">
        <f>IF(Y16="","",IF(I$8="A",(RANK(Y16,Y$11:Y$355,1)+COUNTIF(Y$11:Y16,Y16)-1),(RANK(Y16,Y$11:Y$355)+COUNTIF(Y$11:Y16,Y16)-1)))</f>
        <v>#N/A</v>
      </c>
      <c r="AA16" s="231" t="str">
        <f>IF(L16="","",VLOOKUP($L16,classifications!C:I,7,FALSE))</f>
        <v>Significant Rural</v>
      </c>
      <c r="AB16" s="225" t="str">
        <f t="shared" si="14"/>
        <v/>
      </c>
      <c r="AC16" s="225" t="str">
        <f>IF(AB16="","",IF($I$8="A",(RANK(AB16,AB$11:AB$355)+COUNTIF(AB$11:AB16,AB16)-1),(RANK(AB16,AB$11:AB$355,1)+COUNTIF(AB$11:AB16,AB16)-1)))</f>
        <v/>
      </c>
      <c r="AD16" s="225"/>
      <c r="AE16" s="71">
        <f>IF(I$8="A",(RANK(AG16,AG$11:AG$355,1)+COUNTIF(AG$11:AG16,AG16)-1),(RANK(AG16,AG$11:AG$355)+COUNTIF(AG$11:AG16,AG16)-1))</f>
        <v>5</v>
      </c>
      <c r="AF16" s="6" t="str">
        <f>VLOOKUP(Profile!$J$5,Families!$C:$R,6,FALSE)</f>
        <v>Nottinghamshire</v>
      </c>
      <c r="AG16" s="143">
        <f t="shared" si="15"/>
        <v>5.0999999999999997E-2</v>
      </c>
      <c r="AH16" s="72">
        <f t="shared" si="22"/>
        <v>5</v>
      </c>
      <c r="AI16" s="61" t="str">
        <f>IF(L16="","",VLOOKUP($L16,classifications!$C:$J,8,FALSE))</f>
        <v>East Sussex</v>
      </c>
      <c r="AJ16" s="62" t="str">
        <f t="shared" si="5"/>
        <v/>
      </c>
      <c r="AK16" s="57" t="str">
        <f>IF(AJ16="","",IF(I$8="A",(RANK(AJ16,AJ$11:AJ$355,1)+COUNTIF(AJ$11:AJ16,AJ16)-1),(RANK(AJ16,AJ$11:AJ$355)+COUNTIF(AJ$11:AJ16,AJ16)-1)))</f>
        <v/>
      </c>
      <c r="AL16" s="52" t="str">
        <f t="shared" si="16"/>
        <v/>
      </c>
      <c r="AM16" s="31" t="str">
        <f t="shared" si="6"/>
        <v/>
      </c>
      <c r="AN16" s="31" t="str">
        <f t="shared" si="7"/>
        <v/>
      </c>
      <c r="AP16" s="61" t="str">
        <f>IF(L16="","",VLOOKUP($L16,classifications!$C:$E,3,FALSE))</f>
        <v>South East</v>
      </c>
      <c r="AQ16" s="62" t="str">
        <f t="shared" si="17"/>
        <v/>
      </c>
      <c r="AR16" s="57" t="str">
        <f>IF(AQ16="","",IF(I$8="A",(RANK(AQ16,AQ$11:AQ$355,1)+COUNTIF(AQ$11:AQ16,AQ16)-1),(RANK(AQ16,AQ$11:AQ$355)+COUNTIF(AQ$11:AQ16,AQ16)-1)))</f>
        <v/>
      </c>
      <c r="AS16" s="52" t="str">
        <f t="shared" si="18"/>
        <v/>
      </c>
      <c r="AT16" s="57" t="str">
        <f t="shared" si="8"/>
        <v/>
      </c>
      <c r="AU16" s="62" t="str">
        <f t="shared" si="9"/>
        <v/>
      </c>
      <c r="AX16" s="44">
        <f>HLOOKUP($AX$9&amp;$AX$10,Data!$A$1:$ZZ$1992,(MATCH($C16,Data!$A$1:$A$1992,0)),FALSE)</f>
        <v>0</v>
      </c>
      <c r="AY16" s="156"/>
      <c r="AZ16" s="44"/>
    </row>
    <row r="17" spans="1:52">
      <c r="A17" s="84" t="str">
        <f>$D$1&amp;7</f>
        <v>SC7</v>
      </c>
      <c r="B17" s="85" t="str">
        <f>IF(ISERROR(VLOOKUP(A17,classifications!A:C,3,FALSE)),0,VLOOKUP(A17,classifications!A:C,3,FALSE))</f>
        <v>Lancashire</v>
      </c>
      <c r="C17" s="31" t="s">
        <v>11</v>
      </c>
      <c r="D17" s="49" t="str">
        <f>VLOOKUP($C17,classifications!$C:$J,4,FALSE)</f>
        <v>SD</v>
      </c>
      <c r="E17" s="49">
        <f>VLOOKUP(C17,classifications!C:K,9,FALSE)</f>
        <v>0</v>
      </c>
      <c r="F17" s="59">
        <f t="shared" si="0"/>
        <v>0</v>
      </c>
      <c r="G17" s="105"/>
      <c r="H17" s="60" t="str">
        <f t="shared" si="1"/>
        <v/>
      </c>
      <c r="I17" s="112" t="str">
        <f>IF(H17="","",IF($I$8="A",(RANK(H17,H$11:H$355,1)+COUNTIF(H$11:H17,H17)-1),(RANK(H17,H$11:H$355)+COUNTIF(H$11:H17,H17)-1)))</f>
        <v/>
      </c>
      <c r="J17" s="58"/>
      <c r="K17" s="51">
        <f t="shared" si="10"/>
        <v>7</v>
      </c>
      <c r="L17" s="59" t="str">
        <f t="shared" si="2"/>
        <v>Devon</v>
      </c>
      <c r="M17" s="153">
        <f t="shared" si="3"/>
        <v>4.2000000000000003E-2</v>
      </c>
      <c r="N17" s="148">
        <f t="shared" si="23"/>
        <v>4.2</v>
      </c>
      <c r="O17" s="131">
        <f t="shared" si="11"/>
        <v>4.2</v>
      </c>
      <c r="P17" s="131" t="str">
        <f t="shared" si="19"/>
        <v/>
      </c>
      <c r="Q17" s="131" t="str">
        <f t="shared" si="20"/>
        <v/>
      </c>
      <c r="R17" s="127" t="str">
        <f t="shared" si="21"/>
        <v/>
      </c>
      <c r="S17" s="60" t="str">
        <f t="shared" si="12"/>
        <v/>
      </c>
      <c r="T17" s="217" t="str">
        <f>IF(L17="","",VLOOKUP(L17,classifications!C:K,9,FALSE))</f>
        <v>Sparse</v>
      </c>
      <c r="U17" s="224">
        <f t="shared" si="13"/>
        <v>4.2000000000000003E-2</v>
      </c>
      <c r="V17" s="225">
        <f>IF(U17="","",IF($I$8="A",(RANK(U17,U$11:U$355)+COUNTIF(U$11:U17,U17)-1),(RANK(U17,U$11:U$355,1)+COUNTIF(U$11:U17,U17)-1)))</f>
        <v>12</v>
      </c>
      <c r="W17" s="226"/>
      <c r="X17" s="61" t="str">
        <f>IF(L17="","",VLOOKUP($L17,classifications!$C:$J,6,FALSE))</f>
        <v>Predominantly Rural</v>
      </c>
      <c r="Y17" s="49" t="b">
        <f t="shared" si="4"/>
        <v>0</v>
      </c>
      <c r="Z17" s="57" t="e">
        <f>IF(Y17="","",IF(I$8="A",(RANK(Y17,Y$11:Y$355,1)+COUNTIF(Y$11:Y17,Y17)-1),(RANK(Y17,Y$11:Y$355)+COUNTIF(Y$11:Y17,Y17)-1)))</f>
        <v>#N/A</v>
      </c>
      <c r="AA17" s="231" t="str">
        <f>IF(L17="","",VLOOKUP($L17,classifications!C:I,7,FALSE))</f>
        <v>Predominantly Rural</v>
      </c>
      <c r="AB17" s="225">
        <f t="shared" si="14"/>
        <v>4.2000000000000003E-2</v>
      </c>
      <c r="AC17" s="225">
        <f>IF(AB17="","",IF($I$8="A",(RANK(AB17,AB$11:AB$355)+COUNTIF(AB$11:AB17,AB17)-1),(RANK(AB17,AB$11:AB$355,1)+COUNTIF(AB$11:AB17,AB17)-1)))</f>
        <v>6</v>
      </c>
      <c r="AD17" s="225"/>
      <c r="AE17" s="71">
        <f>IF(I$8="A",(RANK(AG17,AG$11:AG$355,1)+COUNTIF(AG$11:AG17,AG17)-1),(RANK(AG17,AG$11:AG$355)+COUNTIF(AG$11:AG17,AG17)-1))</f>
        <v>2</v>
      </c>
      <c r="AF17" s="6" t="str">
        <f>VLOOKUP(Profile!$J$5,Families!$C:$R,7,FALSE)</f>
        <v>Suffolk</v>
      </c>
      <c r="AG17" s="143">
        <f t="shared" si="15"/>
        <v>3.1E-2</v>
      </c>
      <c r="AH17" s="72">
        <f t="shared" si="22"/>
        <v>2</v>
      </c>
      <c r="AI17" s="61" t="str">
        <f>IF(L17="","",VLOOKUP($L17,classifications!$C:$J,8,FALSE))</f>
        <v>Devon</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West</v>
      </c>
      <c r="AQ17" s="62" t="str">
        <f t="shared" si="17"/>
        <v/>
      </c>
      <c r="AR17" s="57" t="str">
        <f>IF(AQ17="","",IF(I$8="A",(RANK(AQ17,AQ$11:AQ$355,1)+COUNTIF(AQ$11:AQ17,AQ17)-1),(RANK(AQ17,AQ$11:AQ$355)+COUNTIF(AQ$11:AQ17,AQ17)-1)))</f>
        <v/>
      </c>
      <c r="AS17" s="52" t="str">
        <f t="shared" si="18"/>
        <v/>
      </c>
      <c r="AT17" s="57" t="str">
        <f t="shared" si="8"/>
        <v/>
      </c>
      <c r="AU17" s="62" t="str">
        <f t="shared" si="9"/>
        <v/>
      </c>
      <c r="AX17" s="44">
        <f>HLOOKUP($AX$9&amp;$AX$10,Data!$A$1:$ZZ$1992,(MATCH($C17,Data!$A$1:$A$1992,0)),FALSE)</f>
        <v>0</v>
      </c>
      <c r="AY17" s="156"/>
      <c r="AZ17" s="44"/>
    </row>
    <row r="18" spans="1:52">
      <c r="A18" s="84" t="str">
        <f>$D$1&amp;8</f>
        <v>SC8</v>
      </c>
      <c r="B18" s="85" t="str">
        <f>IF(ISERROR(VLOOKUP(A18,classifications!A:C,3,FALSE)),0,VLOOKUP(A18,classifications!A:C,3,FALSE))</f>
        <v>Leicestershire</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Oxfordshire</v>
      </c>
      <c r="M18" s="153">
        <f t="shared" si="3"/>
        <v>4.2999999999999997E-2</v>
      </c>
      <c r="N18" s="148">
        <f t="shared" si="23"/>
        <v>4.3</v>
      </c>
      <c r="O18" s="131" t="str">
        <f t="shared" si="11"/>
        <v/>
      </c>
      <c r="P18" s="131">
        <f t="shared" si="19"/>
        <v>4.3</v>
      </c>
      <c r="Q18" s="131" t="str">
        <f t="shared" si="20"/>
        <v/>
      </c>
      <c r="R18" s="127" t="str">
        <f t="shared" si="21"/>
        <v/>
      </c>
      <c r="S18" s="60" t="str">
        <f t="shared" si="12"/>
        <v/>
      </c>
      <c r="T18" s="217">
        <f>IF(L18="","",VLOOKUP(L18,classifications!C:K,9,FALSE))</f>
        <v>0</v>
      </c>
      <c r="U18" s="224" t="str">
        <f t="shared" si="13"/>
        <v/>
      </c>
      <c r="V18" s="225" t="str">
        <f>IF(U18="","",IF($I$8="A",(RANK(U18,U$11:U$355)+COUNTIF(U$11:U18,U18)-1),(RANK(U18,U$11:U$355,1)+COUNTIF(U$11:U18,U18)-1)))</f>
        <v/>
      </c>
      <c r="W18" s="226"/>
      <c r="X18" s="61" t="str">
        <f>IF(L18="","",VLOOKUP($L18,classifications!$C:$J,6,FALSE))</f>
        <v>Predominantly Rural</v>
      </c>
      <c r="Y18" s="49" t="b">
        <f t="shared" si="4"/>
        <v>0</v>
      </c>
      <c r="Z18" s="57" t="e">
        <f>IF(Y18="","",IF(I$8="A",(RANK(Y18,Y$11:Y$355,1)+COUNTIF(Y$11:Y18,Y18)-1),(RANK(Y18,Y$11:Y$355)+COUNTIF(Y$11:Y18,Y18)-1)))</f>
        <v>#N/A</v>
      </c>
      <c r="AA18" s="231" t="str">
        <f>IF(L18="","",VLOOKUP($L18,classifications!C:I,7,FALSE))</f>
        <v>Predominantly Rural</v>
      </c>
      <c r="AB18" s="225">
        <f t="shared" si="14"/>
        <v>4.2999999999999997E-2</v>
      </c>
      <c r="AC18" s="225">
        <f>IF(AB18="","",IF($I$8="A",(RANK(AB18,AB$11:AB$355)+COUNTIF(AB$11:AB18,AB18)-1),(RANK(AB18,AB$11:AB$355,1)+COUNTIF(AB$11:AB18,AB18)-1)))</f>
        <v>5</v>
      </c>
      <c r="AD18" s="225"/>
      <c r="AE18" s="71">
        <f>IF(I$8="A",(RANK(AG18,AG$11:AG$355,1)+COUNTIF(AG$11:AG18,AG18)-1),(RANK(AG18,AG$11:AG$355)+COUNTIF(AG$11:AG18,AG18)-1))</f>
        <v>7</v>
      </c>
      <c r="AF18" s="6" t="str">
        <f>VLOOKUP(Profile!$J$5,Families!$C:$R,8,FALSE)</f>
        <v>Worcestershire</v>
      </c>
      <c r="AG18" s="143">
        <f t="shared" si="15"/>
        <v>9.9000000000000005E-2</v>
      </c>
      <c r="AH18" s="72">
        <f t="shared" si="22"/>
        <v>7</v>
      </c>
      <c r="AI18" s="61" t="str">
        <f>IF(L18="","",VLOOKUP($L18,classifications!$C:$J,8,FALSE))</f>
        <v>Oxfordshire</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South East</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HLOOKUP($AX$9&amp;$AX$10,Data!$A$1:$ZZ$1992,(MATCH($C18,Data!$A$1:$A$1992,0)),FALSE)</f>
        <v>-</v>
      </c>
      <c r="AY18" s="156"/>
      <c r="AZ18" s="44"/>
    </row>
    <row r="19" spans="1:52">
      <c r="A19" s="84" t="str">
        <f>$D$1&amp;9</f>
        <v>SC9</v>
      </c>
      <c r="B19" s="85" t="str">
        <f>IF(ISERROR(VLOOKUP(A19,classifications!A:C,3,FALSE)),0,VLOOKUP(A19,classifications!A:C,3,FALSE))</f>
        <v>Lincolnshire</v>
      </c>
      <c r="C19" s="31" t="s">
        <v>339</v>
      </c>
      <c r="D19" s="49" t="str">
        <f>VLOOKUP($C19,classifications!$C:$J,4,FALSE)</f>
        <v>L</v>
      </c>
      <c r="E19" s="49">
        <f>VLOOKUP(C19,classifications!C:K,9,FALSE)</f>
        <v>0</v>
      </c>
      <c r="F19" s="59" t="e">
        <f t="shared" si="0"/>
        <v>#N/A</v>
      </c>
      <c r="G19" s="105"/>
      <c r="H19" s="60" t="str">
        <f t="shared" si="1"/>
        <v/>
      </c>
      <c r="I19" s="112" t="str">
        <f>IF(H19="","",IF($I$8="A",(RANK(H19,H$11:H$355,1)+COUNTIF(H$11:H19,H19)-1),(RANK(H19,H$11:H$355)+COUNTIF(H$11:H19,H19)-1)))</f>
        <v/>
      </c>
      <c r="J19" s="58"/>
      <c r="K19" s="51">
        <f t="shared" si="10"/>
        <v>9</v>
      </c>
      <c r="L19" s="59" t="str">
        <f t="shared" si="2"/>
        <v>Nottinghamshire</v>
      </c>
      <c r="M19" s="153">
        <f t="shared" si="3"/>
        <v>5.0999999999999997E-2</v>
      </c>
      <c r="N19" s="148">
        <f t="shared" si="23"/>
        <v>5.0999999999999996</v>
      </c>
      <c r="O19" s="131" t="str">
        <f t="shared" si="11"/>
        <v/>
      </c>
      <c r="P19" s="131">
        <f t="shared" si="19"/>
        <v>5.0999999999999996</v>
      </c>
      <c r="Q19" s="131" t="str">
        <f t="shared" si="20"/>
        <v/>
      </c>
      <c r="R19" s="127" t="str">
        <f t="shared" si="21"/>
        <v/>
      </c>
      <c r="S19" s="60" t="str">
        <f t="shared" si="12"/>
        <v/>
      </c>
      <c r="T19" s="217" t="str">
        <f>IF(L19="","",VLOOKUP(L19,classifications!C:K,9,FALSE))</f>
        <v>Sparse</v>
      </c>
      <c r="U19" s="224">
        <f t="shared" si="13"/>
        <v>5.0999999999999997E-2</v>
      </c>
      <c r="V19" s="225">
        <f>IF(U19="","",IF($I$8="A",(RANK(U19,U$11:U$355)+COUNTIF(U$11:U19,U19)-1),(RANK(U19,U$11:U$355,1)+COUNTIF(U$11:U19,U19)-1)))</f>
        <v>11</v>
      </c>
      <c r="W19" s="226"/>
      <c r="X19" s="61" t="str">
        <f>IF(L19="","",VLOOKUP($L19,classifications!$C:$J,6,FALSE))</f>
        <v>Significant Rural</v>
      </c>
      <c r="Y19" s="49" t="b">
        <f t="shared" si="4"/>
        <v>0</v>
      </c>
      <c r="Z19" s="57" t="e">
        <f>IF(Y19="","",IF(I$8="A",(RANK(Y19,Y$11:Y$355,1)+COUNTIF(Y$11:Y19,Y19)-1),(RANK(Y19,Y$11:Y$355)+COUNTIF(Y$11:Y19,Y19)-1)))</f>
        <v>#N/A</v>
      </c>
      <c r="AA19" s="231" t="str">
        <f>IF(L19="","",VLOOKUP($L19,classifications!C:I,7,FALSE))</f>
        <v>Significant Rural</v>
      </c>
      <c r="AB19" s="225" t="str">
        <f t="shared" si="14"/>
        <v/>
      </c>
      <c r="AC19" s="225" t="str">
        <f>IF(AB19="","",IF($I$8="A",(RANK(AB19,AB$11:AB$355)+COUNTIF(AB$11:AB19,AB19)-1),(RANK(AB19,AB$11:AB$355,1)+COUNTIF(AB$11:AB19,AB19)-1)))</f>
        <v/>
      </c>
      <c r="AD19" s="225"/>
      <c r="AE19" s="71">
        <f>IF(I$8="A",(RANK(AG19,AG$11:AG$355,1)+COUNTIF(AG$11:AG19,AG19)-1),(RANK(AG19,AG$11:AG$355)+COUNTIF(AG$11:AG19,AG19)-1))</f>
        <v>8</v>
      </c>
      <c r="AF19" s="6" t="str">
        <f>VLOOKUP(Profile!$J$5,Families!$C:$R,9,FALSE)</f>
        <v>Norfolk</v>
      </c>
      <c r="AG19" s="143">
        <f t="shared" si="15"/>
        <v>0.10199999999999999</v>
      </c>
      <c r="AH19" s="72">
        <f t="shared" si="22"/>
        <v>8</v>
      </c>
      <c r="AI19" s="61" t="str">
        <f>IF(L19="","",VLOOKUP($L19,classifications!$C:$J,8,FALSE))</f>
        <v>Nottinghamshire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East Midlands</v>
      </c>
      <c r="AQ19" s="62" t="str">
        <f t="shared" si="17"/>
        <v/>
      </c>
      <c r="AR19" s="57" t="str">
        <f>IF(AQ19="","",IF(I$8="A",(RANK(AQ19,AQ$11:AQ$355,1)+COUNTIF(AQ$11:AQ19,AQ19)-1),(RANK(AQ19,AQ$11:AQ$355)+COUNTIF(AQ$11:AQ19,AQ19)-1)))</f>
        <v/>
      </c>
      <c r="AS19" s="52" t="str">
        <f t="shared" si="18"/>
        <v/>
      </c>
      <c r="AT19" s="57" t="str">
        <f t="shared" si="8"/>
        <v/>
      </c>
      <c r="AU19" s="62" t="str">
        <f t="shared" si="9"/>
        <v/>
      </c>
      <c r="AX19" s="44" t="e">
        <f>HLOOKUP($AX$9&amp;$AX$10,Data!$A$1:$ZZ$1992,(MATCH($C19,Data!$A$1:$A$1992,0)),FALSE)</f>
        <v>#N/A</v>
      </c>
      <c r="AY19" s="156"/>
      <c r="AZ19" s="44"/>
    </row>
    <row r="20" spans="1:52">
      <c r="A20" s="84" t="str">
        <f>$D$1&amp;10</f>
        <v>SC10</v>
      </c>
      <c r="B20" s="85" t="str">
        <f>IF(ISERROR(VLOOKUP(A20,classifications!A:C,3,FALSE)),0,VLOOKUP(A20,classifications!A:C,3,FALSE))</f>
        <v>Norfolk</v>
      </c>
      <c r="C20" s="31" t="s">
        <v>197</v>
      </c>
      <c r="D20" s="49" t="str">
        <f>VLOOKUP($C20,classifications!$C:$J,4,FALSE)</f>
        <v>L</v>
      </c>
      <c r="E20" s="49">
        <f>VLOOKUP(C20,classifications!C:K,9,FALSE)</f>
        <v>0</v>
      </c>
      <c r="F20" s="59">
        <f t="shared" si="0"/>
        <v>0</v>
      </c>
      <c r="G20" s="105"/>
      <c r="H20" s="60" t="str">
        <f t="shared" si="1"/>
        <v/>
      </c>
      <c r="I20" s="112" t="str">
        <f>IF(H20="","",IF($I$8="A",(RANK(H20,H$11:H$355,1)+COUNTIF(H$11:H20,H20)-1),(RANK(H20,H$11:H$355)+COUNTIF(H$11:H20,H20)-1)))</f>
        <v/>
      </c>
      <c r="J20" s="58"/>
      <c r="K20" s="51">
        <f t="shared" si="10"/>
        <v>10</v>
      </c>
      <c r="L20" s="59" t="str">
        <f t="shared" si="2"/>
        <v>Hampshire</v>
      </c>
      <c r="M20" s="153">
        <f t="shared" si="3"/>
        <v>5.5E-2</v>
      </c>
      <c r="N20" s="148">
        <f t="shared" si="23"/>
        <v>5.5</v>
      </c>
      <c r="O20" s="131" t="str">
        <f t="shared" si="11"/>
        <v/>
      </c>
      <c r="P20" s="131">
        <f t="shared" si="19"/>
        <v>5.5</v>
      </c>
      <c r="Q20" s="131" t="str">
        <f t="shared" si="20"/>
        <v/>
      </c>
      <c r="R20" s="127" t="str">
        <f t="shared" si="21"/>
        <v/>
      </c>
      <c r="S20" s="60" t="str">
        <f t="shared" si="12"/>
        <v/>
      </c>
      <c r="T20" s="217" t="str">
        <f>IF(L20="","",VLOOKUP(L20,classifications!C:K,9,FALSE))</f>
        <v>Sparse</v>
      </c>
      <c r="U20" s="224">
        <f t="shared" si="13"/>
        <v>5.5E-2</v>
      </c>
      <c r="V20" s="225">
        <f>IF(U20="","",IF($I$8="A",(RANK(U20,U$11:U$355)+COUNTIF(U$11:U20,U20)-1),(RANK(U20,U$11:U$355,1)+COUNTIF(U$11:U20,U20)-1)))</f>
        <v>10</v>
      </c>
      <c r="W20" s="226"/>
      <c r="X20" s="61" t="str">
        <f>IF(L20="","",VLOOKUP($L20,classifications!$C:$J,6,FALSE))</f>
        <v>Significant Rural</v>
      </c>
      <c r="Y20" s="49" t="b">
        <f t="shared" si="4"/>
        <v>0</v>
      </c>
      <c r="Z20" s="57" t="e">
        <f>IF(Y20="","",IF(I$8="A",(RANK(Y20,Y$11:Y$355,1)+COUNTIF(Y$11:Y20,Y20)-1),(RANK(Y20,Y$11:Y$355)+COUNTIF(Y$11:Y20,Y20)-1)))</f>
        <v>#N/A</v>
      </c>
      <c r="AA20" s="231" t="str">
        <f>IF(L20="","",VLOOKUP($L20,classifications!C:I,7,FALSE))</f>
        <v>Significant Rural</v>
      </c>
      <c r="AB20" s="225" t="str">
        <f t="shared" si="14"/>
        <v/>
      </c>
      <c r="AC20" s="225" t="str">
        <f>IF(AB20="","",IF($I$8="A",(RANK(AB20,AB$11:AB$355)+COUNTIF(AB$11:AB20,AB20)-1),(RANK(AB20,AB$11:AB$355,1)+COUNTIF(AB$11:AB20,AB20)-1)))</f>
        <v/>
      </c>
      <c r="AD20" s="225"/>
      <c r="AE20" s="71" t="e">
        <f>IF(I$8="A",(RANK(AG20,AG$11:AG$355,1)+COUNTIF(AG$11:AG20,AG20)-1),(RANK(AG20,AG$11:AG$355)+COUNTIF(AG$11:AG20,AG20)-1))</f>
        <v>#VALUE!</v>
      </c>
      <c r="AF20" s="6" t="str">
        <f>VLOOKUP(Profile!$J$5,Families!$C:$R,10,FALSE)</f>
        <v>Somerset</v>
      </c>
      <c r="AG20" s="143" t="str">
        <f t="shared" si="15"/>
        <v>-</v>
      </c>
      <c r="AH20" s="72" t="e">
        <f t="shared" si="22"/>
        <v>#VALUE!</v>
      </c>
      <c r="AI20" s="61" t="str">
        <f>IF(L20="","",VLOOKUP($L20,classifications!$C:$J,8,FALSE))</f>
        <v>Hampshire</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East</v>
      </c>
      <c r="AQ20" s="62" t="str">
        <f t="shared" si="17"/>
        <v/>
      </c>
      <c r="AR20" s="57" t="str">
        <f>IF(AQ20="","",IF(I$8="A",(RANK(AQ20,AQ$11:AQ$355,1)+COUNTIF(AQ$11:AQ20,AQ20)-1),(RANK(AQ20,AQ$11:AQ$355)+COUNTIF(AQ$11:AQ20,AQ20)-1)))</f>
        <v/>
      </c>
      <c r="AS20" s="52" t="str">
        <f t="shared" si="18"/>
        <v/>
      </c>
      <c r="AT20" s="57" t="str">
        <f t="shared" si="8"/>
        <v/>
      </c>
      <c r="AU20" s="62" t="str">
        <f t="shared" si="9"/>
        <v/>
      </c>
      <c r="AX20" s="44">
        <f>HLOOKUP($AX$9&amp;$AX$10,Data!$A$1:$ZZ$1992,(MATCH($C20,Data!$A$1:$A$1992,0)),FALSE)</f>
        <v>0</v>
      </c>
      <c r="AY20" s="156"/>
      <c r="AZ20" s="44"/>
    </row>
    <row r="21" spans="1:52">
      <c r="A21" s="84" t="str">
        <f>$D$1&amp;11</f>
        <v>SC11</v>
      </c>
      <c r="B21" s="85" t="str">
        <f>IF(ISERROR(VLOOKUP(A21,classifications!A:C,3,FALSE)),0,VLOOKUP(A21,classifications!A:C,3,FALSE))</f>
        <v>North Yorkshire</v>
      </c>
      <c r="C21" s="31" t="s">
        <v>223</v>
      </c>
      <c r="D21" s="49" t="str">
        <f>VLOOKUP($C21,classifications!$C:$J,4,FALSE)</f>
        <v>MD</v>
      </c>
      <c r="E21" s="49">
        <f>VLOOKUP(C21,classifications!C:K,9,FALSE)</f>
        <v>0</v>
      </c>
      <c r="F21" s="59">
        <f t="shared" si="0"/>
        <v>3.3000000000000002E-2</v>
      </c>
      <c r="G21" s="105"/>
      <c r="H21" s="60" t="str">
        <f t="shared" si="1"/>
        <v/>
      </c>
      <c r="I21" s="112" t="str">
        <f>IF(H21="","",IF($I$8="A",(RANK(H21,H$11:H$355,1)+COUNTIF(H$11:H21,H21)-1),(RANK(H21,H$11:H$355)+COUNTIF(H$11:H21,H21)-1)))</f>
        <v/>
      </c>
      <c r="J21" s="58"/>
      <c r="K21" s="51">
        <f t="shared" si="10"/>
        <v>11</v>
      </c>
      <c r="L21" s="59" t="str">
        <f t="shared" si="2"/>
        <v>Surrey</v>
      </c>
      <c r="M21" s="153">
        <f t="shared" si="3"/>
        <v>6.4000000000000001E-2</v>
      </c>
      <c r="N21" s="148">
        <f t="shared" si="23"/>
        <v>6.4</v>
      </c>
      <c r="O21" s="131" t="str">
        <f t="shared" si="11"/>
        <v/>
      </c>
      <c r="P21" s="131">
        <f t="shared" si="19"/>
        <v>6.4</v>
      </c>
      <c r="Q21" s="131" t="str">
        <f t="shared" si="20"/>
        <v/>
      </c>
      <c r="R21" s="127" t="str">
        <f t="shared" si="21"/>
        <v/>
      </c>
      <c r="S21" s="60" t="str">
        <f t="shared" si="12"/>
        <v/>
      </c>
      <c r="T21" s="217">
        <f>IF(L21="","",VLOOKUP(L21,classifications!C:K,9,FALSE))</f>
        <v>0</v>
      </c>
      <c r="U21" s="224" t="str">
        <f t="shared" si="13"/>
        <v/>
      </c>
      <c r="V21" s="225" t="str">
        <f>IF(U21="","",IF($I$8="A",(RANK(U21,U$11:U$355)+COUNTIF(U$11:U21,U21)-1),(RANK(U21,U$11:U$355,1)+COUNTIF(U$11:U21,U21)-1)))</f>
        <v/>
      </c>
      <c r="W21" s="226"/>
      <c r="X21" s="61" t="str">
        <f>IF(L21="","",VLOOKUP($L21,classifications!$C:$J,6,FALSE))</f>
        <v>Predominantly Urban</v>
      </c>
      <c r="Y21" s="49" t="b">
        <f t="shared" si="4"/>
        <v>0</v>
      </c>
      <c r="Z21" s="57" t="e">
        <f>IF(Y21="","",IF(I$8="A",(RANK(Y21,Y$11:Y$355,1)+COUNTIF(Y$11:Y21,Y21)-1),(RANK(Y21,Y$11:Y$355)+COUNTIF(Y$11:Y21,Y21)-1)))</f>
        <v>#N/A</v>
      </c>
      <c r="AA21" s="231" t="str">
        <f>IF(L21="","",VLOOKUP($L21,classifications!C:I,7,FALSE))</f>
        <v>Predominantly Urban</v>
      </c>
      <c r="AB21" s="225" t="str">
        <f t="shared" si="14"/>
        <v/>
      </c>
      <c r="AC21" s="225" t="str">
        <f>IF(AB21="","",IF($I$8="A",(RANK(AB21,AB$11:AB$355)+COUNTIF(AB$11:AB21,AB21)-1),(RANK(AB21,AB$11:AB$355,1)+COUNTIF(AB$11:AB21,AB21)-1)))</f>
        <v/>
      </c>
      <c r="AD21" s="225"/>
      <c r="AE21" s="71">
        <f>IF(I$8="A",(RANK(AG21,AG$11:AG$355,1)+COUNTIF(AG$11:AG21,AG21)-1),(RANK(AG21,AG$11:AG$355)+COUNTIF(AG$11:AG21,AG21)-1))</f>
        <v>11</v>
      </c>
      <c r="AF21" s="6" t="str">
        <f>VLOOKUP(Profile!$J$5,Families!$C:$R,11,FALSE)</f>
        <v>Warwickshire</v>
      </c>
      <c r="AG21" s="143">
        <f t="shared" si="15"/>
        <v>0.123</v>
      </c>
      <c r="AH21" s="72">
        <f t="shared" si="22"/>
        <v>11</v>
      </c>
      <c r="AI21" s="61" t="str">
        <f>IF(L21="","",VLOOKUP($L21,classifications!$C:$J,8,FALSE))</f>
        <v>Surrey</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East</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HLOOKUP($AX$9&amp;$AX$10,Data!$A$1:$ZZ$1992,(MATCH($C21,Data!$A$1:$A$1992,0)),FALSE)</f>
        <v>3.3000000000000002E-2</v>
      </c>
      <c r="AY21" s="156"/>
      <c r="AZ21" s="44"/>
    </row>
    <row r="22" spans="1:52">
      <c r="A22" s="84" t="str">
        <f>$D$1&amp;12</f>
        <v>SC12</v>
      </c>
      <c r="B22" s="85" t="str">
        <f>IF(ISERROR(VLOOKUP(A22,classifications!A:C,3,FALSE)),0,VLOOKUP(A22,classifications!A:C,3,FALSE))</f>
        <v>Nottinghamshire</v>
      </c>
      <c r="C22" s="31" t="s">
        <v>13</v>
      </c>
      <c r="D22" s="49" t="str">
        <f>VLOOKUP($C22,classifications!$C:$J,4,FALSE)</f>
        <v>SD</v>
      </c>
      <c r="E22" s="49">
        <f>VLOOKUP(C22,classifications!C:K,9,FALSE)</f>
        <v>0</v>
      </c>
      <c r="F22" s="59">
        <f t="shared" si="0"/>
        <v>0</v>
      </c>
      <c r="G22" s="105"/>
      <c r="H22" s="60" t="str">
        <f t="shared" si="1"/>
        <v/>
      </c>
      <c r="I22" s="112" t="str">
        <f>IF(H22="","",IF($I$8="A",(RANK(H22,H$11:H$355,1)+COUNTIF(H$11:H22,H22)-1),(RANK(H22,H$11:H$355)+COUNTIF(H$11:H22,H22)-1)))</f>
        <v/>
      </c>
      <c r="J22" s="58"/>
      <c r="K22" s="51">
        <f t="shared" si="10"/>
        <v>12</v>
      </c>
      <c r="L22" s="59" t="str">
        <f t="shared" si="2"/>
        <v>North Yorkshire</v>
      </c>
      <c r="M22" s="153">
        <f t="shared" si="3"/>
        <v>8.6999999999999994E-2</v>
      </c>
      <c r="N22" s="148">
        <f t="shared" si="23"/>
        <v>8.6999999999999993</v>
      </c>
      <c r="O22" s="131" t="str">
        <f t="shared" si="11"/>
        <v/>
      </c>
      <c r="P22" s="131">
        <f t="shared" si="19"/>
        <v>8.6999999999999993</v>
      </c>
      <c r="Q22" s="131" t="str">
        <f t="shared" si="20"/>
        <v/>
      </c>
      <c r="R22" s="127" t="str">
        <f t="shared" si="21"/>
        <v/>
      </c>
      <c r="S22" s="60" t="str">
        <f t="shared" si="12"/>
        <v/>
      </c>
      <c r="T22" s="217" t="str">
        <f>IF(L22="","",VLOOKUP(L22,classifications!C:K,9,FALSE))</f>
        <v>Sparse</v>
      </c>
      <c r="U22" s="224">
        <f t="shared" si="13"/>
        <v>8.6999999999999994E-2</v>
      </c>
      <c r="V22" s="225">
        <f>IF(U22="","",IF($I$8="A",(RANK(U22,U$11:U$355)+COUNTIF(U$11:U22,U22)-1),(RANK(U22,U$11:U$355,1)+COUNTIF(U$11:U22,U22)-1)))</f>
        <v>9</v>
      </c>
      <c r="W22" s="226"/>
      <c r="X22" s="61" t="str">
        <f>IF(L22="","",VLOOKUP($L22,classifications!$C:$J,6,FALSE))</f>
        <v>Predominantly Rural</v>
      </c>
      <c r="Y22" s="49" t="b">
        <f t="shared" si="4"/>
        <v>0</v>
      </c>
      <c r="Z22" s="57" t="e">
        <f>IF(Y22="","",IF(I$8="A",(RANK(Y22,Y$11:Y$355,1)+COUNTIF(Y$11:Y22,Y22)-1),(RANK(Y22,Y$11:Y$355)+COUNTIF(Y$11:Y22,Y22)-1)))</f>
        <v>#N/A</v>
      </c>
      <c r="AA22" s="231" t="str">
        <f>IF(L22="","",VLOOKUP($L22,classifications!C:I,7,FALSE))</f>
        <v>Predominantly Rural</v>
      </c>
      <c r="AB22" s="225">
        <f t="shared" si="14"/>
        <v>8.6999999999999994E-2</v>
      </c>
      <c r="AC22" s="225">
        <f>IF(AB22="","",IF($I$8="A",(RANK(AB22,AB$11:AB$355)+COUNTIF(AB$11:AB22,AB22)-1),(RANK(AB22,AB$11:AB$355,1)+COUNTIF(AB$11:AB22,AB22)-1)))</f>
        <v>4</v>
      </c>
      <c r="AD22" s="225"/>
      <c r="AE22" s="71">
        <f>IF(I$8="A",(RANK(AG22,AG$11:AG$355,1)+COUNTIF(AG$11:AG22,AG22)-1),(RANK(AG22,AG$11:AG$355)+COUNTIF(AG$11:AG22,AG22)-1))</f>
        <v>12</v>
      </c>
      <c r="AF22" s="6" t="str">
        <f>VLOOKUP(Profile!$J$5,Families!$C:$R,12,FALSE)</f>
        <v>Gloucestershire</v>
      </c>
      <c r="AG22" s="143">
        <f t="shared" si="15"/>
        <v>0.17799999999999999</v>
      </c>
      <c r="AH22" s="72">
        <f t="shared" si="22"/>
        <v>12</v>
      </c>
      <c r="AI22" s="61" t="str">
        <f>IF(L22="","",VLOOKUP($L22,classifications!$C:$J,8,FALSE))</f>
        <v>North Yorkshire</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Yorkshire &amp; Humberside</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HLOOKUP($AX$9&amp;$AX$10,Data!$A$1:$ZZ$1992,(MATCH($C22,Data!$A$1:$A$1992,0)),FALSE)</f>
        <v>0</v>
      </c>
      <c r="AY22" s="156"/>
      <c r="AZ22" s="44"/>
    </row>
    <row r="23" spans="1:52">
      <c r="A23" s="84" t="str">
        <f>$D$1&amp;13</f>
        <v>SC13</v>
      </c>
      <c r="B23" s="85" t="str">
        <f>IF(ISERROR(VLOOKUP(A23,classifications!A:C,3,FALSE)),0,VLOOKUP(A23,classifications!A:C,3,FALSE))</f>
        <v>Staffordshire</v>
      </c>
      <c r="C23" s="31" t="s">
        <v>14</v>
      </c>
      <c r="D23" s="49" t="str">
        <f>VLOOKUP($C23,classifications!$C:$J,4,FALSE)</f>
        <v>SD</v>
      </c>
      <c r="E23" s="49">
        <f>VLOOKUP(C23,classifications!C:K,9,FALSE)</f>
        <v>0</v>
      </c>
      <c r="F23" s="59">
        <f t="shared" si="0"/>
        <v>0</v>
      </c>
      <c r="G23" s="105"/>
      <c r="H23" s="60" t="str">
        <f t="shared" si="1"/>
        <v/>
      </c>
      <c r="I23" s="112" t="str">
        <f>IF(H23="","",IF($I$8="A",(RANK(H23,H$11:H$355,1)+COUNTIF(H$11:H23,H23)-1),(RANK(H23,H$11:H$355)+COUNTIF(H$11:H23,H23)-1)))</f>
        <v/>
      </c>
      <c r="J23" s="58"/>
      <c r="K23" s="51">
        <f t="shared" si="10"/>
        <v>13</v>
      </c>
      <c r="L23" s="59" t="str">
        <f t="shared" si="2"/>
        <v>Worcestershire</v>
      </c>
      <c r="M23" s="153">
        <f t="shared" si="3"/>
        <v>9.9000000000000005E-2</v>
      </c>
      <c r="N23" s="148">
        <f t="shared" si="23"/>
        <v>9.9</v>
      </c>
      <c r="O23" s="131" t="str">
        <f t="shared" si="11"/>
        <v/>
      </c>
      <c r="P23" s="131">
        <f t="shared" si="19"/>
        <v>9.9</v>
      </c>
      <c r="Q23" s="131" t="str">
        <f t="shared" si="20"/>
        <v/>
      </c>
      <c r="R23" s="127" t="str">
        <f t="shared" si="21"/>
        <v/>
      </c>
      <c r="S23" s="60" t="str">
        <f t="shared" si="12"/>
        <v/>
      </c>
      <c r="T23" s="217" t="str">
        <f>IF(L23="","",VLOOKUP(L23,classifications!C:K,9,FALSE))</f>
        <v>Sparse</v>
      </c>
      <c r="U23" s="224">
        <f t="shared" si="13"/>
        <v>9.9000000000000005E-2</v>
      </c>
      <c r="V23" s="225">
        <f>IF(U23="","",IF($I$8="A",(RANK(U23,U$11:U$355)+COUNTIF(U$11:U23,U23)-1),(RANK(U23,U$11:U$355,1)+COUNTIF(U$11:U23,U23)-1)))</f>
        <v>8</v>
      </c>
      <c r="W23" s="226"/>
      <c r="X23" s="61" t="str">
        <f>IF(L23="","",VLOOKUP($L23,classifications!$C:$J,6,FALSE))</f>
        <v>Significant Rural</v>
      </c>
      <c r="Y23" s="49" t="b">
        <f t="shared" si="4"/>
        <v>0</v>
      </c>
      <c r="Z23" s="57" t="e">
        <f>IF(Y23="","",IF(I$8="A",(RANK(Y23,Y$11:Y$355,1)+COUNTIF(Y$11:Y23,Y23)-1),(RANK(Y23,Y$11:Y$355)+COUNTIF(Y$11:Y23,Y23)-1)))</f>
        <v>#N/A</v>
      </c>
      <c r="AA23" s="231" t="str">
        <f>IF(L23="","",VLOOKUP($L23,classifications!C:I,7,FALSE))</f>
        <v>Significant Rural</v>
      </c>
      <c r="AB23" s="225" t="str">
        <f t="shared" si="14"/>
        <v/>
      </c>
      <c r="AC23" s="225" t="str">
        <f>IF(AB23="","",IF($I$8="A",(RANK(AB23,AB$11:AB$355)+COUNTIF(AB$11:AB23,AB23)-1),(RANK(AB23,AB$11:AB$355,1)+COUNTIF(AB$11:AB23,AB23)-1)))</f>
        <v/>
      </c>
      <c r="AD23" s="225"/>
      <c r="AE23" s="71">
        <f>IF(I$8="A",(RANK(AG23,AG$11:AG$355,1)+COUNTIF(AG$11:AG23,AG23)-1),(RANK(AG23,AG$11:AG$355)+COUNTIF(AG$11:AG23,AG23)-1))</f>
        <v>4</v>
      </c>
      <c r="AF23" s="6" t="str">
        <f>VLOOKUP(Profile!$J$5,Families!$C:$R,13,FALSE)</f>
        <v>Devon</v>
      </c>
      <c r="AG23" s="143">
        <f t="shared" si="15"/>
        <v>4.2000000000000003E-2</v>
      </c>
      <c r="AH23" s="72">
        <f t="shared" si="22"/>
        <v>4</v>
      </c>
      <c r="AI23" s="61" t="str">
        <f>IF(L23="","",VLOOKUP($L23,classifications!$C:$J,8,FALSE))</f>
        <v>Worcestershire</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West Midlands</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HLOOKUP($AX$9&amp;$AX$10,Data!$A$1:$ZZ$1992,(MATCH($C23,Data!$A$1:$A$1992,0)),FALSE)</f>
        <v>0</v>
      </c>
      <c r="AY23" s="156"/>
      <c r="AZ23" s="44"/>
    </row>
    <row r="24" spans="1:52">
      <c r="A24" s="84" t="str">
        <f>$D$1&amp;14</f>
        <v>SC14</v>
      </c>
      <c r="B24" s="85" t="str">
        <f>IF(ISERROR(VLOOKUP(A24,classifications!A:C,3,FALSE)),0,VLOOKUP(A24,classifications!A:C,3,FALSE))</f>
        <v>Suffolk</v>
      </c>
      <c r="C24" s="31" t="s">
        <v>344</v>
      </c>
      <c r="D24" s="49" t="str">
        <f>VLOOKUP($C24,classifications!$C:$J,4,FALSE)</f>
        <v>SD</v>
      </c>
      <c r="E24" s="49">
        <f>VLOOKUP(C24,classifications!C:K,9,FALSE)</f>
        <v>0</v>
      </c>
      <c r="F24" s="59" t="e">
        <f t="shared" si="0"/>
        <v>#N/A</v>
      </c>
      <c r="G24" s="105"/>
      <c r="H24" s="60" t="str">
        <f t="shared" si="1"/>
        <v/>
      </c>
      <c r="I24" s="112" t="str">
        <f>IF(H24="","",IF($I$8="A",(RANK(H24,H$11:H$355,1)+COUNTIF(H$11:H24,H24)-1),(RANK(H24,H$11:H$355)+COUNTIF(H$11:H24,H24)-1)))</f>
        <v/>
      </c>
      <c r="J24" s="58"/>
      <c r="K24" s="51">
        <f t="shared" si="10"/>
        <v>14</v>
      </c>
      <c r="L24" s="59" t="str">
        <f t="shared" si="2"/>
        <v>Norfolk</v>
      </c>
      <c r="M24" s="153">
        <f t="shared" si="3"/>
        <v>0.10199999999999999</v>
      </c>
      <c r="N24" s="148">
        <f t="shared" si="23"/>
        <v>10.199999999999999</v>
      </c>
      <c r="O24" s="131" t="str">
        <f t="shared" si="11"/>
        <v/>
      </c>
      <c r="P24" s="131" t="str">
        <f t="shared" si="19"/>
        <v/>
      </c>
      <c r="Q24" s="131">
        <f t="shared" si="20"/>
        <v>10.199999999999999</v>
      </c>
      <c r="R24" s="127" t="str">
        <f t="shared" si="21"/>
        <v/>
      </c>
      <c r="S24" s="60" t="str">
        <f t="shared" si="12"/>
        <v/>
      </c>
      <c r="T24" s="217" t="str">
        <f>IF(L24="","",VLOOKUP(L24,classifications!C:K,9,FALSE))</f>
        <v>Sparse</v>
      </c>
      <c r="U24" s="224">
        <f t="shared" si="13"/>
        <v>0.10199999999999999</v>
      </c>
      <c r="V24" s="225">
        <f>IF(U24="","",IF($I$8="A",(RANK(U24,U$11:U$355)+COUNTIF(U$11:U24,U24)-1),(RANK(U24,U$11:U$355,1)+COUNTIF(U$11:U24,U24)-1)))</f>
        <v>7</v>
      </c>
      <c r="W24" s="226"/>
      <c r="X24" s="61" t="str">
        <f>IF(L24="","",VLOOKUP($L24,classifications!$C:$J,6,FALSE))</f>
        <v>Predominantly Rural</v>
      </c>
      <c r="Y24" s="49" t="b">
        <f t="shared" si="4"/>
        <v>0</v>
      </c>
      <c r="Z24" s="57" t="e">
        <f>IF(Y24="","",IF(I$8="A",(RANK(Y24,Y$11:Y$355,1)+COUNTIF(Y$11:Y24,Y24)-1),(RANK(Y24,Y$11:Y$355)+COUNTIF(Y$11:Y24,Y24)-1)))</f>
        <v>#N/A</v>
      </c>
      <c r="AA24" s="231" t="str">
        <f>IF(L24="","",VLOOKUP($L24,classifications!C:I,7,FALSE))</f>
        <v>Predominantly Rural</v>
      </c>
      <c r="AB24" s="225">
        <f t="shared" si="14"/>
        <v>0.10199999999999999</v>
      </c>
      <c r="AC24" s="225">
        <f>IF(AB24="","",IF($I$8="A",(RANK(AB24,AB$11:AB$355)+COUNTIF(AB$11:AB24,AB24)-1),(RANK(AB24,AB$11:AB$355,1)+COUNTIF(AB$11:AB24,AB24)-1)))</f>
        <v>3</v>
      </c>
      <c r="AD24" s="225"/>
      <c r="AE24" s="71">
        <f>IF(I$8="A",(RANK(AG24,AG$11:AG$355,1)+COUNTIF(AG$11:AG24,AG24)-1),(RANK(AG24,AG$11:AG$355)+COUNTIF(AG$11:AG24,AG24)-1))</f>
        <v>15</v>
      </c>
      <c r="AF24" s="6" t="str">
        <f>VLOOKUP(Profile!$J$5,Families!$C:$R,14,FALSE)</f>
        <v>Lancashire</v>
      </c>
      <c r="AG24" s="143">
        <f t="shared" si="15"/>
        <v>0.35199999999999998</v>
      </c>
      <c r="AH24" s="72">
        <f t="shared" si="22"/>
        <v>15</v>
      </c>
      <c r="AI24" s="61" t="str">
        <f>IF(L24="","",VLOOKUP($L24,classifications!$C:$J,8,FALSE))</f>
        <v>Norfolk</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East of England</v>
      </c>
      <c r="AQ24" s="62" t="str">
        <f t="shared" si="17"/>
        <v/>
      </c>
      <c r="AR24" s="57" t="str">
        <f>IF(AQ24="","",IF(I$8="A",(RANK(AQ24,AQ$11:AQ$355,1)+COUNTIF(AQ$11:AQ24,AQ24)-1),(RANK(AQ24,AQ$11:AQ$355)+COUNTIF(AQ$11:AQ24,AQ24)-1)))</f>
        <v/>
      </c>
      <c r="AS24" s="52" t="str">
        <f t="shared" si="18"/>
        <v/>
      </c>
      <c r="AT24" s="57" t="str">
        <f t="shared" si="8"/>
        <v/>
      </c>
      <c r="AU24" s="62" t="str">
        <f t="shared" si="9"/>
        <v/>
      </c>
      <c r="AX24" s="44" t="e">
        <f>HLOOKUP($AX$9&amp;$AX$10,Data!$A$1:$ZZ$1992,(MATCH($C24,Data!$A$1:$A$1992,0)),FALSE)</f>
        <v>#N/A</v>
      </c>
      <c r="AY24" s="156"/>
      <c r="AZ24" s="44"/>
    </row>
    <row r="25" spans="1:52">
      <c r="A25" s="84" t="str">
        <f>$D$1&amp;15</f>
        <v>SC15</v>
      </c>
      <c r="B25" s="85" t="str">
        <f>IF(ISERROR(VLOOKUP(A25,classifications!A:C,3,FALSE)),0,VLOOKUP(A25,classifications!A:C,3,FALSE))</f>
        <v>Warwickshire</v>
      </c>
      <c r="C25" s="31" t="s">
        <v>15</v>
      </c>
      <c r="D25" s="49" t="str">
        <f>VLOOKUP($C25,classifications!$C:$J,4,FALSE)</f>
        <v>SD</v>
      </c>
      <c r="E25" s="49">
        <f>VLOOKUP(C25,classifications!C:K,9,FALSE)</f>
        <v>0</v>
      </c>
      <c r="F25" s="59">
        <f t="shared" si="0"/>
        <v>0</v>
      </c>
      <c r="G25" s="105"/>
      <c r="H25" s="60" t="str">
        <f t="shared" si="1"/>
        <v/>
      </c>
      <c r="I25" s="112" t="str">
        <f>IF(H25="","",IF($I$8="A",(RANK(H25,H$11:H$355,1)+COUNTIF(H$11:H25,H25)-1),(RANK(H25,H$11:H$355)+COUNTIF(H$11:H25,H25)-1)))</f>
        <v/>
      </c>
      <c r="J25" s="58"/>
      <c r="K25" s="51">
        <f t="shared" si="10"/>
        <v>15</v>
      </c>
      <c r="L25" s="59" t="str">
        <f t="shared" si="2"/>
        <v>Cumbria</v>
      </c>
      <c r="M25" s="153">
        <f t="shared" si="3"/>
        <v>0.111</v>
      </c>
      <c r="N25" s="148">
        <f t="shared" si="23"/>
        <v>11.1</v>
      </c>
      <c r="O25" s="131" t="str">
        <f t="shared" si="11"/>
        <v/>
      </c>
      <c r="P25" s="131" t="str">
        <f t="shared" si="19"/>
        <v/>
      </c>
      <c r="Q25" s="131">
        <f t="shared" si="20"/>
        <v>11.1</v>
      </c>
      <c r="R25" s="127" t="str">
        <f t="shared" si="21"/>
        <v/>
      </c>
      <c r="S25" s="60" t="str">
        <f t="shared" si="12"/>
        <v>u</v>
      </c>
      <c r="T25" s="217" t="str">
        <f>IF(L25="","",VLOOKUP(L25,classifications!C:K,9,FALSE))</f>
        <v>Sparse</v>
      </c>
      <c r="U25" s="224">
        <f t="shared" si="13"/>
        <v>0.111</v>
      </c>
      <c r="V25" s="225">
        <f>IF(U25="","",IF($I$8="A",(RANK(U25,U$11:U$355)+COUNTIF(U$11:U25,U25)-1),(RANK(U25,U$11:U$355,1)+COUNTIF(U$11:U25,U25)-1)))</f>
        <v>6</v>
      </c>
      <c r="W25" s="226"/>
      <c r="X25" s="61" t="str">
        <f>IF(L25="","",VLOOKUP($L25,classifications!$C:$J,6,FALSE))</f>
        <v>Predominantly Rural</v>
      </c>
      <c r="Y25" s="49" t="b">
        <f t="shared" si="4"/>
        <v>0</v>
      </c>
      <c r="Z25" s="57" t="e">
        <f>IF(Y25="","",IF(I$8="A",(RANK(Y25,Y$11:Y$355,1)+COUNTIF(Y$11:Y25,Y25)-1),(RANK(Y25,Y$11:Y$355)+COUNTIF(Y$11:Y25,Y25)-1)))</f>
        <v>#N/A</v>
      </c>
      <c r="AA25" s="231" t="str">
        <f>IF(L25="","",VLOOKUP($L25,classifications!C:I,7,FALSE))</f>
        <v>Predominantly Rural</v>
      </c>
      <c r="AB25" s="225">
        <f t="shared" si="14"/>
        <v>0.111</v>
      </c>
      <c r="AC25" s="225">
        <f>IF(AB25="","",IF($I$8="A",(RANK(AB25,AB$11:AB$355)+COUNTIF(AB$11:AB25,AB25)-1),(RANK(AB25,AB$11:AB$355,1)+COUNTIF(AB$11:AB25,AB25)-1)))</f>
        <v>2</v>
      </c>
      <c r="AD25" s="225"/>
      <c r="AE25" s="71">
        <f>IF(I$8="A",(RANK(AG25,AG$11:AG$355,1)+COUNTIF(AG$11:AG25,AG25)-1),(RANK(AG25,AG$11:AG$355)+COUNTIF(AG$11:AG25,AG25)-1))</f>
        <v>14</v>
      </c>
      <c r="AF25" s="6" t="str">
        <f>VLOOKUP(Profile!$J$5,Families!$C:$R,15,FALSE)</f>
        <v>Leicestershire</v>
      </c>
      <c r="AG25" s="143">
        <f t="shared" si="15"/>
        <v>0.32200000000000001</v>
      </c>
      <c r="AH25" s="72">
        <f t="shared" si="22"/>
        <v>14</v>
      </c>
      <c r="AI25" s="61" t="str">
        <f>IF(L25="","",VLOOKUP($L25,classifications!$C:$J,8,FALSE))</f>
        <v>Cumbria</v>
      </c>
      <c r="AJ25" s="62">
        <f t="shared" si="5"/>
        <v>0.111</v>
      </c>
      <c r="AK25" s="57">
        <f>IF(AJ25="","",IF(I$8="A",(RANK(AJ25,AJ$11:AJ$355,1)+COUNTIF(AJ$11:AJ25,AJ25)-1),(RANK(AJ25,AJ$11:AJ$355)+COUNTIF(AJ$11:AJ25,AJ25)-1)))</f>
        <v>1</v>
      </c>
      <c r="AL25" s="52" t="str">
        <f t="shared" si="16"/>
        <v/>
      </c>
      <c r="AM25" s="31" t="str">
        <f t="shared" si="6"/>
        <v/>
      </c>
      <c r="AN25" s="31" t="str">
        <f t="shared" si="7"/>
        <v/>
      </c>
      <c r="AP25" s="61" t="str">
        <f>IF(L25="","",VLOOKUP($L25,classifications!$C:$E,3,FALSE))</f>
        <v>North West</v>
      </c>
      <c r="AQ25" s="62">
        <f t="shared" si="17"/>
        <v>0.111</v>
      </c>
      <c r="AR25" s="57">
        <f>IF(AQ25="","",IF(I$8="A",(RANK(AQ25,AQ$11:AQ$355,1)+COUNTIF(AQ$11:AQ25,AQ25)-1),(RANK(AQ25,AQ$11:AQ$355)+COUNTIF(AQ$11:AQ25,AQ25)-1)))</f>
        <v>1</v>
      </c>
      <c r="AS25" s="52" t="str">
        <f t="shared" si="18"/>
        <v/>
      </c>
      <c r="AT25" s="57" t="str">
        <f t="shared" si="8"/>
        <v/>
      </c>
      <c r="AU25" s="62" t="str">
        <f t="shared" si="9"/>
        <v/>
      </c>
      <c r="AX25" s="44">
        <f>HLOOKUP($AX$9&amp;$AX$10,Data!$A$1:$ZZ$1992,(MATCH($C25,Data!$A$1:$A$1992,0)),FALSE)</f>
        <v>0</v>
      </c>
      <c r="AY25" s="156"/>
      <c r="AZ25" s="44"/>
    </row>
    <row r="26" spans="1:52">
      <c r="A26" s="84" t="str">
        <f>$D$1&amp;16</f>
        <v>SC16</v>
      </c>
      <c r="B26" s="85" t="str">
        <f>IF(ISERROR(VLOOKUP(A26,classifications!A:C,3,FALSE)),0,VLOOKUP(A26,classifications!A:C,3,FALSE))</f>
        <v>Worcestershire</v>
      </c>
      <c r="C26" s="31" t="s">
        <v>259</v>
      </c>
      <c r="D26" s="49" t="str">
        <f>VLOOKUP($C26,classifications!$C:$J,4,FALSE)</f>
        <v>UA</v>
      </c>
      <c r="E26" s="49">
        <f>VLOOKUP(C26,classifications!C:K,9,FALSE)</f>
        <v>0</v>
      </c>
      <c r="F26" s="59" t="e">
        <f t="shared" si="0"/>
        <v>#N/A</v>
      </c>
      <c r="G26" s="105"/>
      <c r="H26" s="60" t="str">
        <f t="shared" si="1"/>
        <v/>
      </c>
      <c r="I26" s="112" t="str">
        <f>IF(H26="","",IF($I$8="A",(RANK(H26,H$11:H$355,1)+COUNTIF(H$11:H26,H26)-1),(RANK(H26,H$11:H$355)+COUNTIF(H$11:H26,H26)-1)))</f>
        <v/>
      </c>
      <c r="J26" s="58"/>
      <c r="K26" s="51">
        <f t="shared" si="10"/>
        <v>16</v>
      </c>
      <c r="L26" s="59" t="str">
        <f t="shared" si="2"/>
        <v>Warwickshire</v>
      </c>
      <c r="M26" s="153">
        <f t="shared" si="3"/>
        <v>0.123</v>
      </c>
      <c r="N26" s="148">
        <f t="shared" si="23"/>
        <v>12.3</v>
      </c>
      <c r="O26" s="131" t="str">
        <f t="shared" si="11"/>
        <v/>
      </c>
      <c r="P26" s="131" t="str">
        <f t="shared" si="19"/>
        <v/>
      </c>
      <c r="Q26" s="131">
        <f t="shared" si="20"/>
        <v>12.3</v>
      </c>
      <c r="R26" s="127" t="str">
        <f t="shared" si="21"/>
        <v/>
      </c>
      <c r="S26" s="60" t="str">
        <f t="shared" si="12"/>
        <v/>
      </c>
      <c r="T26" s="217" t="str">
        <f>IF(L26="","",VLOOKUP(L26,classifications!C:K,9,FALSE))</f>
        <v>Sparse</v>
      </c>
      <c r="U26" s="224">
        <f t="shared" si="13"/>
        <v>0.123</v>
      </c>
      <c r="V26" s="225">
        <f>IF(U26="","",IF($I$8="A",(RANK(U26,U$11:U$355)+COUNTIF(U$11:U26,U26)-1),(RANK(U26,U$11:U$355,1)+COUNTIF(U$11:U26,U26)-1)))</f>
        <v>5</v>
      </c>
      <c r="W26" s="226"/>
      <c r="X26" s="61" t="str">
        <f>IF(L26="","",VLOOKUP($L26,classifications!$C:$J,6,FALSE))</f>
        <v>Significant Rural</v>
      </c>
      <c r="Y26" s="49" t="b">
        <f t="shared" si="4"/>
        <v>0</v>
      </c>
      <c r="Z26" s="57" t="e">
        <f>IF(Y26="","",IF(I$8="A",(RANK(Y26,Y$11:Y$355,1)+COUNTIF(Y$11:Y26,Y26)-1),(RANK(Y26,Y$11:Y$355)+COUNTIF(Y$11:Y26,Y26)-1)))</f>
        <v>#N/A</v>
      </c>
      <c r="AA26" s="231" t="str">
        <f>IF(L26="","",VLOOKUP($L26,classifications!C:I,7,FALSE))</f>
        <v>Significant Rural</v>
      </c>
      <c r="AB26" s="225" t="str">
        <f t="shared" si="14"/>
        <v/>
      </c>
      <c r="AC26" s="225" t="str">
        <f>IF(AB26="","",IF($I$8="A",(RANK(AB26,AB$11:AB$355)+COUNTIF(AB$11:AB26,AB26)-1),(RANK(AB26,AB$11:AB$355,1)+COUNTIF(AB$11:AB26,AB26)-1)))</f>
        <v/>
      </c>
      <c r="AD26" s="225"/>
      <c r="AE26" s="71">
        <f>IF(I$8="A",(RANK(AG26,AG$11:AG$355,1)+COUNTIF(AG$11:AG26,AG26)-1),(RANK(AG26,AG$11:AG$355)+COUNTIF(AG$11:AG26,AG26)-1))</f>
        <v>10</v>
      </c>
      <c r="AF26" s="6" t="str">
        <f>VLOOKUP(Profile!$J$5,Families!$C:$R,16,FALSE)</f>
        <v>Dorset</v>
      </c>
      <c r="AG26" s="143">
        <f t="shared" si="15"/>
        <v>0.12</v>
      </c>
      <c r="AH26" s="72">
        <f t="shared" si="22"/>
        <v>10</v>
      </c>
      <c r="AI26" s="61" t="str">
        <f>IF(L26="","",VLOOKUP($L26,classifications!$C:$J,8,FALSE))</f>
        <v>Warwickshire</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West Midlands</v>
      </c>
      <c r="AQ26" s="62" t="str">
        <f t="shared" si="17"/>
        <v/>
      </c>
      <c r="AR26" s="57" t="str">
        <f>IF(AQ26="","",IF(I$8="A",(RANK(AQ26,AQ$11:AQ$355,1)+COUNTIF(AQ$11:AQ26,AQ26)-1),(RANK(AQ26,AQ$11:AQ$355)+COUNTIF(AQ$11:AQ26,AQ26)-1)))</f>
        <v/>
      </c>
      <c r="AS26" s="52" t="str">
        <f t="shared" si="18"/>
        <v/>
      </c>
      <c r="AT26" s="57" t="str">
        <f t="shared" si="8"/>
        <v/>
      </c>
      <c r="AU26" s="62" t="str">
        <f t="shared" si="9"/>
        <v/>
      </c>
      <c r="AX26" s="44" t="e">
        <f>HLOOKUP($AX$9&amp;$AX$10,Data!$A$1:$ZZ$1992,(MATCH($C26,Data!$A$1:$A$1992,0)),FALSE)</f>
        <v>#N/A</v>
      </c>
      <c r="AY26" s="156"/>
      <c r="AZ26" s="44"/>
    </row>
    <row r="27" spans="1:52">
      <c r="A27" s="84" t="str">
        <f>$D$1&amp;17</f>
        <v>SC17</v>
      </c>
      <c r="B27" s="85">
        <f>IF(ISERROR(VLOOKUP(A27,classifications!A:C,3,FALSE)),0,VLOOKUP(A27,classifications!A:C,3,FALSE))</f>
        <v>0</v>
      </c>
      <c r="C27" s="31" t="s">
        <v>260</v>
      </c>
      <c r="D27" s="49" t="str">
        <f>VLOOKUP($C27,classifications!$C:$J,4,FALSE)</f>
        <v>UA</v>
      </c>
      <c r="E27" s="49">
        <f>VLOOKUP(C27,classifications!C:K,9,FALSE)</f>
        <v>0</v>
      </c>
      <c r="F27" s="59">
        <f t="shared" si="0"/>
        <v>3.3000000000000002E-2</v>
      </c>
      <c r="G27" s="105"/>
      <c r="H27" s="60" t="str">
        <f t="shared" si="1"/>
        <v/>
      </c>
      <c r="I27" s="112" t="str">
        <f>IF(H27="","",IF($I$8="A",(RANK(H27,H$11:H$355,1)+COUNTIF(H$11:H27,H27)-1),(RANK(H27,H$11:H$355)+COUNTIF(H$11:H27,H27)-1)))</f>
        <v/>
      </c>
      <c r="J27" s="58"/>
      <c r="K27" s="51">
        <f t="shared" si="10"/>
        <v>17</v>
      </c>
      <c r="L27" s="59" t="str">
        <f t="shared" si="2"/>
        <v>Northamptonshire</v>
      </c>
      <c r="M27" s="153">
        <f t="shared" si="3"/>
        <v>0.153</v>
      </c>
      <c r="N27" s="148">
        <f t="shared" si="23"/>
        <v>15.299999999999999</v>
      </c>
      <c r="O27" s="131" t="str">
        <f t="shared" si="11"/>
        <v/>
      </c>
      <c r="P27" s="131" t="str">
        <f t="shared" si="19"/>
        <v/>
      </c>
      <c r="Q27" s="131">
        <f t="shared" si="20"/>
        <v>15.299999999999999</v>
      </c>
      <c r="R27" s="127" t="str">
        <f t="shared" si="21"/>
        <v/>
      </c>
      <c r="S27" s="60" t="str">
        <f t="shared" si="12"/>
        <v/>
      </c>
      <c r="T27" s="217">
        <f>IF(L27="","",VLOOKUP(L27,classifications!C:K,9,FALSE))</f>
        <v>0</v>
      </c>
      <c r="U27" s="224" t="str">
        <f t="shared" si="13"/>
        <v/>
      </c>
      <c r="V27" s="225" t="str">
        <f>IF(U27="","",IF($I$8="A",(RANK(U27,U$11:U$355)+COUNTIF(U$11:U27,U27)-1),(RANK(U27,U$11:U$355,1)+COUNTIF(U$11:U27,U27)-1)))</f>
        <v/>
      </c>
      <c r="W27" s="226"/>
      <c r="X27" s="61" t="str">
        <f>IF(L27="","",VLOOKUP($L27,classifications!$C:$J,6,FALSE))</f>
        <v>Significant Rural</v>
      </c>
      <c r="Y27" s="49" t="b">
        <f t="shared" si="4"/>
        <v>0</v>
      </c>
      <c r="Z27" s="57" t="e">
        <f>IF(Y27="","",IF(I$8="A",(RANK(Y27,Y$11:Y$355,1)+COUNTIF(Y$11:Y27,Y27)-1),(RANK(Y27,Y$11:Y$355)+COUNTIF(Y$11:Y27,Y27)-1)))</f>
        <v>#N/A</v>
      </c>
      <c r="AA27" s="231" t="str">
        <f>IF(L27="","",VLOOKUP($L27,classifications!C:I,7,FALSE))</f>
        <v>Significant Rural</v>
      </c>
      <c r="AB27" s="225" t="str">
        <f t="shared" si="14"/>
        <v/>
      </c>
      <c r="AC27" s="225" t="str">
        <f>IF(AB27="","",IF($I$8="A",(RANK(AB27,AB$11:AB$355)+COUNTIF(AB$11:AB27,AB27)-1),(RANK(AB27,AB$11:AB$355,1)+COUNTIF(AB$11:AB27,AB27)-1)))</f>
        <v/>
      </c>
      <c r="AD27" s="225"/>
      <c r="AE27" s="51"/>
      <c r="AF27" s="6"/>
      <c r="AG27" s="143"/>
      <c r="AH27" s="52"/>
      <c r="AI27" s="61" t="str">
        <f>IF(L27="","",VLOOKUP($L27,classifications!$C:$J,8,FALSE))</f>
        <v>Northamptonshire</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East Midlands</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HLOOKUP($AX$9&amp;$AX$10,Data!$A$1:$ZZ$1992,(MATCH($C27,Data!$A$1:$A$1992,0)),FALSE)</f>
        <v>3.3000000000000002E-2</v>
      </c>
      <c r="AY27" s="156"/>
      <c r="AZ27" s="44"/>
    </row>
    <row r="28" spans="1:52">
      <c r="A28" s="84" t="str">
        <f>$D$1&amp;18</f>
        <v>SC18</v>
      </c>
      <c r="B28" s="85">
        <f>IF(ISERROR(VLOOKUP(A28,classifications!A:C,3,FALSE)),0,VLOOKUP(A28,classifications!A:C,3,FALSE))</f>
        <v>0</v>
      </c>
      <c r="C28" s="31" t="s">
        <v>198</v>
      </c>
      <c r="D28" s="49" t="str">
        <f>VLOOKUP($C28,classifications!$C:$J,4,FALSE)</f>
        <v>L</v>
      </c>
      <c r="E28" s="49">
        <f>VLOOKUP(C28,classifications!C:K,9,FALSE)</f>
        <v>0</v>
      </c>
      <c r="F28" s="59">
        <f t="shared" si="0"/>
        <v>1E-3</v>
      </c>
      <c r="G28" s="105"/>
      <c r="H28" s="60" t="str">
        <f t="shared" si="1"/>
        <v/>
      </c>
      <c r="I28" s="112" t="str">
        <f>IF(H28="","",IF($I$8="A",(RANK(H28,H$11:H$355,1)+COUNTIF(H$11:H28,H28)-1),(RANK(H28,H$11:H$355)+COUNTIF(H$11:H28,H28)-1)))</f>
        <v/>
      </c>
      <c r="J28" s="58"/>
      <c r="K28" s="51">
        <f t="shared" si="10"/>
        <v>18</v>
      </c>
      <c r="L28" s="59" t="str">
        <f t="shared" si="2"/>
        <v>Hertfordshire</v>
      </c>
      <c r="M28" s="153">
        <f t="shared" si="3"/>
        <v>0.157</v>
      </c>
      <c r="N28" s="148">
        <f t="shared" si="23"/>
        <v>15.7</v>
      </c>
      <c r="O28" s="131" t="str">
        <f t="shared" si="11"/>
        <v/>
      </c>
      <c r="P28" s="131" t="str">
        <f t="shared" si="19"/>
        <v/>
      </c>
      <c r="Q28" s="131">
        <f t="shared" si="20"/>
        <v>15.7</v>
      </c>
      <c r="R28" s="127" t="str">
        <f t="shared" si="21"/>
        <v/>
      </c>
      <c r="S28" s="60" t="str">
        <f t="shared" si="12"/>
        <v/>
      </c>
      <c r="T28" s="217">
        <f>IF(L28="","",VLOOKUP(L28,classifications!C:K,9,FALSE))</f>
        <v>0</v>
      </c>
      <c r="U28" s="224" t="str">
        <f t="shared" si="13"/>
        <v/>
      </c>
      <c r="V28" s="225" t="str">
        <f>IF(U28="","",IF($I$8="A",(RANK(U28,U$11:U$355)+COUNTIF(U$11:U28,U28)-1),(RANK(U28,U$11:U$355,1)+COUNTIF(U$11:U28,U28)-1)))</f>
        <v/>
      </c>
      <c r="W28" s="226"/>
      <c r="X28" s="61" t="str">
        <f>IF(L28="","",VLOOKUP($L28,classifications!$C:$J,6,FALSE))</f>
        <v>Predominantly Urban</v>
      </c>
      <c r="Y28" s="49" t="b">
        <f t="shared" si="4"/>
        <v>0</v>
      </c>
      <c r="Z28" s="57" t="e">
        <f>IF(Y28="","",IF(I$8="A",(RANK(Y28,Y$11:Y$355,1)+COUNTIF(Y$11:Y28,Y28)-1),(RANK(Y28,Y$11:Y$355)+COUNTIF(Y$11:Y28,Y28)-1)))</f>
        <v>#N/A</v>
      </c>
      <c r="AA28" s="231" t="str">
        <f>IF(L28="","",VLOOKUP($L28,classifications!C:I,7,FALSE))</f>
        <v>Predominantly Urban</v>
      </c>
      <c r="AB28" s="225" t="str">
        <f t="shared" si="14"/>
        <v/>
      </c>
      <c r="AC28" s="225" t="str">
        <f>IF(AB28="","",IF($I$8="A",(RANK(AB28,AB$11:AB$355)+COUNTIF(AB$11:AB28,AB28)-1),(RANK(AB28,AB$11:AB$355,1)+COUNTIF(AB$11:AB28,AB28)-1)))</f>
        <v/>
      </c>
      <c r="AD28" s="225"/>
      <c r="AE28" s="51"/>
      <c r="AF28" s="6"/>
      <c r="AG28" s="143"/>
      <c r="AH28" s="52"/>
      <c r="AI28" s="61" t="str">
        <f>IF(L28="","",VLOOKUP($L28,classifications!$C:$J,8,FALSE))</f>
        <v>Hertfordshire</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East of England</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HLOOKUP($AX$9&amp;$AX$10,Data!$A$1:$ZZ$1992,(MATCH($C28,Data!$A$1:$A$1992,0)),FALSE)</f>
        <v>1E-3</v>
      </c>
      <c r="AY28" s="156"/>
      <c r="AZ28" s="44"/>
    </row>
    <row r="29" spans="1:52">
      <c r="A29" s="84" t="str">
        <f>$D$1&amp;19</f>
        <v>SC19</v>
      </c>
      <c r="B29" s="85">
        <f>IF(ISERROR(VLOOKUP(A29,classifications!A:C,3,FALSE)),0,VLOOKUP(A29,classifications!A:C,3,FALSE))</f>
        <v>0</v>
      </c>
      <c r="C29" s="31" t="s">
        <v>224</v>
      </c>
      <c r="D29" s="49" t="str">
        <f>VLOOKUP($C29,classifications!$C:$J,4,FALSE)</f>
        <v>MD</v>
      </c>
      <c r="E29" s="49">
        <f>VLOOKUP(C29,classifications!C:K,9,FALSE)</f>
        <v>0</v>
      </c>
      <c r="F29" s="59">
        <f t="shared" si="0"/>
        <v>8.2000000000000003E-2</v>
      </c>
      <c r="G29" s="105"/>
      <c r="H29" s="60" t="str">
        <f t="shared" si="1"/>
        <v/>
      </c>
      <c r="I29" s="112" t="str">
        <f>IF(H29="","",IF($I$8="A",(RANK(H29,H$11:H$355,1)+COUNTIF(H$11:H29,H29)-1),(RANK(H29,H$11:H$355)+COUNTIF(H$11:H29,H29)-1)))</f>
        <v/>
      </c>
      <c r="J29" s="58"/>
      <c r="K29" s="51">
        <f t="shared" si="10"/>
        <v>19</v>
      </c>
      <c r="L29" s="59" t="str">
        <f t="shared" si="2"/>
        <v>Gloucestershire</v>
      </c>
      <c r="M29" s="153">
        <f t="shared" si="3"/>
        <v>0.17799999999999999</v>
      </c>
      <c r="N29" s="148">
        <f t="shared" si="23"/>
        <v>17.8</v>
      </c>
      <c r="O29" s="131" t="str">
        <f t="shared" si="11"/>
        <v/>
      </c>
      <c r="P29" s="131" t="str">
        <f t="shared" si="19"/>
        <v/>
      </c>
      <c r="Q29" s="131">
        <f t="shared" si="20"/>
        <v>17.8</v>
      </c>
      <c r="R29" s="127" t="str">
        <f t="shared" si="21"/>
        <v/>
      </c>
      <c r="S29" s="60" t="str">
        <f t="shared" si="12"/>
        <v/>
      </c>
      <c r="T29" s="217">
        <f>IF(L29="","",VLOOKUP(L29,classifications!C:K,9,FALSE))</f>
        <v>0</v>
      </c>
      <c r="U29" s="224" t="str">
        <f t="shared" si="13"/>
        <v/>
      </c>
      <c r="V29" s="225" t="str">
        <f>IF(U29="","",IF($I$8="A",(RANK(U29,U$11:U$355)+COUNTIF(U$11:U29,U29)-1),(RANK(U29,U$11:U$355,1)+COUNTIF(U$11:U29,U29)-1)))</f>
        <v/>
      </c>
      <c r="W29" s="226"/>
      <c r="X29" s="61" t="str">
        <f>IF(L29="","",VLOOKUP($L29,classifications!$C:$J,6,FALSE))</f>
        <v>Significant Rural</v>
      </c>
      <c r="Y29" s="49" t="b">
        <f t="shared" si="4"/>
        <v>0</v>
      </c>
      <c r="Z29" s="57" t="e">
        <f>IF(Y29="","",IF(I$8="A",(RANK(Y29,Y$11:Y$355,1)+COUNTIF(Y$11:Y29,Y29)-1),(RANK(Y29,Y$11:Y$355)+COUNTIF(Y$11:Y29,Y29)-1)))</f>
        <v>#N/A</v>
      </c>
      <c r="AA29" s="231" t="str">
        <f>IF(L29="","",VLOOKUP($L29,classifications!C:I,7,FALSE))</f>
        <v>Significant Rural</v>
      </c>
      <c r="AB29" s="225" t="str">
        <f t="shared" si="14"/>
        <v/>
      </c>
      <c r="AC29" s="225" t="str">
        <f>IF(AB29="","",IF($I$8="A",(RANK(AB29,AB$11:AB$355)+COUNTIF(AB$11:AB29,AB29)-1),(RANK(AB29,AB$11:AB$355,1)+COUNTIF(AB$11:AB29,AB29)-1)))</f>
        <v/>
      </c>
      <c r="AD29" s="225"/>
      <c r="AE29" s="51"/>
      <c r="AF29" s="6"/>
      <c r="AG29" s="143"/>
      <c r="AH29" s="52"/>
      <c r="AI29" s="61" t="str">
        <f>IF(L29="","",VLOOKUP($L29,classifications!$C:$J,8,FALSE))</f>
        <v>Gloucestershire</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South West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HLOOKUP($AX$9&amp;$AX$10,Data!$A$1:$ZZ$1992,(MATCH($C29,Data!$A$1:$A$1992,0)),FALSE)</f>
        <v>8.2000000000000003E-2</v>
      </c>
      <c r="AY29" s="156"/>
      <c r="AZ29" s="44"/>
    </row>
    <row r="30" spans="1:52">
      <c r="A30" s="84" t="str">
        <f>$D$1&amp;20</f>
        <v>SC20</v>
      </c>
      <c r="B30" s="85">
        <f>IF(ISERROR(VLOOKUP(A30,classifications!A:C,3,FALSE)),0,VLOOKUP(A30,classifications!A:C,3,FALSE))</f>
        <v>0</v>
      </c>
      <c r="C30" s="31" t="s">
        <v>16</v>
      </c>
      <c r="D30" s="49" t="str">
        <f>VLOOKUP($C30,classifications!$C:$J,4,FALSE)</f>
        <v>SD</v>
      </c>
      <c r="E30" s="49">
        <f>VLOOKUP(C30,classifications!C:K,9,FALSE)</f>
        <v>0</v>
      </c>
      <c r="F30" s="59">
        <f t="shared" si="0"/>
        <v>0</v>
      </c>
      <c r="G30" s="105"/>
      <c r="H30" s="60" t="str">
        <f t="shared" si="1"/>
        <v/>
      </c>
      <c r="I30" s="112" t="str">
        <f>IF(H30="","",IF($I$8="A",(RANK(H30,H$11:H$355,1)+COUNTIF(H$11:H30,H30)-1),(RANK(H30,H$11:H$355)+COUNTIF(H$11:H30,H30)-1)))</f>
        <v/>
      </c>
      <c r="J30" s="58"/>
      <c r="K30" s="51">
        <f t="shared" si="10"/>
        <v>20</v>
      </c>
      <c r="L30" s="59" t="str">
        <f t="shared" si="2"/>
        <v>West Sussex</v>
      </c>
      <c r="M30" s="153">
        <f t="shared" si="3"/>
        <v>0.17899999999999999</v>
      </c>
      <c r="N30" s="148">
        <f t="shared" si="23"/>
        <v>17.899999999999999</v>
      </c>
      <c r="O30" s="131" t="str">
        <f t="shared" si="11"/>
        <v/>
      </c>
      <c r="P30" s="131" t="str">
        <f t="shared" si="19"/>
        <v/>
      </c>
      <c r="Q30" s="131" t="str">
        <f t="shared" si="20"/>
        <v/>
      </c>
      <c r="R30" s="127">
        <f t="shared" si="21"/>
        <v>17.899999999999999</v>
      </c>
      <c r="S30" s="60" t="str">
        <f t="shared" si="12"/>
        <v/>
      </c>
      <c r="T30" s="217">
        <f>IF(L30="","",VLOOKUP(L30,classifications!C:K,9,FALSE))</f>
        <v>0</v>
      </c>
      <c r="U30" s="224" t="str">
        <f t="shared" si="13"/>
        <v/>
      </c>
      <c r="V30" s="225" t="str">
        <f>IF(U30="","",IF($I$8="A",(RANK(U30,U$11:U$355)+COUNTIF(U$11:U30,U30)-1),(RANK(U30,U$11:U$355,1)+COUNTIF(U$11:U30,U30)-1)))</f>
        <v/>
      </c>
      <c r="W30" s="226"/>
      <c r="X30" s="61" t="str">
        <f>IF(L30="","",VLOOKUP($L30,classifications!$C:$J,6,FALSE))</f>
        <v>Significant Rural</v>
      </c>
      <c r="Y30" s="49" t="b">
        <f t="shared" si="4"/>
        <v>0</v>
      </c>
      <c r="Z30" s="57" t="e">
        <f>IF(Y30="","",IF(I$8="A",(RANK(Y30,Y$11:Y$355,1)+COUNTIF(Y$11:Y30,Y30)-1),(RANK(Y30,Y$11:Y$355)+COUNTIF(Y$11:Y30,Y30)-1)))</f>
        <v>#N/A</v>
      </c>
      <c r="AA30" s="231" t="str">
        <f>IF(L30="","",VLOOKUP($L30,classifications!C:I,7,FALSE))</f>
        <v>Significant Rural</v>
      </c>
      <c r="AB30" s="225" t="str">
        <f t="shared" si="14"/>
        <v/>
      </c>
      <c r="AC30" s="225" t="str">
        <f>IF(AB30="","",IF($I$8="A",(RANK(AB30,AB$11:AB$355)+COUNTIF(AB$11:AB30,AB30)-1),(RANK(AB30,AB$11:AB$355,1)+COUNTIF(AB$11:AB30,AB30)-1)))</f>
        <v/>
      </c>
      <c r="AD30" s="225"/>
      <c r="AE30" s="51"/>
      <c r="AF30" s="6"/>
      <c r="AG30" s="143"/>
      <c r="AH30" s="52"/>
      <c r="AI30" s="61" t="str">
        <f>IF(L30="","",VLOOKUP($L30,classifications!$C:$J,8,FALSE))</f>
        <v>West Sussex</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HLOOKUP($AX$9&amp;$AX$10,Data!$A$1:$ZZ$1992,(MATCH($C30,Data!$A$1:$A$1992,0)),FALSE)</f>
        <v>0</v>
      </c>
      <c r="AY30" s="156"/>
      <c r="AZ30" s="44"/>
    </row>
    <row r="31" spans="1:52">
      <c r="A31" s="84" t="str">
        <f>$D$1&amp;21</f>
        <v>SC21</v>
      </c>
      <c r="B31" s="85">
        <f>IF(ISERROR(VLOOKUP(A31,classifications!A:C,3,FALSE)),0,VLOOKUP(A31,classifications!A:C,3,FALSE))</f>
        <v>0</v>
      </c>
      <c r="C31" s="31" t="s">
        <v>261</v>
      </c>
      <c r="D31" s="49" t="str">
        <f>VLOOKUP($C31,classifications!$C:$J,4,FALSE)</f>
        <v>UA</v>
      </c>
      <c r="E31" s="49">
        <f>VLOOKUP(C31,classifications!C:K,9,FALSE)</f>
        <v>0</v>
      </c>
      <c r="F31" s="59">
        <f t="shared" si="0"/>
        <v>0.23499999999999999</v>
      </c>
      <c r="G31" s="105"/>
      <c r="H31" s="60" t="str">
        <f t="shared" si="1"/>
        <v/>
      </c>
      <c r="I31" s="112" t="str">
        <f>IF(H31="","",IF($I$8="A",(RANK(H31,H$11:H$355,1)+COUNTIF(H$11:H31,H31)-1),(RANK(H31,H$11:H$355)+COUNTIF(H$11:H31,H31)-1)))</f>
        <v/>
      </c>
      <c r="J31" s="58"/>
      <c r="K31" s="51">
        <f t="shared" si="10"/>
        <v>21</v>
      </c>
      <c r="L31" s="59" t="str">
        <f t="shared" si="2"/>
        <v>Essex</v>
      </c>
      <c r="M31" s="153">
        <f t="shared" si="3"/>
        <v>0.187</v>
      </c>
      <c r="N31" s="148">
        <f t="shared" si="23"/>
        <v>18.7</v>
      </c>
      <c r="O31" s="131" t="str">
        <f t="shared" si="11"/>
        <v/>
      </c>
      <c r="P31" s="131" t="str">
        <f t="shared" si="19"/>
        <v/>
      </c>
      <c r="Q31" s="131" t="str">
        <f t="shared" si="20"/>
        <v/>
      </c>
      <c r="R31" s="127">
        <f t="shared" si="21"/>
        <v>18.7</v>
      </c>
      <c r="S31" s="60" t="str">
        <f t="shared" si="12"/>
        <v/>
      </c>
      <c r="T31" s="217" t="str">
        <f>IF(L31="","",VLOOKUP(L31,classifications!C:K,9,FALSE))</f>
        <v>Sparse</v>
      </c>
      <c r="U31" s="224">
        <f t="shared" si="13"/>
        <v>0.187</v>
      </c>
      <c r="V31" s="225">
        <f>IF(U31="","",IF($I$8="A",(RANK(U31,U$11:U$355)+COUNTIF(U$11:U31,U31)-1),(RANK(U31,U$11:U$355,1)+COUNTIF(U$11:U31,U31)-1)))</f>
        <v>4</v>
      </c>
      <c r="W31" s="226"/>
      <c r="X31" s="61" t="str">
        <f>IF(L31="","",VLOOKUP($L31,classifications!$C:$J,6,FALSE))</f>
        <v>Significant Rural</v>
      </c>
      <c r="Y31" s="49" t="b">
        <f t="shared" si="4"/>
        <v>0</v>
      </c>
      <c r="Z31" s="57" t="e">
        <f>IF(Y31="","",IF(I$8="A",(RANK(Y31,Y$11:Y$355,1)+COUNTIF(Y$11:Y31,Y31)-1),(RANK(Y31,Y$11:Y$355)+COUNTIF(Y$11:Y31,Y31)-1)))</f>
        <v>#N/A</v>
      </c>
      <c r="AA31" s="231" t="str">
        <f>IF(L31="","",VLOOKUP($L31,classifications!C:I,7,FALSE))</f>
        <v>Significant Rural</v>
      </c>
      <c r="AB31" s="225" t="str">
        <f t="shared" si="14"/>
        <v/>
      </c>
      <c r="AC31" s="225" t="str">
        <f>IF(AB31="","",IF($I$8="A",(RANK(AB31,AB$11:AB$355)+COUNTIF(AB$11:AB31,AB31)-1),(RANK(AB31,AB$11:AB$355,1)+COUNTIF(AB$11:AB31,AB31)-1)))</f>
        <v/>
      </c>
      <c r="AD31" s="225"/>
      <c r="AE31" s="51"/>
      <c r="AF31" s="6"/>
      <c r="AG31" s="143"/>
      <c r="AH31" s="52"/>
      <c r="AI31" s="61" t="str">
        <f>IF(L31="","",VLOOKUP($L31,classifications!$C:$J,8,FALSE))</f>
        <v>Essex</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HLOOKUP($AX$9&amp;$AX$10,Data!$A$1:$ZZ$1992,(MATCH($C31,Data!$A$1:$A$1992,0)),FALSE)</f>
        <v>0.23499999999999999</v>
      </c>
      <c r="AY31" s="156"/>
      <c r="AZ31" s="44"/>
    </row>
    <row r="32" spans="1:52">
      <c r="A32" s="84" t="str">
        <f>$D$1&amp;22</f>
        <v>SC22</v>
      </c>
      <c r="B32" s="85">
        <f>IF(ISERROR(VLOOKUP(A32,classifications!A:C,3,FALSE)),0,VLOOKUP(A32,classifications!A:C,3,FALSE))</f>
        <v>0</v>
      </c>
      <c r="C32" s="31" t="s">
        <v>262</v>
      </c>
      <c r="D32" s="49" t="str">
        <f>VLOOKUP($C32,classifications!$C:$J,4,FALSE)</f>
        <v>UA</v>
      </c>
      <c r="E32" s="49">
        <f>VLOOKUP(C32,classifications!C:K,9,FALSE)</f>
        <v>0</v>
      </c>
      <c r="F32" s="59">
        <f t="shared" si="0"/>
        <v>0.114</v>
      </c>
      <c r="G32" s="105"/>
      <c r="H32" s="60" t="str">
        <f t="shared" si="1"/>
        <v/>
      </c>
      <c r="I32" s="112" t="str">
        <f>IF(H32="","",IF($I$8="A",(RANK(H32,H$11:H$355,1)+COUNTIF(H$11:H32,H32)-1),(RANK(H32,H$11:H$355)+COUNTIF(H$11:H32,H32)-1)))</f>
        <v/>
      </c>
      <c r="J32" s="58"/>
      <c r="K32" s="51">
        <f t="shared" si="10"/>
        <v>22</v>
      </c>
      <c r="L32" s="59" t="str">
        <f t="shared" si="2"/>
        <v>Derbyshire</v>
      </c>
      <c r="M32" s="153">
        <f t="shared" si="3"/>
        <v>0.2</v>
      </c>
      <c r="N32" s="148">
        <f t="shared" si="23"/>
        <v>20</v>
      </c>
      <c r="O32" s="131" t="str">
        <f t="shared" si="11"/>
        <v/>
      </c>
      <c r="P32" s="131" t="str">
        <f t="shared" si="19"/>
        <v/>
      </c>
      <c r="Q32" s="131" t="str">
        <f t="shared" si="20"/>
        <v/>
      </c>
      <c r="R32" s="127">
        <f t="shared" si="21"/>
        <v>20</v>
      </c>
      <c r="S32" s="60" t="str">
        <f t="shared" si="12"/>
        <v/>
      </c>
      <c r="T32" s="217" t="str">
        <f>IF(L32="","",VLOOKUP(L32,classifications!C:K,9,FALSE))</f>
        <v>Sparse</v>
      </c>
      <c r="U32" s="224">
        <f t="shared" si="13"/>
        <v>0.2</v>
      </c>
      <c r="V32" s="225">
        <f>IF(U32="","",IF($I$8="A",(RANK(U32,U$11:U$355)+COUNTIF(U$11:U32,U32)-1),(RANK(U32,U$11:U$355,1)+COUNTIF(U$11:U32,U32)-1)))</f>
        <v>3</v>
      </c>
      <c r="W32" s="226"/>
      <c r="X32" s="61" t="str">
        <f>IF(L32="","",VLOOKUP($L32,classifications!$C:$J,6,FALSE))</f>
        <v>Significant Rural</v>
      </c>
      <c r="Y32" s="49" t="b">
        <f t="shared" si="4"/>
        <v>0</v>
      </c>
      <c r="Z32" s="57" t="e">
        <f>IF(Y32="","",IF(I$8="A",(RANK(Y32,Y$11:Y$355,1)+COUNTIF(Y$11:Y32,Y32)-1),(RANK(Y32,Y$11:Y$355)+COUNTIF(Y$11:Y32,Y32)-1)))</f>
        <v>#N/A</v>
      </c>
      <c r="AA32" s="231" t="str">
        <f>IF(L32="","",VLOOKUP($L32,classifications!C:I,7,FALSE))</f>
        <v>Significant Rural</v>
      </c>
      <c r="AB32" s="225" t="str">
        <f t="shared" si="14"/>
        <v/>
      </c>
      <c r="AC32" s="225" t="str">
        <f>IF(AB32="","",IF($I$8="A",(RANK(AB32,AB$11:AB$355)+COUNTIF(AB$11:AB32,AB32)-1),(RANK(AB32,AB$11:AB$355,1)+COUNTIF(AB$11:AB32,AB32)-1)))</f>
        <v/>
      </c>
      <c r="AD32" s="225"/>
      <c r="AE32" s="51"/>
      <c r="AG32" s="143"/>
      <c r="AH32" s="52"/>
      <c r="AI32" s="61" t="str">
        <f>IF(L32="","",VLOOKUP($L32,classifications!$C:$J,8,FALSE))</f>
        <v>Derbyshire</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East Midlands</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HLOOKUP($AX$9&amp;$AX$10,Data!$A$1:$ZZ$1992,(MATCH($C32,Data!$A$1:$A$1992,0)),FALSE)</f>
        <v>0.114</v>
      </c>
      <c r="AY32" s="156"/>
      <c r="AZ32" s="44"/>
    </row>
    <row r="33" spans="1:52">
      <c r="A33" s="84" t="str">
        <f>$D$1&amp;23</f>
        <v>SC23</v>
      </c>
      <c r="B33" s="85">
        <f>IF(ISERROR(VLOOKUP(A33,classifications!A:C,3,FALSE)),0,VLOOKUP(A33,classifications!A:C,3,FALSE))</f>
        <v>0</v>
      </c>
      <c r="C33" s="31" t="s">
        <v>17</v>
      </c>
      <c r="D33" s="49" t="str">
        <f>VLOOKUP($C33,classifications!$C:$J,4,FALSE)</f>
        <v>SD</v>
      </c>
      <c r="E33" s="49">
        <f>VLOOKUP(C33,classifications!C:K,9,FALSE)</f>
        <v>0</v>
      </c>
      <c r="F33" s="59">
        <f t="shared" si="0"/>
        <v>0</v>
      </c>
      <c r="G33" s="105"/>
      <c r="H33" s="60" t="str">
        <f t="shared" si="1"/>
        <v/>
      </c>
      <c r="I33" s="112" t="str">
        <f>IF(H33="","",IF($I$8="A",(RANK(H33,H$11:H$355,1)+COUNTIF(H$11:H33,H33)-1),(RANK(H33,H$11:H$355)+COUNTIF(H$11:H33,H33)-1)))</f>
        <v/>
      </c>
      <c r="J33" s="58"/>
      <c r="K33" s="51">
        <f t="shared" si="10"/>
        <v>23</v>
      </c>
      <c r="L33" s="59" t="str">
        <f t="shared" si="2"/>
        <v>Cambridgeshire</v>
      </c>
      <c r="M33" s="153">
        <f t="shared" si="3"/>
        <v>0.27800000000000002</v>
      </c>
      <c r="N33" s="148">
        <f t="shared" si="23"/>
        <v>27.800000000000004</v>
      </c>
      <c r="O33" s="131" t="str">
        <f t="shared" si="11"/>
        <v/>
      </c>
      <c r="P33" s="131" t="str">
        <f t="shared" si="19"/>
        <v/>
      </c>
      <c r="Q33" s="131" t="str">
        <f t="shared" si="20"/>
        <v/>
      </c>
      <c r="R33" s="127">
        <f t="shared" si="21"/>
        <v>27.800000000000004</v>
      </c>
      <c r="S33" s="60" t="str">
        <f t="shared" si="12"/>
        <v/>
      </c>
      <c r="T33" s="217">
        <f>IF(L33="","",VLOOKUP(L33,classifications!C:K,9,FALSE))</f>
        <v>0</v>
      </c>
      <c r="U33" s="224" t="str">
        <f t="shared" si="13"/>
        <v/>
      </c>
      <c r="V33" s="225" t="str">
        <f>IF(U33="","",IF($I$8="A",(RANK(U33,U$11:U$355)+COUNTIF(U$11:U33,U33)-1),(RANK(U33,U$11:U$355,1)+COUNTIF(U$11:U33,U33)-1)))</f>
        <v/>
      </c>
      <c r="W33" s="226"/>
      <c r="X33" s="61" t="str">
        <f>IF(L33="","",VLOOKUP($L33,classifications!$C:$J,6,FALSE))</f>
        <v>Predominantly Rural</v>
      </c>
      <c r="Y33" s="49" t="b">
        <f t="shared" si="4"/>
        <v>0</v>
      </c>
      <c r="Z33" s="57" t="e">
        <f>IF(Y33="","",IF(I$8="A",(RANK(Y33,Y$11:Y$355,1)+COUNTIF(Y$11:Y33,Y33)-1),(RANK(Y33,Y$11:Y$355)+COUNTIF(Y$11:Y33,Y33)-1)))</f>
        <v>#N/A</v>
      </c>
      <c r="AA33" s="231" t="str">
        <f>IF(L33="","",VLOOKUP($L33,classifications!C:I,7,FALSE))</f>
        <v>Predominantly Rural</v>
      </c>
      <c r="AB33" s="225">
        <f t="shared" si="14"/>
        <v>0.27800000000000002</v>
      </c>
      <c r="AC33" s="225">
        <f>IF(AB33="","",IF($I$8="A",(RANK(AB33,AB$11:AB$355)+COUNTIF(AB$11:AB33,AB33)-1),(RANK(AB33,AB$11:AB$355,1)+COUNTIF(AB$11:AB33,AB33)-1)))</f>
        <v>1</v>
      </c>
      <c r="AD33" s="225"/>
      <c r="AE33" s="51"/>
      <c r="AG33" s="143"/>
      <c r="AH33" s="52"/>
      <c r="AI33" s="61" t="str">
        <f>IF(L33="","",VLOOKUP($L33,classifications!$C:$J,8,FALSE))</f>
        <v>Cambridgeshire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HLOOKUP($AX$9&amp;$AX$10,Data!$A$1:$ZZ$1992,(MATCH($C33,Data!$A$1:$A$1992,0)),FALSE)</f>
        <v>0</v>
      </c>
      <c r="AY33" s="156"/>
      <c r="AZ33" s="44"/>
    </row>
    <row r="34" spans="1:52">
      <c r="A34" s="84" t="str">
        <f>$D$1&amp;24</f>
        <v>SC24</v>
      </c>
      <c r="B34" s="85">
        <f>IF(ISERROR(VLOOKUP(A34,classifications!A:C,3,FALSE)),0,VLOOKUP(A34,classifications!A:C,3,FALSE))</f>
        <v>0</v>
      </c>
      <c r="C34" s="31" t="s">
        <v>225</v>
      </c>
      <c r="D34" s="49" t="str">
        <f>VLOOKUP($C34,classifications!$C:$J,4,FALSE)</f>
        <v>MD</v>
      </c>
      <c r="E34" s="49">
        <f>VLOOKUP(C34,classifications!C:K,9,FALSE)</f>
        <v>0</v>
      </c>
      <c r="F34" s="59">
        <f t="shared" si="0"/>
        <v>0</v>
      </c>
      <c r="G34" s="105"/>
      <c r="H34" s="60" t="str">
        <f t="shared" si="1"/>
        <v/>
      </c>
      <c r="I34" s="112" t="str">
        <f>IF(H34="","",IF($I$8="A",(RANK(H34,H$11:H$355,1)+COUNTIF(H$11:H34,H34)-1),(RANK(H34,H$11:H$355)+COUNTIF(H$11:H34,H34)-1)))</f>
        <v/>
      </c>
      <c r="J34" s="58"/>
      <c r="K34" s="51">
        <f t="shared" si="10"/>
        <v>24</v>
      </c>
      <c r="L34" s="59" t="str">
        <f t="shared" si="2"/>
        <v>Leicestershire</v>
      </c>
      <c r="M34" s="153">
        <f t="shared" si="3"/>
        <v>0.32200000000000001</v>
      </c>
      <c r="N34" s="148">
        <f t="shared" si="23"/>
        <v>32.200000000000003</v>
      </c>
      <c r="O34" s="131" t="str">
        <f t="shared" si="11"/>
        <v/>
      </c>
      <c r="P34" s="131" t="str">
        <f t="shared" si="19"/>
        <v/>
      </c>
      <c r="Q34" s="131" t="str">
        <f t="shared" si="20"/>
        <v/>
      </c>
      <c r="R34" s="127">
        <f t="shared" si="21"/>
        <v>32.200000000000003</v>
      </c>
      <c r="S34" s="60" t="str">
        <f t="shared" si="12"/>
        <v/>
      </c>
      <c r="T34" s="217" t="str">
        <f>IF(L34="","",VLOOKUP(L34,classifications!C:K,9,FALSE))</f>
        <v>Sparse</v>
      </c>
      <c r="U34" s="224">
        <f t="shared" si="13"/>
        <v>0.32200000000000001</v>
      </c>
      <c r="V34" s="225">
        <f>IF(U34="","",IF($I$8="A",(RANK(U34,U$11:U$355)+COUNTIF(U$11:U34,U34)-1),(RANK(U34,U$11:U$355,1)+COUNTIF(U$11:U34,U34)-1)))</f>
        <v>2</v>
      </c>
      <c r="W34" s="226"/>
      <c r="X34" s="61" t="str">
        <f>IF(L34="","",VLOOKUP($L34,classifications!$C:$J,6,FALSE))</f>
        <v>Significant Rural</v>
      </c>
      <c r="Y34" s="49" t="b">
        <f t="shared" si="4"/>
        <v>0</v>
      </c>
      <c r="Z34" s="57" t="e">
        <f>IF(Y34="","",IF(I$8="A",(RANK(Y34,Y$11:Y$355,1)+COUNTIF(Y$11:Y34,Y34)-1),(RANK(Y34,Y$11:Y$355)+COUNTIF(Y$11:Y34,Y34)-1)))</f>
        <v>#N/A</v>
      </c>
      <c r="AA34" s="231" t="str">
        <f>IF(L34="","",VLOOKUP($L34,classifications!C:I,7,FALSE))</f>
        <v>Significant Rural</v>
      </c>
      <c r="AB34" s="225" t="str">
        <f t="shared" si="14"/>
        <v/>
      </c>
      <c r="AC34" s="225" t="str">
        <f>IF(AB34="","",IF($I$8="A",(RANK(AB34,AB$11:AB$355)+COUNTIF(AB$11:AB34,AB34)-1),(RANK(AB34,AB$11:AB$355,1)+COUNTIF(AB$11:AB34,AB34)-1)))</f>
        <v/>
      </c>
      <c r="AD34" s="225"/>
      <c r="AE34" s="51"/>
      <c r="AG34" s="143"/>
      <c r="AH34" s="52"/>
      <c r="AI34" s="61" t="str">
        <f>IF(L34="","",VLOOKUP($L34,classifications!$C:$J,8,FALSE))</f>
        <v>Leicestershire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East Midlands</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HLOOKUP($AX$9&amp;$AX$10,Data!$A$1:$ZZ$1992,(MATCH($C34,Data!$A$1:$A$1992,0)),FALSE)</f>
        <v>0</v>
      </c>
      <c r="AY34" s="156"/>
      <c r="AZ34" s="44"/>
    </row>
    <row r="35" spans="1:52">
      <c r="A35" s="84" t="str">
        <f>$D$1&amp;25</f>
        <v>SC25</v>
      </c>
      <c r="B35" s="85">
        <f>IF(ISERROR(VLOOKUP(A35,classifications!A:C,3,FALSE)),0,VLOOKUP(A35,classifications!A:C,3,FALSE))</f>
        <v>0</v>
      </c>
      <c r="C35" s="31" t="s">
        <v>18</v>
      </c>
      <c r="D35" s="49" t="str">
        <f>VLOOKUP($C35,classifications!$C:$J,4,FALSE)</f>
        <v>SD</v>
      </c>
      <c r="E35" s="49" t="str">
        <f>VLOOKUP(C35,classifications!C:K,9,FALSE)</f>
        <v>Sparse</v>
      </c>
      <c r="F35" s="59">
        <f t="shared" si="0"/>
        <v>0</v>
      </c>
      <c r="G35" s="105"/>
      <c r="H35" s="60" t="str">
        <f t="shared" si="1"/>
        <v/>
      </c>
      <c r="I35" s="112" t="str">
        <f>IF(H35="","",IF($I$8="A",(RANK(H35,H$11:H$355,1)+COUNTIF(H$11:H35,H35)-1),(RANK(H35,H$11:H$355)+COUNTIF(H$11:H35,H35)-1)))</f>
        <v/>
      </c>
      <c r="J35" s="58"/>
      <c r="K35" s="51">
        <f t="shared" si="10"/>
        <v>25</v>
      </c>
      <c r="L35" s="59" t="str">
        <f t="shared" si="2"/>
        <v>Lancashire</v>
      </c>
      <c r="M35" s="153">
        <f t="shared" si="3"/>
        <v>0.35199999999999998</v>
      </c>
      <c r="N35" s="148">
        <f t="shared" si="23"/>
        <v>35.199999999999996</v>
      </c>
      <c r="O35" s="131" t="str">
        <f t="shared" si="11"/>
        <v/>
      </c>
      <c r="P35" s="131" t="str">
        <f t="shared" si="19"/>
        <v/>
      </c>
      <c r="Q35" s="131" t="str">
        <f t="shared" si="20"/>
        <v/>
      </c>
      <c r="R35" s="127">
        <f t="shared" si="21"/>
        <v>35.199999999999996</v>
      </c>
      <c r="S35" s="60" t="str">
        <f t="shared" si="12"/>
        <v/>
      </c>
      <c r="T35" s="217" t="str">
        <f>IF(L35="","",VLOOKUP(L35,classifications!C:K,9,FALSE))</f>
        <v>Sparse</v>
      </c>
      <c r="U35" s="224">
        <f t="shared" si="13"/>
        <v>0.35199999999999998</v>
      </c>
      <c r="V35" s="225">
        <f>IF(U35="","",IF($I$8="A",(RANK(U35,U$11:U$355)+COUNTIF(U$11:U35,U35)-1),(RANK(U35,U$11:U$355,1)+COUNTIF(U$11:U35,U35)-1)))</f>
        <v>1</v>
      </c>
      <c r="W35" s="226"/>
      <c r="X35" s="61" t="str">
        <f>IF(L35="","",VLOOKUP($L35,classifications!$C:$J,6,FALSE))</f>
        <v>Significant Rural</v>
      </c>
      <c r="Y35" s="49" t="b">
        <f t="shared" si="4"/>
        <v>0</v>
      </c>
      <c r="Z35" s="57" t="e">
        <f>IF(Y35="","",IF(I$8="A",(RANK(Y35,Y$11:Y$355,1)+COUNTIF(Y$11:Y35,Y35)-1),(RANK(Y35,Y$11:Y$355)+COUNTIF(Y$11:Y35,Y35)-1)))</f>
        <v>#N/A</v>
      </c>
      <c r="AA35" s="231" t="str">
        <f>IF(L35="","",VLOOKUP($L35,classifications!C:I,7,FALSE))</f>
        <v>Significant Rural</v>
      </c>
      <c r="AB35" s="225" t="str">
        <f t="shared" si="14"/>
        <v/>
      </c>
      <c r="AC35" s="225" t="str">
        <f>IF(AB35="","",IF($I$8="A",(RANK(AB35,AB$11:AB$355)+COUNTIF(AB$11:AB35,AB35)-1),(RANK(AB35,AB$11:AB$355,1)+COUNTIF(AB$11:AB35,AB35)-1)))</f>
        <v/>
      </c>
      <c r="AD35" s="225"/>
      <c r="AE35" s="51" t="str">
        <f t="shared" ref="AE35:AE98" si="24">IF(AE34="","",IF(AE34+1&gt;(COUNT(AG:AG)),"",AE34+1))</f>
        <v/>
      </c>
      <c r="AG35" s="143"/>
      <c r="AH35" s="52"/>
      <c r="AI35" s="61" t="str">
        <f>IF(L35="","",VLOOKUP($L35,classifications!$C:$J,8,FALSE))</f>
        <v>Lancashire</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North West</v>
      </c>
      <c r="AQ35" s="62">
        <f t="shared" si="17"/>
        <v>0.35199999999999998</v>
      </c>
      <c r="AR35" s="57">
        <f>IF(AQ35="","",IF(I$8="A",(RANK(AQ35,AQ$11:AQ$355,1)+COUNTIF(AQ$11:AQ35,AQ35)-1),(RANK(AQ35,AQ$11:AQ$355)+COUNTIF(AQ$11:AQ35,AQ35)-1)))</f>
        <v>2</v>
      </c>
      <c r="AS35" s="52" t="str">
        <f t="shared" si="18"/>
        <v/>
      </c>
      <c r="AT35" s="57" t="str">
        <f t="shared" si="8"/>
        <v/>
      </c>
      <c r="AU35" s="62" t="str">
        <f t="shared" si="9"/>
        <v/>
      </c>
      <c r="AX35" s="44">
        <f>HLOOKUP($AX$9&amp;$AX$10,Data!$A$1:$ZZ$1992,(MATCH($C35,Data!$A$1:$A$1992,0)),FALSE)</f>
        <v>0</v>
      </c>
      <c r="AY35" s="156"/>
      <c r="AZ35" s="44"/>
    </row>
    <row r="36" spans="1:52">
      <c r="A36" s="84" t="str">
        <f>$D$1&amp;26</f>
        <v>SC26</v>
      </c>
      <c r="B36" s="85">
        <f>IF(ISERROR(VLOOKUP(A36,classifications!A:C,3,FALSE)),0,VLOOKUP(A36,classifications!A:C,3,FALSE))</f>
        <v>0</v>
      </c>
      <c r="C36" s="31" t="s">
        <v>913</v>
      </c>
      <c r="D36" s="49" t="str">
        <f>VLOOKUP($C36,classifications!$C:$J,4,FALSE)</f>
        <v>UA</v>
      </c>
      <c r="E36" s="49">
        <f>VLOOKUP(C36,classifications!C:K,9,FALSE)</f>
        <v>0</v>
      </c>
      <c r="F36" s="59">
        <f t="shared" si="0"/>
        <v>0.14199999999999999</v>
      </c>
      <c r="G36" s="105"/>
      <c r="H36" s="60" t="str">
        <f t="shared" si="1"/>
        <v/>
      </c>
      <c r="I36" s="112" t="str">
        <f>IF(H36="","",IF($I$8="A",(RANK(H36,H$11:H$355,1)+COUNTIF(H$11:H36,H36)-1),(RANK(H36,H$11:H$355)+COUNTIF(H$11:H36,H36)-1)))</f>
        <v/>
      </c>
      <c r="J36" s="58"/>
      <c r="K36" s="51" t="str">
        <f t="shared" si="10"/>
        <v/>
      </c>
      <c r="L36" s="59" t="str">
        <f t="shared" si="2"/>
        <v/>
      </c>
      <c r="M36" s="153" t="str">
        <f t="shared" si="3"/>
        <v/>
      </c>
      <c r="N36" s="148" t="str">
        <f t="shared" si="23"/>
        <v/>
      </c>
      <c r="O36" s="131" t="str">
        <f t="shared" si="11"/>
        <v/>
      </c>
      <c r="P36" s="131" t="str">
        <f t="shared" si="19"/>
        <v/>
      </c>
      <c r="Q36" s="131" t="str">
        <f t="shared" si="20"/>
        <v/>
      </c>
      <c r="R36" s="127" t="str">
        <f t="shared" si="21"/>
        <v/>
      </c>
      <c r="S36" s="60" t="str">
        <f t="shared" si="12"/>
        <v/>
      </c>
      <c r="T36" s="217" t="str">
        <f>IF(L36="","",VLOOKUP(L36,classifications!C:K,9,FALSE))</f>
        <v/>
      </c>
      <c r="U36" s="224" t="str">
        <f t="shared" si="13"/>
        <v/>
      </c>
      <c r="V36" s="225" t="str">
        <f>IF(U36="","",IF($I$8="A",(RANK(U36,U$11:U$355)+COUNTIF(U$11:U36,U36)-1),(RANK(U36,U$11:U$355,1)+COUNTIF(U$11:U36,U36)-1)))</f>
        <v/>
      </c>
      <c r="W36" s="226"/>
      <c r="X36" s="61" t="str">
        <f>IF(L36="","",VLOOKUP($L36,classifications!$C:$J,6,FALSE))</f>
        <v/>
      </c>
      <c r="Y36" s="49" t="b">
        <f t="shared" si="4"/>
        <v>0</v>
      </c>
      <c r="Z36" s="57" t="e">
        <f>IF(Y36="","",IF(I$8="A",(RANK(Y36,Y$11:Y$355,1)+COUNTIF(Y$11:Y36,Y36)-1),(RANK(Y36,Y$11:Y$355)+COUNTIF(Y$11:Y36,Y36)-1)))</f>
        <v>#N/A</v>
      </c>
      <c r="AA36" s="231" t="str">
        <f>IF(L36="","",VLOOKUP($L36,classifications!C:I,7,FALSE))</f>
        <v/>
      </c>
      <c r="AB36" s="225" t="str">
        <f t="shared" si="14"/>
        <v/>
      </c>
      <c r="AC36" s="225" t="str">
        <f>IF(AB36="","",IF($I$8="A",(RANK(AB36,AB$11:AB$355)+COUNTIF(AB$11:AB36,AB36)-1),(RANK(AB36,AB$11:AB$355,1)+COUNTIF(AB$11:AB36,AB36)-1)))</f>
        <v/>
      </c>
      <c r="AD36" s="225"/>
      <c r="AE36" s="51" t="str">
        <f t="shared" si="24"/>
        <v/>
      </c>
      <c r="AG36" s="143"/>
      <c r="AH36" s="52"/>
      <c r="AI36" s="61" t="str">
        <f>IF(L36="","",VLOOKUP($L36,classifications!$C:$J,8,FALSE))</f>
        <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HLOOKUP($AX$9&amp;$AX$10,Data!$A$1:$ZZ$1992,(MATCH($C36,Data!$A$1:$A$1992,0)),FALSE)</f>
        <v>0.14199999999999999</v>
      </c>
      <c r="AY36" s="156"/>
      <c r="AZ36" s="44"/>
    </row>
    <row r="37" spans="1:52">
      <c r="A37" s="84" t="str">
        <f>$D$1&amp;27</f>
        <v>SC27</v>
      </c>
      <c r="B37" s="85">
        <f>IF(ISERROR(VLOOKUP(A37,classifications!A:C,3,FALSE)),0,VLOOKUP(A37,classifications!A:C,3,FALSE))</f>
        <v>0</v>
      </c>
      <c r="C37" s="31" t="s">
        <v>264</v>
      </c>
      <c r="D37" s="49" t="str">
        <f>VLOOKUP($C37,classifications!$C:$J,4,FALSE)</f>
        <v>UA</v>
      </c>
      <c r="E37" s="49">
        <f>VLOOKUP(C37,classifications!C:K,9,FALSE)</f>
        <v>0</v>
      </c>
      <c r="F37" s="59">
        <f t="shared" si="0"/>
        <v>0.17</v>
      </c>
      <c r="G37" s="105"/>
      <c r="H37" s="60" t="str">
        <f t="shared" si="1"/>
        <v/>
      </c>
      <c r="I37" s="112" t="str">
        <f>IF(H37="","",IF($I$8="A",(RANK(H37,H$11:H$355,1)+COUNTIF(H$11:H37,H37)-1),(RANK(H37,H$11:H$355)+COUNTIF(H$11:H37,H37)-1)))</f>
        <v/>
      </c>
      <c r="J37" s="58"/>
      <c r="K37" s="51" t="str">
        <f t="shared" si="10"/>
        <v/>
      </c>
      <c r="L37" s="59" t="str">
        <f t="shared" si="2"/>
        <v/>
      </c>
      <c r="M37" s="153" t="str">
        <f t="shared" si="3"/>
        <v/>
      </c>
      <c r="N37" s="148" t="str">
        <f t="shared" si="23"/>
        <v/>
      </c>
      <c r="O37" s="131" t="str">
        <f t="shared" si="11"/>
        <v/>
      </c>
      <c r="P37" s="131" t="str">
        <f t="shared" si="19"/>
        <v/>
      </c>
      <c r="Q37" s="131" t="str">
        <f t="shared" si="20"/>
        <v/>
      </c>
      <c r="R37" s="127" t="str">
        <f t="shared" si="21"/>
        <v/>
      </c>
      <c r="S37" s="60" t="str">
        <f t="shared" si="12"/>
        <v/>
      </c>
      <c r="T37" s="217" t="str">
        <f>IF(L37="","",VLOOKUP(L37,classifications!C:K,9,FALSE))</f>
        <v/>
      </c>
      <c r="U37" s="224" t="str">
        <f t="shared" si="13"/>
        <v/>
      </c>
      <c r="V37" s="225" t="str">
        <f>IF(U37="","",IF($I$8="A",(RANK(U37,U$11:U$355)+COUNTIF(U$11:U37,U37)-1),(RANK(U37,U$11:U$355,1)+COUNTIF(U$11:U37,U37)-1)))</f>
        <v/>
      </c>
      <c r="W37" s="226"/>
      <c r="X37" s="61" t="str">
        <f>IF(L37="","",VLOOKUP($L37,classifications!$C:$J,6,FALSE))</f>
        <v/>
      </c>
      <c r="Y37" s="49" t="b">
        <f t="shared" si="4"/>
        <v>0</v>
      </c>
      <c r="Z37" s="57" t="e">
        <f>IF(Y37="","",IF(I$8="A",(RANK(Y37,Y$11:Y$355,1)+COUNTIF(Y$11:Y37,Y37)-1),(RANK(Y37,Y$11:Y$355)+COUNTIF(Y$11:Y37,Y37)-1)))</f>
        <v>#N/A</v>
      </c>
      <c r="AA37" s="231" t="str">
        <f>IF(L37="","",VLOOKUP($L37,classifications!C:I,7,FALSE))</f>
        <v/>
      </c>
      <c r="AB37" s="225" t="str">
        <f t="shared" si="14"/>
        <v/>
      </c>
      <c r="AC37" s="225" t="str">
        <f>IF(AB37="","",IF($I$8="A",(RANK(AB37,AB$11:AB$355)+COUNTIF(AB$11:AB37,AB37)-1),(RANK(AB37,AB$11:AB$355,1)+COUNTIF(AB$11:AB37,AB37)-1)))</f>
        <v/>
      </c>
      <c r="AD37" s="225"/>
      <c r="AE37" s="51" t="str">
        <f t="shared" si="24"/>
        <v/>
      </c>
      <c r="AG37" s="143"/>
      <c r="AH37" s="52"/>
      <c r="AI37" s="61" t="str">
        <f>IF(L37="","",VLOOKUP($L37,classifications!$C:$J,8,FALSE))</f>
        <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HLOOKUP($AX$9&amp;$AX$10,Data!$A$1:$ZZ$1992,(MATCH($C37,Data!$A$1:$A$1992,0)),FALSE)</f>
        <v>0.17</v>
      </c>
      <c r="AY37" s="156"/>
      <c r="AZ37" s="44"/>
    </row>
    <row r="38" spans="1:52">
      <c r="A38" s="84" t="str">
        <f>$D$1&amp;28</f>
        <v>SC28</v>
      </c>
      <c r="B38" s="85">
        <f>IF(ISERROR(VLOOKUP(A38,classifications!A:C,3,FALSE)),0,VLOOKUP(A38,classifications!A:C,3,FALSE))</f>
        <v>0</v>
      </c>
      <c r="C38" s="31" t="s">
        <v>226</v>
      </c>
      <c r="D38" s="49" t="str">
        <f>VLOOKUP($C38,classifications!$C:$J,4,FALSE)</f>
        <v>MD</v>
      </c>
      <c r="E38" s="49">
        <f>VLOOKUP(C38,classifications!C:K,9,FALSE)</f>
        <v>0</v>
      </c>
      <c r="F38" s="59">
        <f t="shared" si="0"/>
        <v>1.2E-2</v>
      </c>
      <c r="G38" s="105"/>
      <c r="H38" s="60" t="str">
        <f t="shared" si="1"/>
        <v/>
      </c>
      <c r="I38" s="112" t="str">
        <f>IF(H38="","",IF($I$8="A",(RANK(H38,H$11:H$355,1)+COUNTIF(H$11:H38,H38)-1),(RANK(H38,H$11:H$355)+COUNTIF(H$11:H38,H38)-1)))</f>
        <v/>
      </c>
      <c r="J38" s="58"/>
      <c r="K38" s="51" t="str">
        <f t="shared" si="10"/>
        <v/>
      </c>
      <c r="L38" s="59" t="str">
        <f t="shared" si="2"/>
        <v/>
      </c>
      <c r="M38" s="153" t="str">
        <f t="shared" si="3"/>
        <v/>
      </c>
      <c r="N38" s="148" t="str">
        <f t="shared" si="23"/>
        <v/>
      </c>
      <c r="O38" s="131" t="str">
        <f t="shared" si="11"/>
        <v/>
      </c>
      <c r="P38" s="131" t="str">
        <f t="shared" si="19"/>
        <v/>
      </c>
      <c r="Q38" s="131" t="str">
        <f t="shared" si="20"/>
        <v/>
      </c>
      <c r="R38" s="127" t="str">
        <f t="shared" si="21"/>
        <v/>
      </c>
      <c r="S38" s="60" t="str">
        <f t="shared" si="12"/>
        <v/>
      </c>
      <c r="T38" s="217" t="str">
        <f>IF(L38="","",VLOOKUP(L38,classifications!C:K,9,FALSE))</f>
        <v/>
      </c>
      <c r="U38" s="224" t="str">
        <f t="shared" si="13"/>
        <v/>
      </c>
      <c r="V38" s="225" t="str">
        <f>IF(U38="","",IF($I$8="A",(RANK(U38,U$11:U$355)+COUNTIF(U$11:U38,U38)-1),(RANK(U38,U$11:U$355,1)+COUNTIF(U$11:U38,U38)-1)))</f>
        <v/>
      </c>
      <c r="W38" s="226"/>
      <c r="X38" s="61" t="str">
        <f>IF(L38="","",VLOOKUP($L38,classifications!$C:$J,6,FALSE))</f>
        <v/>
      </c>
      <c r="Y38" s="49" t="b">
        <f t="shared" si="4"/>
        <v>0</v>
      </c>
      <c r="Z38" s="57" t="e">
        <f>IF(Y38="","",IF(I$8="A",(RANK(Y38,Y$11:Y$355,1)+COUNTIF(Y$11:Y38,Y38)-1),(RANK(Y38,Y$11:Y$355)+COUNTIF(Y$11:Y38,Y38)-1)))</f>
        <v>#N/A</v>
      </c>
      <c r="AA38" s="231" t="str">
        <f>IF(L38="","",VLOOKUP($L38,classifications!C:I,7,FALSE))</f>
        <v/>
      </c>
      <c r="AB38" s="225" t="str">
        <f t="shared" si="14"/>
        <v/>
      </c>
      <c r="AC38" s="225" t="str">
        <f>IF(AB38="","",IF($I$8="A",(RANK(AB38,AB$11:AB$355)+COUNTIF(AB$11:AB38,AB38)-1),(RANK(AB38,AB$11:AB$355,1)+COUNTIF(AB$11:AB38,AB38)-1)))</f>
        <v/>
      </c>
      <c r="AD38" s="225"/>
      <c r="AE38" s="51" t="str">
        <f t="shared" si="24"/>
        <v/>
      </c>
      <c r="AG38" s="143"/>
      <c r="AH38" s="52"/>
      <c r="AI38" s="61" t="str">
        <f>IF(L38="","",VLOOKUP($L38,classifications!$C:$J,8,FALSE))</f>
        <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HLOOKUP($AX$9&amp;$AX$10,Data!$A$1:$ZZ$1992,(MATCH($C38,Data!$A$1:$A$1992,0)),FALSE)</f>
        <v>1.2E-2</v>
      </c>
      <c r="AY38" s="156"/>
      <c r="AZ38" s="44"/>
    </row>
    <row r="39" spans="1:52">
      <c r="A39" s="84" t="str">
        <f>$D$1&amp;29</f>
        <v>SC29</v>
      </c>
      <c r="B39" s="85">
        <f>IF(ISERROR(VLOOKUP(A39,classifications!A:C,3,FALSE)),0,VLOOKUP(A39,classifications!A:C,3,FALSE))</f>
        <v>0</v>
      </c>
      <c r="C39" s="31" t="s">
        <v>19</v>
      </c>
      <c r="D39" s="49" t="str">
        <f>VLOOKUP($C39,classifications!$C:$J,4,FALSE)</f>
        <v>SD</v>
      </c>
      <c r="E39" s="49" t="str">
        <f>VLOOKUP(C39,classifications!C:K,9,FALSE)</f>
        <v>Sparse</v>
      </c>
      <c r="F39" s="59">
        <f t="shared" si="0"/>
        <v>0</v>
      </c>
      <c r="G39" s="105"/>
      <c r="H39" s="60" t="str">
        <f t="shared" si="1"/>
        <v/>
      </c>
      <c r="I39" s="112" t="str">
        <f>IF(H39="","",IF($I$8="A",(RANK(H39,H$11:H$355,1)+COUNTIF(H$11:H39,H39)-1),(RANK(H39,H$11:H$355)+COUNTIF(H$11:H39,H39)-1)))</f>
        <v/>
      </c>
      <c r="J39" s="58"/>
      <c r="K39" s="51" t="str">
        <f t="shared" si="10"/>
        <v/>
      </c>
      <c r="L39" s="59" t="str">
        <f t="shared" si="2"/>
        <v/>
      </c>
      <c r="M39" s="153" t="str">
        <f t="shared" si="3"/>
        <v/>
      </c>
      <c r="N39" s="148" t="str">
        <f t="shared" si="23"/>
        <v/>
      </c>
      <c r="O39" s="131" t="str">
        <f t="shared" si="11"/>
        <v/>
      </c>
      <c r="P39" s="131" t="str">
        <f t="shared" si="19"/>
        <v/>
      </c>
      <c r="Q39" s="131" t="str">
        <f t="shared" si="20"/>
        <v/>
      </c>
      <c r="R39" s="127" t="str">
        <f t="shared" si="21"/>
        <v/>
      </c>
      <c r="S39" s="60" t="str">
        <f t="shared" si="12"/>
        <v/>
      </c>
      <c r="T39" s="217" t="str">
        <f>IF(L39="","",VLOOKUP(L39,classifications!C:K,9,FALSE))</f>
        <v/>
      </c>
      <c r="U39" s="224" t="str">
        <f t="shared" si="13"/>
        <v/>
      </c>
      <c r="V39" s="225" t="str">
        <f>IF(U39="","",IF($I$8="A",(RANK(U39,U$11:U$355)+COUNTIF(U$11:U39,U39)-1),(RANK(U39,U$11:U$355,1)+COUNTIF(U$11:U39,U39)-1)))</f>
        <v/>
      </c>
      <c r="W39" s="226"/>
      <c r="X39" s="61" t="str">
        <f>IF(L39="","",VLOOKUP($L39,classifications!$C:$J,6,FALSE))</f>
        <v/>
      </c>
      <c r="Y39" s="49" t="b">
        <f t="shared" si="4"/>
        <v>0</v>
      </c>
      <c r="Z39" s="57" t="e">
        <f>IF(Y39="","",IF(I$8="A",(RANK(Y39,Y$11:Y$355,1)+COUNTIF(Y$11:Y39,Y39)-1),(RANK(Y39,Y$11:Y$355)+COUNTIF(Y$11:Y39,Y39)-1)))</f>
        <v>#N/A</v>
      </c>
      <c r="AA39" s="231" t="str">
        <f>IF(L39="","",VLOOKUP($L39,classifications!C:I,7,FALSE))</f>
        <v/>
      </c>
      <c r="AB39" s="225" t="str">
        <f t="shared" si="14"/>
        <v/>
      </c>
      <c r="AC39" s="225" t="str">
        <f>IF(AB39="","",IF($I$8="A",(RANK(AB39,AB$11:AB$355)+COUNTIF(AB$11:AB39,AB39)-1),(RANK(AB39,AB$11:AB$355,1)+COUNTIF(AB$11:AB39,AB39)-1)))</f>
        <v/>
      </c>
      <c r="AD39" s="225"/>
      <c r="AE39" s="51" t="str">
        <f t="shared" si="24"/>
        <v/>
      </c>
      <c r="AG39" s="143"/>
      <c r="AH39" s="52"/>
      <c r="AI39" s="61" t="str">
        <f>IF(L39="","",VLOOKUP($L39,classifications!$C:$J,8,FALSE))</f>
        <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HLOOKUP($AX$9&amp;$AX$10,Data!$A$1:$ZZ$1992,(MATCH($C39,Data!$A$1:$A$1992,0)),FALSE)</f>
        <v>0</v>
      </c>
      <c r="AY39" s="156"/>
      <c r="AZ39" s="44"/>
    </row>
    <row r="40" spans="1:52">
      <c r="A40" s="84" t="str">
        <f>$D$1&amp;30</f>
        <v>SC30</v>
      </c>
      <c r="B40" s="85">
        <f>IF(ISERROR(VLOOKUP(A40,classifications!A:C,3,FALSE)),0,VLOOKUP(A40,classifications!A:C,3,FALSE))</f>
        <v>0</v>
      </c>
      <c r="C40" s="31" t="s">
        <v>20</v>
      </c>
      <c r="D40" s="49" t="str">
        <f>VLOOKUP($C40,classifications!$C:$J,4,FALSE)</f>
        <v>SD</v>
      </c>
      <c r="E40" s="49" t="str">
        <f>VLOOKUP(C40,classifications!C:K,9,FALSE)</f>
        <v>Sparse</v>
      </c>
      <c r="F40" s="59">
        <f t="shared" si="0"/>
        <v>0</v>
      </c>
      <c r="G40" s="105"/>
      <c r="H40" s="60" t="str">
        <f t="shared" si="1"/>
        <v/>
      </c>
      <c r="I40" s="112" t="str">
        <f>IF(H40="","",IF($I$8="A",(RANK(H40,H$11:H$355,1)+COUNTIF(H$11:H40,H40)-1),(RANK(H40,H$11:H$355)+COUNTIF(H$11:H40,H40)-1)))</f>
        <v/>
      </c>
      <c r="J40" s="58"/>
      <c r="K40" s="51" t="str">
        <f t="shared" si="10"/>
        <v/>
      </c>
      <c r="L40" s="59" t="str">
        <f t="shared" si="2"/>
        <v/>
      </c>
      <c r="M40" s="153" t="str">
        <f t="shared" si="3"/>
        <v/>
      </c>
      <c r="N40" s="148" t="str">
        <f t="shared" si="23"/>
        <v/>
      </c>
      <c r="O40" s="131" t="str">
        <f t="shared" si="11"/>
        <v/>
      </c>
      <c r="P40" s="131" t="str">
        <f t="shared" si="19"/>
        <v/>
      </c>
      <c r="Q40" s="131" t="str">
        <f t="shared" si="20"/>
        <v/>
      </c>
      <c r="R40" s="127" t="str">
        <f t="shared" si="21"/>
        <v/>
      </c>
      <c r="S40" s="60" t="str">
        <f t="shared" si="12"/>
        <v/>
      </c>
      <c r="T40" s="217" t="str">
        <f>IF(L40="","",VLOOKUP(L40,classifications!C:K,9,FALSE))</f>
        <v/>
      </c>
      <c r="U40" s="224" t="str">
        <f t="shared" si="13"/>
        <v/>
      </c>
      <c r="V40" s="225" t="str">
        <f>IF(U40="","",IF($I$8="A",(RANK(U40,U$11:U$355)+COUNTIF(U$11:U40,U40)-1),(RANK(U40,U$11:U$355,1)+COUNTIF(U$11:U40,U40)-1)))</f>
        <v/>
      </c>
      <c r="W40" s="226"/>
      <c r="X40" s="61" t="str">
        <f>IF(L40="","",VLOOKUP($L40,classifications!$C:$J,6,FALSE))</f>
        <v/>
      </c>
      <c r="Y40" s="49" t="b">
        <f t="shared" si="4"/>
        <v>0</v>
      </c>
      <c r="Z40" s="57" t="e">
        <f>IF(Y40="","",IF(I$8="A",(RANK(Y40,Y$11:Y$355,1)+COUNTIF(Y$11:Y40,Y40)-1),(RANK(Y40,Y$11:Y$355)+COUNTIF(Y$11:Y40,Y40)-1)))</f>
        <v>#N/A</v>
      </c>
      <c r="AA40" s="231" t="str">
        <f>IF(L40="","",VLOOKUP($L40,classifications!C:I,7,FALSE))</f>
        <v/>
      </c>
      <c r="AB40" s="225" t="str">
        <f t="shared" si="14"/>
        <v/>
      </c>
      <c r="AC40" s="225" t="str">
        <f>IF(AB40="","",IF($I$8="A",(RANK(AB40,AB$11:AB$355)+COUNTIF(AB$11:AB40,AB40)-1),(RANK(AB40,AB$11:AB$355,1)+COUNTIF(AB$11:AB40,AB40)-1)))</f>
        <v/>
      </c>
      <c r="AD40" s="225"/>
      <c r="AE40" s="51" t="str">
        <f t="shared" si="24"/>
        <v/>
      </c>
      <c r="AG40" s="143"/>
      <c r="AH40" s="52"/>
      <c r="AI40" s="61" t="str">
        <f>IF(L40="","",VLOOKUP($L40,classifications!$C:$J,8,FALSE))</f>
        <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HLOOKUP($AX$9&amp;$AX$10,Data!$A$1:$ZZ$1992,(MATCH($C40,Data!$A$1:$A$1992,0)),FALSE)</f>
        <v>0</v>
      </c>
      <c r="AY40" s="156"/>
      <c r="AZ40" s="44"/>
    </row>
    <row r="41" spans="1:52">
      <c r="A41" s="84" t="str">
        <f>$D$1&amp;31</f>
        <v>SC31</v>
      </c>
      <c r="B41" s="85">
        <f>IF(ISERROR(VLOOKUP(A41,classifications!A:C,3,FALSE)),0,VLOOKUP(A41,classifications!A:C,3,FALSE))</f>
        <v>0</v>
      </c>
      <c r="C41" s="31" t="s">
        <v>199</v>
      </c>
      <c r="D41" s="49" t="str">
        <f>VLOOKUP($C41,classifications!$C:$J,4,FALSE)</f>
        <v>L</v>
      </c>
      <c r="E41" s="49">
        <f>VLOOKUP(C41,classifications!C:K,9,FALSE)</f>
        <v>0</v>
      </c>
      <c r="F41" s="59">
        <f t="shared" si="0"/>
        <v>0</v>
      </c>
      <c r="G41" s="105"/>
      <c r="H41" s="60" t="str">
        <f t="shared" si="1"/>
        <v/>
      </c>
      <c r="I41" s="112" t="str">
        <f>IF(H41="","",IF($I$8="A",(RANK(H41,H$11:H$355,1)+COUNTIF(H$11:H41,H41)-1),(RANK(H41,H$11:H$355)+COUNTIF(H$11:H41,H41)-1)))</f>
        <v/>
      </c>
      <c r="J41" s="58"/>
      <c r="K41" s="51" t="str">
        <f t="shared" si="10"/>
        <v/>
      </c>
      <c r="L41" s="59" t="str">
        <f t="shared" si="2"/>
        <v/>
      </c>
      <c r="M41" s="153" t="str">
        <f t="shared" si="3"/>
        <v/>
      </c>
      <c r="N41" s="148" t="str">
        <f t="shared" si="23"/>
        <v/>
      </c>
      <c r="O41" s="131" t="str">
        <f t="shared" si="11"/>
        <v/>
      </c>
      <c r="P41" s="131" t="str">
        <f t="shared" si="19"/>
        <v/>
      </c>
      <c r="Q41" s="131" t="str">
        <f t="shared" si="20"/>
        <v/>
      </c>
      <c r="R41" s="127" t="str">
        <f t="shared" si="21"/>
        <v/>
      </c>
      <c r="S41" s="60" t="str">
        <f t="shared" si="12"/>
        <v/>
      </c>
      <c r="T41" s="217" t="str">
        <f>IF(L41="","",VLOOKUP(L41,classifications!C:K,9,FALSE))</f>
        <v/>
      </c>
      <c r="U41" s="224" t="str">
        <f t="shared" si="13"/>
        <v/>
      </c>
      <c r="V41" s="225" t="str">
        <f>IF(U41="","",IF($I$8="A",(RANK(U41,U$11:U$355)+COUNTIF(U$11:U41,U41)-1),(RANK(U41,U$11:U$355,1)+COUNTIF(U$11:U41,U41)-1)))</f>
        <v/>
      </c>
      <c r="W41" s="226"/>
      <c r="X41" s="61" t="str">
        <f>IF(L41="","",VLOOKUP($L41,classifications!$C:$J,6,FALSE))</f>
        <v/>
      </c>
      <c r="Y41" s="49" t="b">
        <f t="shared" si="4"/>
        <v>0</v>
      </c>
      <c r="Z41" s="57" t="e">
        <f>IF(Y41="","",IF(I$8="A",(RANK(Y41,Y$11:Y$355,1)+COUNTIF(Y$11:Y41,Y41)-1),(RANK(Y41,Y$11:Y$355)+COUNTIF(Y$11:Y41,Y41)-1)))</f>
        <v>#N/A</v>
      </c>
      <c r="AA41" s="231" t="str">
        <f>IF(L41="","",VLOOKUP($L41,classifications!C:I,7,FALSE))</f>
        <v/>
      </c>
      <c r="AB41" s="225" t="str">
        <f t="shared" si="14"/>
        <v/>
      </c>
      <c r="AC41" s="225" t="str">
        <f>IF(AB41="","",IF($I$8="A",(RANK(AB41,AB$11:AB$355)+COUNTIF(AB$11:AB41,AB41)-1),(RANK(AB41,AB$11:AB$355,1)+COUNTIF(AB$11:AB41,AB41)-1)))</f>
        <v/>
      </c>
      <c r="AD41" s="225"/>
      <c r="AE41" s="51" t="str">
        <f t="shared" si="24"/>
        <v/>
      </c>
      <c r="AG41" s="143"/>
      <c r="AH41" s="52"/>
      <c r="AI41" s="61" t="str">
        <f>IF(L41="","",VLOOKUP($L41,classifications!$C:$J,8,FALSE))</f>
        <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HLOOKUP($AX$9&amp;$AX$10,Data!$A$1:$ZZ$1992,(MATCH($C41,Data!$A$1:$A$1992,0)),FALSE)</f>
        <v>0</v>
      </c>
      <c r="AY41" s="156"/>
      <c r="AZ41" s="44"/>
    </row>
    <row r="42" spans="1:52">
      <c r="A42" s="84" t="str">
        <f>$D$1&amp;32</f>
        <v>SC32</v>
      </c>
      <c r="B42" s="85">
        <f>IF(ISERROR(VLOOKUP(A42,classifications!A:C,3,FALSE)),0,VLOOKUP(A42,classifications!A:C,3,FALSE))</f>
        <v>0</v>
      </c>
      <c r="C42" s="31" t="s">
        <v>21</v>
      </c>
      <c r="D42" s="49" t="str">
        <f>VLOOKUP($C42,classifications!$C:$J,4,FALSE)</f>
        <v>SD</v>
      </c>
      <c r="E42" s="49">
        <f>VLOOKUP(C42,classifications!C:K,9,FALSE)</f>
        <v>0</v>
      </c>
      <c r="F42" s="59">
        <f t="shared" si="0"/>
        <v>0</v>
      </c>
      <c r="G42" s="105"/>
      <c r="H42" s="60" t="str">
        <f t="shared" si="1"/>
        <v/>
      </c>
      <c r="I42" s="112" t="str">
        <f>IF(H42="","",IF($I$8="A",(RANK(H42,H$11:H$355,1)+COUNTIF(H$11:H42,H42)-1),(RANK(H42,H$11:H$355)+COUNTIF(H$11:H42,H42)-1)))</f>
        <v/>
      </c>
      <c r="J42" s="58"/>
      <c r="K42" s="51" t="str">
        <f t="shared" si="10"/>
        <v/>
      </c>
      <c r="L42" s="59" t="str">
        <f t="shared" si="2"/>
        <v/>
      </c>
      <c r="M42" s="153" t="str">
        <f t="shared" si="3"/>
        <v/>
      </c>
      <c r="N42" s="148" t="str">
        <f t="shared" si="23"/>
        <v/>
      </c>
      <c r="O42" s="131" t="str">
        <f t="shared" si="11"/>
        <v/>
      </c>
      <c r="P42" s="131" t="str">
        <f t="shared" si="19"/>
        <v/>
      </c>
      <c r="Q42" s="131" t="str">
        <f t="shared" si="20"/>
        <v/>
      </c>
      <c r="R42" s="127" t="str">
        <f t="shared" si="21"/>
        <v/>
      </c>
      <c r="S42" s="60" t="str">
        <f t="shared" si="12"/>
        <v/>
      </c>
      <c r="T42" s="217" t="str">
        <f>IF(L42="","",VLOOKUP(L42,classifications!C:K,9,FALSE))</f>
        <v/>
      </c>
      <c r="U42" s="224" t="str">
        <f t="shared" si="13"/>
        <v/>
      </c>
      <c r="V42" s="225" t="str">
        <f>IF(U42="","",IF($I$8="A",(RANK(U42,U$11:U$355)+COUNTIF(U$11:U42,U42)-1),(RANK(U42,U$11:U$355,1)+COUNTIF(U$11:U42,U42)-1)))</f>
        <v/>
      </c>
      <c r="W42" s="226"/>
      <c r="X42" s="61" t="str">
        <f>IF(L42="","",VLOOKUP($L42,classifications!$C:$J,6,FALSE))</f>
        <v/>
      </c>
      <c r="Y42" s="49" t="b">
        <f t="shared" si="4"/>
        <v>0</v>
      </c>
      <c r="Z42" s="57" t="e">
        <f>IF(Y42="","",IF(I$8="A",(RANK(Y42,Y$11:Y$355,1)+COUNTIF(Y$11:Y42,Y42)-1),(RANK(Y42,Y$11:Y$355)+COUNTIF(Y$11:Y42,Y42)-1)))</f>
        <v>#N/A</v>
      </c>
      <c r="AA42" s="231" t="str">
        <f>IF(L42="","",VLOOKUP($L42,classifications!C:I,7,FALSE))</f>
        <v/>
      </c>
      <c r="AB42" s="225" t="str">
        <f t="shared" si="14"/>
        <v/>
      </c>
      <c r="AC42" s="225" t="str">
        <f>IF(AB42="","",IF($I$8="A",(RANK(AB42,AB$11:AB$355)+COUNTIF(AB$11:AB42,AB42)-1),(RANK(AB42,AB$11:AB$355,1)+COUNTIF(AB$11:AB42,AB42)-1)))</f>
        <v/>
      </c>
      <c r="AD42" s="225"/>
      <c r="AE42" s="51" t="str">
        <f t="shared" si="24"/>
        <v/>
      </c>
      <c r="AG42" s="143"/>
      <c r="AH42" s="52"/>
      <c r="AI42" s="61" t="str">
        <f>IF(L42="","",VLOOKUP($L42,classifications!$C:$J,8,FALSE))</f>
        <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HLOOKUP($AX$9&amp;$AX$10,Data!$A$1:$ZZ$1992,(MATCH($C42,Data!$A$1:$A$1992,0)),FALSE)</f>
        <v>0</v>
      </c>
      <c r="AY42" s="156"/>
      <c r="AZ42" s="44"/>
    </row>
    <row r="43" spans="1:52">
      <c r="A43" s="84" t="str">
        <f>$D$1&amp;33</f>
        <v>SC33</v>
      </c>
      <c r="B43" s="85">
        <f>IF(ISERROR(VLOOKUP(A43,classifications!A:C,3,FALSE)),0,VLOOKUP(A43,classifications!A:C,3,FALSE))</f>
        <v>0</v>
      </c>
      <c r="C43" s="31" t="s">
        <v>813</v>
      </c>
      <c r="D43" s="49" t="str">
        <f>VLOOKUP($C43,classifications!$C:$J,4,FALSE)</f>
        <v>UA</v>
      </c>
      <c r="E43" s="49">
        <f>VLOOKUP(C43,classifications!C:K,9,FALSE)</f>
        <v>0</v>
      </c>
      <c r="F43" s="59" t="e">
        <f t="shared" si="0"/>
        <v>#N/A</v>
      </c>
      <c r="G43" s="105"/>
      <c r="H43" s="60" t="str">
        <f t="shared" si="1"/>
        <v/>
      </c>
      <c r="I43" s="112" t="str">
        <f>IF(H43="","",IF($I$8="A",(RANK(H43,H$11:H$355,1)+COUNTIF(H$11:H43,H43)-1),(RANK(H43,H$11:H$355)+COUNTIF(H$11:H43,H43)-1)))</f>
        <v/>
      </c>
      <c r="J43" s="58"/>
      <c r="K43" s="51" t="str">
        <f t="shared" si="10"/>
        <v/>
      </c>
      <c r="L43" s="59" t="str">
        <f t="shared" si="2"/>
        <v/>
      </c>
      <c r="M43" s="153" t="str">
        <f t="shared" si="3"/>
        <v/>
      </c>
      <c r="N43" s="148" t="str">
        <f t="shared" si="23"/>
        <v/>
      </c>
      <c r="O43" s="131" t="str">
        <f t="shared" si="11"/>
        <v/>
      </c>
      <c r="P43" s="131" t="str">
        <f t="shared" si="19"/>
        <v/>
      </c>
      <c r="Q43" s="131" t="str">
        <f t="shared" si="20"/>
        <v/>
      </c>
      <c r="R43" s="127" t="str">
        <f t="shared" si="21"/>
        <v/>
      </c>
      <c r="S43" s="60" t="str">
        <f t="shared" si="12"/>
        <v/>
      </c>
      <c r="T43" s="217" t="str">
        <f>IF(L43="","",VLOOKUP(L43,classifications!C:K,9,FALSE))</f>
        <v/>
      </c>
      <c r="U43" s="224" t="str">
        <f t="shared" ref="U43:U74" si="25">IF(T43="Sparse",M43,"")</f>
        <v/>
      </c>
      <c r="V43" s="225" t="str">
        <f>IF(U43="","",IF($I$8="A",(RANK(U43,U$11:U$355)+COUNTIF(U$11:U43,U43)-1),(RANK(U43,U$11:U$355,1)+COUNTIF(U$11:U43,U43)-1)))</f>
        <v/>
      </c>
      <c r="W43" s="226"/>
      <c r="X43" s="61" t="str">
        <f>IF(L43="","",VLOOKUP($L43,classifications!$C:$J,6,FALSE))</f>
        <v/>
      </c>
      <c r="Y43" s="49" t="b">
        <f t="shared" si="4"/>
        <v>0</v>
      </c>
      <c r="Z43" s="57" t="e">
        <f>IF(Y43="","",IF(I$8="A",(RANK(Y43,Y$11:Y$355,1)+COUNTIF(Y$11:Y43,Y43)-1),(RANK(Y43,Y$11:Y$355)+COUNTIF(Y$11:Y43,Y43)-1)))</f>
        <v>#N/A</v>
      </c>
      <c r="AA43" s="231" t="str">
        <f>IF(L43="","",VLOOKUP($L43,classifications!C:I,7,FALSE))</f>
        <v/>
      </c>
      <c r="AB43" s="225" t="str">
        <f t="shared" si="14"/>
        <v/>
      </c>
      <c r="AC43" s="225" t="str">
        <f>IF(AB43="","",IF($I$8="A",(RANK(AB43,AB$11:AB$355)+COUNTIF(AB$11:AB43,AB43)-1),(RANK(AB43,AB$11:AB$355,1)+COUNTIF(AB$11:AB43,AB43)-1)))</f>
        <v/>
      </c>
      <c r="AD43" s="225"/>
      <c r="AE43" s="51" t="str">
        <f t="shared" si="24"/>
        <v/>
      </c>
      <c r="AG43" s="143"/>
      <c r="AH43" s="52"/>
      <c r="AI43" s="61" t="str">
        <f>IF(L43="","",VLOOKUP($L43,classifications!$C:$J,8,FALSE))</f>
        <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
      </c>
      <c r="AQ43" s="62" t="str">
        <f t="shared" si="17"/>
        <v/>
      </c>
      <c r="AR43" s="57" t="str">
        <f>IF(AQ43="","",IF(I$8="A",(RANK(AQ43,AQ$11:AQ$355,1)+COUNTIF(AQ$11:AQ43,AQ43)-1),(RANK(AQ43,AQ$11:AQ$355)+COUNTIF(AQ$11:AQ43,AQ43)-1)))</f>
        <v/>
      </c>
      <c r="AS43" s="52" t="str">
        <f t="shared" si="18"/>
        <v/>
      </c>
      <c r="AT43" s="57" t="str">
        <f t="shared" si="8"/>
        <v/>
      </c>
      <c r="AU43" s="62" t="str">
        <f t="shared" si="9"/>
        <v/>
      </c>
      <c r="AX43" s="44" t="e">
        <f>HLOOKUP($AX$9&amp;$AX$10,Data!$A$1:$ZZ$1992,(MATCH($C43,Data!$A$1:$A$1992,0)),FALSE)</f>
        <v>#N/A</v>
      </c>
      <c r="AY43" s="156"/>
      <c r="AZ43" s="44"/>
    </row>
    <row r="44" spans="1:52">
      <c r="A44" s="84" t="str">
        <f>$D$1&amp;34</f>
        <v>SC34</v>
      </c>
      <c r="B44" s="85">
        <f>IF(ISERROR(VLOOKUP(A44,classifications!A:C,3,FALSE)),0,VLOOKUP(A44,classifications!A:C,3,FALSE))</f>
        <v>0</v>
      </c>
      <c r="C44" s="31" t="s">
        <v>817</v>
      </c>
      <c r="D44" s="49" t="str">
        <f>VLOOKUP($C44,classifications!$C:$J,4,FALSE)</f>
        <v>UA</v>
      </c>
      <c r="E44" s="49">
        <f>VLOOKUP(C44,classifications!C:K,9,FALSE)</f>
        <v>0</v>
      </c>
      <c r="F44" s="59">
        <f t="shared" si="0"/>
        <v>0.185</v>
      </c>
      <c r="G44" s="105"/>
      <c r="H44" s="60" t="str">
        <f t="shared" si="1"/>
        <v/>
      </c>
      <c r="I44" s="112" t="str">
        <f>IF(H44="","",IF($I$8="A",(RANK(H44,H$11:H$355,1)+COUNTIF(H$11:H44,H44)-1),(RANK(H44,H$11:H$355)+COUNTIF(H$11:H44,H44)-1)))</f>
        <v/>
      </c>
      <c r="J44" s="58"/>
      <c r="K44" s="51" t="str">
        <f t="shared" si="10"/>
        <v/>
      </c>
      <c r="L44" s="59" t="str">
        <f t="shared" si="2"/>
        <v/>
      </c>
      <c r="M44" s="153" t="str">
        <f t="shared" si="3"/>
        <v/>
      </c>
      <c r="N44" s="148" t="str">
        <f t="shared" si="23"/>
        <v/>
      </c>
      <c r="O44" s="131" t="str">
        <f t="shared" si="11"/>
        <v/>
      </c>
      <c r="P44" s="131" t="str">
        <f t="shared" si="19"/>
        <v/>
      </c>
      <c r="Q44" s="131" t="str">
        <f t="shared" si="20"/>
        <v/>
      </c>
      <c r="R44" s="127" t="str">
        <f t="shared" si="21"/>
        <v/>
      </c>
      <c r="S44" s="60" t="str">
        <f t="shared" si="12"/>
        <v/>
      </c>
      <c r="T44" s="217" t="str">
        <f>IF(L44="","",VLOOKUP(L44,classifications!C:K,9,FALSE))</f>
        <v/>
      </c>
      <c r="U44" s="224" t="str">
        <f t="shared" si="25"/>
        <v/>
      </c>
      <c r="V44" s="225" t="str">
        <f>IF(U44="","",IF($I$8="A",(RANK(U44,U$11:U$355)+COUNTIF(U$11:U44,U44)-1),(RANK(U44,U$11:U$355,1)+COUNTIF(U$11:U44,U44)-1)))</f>
        <v/>
      </c>
      <c r="W44" s="226"/>
      <c r="X44" s="61" t="str">
        <f>IF(L44="","",VLOOKUP($L44,classifications!$C:$J,6,FALSE))</f>
        <v/>
      </c>
      <c r="Y44" s="49" t="b">
        <f t="shared" si="4"/>
        <v>0</v>
      </c>
      <c r="Z44" s="57" t="e">
        <f>IF(Y44="","",IF(I$8="A",(RANK(Y44,Y$11:Y$355,1)+COUNTIF(Y$11:Y44,Y44)-1),(RANK(Y44,Y$11:Y$355)+COUNTIF(Y$11:Y44,Y44)-1)))</f>
        <v>#N/A</v>
      </c>
      <c r="AA44" s="231" t="str">
        <f>IF(L44="","",VLOOKUP($L44,classifications!C:I,7,FALSE))</f>
        <v/>
      </c>
      <c r="AB44" s="225" t="str">
        <f t="shared" si="14"/>
        <v/>
      </c>
      <c r="AC44" s="225" t="str">
        <f>IF(AB44="","",IF($I$8="A",(RANK(AB44,AB$11:AB$355)+COUNTIF(AB$11:AB44,AB44)-1),(RANK(AB44,AB$11:AB$355,1)+COUNTIF(AB$11:AB44,AB44)-1)))</f>
        <v/>
      </c>
      <c r="AD44" s="225"/>
      <c r="AE44" s="51" t="str">
        <f t="shared" si="24"/>
        <v/>
      </c>
      <c r="AG44" s="143"/>
      <c r="AH44" s="52"/>
      <c r="AI44" s="61" t="str">
        <f>IF(L44="","",VLOOKUP($L44,classifications!$C:$J,8,FALSE))</f>
        <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HLOOKUP($AX$9&amp;$AX$10,Data!$A$1:$ZZ$1992,(MATCH($C44,Data!$A$1:$A$1992,0)),FALSE)</f>
        <v>0.185</v>
      </c>
      <c r="AY44" s="156"/>
      <c r="AZ44" s="44"/>
    </row>
    <row r="45" spans="1:52">
      <c r="A45" s="84" t="str">
        <f>$D$1&amp;35</f>
        <v>SC35</v>
      </c>
      <c r="B45" s="85">
        <f>IF(ISERROR(VLOOKUP(A45,classifications!A:C,3,FALSE)),0,VLOOKUP(A45,classifications!A:C,3,FALSE))</f>
        <v>0</v>
      </c>
      <c r="C45" s="31" t="s">
        <v>22</v>
      </c>
      <c r="D45" s="49" t="str">
        <f>VLOOKUP($C45,classifications!$C:$J,4,FALSE)</f>
        <v>SD</v>
      </c>
      <c r="E45" s="49">
        <f>VLOOKUP(C45,classifications!C:K,9,FALSE)</f>
        <v>0</v>
      </c>
      <c r="F45" s="59">
        <f t="shared" si="0"/>
        <v>0</v>
      </c>
      <c r="G45" s="105"/>
      <c r="H45" s="60" t="str">
        <f t="shared" si="1"/>
        <v/>
      </c>
      <c r="I45" s="112" t="str">
        <f>IF(H45="","",IF($I$8="A",(RANK(H45,H$11:H$355,1)+COUNTIF(H$11:H45,H45)-1),(RANK(H45,H$11:H$355)+COUNTIF(H$11:H45,H45)-1)))</f>
        <v/>
      </c>
      <c r="J45" s="58"/>
      <c r="K45" s="51" t="str">
        <f t="shared" si="10"/>
        <v/>
      </c>
      <c r="L45" s="59" t="str">
        <f t="shared" si="2"/>
        <v/>
      </c>
      <c r="M45" s="153" t="str">
        <f t="shared" si="3"/>
        <v/>
      </c>
      <c r="N45" s="148" t="str">
        <f t="shared" si="23"/>
        <v/>
      </c>
      <c r="O45" s="131" t="str">
        <f t="shared" si="11"/>
        <v/>
      </c>
      <c r="P45" s="131" t="str">
        <f t="shared" si="19"/>
        <v/>
      </c>
      <c r="Q45" s="131" t="str">
        <f t="shared" si="20"/>
        <v/>
      </c>
      <c r="R45" s="127" t="str">
        <f t="shared" si="21"/>
        <v/>
      </c>
      <c r="S45" s="60" t="str">
        <f t="shared" si="12"/>
        <v/>
      </c>
      <c r="T45" s="217" t="str">
        <f>IF(L45="","",VLOOKUP(L45,classifications!C:K,9,FALSE))</f>
        <v/>
      </c>
      <c r="U45" s="224" t="str">
        <f t="shared" si="25"/>
        <v/>
      </c>
      <c r="V45" s="225" t="str">
        <f>IF(U45="","",IF($I$8="A",(RANK(U45,U$11:U$355)+COUNTIF(U$11:U45,U45)-1),(RANK(U45,U$11:U$355,1)+COUNTIF(U$11:U45,U45)-1)))</f>
        <v/>
      </c>
      <c r="W45" s="226"/>
      <c r="X45" s="61" t="str">
        <f>IF(L45="","",VLOOKUP($L45,classifications!$C:$J,6,FALSE))</f>
        <v/>
      </c>
      <c r="Y45" s="49" t="b">
        <f t="shared" si="4"/>
        <v>0</v>
      </c>
      <c r="Z45" s="57" t="e">
        <f>IF(Y45="","",IF(I$8="A",(RANK(Y45,Y$11:Y$355,1)+COUNTIF(Y$11:Y45,Y45)-1),(RANK(Y45,Y$11:Y$355)+COUNTIF(Y$11:Y45,Y45)-1)))</f>
        <v>#N/A</v>
      </c>
      <c r="AA45" s="231" t="str">
        <f>IF(L45="","",VLOOKUP($L45,classifications!C:I,7,FALSE))</f>
        <v/>
      </c>
      <c r="AB45" s="225" t="str">
        <f t="shared" si="14"/>
        <v/>
      </c>
      <c r="AC45" s="225" t="str">
        <f>IF(AB45="","",IF($I$8="A",(RANK(AB45,AB$11:AB$355)+COUNTIF(AB$11:AB45,AB45)-1),(RANK(AB45,AB$11:AB$355,1)+COUNTIF(AB$11:AB45,AB45)-1)))</f>
        <v/>
      </c>
      <c r="AD45" s="225"/>
      <c r="AE45" s="51" t="str">
        <f t="shared" si="24"/>
        <v/>
      </c>
      <c r="AG45" s="143"/>
      <c r="AH45" s="52"/>
      <c r="AI45" s="61" t="str">
        <f>IF(L45="","",VLOOKUP($L45,classifications!$C:$J,8,FALSE))</f>
        <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HLOOKUP($AX$9&amp;$AX$10,Data!$A$1:$ZZ$1992,(MATCH($C45,Data!$A$1:$A$1992,0)),FALSE)</f>
        <v>0</v>
      </c>
      <c r="AY45" s="156"/>
      <c r="AZ45" s="44"/>
    </row>
    <row r="46" spans="1:52">
      <c r="A46" s="84" t="str">
        <f>$D$1&amp;36</f>
        <v>SC36</v>
      </c>
      <c r="B46" s="85">
        <f>IF(ISERROR(VLOOKUP(A46,classifications!A:C,3,FALSE)),0,VLOOKUP(A46,classifications!A:C,3,FALSE))</f>
        <v>0</v>
      </c>
      <c r="C46" s="31" t="s">
        <v>200</v>
      </c>
      <c r="D46" s="49" t="str">
        <f>VLOOKUP($C46,classifications!$C:$J,4,FALSE)</f>
        <v>L</v>
      </c>
      <c r="E46" s="49">
        <f>VLOOKUP(C46,classifications!C:K,9,FALSE)</f>
        <v>0</v>
      </c>
      <c r="F46" s="59">
        <f t="shared" si="0"/>
        <v>0.21299999999999999</v>
      </c>
      <c r="G46" s="105"/>
      <c r="H46" s="60" t="str">
        <f t="shared" si="1"/>
        <v/>
      </c>
      <c r="I46" s="112" t="str">
        <f>IF(H46="","",IF($I$8="A",(RANK(H46,H$11:H$355,1)+COUNTIF(H$11:H46,H46)-1),(RANK(H46,H$11:H$355)+COUNTIF(H$11:H46,H46)-1)))</f>
        <v/>
      </c>
      <c r="J46" s="58"/>
      <c r="K46" s="51" t="str">
        <f t="shared" si="10"/>
        <v/>
      </c>
      <c r="L46" s="59" t="str">
        <f t="shared" si="2"/>
        <v/>
      </c>
      <c r="M46" s="153" t="str">
        <f t="shared" si="3"/>
        <v/>
      </c>
      <c r="N46" s="148" t="str">
        <f t="shared" si="23"/>
        <v/>
      </c>
      <c r="O46" s="131" t="str">
        <f t="shared" si="11"/>
        <v/>
      </c>
      <c r="P46" s="131" t="str">
        <f t="shared" si="19"/>
        <v/>
      </c>
      <c r="Q46" s="131" t="str">
        <f t="shared" si="20"/>
        <v/>
      </c>
      <c r="R46" s="127" t="str">
        <f t="shared" si="21"/>
        <v/>
      </c>
      <c r="S46" s="60" t="str">
        <f t="shared" si="12"/>
        <v/>
      </c>
      <c r="T46" s="217" t="str">
        <f>IF(L46="","",VLOOKUP(L46,classifications!C:K,9,FALSE))</f>
        <v/>
      </c>
      <c r="U46" s="224" t="str">
        <f t="shared" si="25"/>
        <v/>
      </c>
      <c r="V46" s="225" t="str">
        <f>IF(U46="","",IF($I$8="A",(RANK(U46,U$11:U$355)+COUNTIF(U$11:U46,U46)-1),(RANK(U46,U$11:U$355,1)+COUNTIF(U$11:U46,U46)-1)))</f>
        <v/>
      </c>
      <c r="W46" s="226"/>
      <c r="X46" s="61" t="str">
        <f>IF(L46="","",VLOOKUP($L46,classifications!$C:$J,6,FALSE))</f>
        <v/>
      </c>
      <c r="Y46" s="49" t="b">
        <f t="shared" si="4"/>
        <v>0</v>
      </c>
      <c r="Z46" s="57" t="e">
        <f>IF(Y46="","",IF(I$8="A",(RANK(Y46,Y$11:Y$355,1)+COUNTIF(Y$11:Y46,Y46)-1),(RANK(Y46,Y$11:Y$355)+COUNTIF(Y$11:Y46,Y46)-1)))</f>
        <v>#N/A</v>
      </c>
      <c r="AA46" s="231" t="str">
        <f>IF(L46="","",VLOOKUP($L46,classifications!C:I,7,FALSE))</f>
        <v/>
      </c>
      <c r="AB46" s="225" t="str">
        <f t="shared" si="14"/>
        <v/>
      </c>
      <c r="AC46" s="225" t="str">
        <f>IF(AB46="","",IF($I$8="A",(RANK(AB46,AB$11:AB$355)+COUNTIF(AB$11:AB46,AB46)-1),(RANK(AB46,AB$11:AB$355,1)+COUNTIF(AB$11:AB46,AB46)-1)))</f>
        <v/>
      </c>
      <c r="AD46" s="225"/>
      <c r="AE46" s="51" t="str">
        <f t="shared" si="24"/>
        <v/>
      </c>
      <c r="AG46" s="143"/>
      <c r="AH46" s="52"/>
      <c r="AI46" s="61" t="str">
        <f>IF(L46="","",VLOOKUP($L46,classifications!$C:$J,8,FALSE))</f>
        <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HLOOKUP($AX$9&amp;$AX$10,Data!$A$1:$ZZ$1992,(MATCH($C46,Data!$A$1:$A$1992,0)),FALSE)</f>
        <v>0.21299999999999999</v>
      </c>
      <c r="AY46" s="156"/>
      <c r="AZ46" s="44"/>
    </row>
    <row r="47" spans="1:52">
      <c r="A47" s="84" t="str">
        <f>$D$1&amp;37</f>
        <v>SC37</v>
      </c>
      <c r="B47" s="85">
        <f>IF(ISERROR(VLOOKUP(A47,classifications!A:C,3,FALSE)),0,VLOOKUP(A47,classifications!A:C,3,FALSE))</f>
        <v>0</v>
      </c>
      <c r="C47" s="31" t="s">
        <v>23</v>
      </c>
      <c r="D47" s="49" t="str">
        <f>VLOOKUP($C47,classifications!$C:$J,4,FALSE)</f>
        <v>SD</v>
      </c>
      <c r="E47" s="49">
        <f>VLOOKUP(C47,classifications!C:K,9,FALSE)</f>
        <v>0</v>
      </c>
      <c r="F47" s="59">
        <f t="shared" si="0"/>
        <v>0</v>
      </c>
      <c r="G47" s="105"/>
      <c r="H47" s="60" t="str">
        <f t="shared" si="1"/>
        <v/>
      </c>
      <c r="I47" s="112" t="str">
        <f>IF(H47="","",IF($I$8="A",(RANK(H47,H$11:H$355,1)+COUNTIF(H$11:H47,H47)-1),(RANK(H47,H$11:H$355)+COUNTIF(H$11:H47,H47)-1)))</f>
        <v/>
      </c>
      <c r="J47" s="58"/>
      <c r="K47" s="51" t="str">
        <f t="shared" si="10"/>
        <v/>
      </c>
      <c r="L47" s="59" t="str">
        <f t="shared" si="2"/>
        <v/>
      </c>
      <c r="M47" s="153" t="str">
        <f t="shared" si="3"/>
        <v/>
      </c>
      <c r="N47" s="148" t="str">
        <f t="shared" si="23"/>
        <v/>
      </c>
      <c r="O47" s="131" t="str">
        <f t="shared" si="11"/>
        <v/>
      </c>
      <c r="P47" s="131" t="str">
        <f t="shared" si="19"/>
        <v/>
      </c>
      <c r="Q47" s="131" t="str">
        <f t="shared" si="20"/>
        <v/>
      </c>
      <c r="R47" s="127" t="str">
        <f t="shared" si="21"/>
        <v/>
      </c>
      <c r="S47" s="60" t="str">
        <f t="shared" si="12"/>
        <v/>
      </c>
      <c r="T47" s="217" t="str">
        <f>IF(L47="","",VLOOKUP(L47,classifications!C:K,9,FALSE))</f>
        <v/>
      </c>
      <c r="U47" s="224" t="str">
        <f t="shared" si="25"/>
        <v/>
      </c>
      <c r="V47" s="225" t="str">
        <f>IF(U47="","",IF($I$8="A",(RANK(U47,U$11:U$355)+COUNTIF(U$11:U47,U47)-1),(RANK(U47,U$11:U$355,1)+COUNTIF(U$11:U47,U47)-1)))</f>
        <v/>
      </c>
      <c r="W47" s="226"/>
      <c r="X47" s="61" t="str">
        <f>IF(L47="","",VLOOKUP($L47,classifications!$C:$J,6,FALSE))</f>
        <v/>
      </c>
      <c r="Y47" s="49" t="b">
        <f t="shared" si="4"/>
        <v>0</v>
      </c>
      <c r="Z47" s="57" t="e">
        <f>IF(Y47="","",IF(I$8="A",(RANK(Y47,Y$11:Y$355,1)+COUNTIF(Y$11:Y47,Y47)-1),(RANK(Y47,Y$11:Y$355)+COUNTIF(Y$11:Y47,Y47)-1)))</f>
        <v>#N/A</v>
      </c>
      <c r="AA47" s="231" t="str">
        <f>IF(L47="","",VLOOKUP($L47,classifications!C:I,7,FALSE))</f>
        <v/>
      </c>
      <c r="AB47" s="225" t="str">
        <f t="shared" si="14"/>
        <v/>
      </c>
      <c r="AC47" s="225" t="str">
        <f>IF(AB47="","",IF($I$8="A",(RANK(AB47,AB$11:AB$355)+COUNTIF(AB$11:AB47,AB47)-1),(RANK(AB47,AB$11:AB$355,1)+COUNTIF(AB$11:AB47,AB47)-1)))</f>
        <v/>
      </c>
      <c r="AD47" s="225"/>
      <c r="AE47" s="51" t="str">
        <f t="shared" si="24"/>
        <v/>
      </c>
      <c r="AG47" s="143"/>
      <c r="AH47" s="52"/>
      <c r="AI47" s="61" t="str">
        <f>IF(L47="","",VLOOKUP($L47,classifications!$C:$J,8,FALSE))</f>
        <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HLOOKUP($AX$9&amp;$AX$10,Data!$A$1:$ZZ$1992,(MATCH($C47,Data!$A$1:$A$1992,0)),FALSE)</f>
        <v>0</v>
      </c>
      <c r="AY47" s="156"/>
      <c r="AZ47" s="44"/>
    </row>
    <row r="48" spans="1:52">
      <c r="A48" s="84" t="str">
        <f>$D$1&amp;38</f>
        <v>SC38</v>
      </c>
      <c r="B48" s="85">
        <f>IF(ISERROR(VLOOKUP(A48,classifications!A:C,3,FALSE)),0,VLOOKUP(A48,classifications!A:C,3,FALSE))</f>
        <v>0</v>
      </c>
      <c r="C48" s="31" t="s">
        <v>24</v>
      </c>
      <c r="D48" s="49" t="str">
        <f>VLOOKUP($C48,classifications!$C:$J,4,FALSE)</f>
        <v>SD</v>
      </c>
      <c r="E48" s="49">
        <f>VLOOKUP(C48,classifications!C:K,9,FALSE)</f>
        <v>0</v>
      </c>
      <c r="F48" s="59">
        <f t="shared" si="0"/>
        <v>0</v>
      </c>
      <c r="G48" s="105"/>
      <c r="H48" s="60" t="str">
        <f t="shared" si="1"/>
        <v/>
      </c>
      <c r="I48" s="112" t="str">
        <f>IF(H48="","",IF($I$8="A",(RANK(H48,H$11:H$355,1)+COUNTIF(H$11:H48,H48)-1),(RANK(H48,H$11:H$355)+COUNTIF(H$11:H48,H48)-1)))</f>
        <v/>
      </c>
      <c r="J48" s="58"/>
      <c r="K48" s="51" t="str">
        <f t="shared" si="10"/>
        <v/>
      </c>
      <c r="L48" s="59" t="str">
        <f t="shared" si="2"/>
        <v/>
      </c>
      <c r="M48" s="153" t="str">
        <f t="shared" si="3"/>
        <v/>
      </c>
      <c r="N48" s="148" t="str">
        <f t="shared" si="23"/>
        <v/>
      </c>
      <c r="O48" s="131" t="str">
        <f t="shared" si="11"/>
        <v/>
      </c>
      <c r="P48" s="131" t="str">
        <f t="shared" si="19"/>
        <v/>
      </c>
      <c r="Q48" s="131" t="str">
        <f t="shared" si="20"/>
        <v/>
      </c>
      <c r="R48" s="127" t="str">
        <f t="shared" si="21"/>
        <v/>
      </c>
      <c r="S48" s="60" t="str">
        <f t="shared" si="12"/>
        <v/>
      </c>
      <c r="T48" s="217" t="str">
        <f>IF(L48="","",VLOOKUP(L48,classifications!C:K,9,FALSE))</f>
        <v/>
      </c>
      <c r="U48" s="224" t="str">
        <f t="shared" si="25"/>
        <v/>
      </c>
      <c r="V48" s="225" t="str">
        <f>IF(U48="","",IF($I$8="A",(RANK(U48,U$11:U$355)+COUNTIF(U$11:U48,U48)-1),(RANK(U48,U$11:U$355,1)+COUNTIF(U$11:U48,U48)-1)))</f>
        <v/>
      </c>
      <c r="W48" s="226"/>
      <c r="X48" s="61" t="str">
        <f>IF(L48="","",VLOOKUP($L48,classifications!$C:$J,6,FALSE))</f>
        <v/>
      </c>
      <c r="Y48" s="49" t="b">
        <f t="shared" si="4"/>
        <v>0</v>
      </c>
      <c r="Z48" s="57" t="e">
        <f>IF(Y48="","",IF(I$8="A",(RANK(Y48,Y$11:Y$355,1)+COUNTIF(Y$11:Y48,Y48)-1),(RANK(Y48,Y$11:Y$355)+COUNTIF(Y$11:Y48,Y48)-1)))</f>
        <v>#N/A</v>
      </c>
      <c r="AA48" s="231" t="str">
        <f>IF(L48="","",VLOOKUP($L48,classifications!C:I,7,FALSE))</f>
        <v/>
      </c>
      <c r="AB48" s="225" t="str">
        <f t="shared" si="14"/>
        <v/>
      </c>
      <c r="AC48" s="225" t="str">
        <f>IF(AB48="","",IF($I$8="A",(RANK(AB48,AB$11:AB$355)+COUNTIF(AB$11:AB48,AB48)-1),(RANK(AB48,AB$11:AB$355,1)+COUNTIF(AB$11:AB48,AB48)-1)))</f>
        <v/>
      </c>
      <c r="AD48" s="225"/>
      <c r="AE48" s="51" t="str">
        <f t="shared" si="24"/>
        <v/>
      </c>
      <c r="AG48" s="143"/>
      <c r="AH48" s="52"/>
      <c r="AI48" s="61" t="str">
        <f>IF(L48="","",VLOOKUP($L48,classifications!$C:$J,8,FALSE))</f>
        <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HLOOKUP($AX$9&amp;$AX$10,Data!$A$1:$ZZ$1992,(MATCH($C48,Data!$A$1:$A$1992,0)),FALSE)</f>
        <v>0</v>
      </c>
      <c r="AY48" s="156"/>
      <c r="AZ48" s="44"/>
    </row>
    <row r="49" spans="1:52">
      <c r="A49" s="84" t="str">
        <f>$D$1&amp;39</f>
        <v>SC39</v>
      </c>
      <c r="B49" s="85">
        <f>IF(ISERROR(VLOOKUP(A49,classifications!A:C,3,FALSE)),0,VLOOKUP(A49,classifications!A:C,3,FALSE))</f>
        <v>0</v>
      </c>
      <c r="C49" s="31" t="s">
        <v>25</v>
      </c>
      <c r="D49" s="49" t="str">
        <f>VLOOKUP($C49,classifications!$C:$J,4,FALSE)</f>
        <v>SD</v>
      </c>
      <c r="E49" s="49">
        <f>VLOOKUP(C49,classifications!C:K,9,FALSE)</f>
        <v>0</v>
      </c>
      <c r="F49" s="59">
        <f t="shared" si="0"/>
        <v>0</v>
      </c>
      <c r="G49" s="105"/>
      <c r="H49" s="60" t="str">
        <f t="shared" si="1"/>
        <v/>
      </c>
      <c r="I49" s="112" t="str">
        <f>IF(H49="","",IF($I$8="A",(RANK(H49,H$11:H$355,1)+COUNTIF(H$11:H49,H49)-1),(RANK(H49,H$11:H$355)+COUNTIF(H$11:H49,H49)-1)))</f>
        <v/>
      </c>
      <c r="J49" s="58"/>
      <c r="K49" s="51" t="str">
        <f t="shared" si="10"/>
        <v/>
      </c>
      <c r="L49" s="59" t="str">
        <f t="shared" si="2"/>
        <v/>
      </c>
      <c r="M49" s="153" t="str">
        <f t="shared" si="3"/>
        <v/>
      </c>
      <c r="N49" s="148" t="str">
        <f t="shared" si="23"/>
        <v/>
      </c>
      <c r="O49" s="131" t="str">
        <f t="shared" si="11"/>
        <v/>
      </c>
      <c r="P49" s="131" t="str">
        <f t="shared" si="19"/>
        <v/>
      </c>
      <c r="Q49" s="131" t="str">
        <f t="shared" si="20"/>
        <v/>
      </c>
      <c r="R49" s="127" t="str">
        <f t="shared" si="21"/>
        <v/>
      </c>
      <c r="S49" s="60" t="str">
        <f t="shared" si="12"/>
        <v/>
      </c>
      <c r="T49" s="217" t="str">
        <f>IF(L49="","",VLOOKUP(L49,classifications!C:K,9,FALSE))</f>
        <v/>
      </c>
      <c r="U49" s="224" t="str">
        <f t="shared" si="25"/>
        <v/>
      </c>
      <c r="V49" s="225" t="str">
        <f>IF(U49="","",IF($I$8="A",(RANK(U49,U$11:U$355)+COUNTIF(U$11:U49,U49)-1),(RANK(U49,U$11:U$355,1)+COUNTIF(U$11:U49,U49)-1)))</f>
        <v/>
      </c>
      <c r="W49" s="226"/>
      <c r="X49" s="61" t="str">
        <f>IF(L49="","",VLOOKUP($L49,classifications!$C:$J,6,FALSE))</f>
        <v/>
      </c>
      <c r="Y49" s="49" t="b">
        <f t="shared" si="4"/>
        <v>0</v>
      </c>
      <c r="Z49" s="57" t="e">
        <f>IF(Y49="","",IF(I$8="A",(RANK(Y49,Y$11:Y$355,1)+COUNTIF(Y$11:Y49,Y49)-1),(RANK(Y49,Y$11:Y$355)+COUNTIF(Y$11:Y49,Y49)-1)))</f>
        <v>#N/A</v>
      </c>
      <c r="AA49" s="231" t="str">
        <f>IF(L49="","",VLOOKUP($L49,classifications!C:I,7,FALSE))</f>
        <v/>
      </c>
      <c r="AB49" s="225" t="str">
        <f t="shared" si="14"/>
        <v/>
      </c>
      <c r="AC49" s="225" t="str">
        <f>IF(AB49="","",IF($I$8="A",(RANK(AB49,AB$11:AB$355)+COUNTIF(AB$11:AB49,AB49)-1),(RANK(AB49,AB$11:AB$355,1)+COUNTIF(AB$11:AB49,AB49)-1)))</f>
        <v/>
      </c>
      <c r="AD49" s="225"/>
      <c r="AE49" s="51" t="str">
        <f t="shared" si="24"/>
        <v/>
      </c>
      <c r="AG49" s="143"/>
      <c r="AH49" s="52"/>
      <c r="AI49" s="61" t="str">
        <f>IF(L49="","",VLOOKUP($L49,classifications!$C:$J,8,FALSE))</f>
        <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HLOOKUP($AX$9&amp;$AX$10,Data!$A$1:$ZZ$1992,(MATCH($C49,Data!$A$1:$A$1992,0)),FALSE)</f>
        <v>0</v>
      </c>
      <c r="AY49" s="156"/>
      <c r="AZ49" s="44"/>
    </row>
    <row r="50" spans="1:52">
      <c r="A50" s="84" t="str">
        <f>$D$1&amp;40</f>
        <v>SC40</v>
      </c>
      <c r="B50" s="85">
        <f>IF(ISERROR(VLOOKUP(A50,classifications!A:C,3,FALSE)),0,VLOOKUP(A50,classifications!A:C,3,FALSE))</f>
        <v>0</v>
      </c>
      <c r="C50" s="31" t="s">
        <v>301</v>
      </c>
      <c r="D50" s="49" t="str">
        <f>VLOOKUP($C50,classifications!$C:$J,4,FALSE)</f>
        <v>SC</v>
      </c>
      <c r="E50" s="49">
        <f>VLOOKUP(C50,classifications!C:K,9,FALSE)</f>
        <v>0</v>
      </c>
      <c r="F50" s="59">
        <f t="shared" si="0"/>
        <v>3.0000000000000001E-3</v>
      </c>
      <c r="G50" s="105"/>
      <c r="H50" s="60">
        <f t="shared" si="1"/>
        <v>3.0000000000000001E-3</v>
      </c>
      <c r="I50" s="112">
        <f>IF(H50="","",IF($I$8="A",(RANK(H50,H$11:H$355,1)+COUNTIF(H$11:H50,H50)-1),(RANK(H50,H$11:H$355)+COUNTIF(H$11:H50,H50)-1)))</f>
        <v>1</v>
      </c>
      <c r="J50" s="58"/>
      <c r="K50" s="51" t="str">
        <f t="shared" si="10"/>
        <v/>
      </c>
      <c r="L50" s="59" t="str">
        <f t="shared" si="2"/>
        <v/>
      </c>
      <c r="M50" s="153" t="str">
        <f t="shared" si="3"/>
        <v/>
      </c>
      <c r="N50" s="148" t="str">
        <f t="shared" si="23"/>
        <v/>
      </c>
      <c r="O50" s="131" t="str">
        <f t="shared" si="11"/>
        <v/>
      </c>
      <c r="P50" s="131" t="str">
        <f t="shared" si="19"/>
        <v/>
      </c>
      <c r="Q50" s="131" t="str">
        <f t="shared" si="20"/>
        <v/>
      </c>
      <c r="R50" s="127" t="str">
        <f t="shared" si="21"/>
        <v/>
      </c>
      <c r="S50" s="60" t="str">
        <f t="shared" si="12"/>
        <v/>
      </c>
      <c r="T50" s="217" t="str">
        <f>IF(L50="","",VLOOKUP(L50,classifications!C:K,9,FALSE))</f>
        <v/>
      </c>
      <c r="U50" s="224" t="str">
        <f t="shared" si="25"/>
        <v/>
      </c>
      <c r="V50" s="225" t="str">
        <f>IF(U50="","",IF($I$8="A",(RANK(U50,U$11:U$355)+COUNTIF(U$11:U50,U50)-1),(RANK(U50,U$11:U$355,1)+COUNTIF(U$11:U50,U50)-1)))</f>
        <v/>
      </c>
      <c r="W50" s="226"/>
      <c r="X50" s="61" t="str">
        <f>IF(L50="","",VLOOKUP($L50,classifications!$C:$J,6,FALSE))</f>
        <v/>
      </c>
      <c r="Y50" s="49" t="b">
        <f t="shared" si="4"/>
        <v>0</v>
      </c>
      <c r="Z50" s="57" t="e">
        <f>IF(Y50="","",IF(I$8="A",(RANK(Y50,Y$11:Y$355,1)+COUNTIF(Y$11:Y50,Y50)-1),(RANK(Y50,Y$11:Y$355)+COUNTIF(Y$11:Y50,Y50)-1)))</f>
        <v>#N/A</v>
      </c>
      <c r="AA50" s="231" t="str">
        <f>IF(L50="","",VLOOKUP($L50,classifications!C:I,7,FALSE))</f>
        <v/>
      </c>
      <c r="AB50" s="225" t="str">
        <f t="shared" si="14"/>
        <v/>
      </c>
      <c r="AC50" s="225" t="str">
        <f>IF(AB50="","",IF($I$8="A",(RANK(AB50,AB$11:AB$355)+COUNTIF(AB$11:AB50,AB50)-1),(RANK(AB50,AB$11:AB$355,1)+COUNTIF(AB$11:AB50,AB50)-1)))</f>
        <v/>
      </c>
      <c r="AD50" s="225"/>
      <c r="AE50" s="51" t="str">
        <f t="shared" si="24"/>
        <v/>
      </c>
      <c r="AG50" s="143"/>
      <c r="AH50" s="52"/>
      <c r="AI50" s="61" t="str">
        <f>IF(L50="","",VLOOKUP($L50,classifications!$C:$J,8,FALSE))</f>
        <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HLOOKUP($AX$9&amp;$AX$10,Data!$A$1:$ZZ$1992,(MATCH($C50,Data!$A$1:$A$1992,0)),FALSE)</f>
        <v>3.0000000000000001E-3</v>
      </c>
      <c r="AY50" s="156"/>
      <c r="AZ50" s="44"/>
    </row>
    <row r="51" spans="1:52">
      <c r="A51" s="84" t="str">
        <f>$D$1&amp;41</f>
        <v>SC41</v>
      </c>
      <c r="B51" s="85">
        <f>IF(ISERROR(VLOOKUP(A51,classifications!A:C,3,FALSE)),0,VLOOKUP(A51,classifications!A:C,3,FALSE))</f>
        <v>0</v>
      </c>
      <c r="C51" s="31" t="s">
        <v>26</v>
      </c>
      <c r="D51" s="49" t="str">
        <f>VLOOKUP($C51,classifications!$C:$J,4,FALSE)</f>
        <v>SD</v>
      </c>
      <c r="E51" s="49">
        <f>VLOOKUP(C51,classifications!C:K,9,FALSE)</f>
        <v>0</v>
      </c>
      <c r="F51" s="59">
        <f t="shared" si="0"/>
        <v>0</v>
      </c>
      <c r="G51" s="105"/>
      <c r="H51" s="60" t="str">
        <f t="shared" si="1"/>
        <v/>
      </c>
      <c r="I51" s="112" t="str">
        <f>IF(H51="","",IF($I$8="A",(RANK(H51,H$11:H$355,1)+COUNTIF(H$11:H51,H51)-1),(RANK(H51,H$11:H$355)+COUNTIF(H$11:H51,H51)-1)))</f>
        <v/>
      </c>
      <c r="J51" s="58"/>
      <c r="K51" s="51" t="str">
        <f t="shared" si="10"/>
        <v/>
      </c>
      <c r="L51" s="59" t="str">
        <f t="shared" si="2"/>
        <v/>
      </c>
      <c r="M51" s="153" t="str">
        <f t="shared" si="3"/>
        <v/>
      </c>
      <c r="N51" s="148" t="str">
        <f t="shared" si="23"/>
        <v/>
      </c>
      <c r="O51" s="131" t="str">
        <f t="shared" si="11"/>
        <v/>
      </c>
      <c r="P51" s="131" t="str">
        <f t="shared" si="19"/>
        <v/>
      </c>
      <c r="Q51" s="131" t="str">
        <f t="shared" si="20"/>
        <v/>
      </c>
      <c r="R51" s="127" t="str">
        <f t="shared" si="21"/>
        <v/>
      </c>
      <c r="S51" s="60" t="str">
        <f t="shared" si="12"/>
        <v/>
      </c>
      <c r="T51" s="217" t="str">
        <f>IF(L51="","",VLOOKUP(L51,classifications!C:K,9,FALSE))</f>
        <v/>
      </c>
      <c r="U51" s="224" t="str">
        <f t="shared" si="25"/>
        <v/>
      </c>
      <c r="V51" s="225" t="str">
        <f>IF(U51="","",IF($I$8="A",(RANK(U51,U$11:U$355)+COUNTIF(U$11:U51,U51)-1),(RANK(U51,U$11:U$355,1)+COUNTIF(U$11:U51,U51)-1)))</f>
        <v/>
      </c>
      <c r="W51" s="226"/>
      <c r="X51" s="61" t="str">
        <f>IF(L51="","",VLOOKUP($L51,classifications!$C:$J,6,FALSE))</f>
        <v/>
      </c>
      <c r="Y51" s="49" t="b">
        <f t="shared" si="4"/>
        <v>0</v>
      </c>
      <c r="Z51" s="57" t="e">
        <f>IF(Y51="","",IF(I$8="A",(RANK(Y51,Y$11:Y$355,1)+COUNTIF(Y$11:Y51,Y51)-1),(RANK(Y51,Y$11:Y$355)+COUNTIF(Y$11:Y51,Y51)-1)))</f>
        <v>#N/A</v>
      </c>
      <c r="AA51" s="231" t="str">
        <f>IF(L51="","",VLOOKUP($L51,classifications!C:I,7,FALSE))</f>
        <v/>
      </c>
      <c r="AB51" s="225" t="str">
        <f t="shared" si="14"/>
        <v/>
      </c>
      <c r="AC51" s="225" t="str">
        <f>IF(AB51="","",IF($I$8="A",(RANK(AB51,AB$11:AB$355)+COUNTIF(AB$11:AB51,AB51)-1),(RANK(AB51,AB$11:AB$355,1)+COUNTIF(AB$11:AB51,AB51)-1)))</f>
        <v/>
      </c>
      <c r="AD51" s="225"/>
      <c r="AE51" s="51" t="str">
        <f t="shared" si="24"/>
        <v/>
      </c>
      <c r="AG51" s="143"/>
      <c r="AH51" s="52"/>
      <c r="AI51" s="61" t="str">
        <f>IF(L51="","",VLOOKUP($L51,classifications!$C:$J,8,FALSE))</f>
        <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HLOOKUP($AX$9&amp;$AX$10,Data!$A$1:$ZZ$1992,(MATCH($C51,Data!$A$1:$A$1992,0)),FALSE)</f>
        <v>0</v>
      </c>
      <c r="AY51" s="156"/>
      <c r="AZ51" s="44"/>
    </row>
    <row r="52" spans="1:52">
      <c r="A52" s="84" t="str">
        <f>$D$1&amp;42</f>
        <v>SC42</v>
      </c>
      <c r="B52" s="85">
        <f>IF(ISERROR(VLOOKUP(A52,classifications!A:C,3,FALSE)),0,VLOOKUP(A52,classifications!A:C,3,FALSE))</f>
        <v>0</v>
      </c>
      <c r="C52" s="31" t="s">
        <v>227</v>
      </c>
      <c r="D52" s="49" t="str">
        <f>VLOOKUP($C52,classifications!$C:$J,4,FALSE)</f>
        <v>MD</v>
      </c>
      <c r="E52" s="49">
        <f>VLOOKUP(C52,classifications!C:K,9,FALSE)</f>
        <v>0</v>
      </c>
      <c r="F52" s="59">
        <f t="shared" si="0"/>
        <v>0</v>
      </c>
      <c r="G52" s="105"/>
      <c r="H52" s="60" t="str">
        <f t="shared" si="1"/>
        <v/>
      </c>
      <c r="I52" s="112" t="str">
        <f>IF(H52="","",IF($I$8="A",(RANK(H52,H$11:H$355,1)+COUNTIF(H$11:H52,H52)-1),(RANK(H52,H$11:H$355)+COUNTIF(H$11:H52,H52)-1)))</f>
        <v/>
      </c>
      <c r="J52" s="58"/>
      <c r="K52" s="51" t="str">
        <f t="shared" si="10"/>
        <v/>
      </c>
      <c r="L52" s="59" t="str">
        <f t="shared" si="2"/>
        <v/>
      </c>
      <c r="M52" s="153" t="str">
        <f t="shared" si="3"/>
        <v/>
      </c>
      <c r="N52" s="148" t="str">
        <f t="shared" si="23"/>
        <v/>
      </c>
      <c r="O52" s="131" t="str">
        <f t="shared" si="11"/>
        <v/>
      </c>
      <c r="P52" s="131" t="str">
        <f t="shared" si="19"/>
        <v/>
      </c>
      <c r="Q52" s="131" t="str">
        <f t="shared" si="20"/>
        <v/>
      </c>
      <c r="R52" s="127" t="str">
        <f t="shared" si="21"/>
        <v/>
      </c>
      <c r="S52" s="60" t="str">
        <f t="shared" si="12"/>
        <v/>
      </c>
      <c r="T52" s="217" t="str">
        <f>IF(L52="","",VLOOKUP(L52,classifications!C:K,9,FALSE))</f>
        <v/>
      </c>
      <c r="U52" s="224" t="str">
        <f t="shared" si="25"/>
        <v/>
      </c>
      <c r="V52" s="225" t="str">
        <f>IF(U52="","",IF($I$8="A",(RANK(U52,U$11:U$355)+COUNTIF(U$11:U52,U52)-1),(RANK(U52,U$11:U$355,1)+COUNTIF(U$11:U52,U52)-1)))</f>
        <v/>
      </c>
      <c r="W52" s="226"/>
      <c r="X52" s="61" t="str">
        <f>IF(L52="","",VLOOKUP($L52,classifications!$C:$J,6,FALSE))</f>
        <v/>
      </c>
      <c r="Y52" s="49" t="b">
        <f t="shared" si="4"/>
        <v>0</v>
      </c>
      <c r="Z52" s="57" t="e">
        <f>IF(Y52="","",IF(I$8="A",(RANK(Y52,Y$11:Y$355,1)+COUNTIF(Y$11:Y52,Y52)-1),(RANK(Y52,Y$11:Y$355)+COUNTIF(Y$11:Y52,Y52)-1)))</f>
        <v>#N/A</v>
      </c>
      <c r="AA52" s="231" t="str">
        <f>IF(L52="","",VLOOKUP($L52,classifications!C:I,7,FALSE))</f>
        <v/>
      </c>
      <c r="AB52" s="225" t="str">
        <f t="shared" si="14"/>
        <v/>
      </c>
      <c r="AC52" s="225" t="str">
        <f>IF(AB52="","",IF($I$8="A",(RANK(AB52,AB$11:AB$355)+COUNTIF(AB$11:AB52,AB52)-1),(RANK(AB52,AB$11:AB$355,1)+COUNTIF(AB$11:AB52,AB52)-1)))</f>
        <v/>
      </c>
      <c r="AD52" s="225"/>
      <c r="AE52" s="51" t="str">
        <f t="shared" si="24"/>
        <v/>
      </c>
      <c r="AG52" s="143"/>
      <c r="AH52" s="52"/>
      <c r="AI52" s="61" t="str">
        <f>IF(L52="","",VLOOKUP($L52,classifications!$C:$J,8,FALSE))</f>
        <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HLOOKUP($AX$9&amp;$AX$10,Data!$A$1:$ZZ$1992,(MATCH($C52,Data!$A$1:$A$1992,0)),FALSE)</f>
        <v>0</v>
      </c>
      <c r="AY52" s="156"/>
      <c r="AZ52" s="44"/>
    </row>
    <row r="53" spans="1:52">
      <c r="A53" s="84" t="str">
        <f>$D$1&amp;43</f>
        <v>SC43</v>
      </c>
      <c r="B53" s="85">
        <f>IF(ISERROR(VLOOKUP(A53,classifications!A:C,3,FALSE)),0,VLOOKUP(A53,classifications!A:C,3,FALSE))</f>
        <v>0</v>
      </c>
      <c r="C53" s="31" t="s">
        <v>228</v>
      </c>
      <c r="D53" s="49" t="str">
        <f>VLOOKUP($C53,classifications!$C:$J,4,FALSE)</f>
        <v>MD</v>
      </c>
      <c r="E53" s="49">
        <f>VLOOKUP(C53,classifications!C:K,9,FALSE)</f>
        <v>0</v>
      </c>
      <c r="F53" s="59">
        <f t="shared" si="0"/>
        <v>1.2999999999999999E-2</v>
      </c>
      <c r="G53" s="105"/>
      <c r="H53" s="60" t="str">
        <f t="shared" si="1"/>
        <v/>
      </c>
      <c r="I53" s="112" t="str">
        <f>IF(H53="","",IF($I$8="A",(RANK(H53,H$11:H$355,1)+COUNTIF(H$11:H53,H53)-1),(RANK(H53,H$11:H$355)+COUNTIF(H$11:H53,H53)-1)))</f>
        <v/>
      </c>
      <c r="J53" s="58"/>
      <c r="K53" s="51" t="str">
        <f t="shared" si="10"/>
        <v/>
      </c>
      <c r="L53" s="59" t="str">
        <f t="shared" si="2"/>
        <v/>
      </c>
      <c r="M53" s="153" t="str">
        <f t="shared" si="3"/>
        <v/>
      </c>
      <c r="N53" s="148" t="str">
        <f t="shared" si="23"/>
        <v/>
      </c>
      <c r="O53" s="131" t="str">
        <f t="shared" si="11"/>
        <v/>
      </c>
      <c r="P53" s="131" t="str">
        <f t="shared" si="19"/>
        <v/>
      </c>
      <c r="Q53" s="131" t="str">
        <f t="shared" si="20"/>
        <v/>
      </c>
      <c r="R53" s="127" t="str">
        <f t="shared" si="21"/>
        <v/>
      </c>
      <c r="S53" s="60" t="str">
        <f t="shared" si="12"/>
        <v/>
      </c>
      <c r="T53" s="217" t="str">
        <f>IF(L53="","",VLOOKUP(L53,classifications!C:K,9,FALSE))</f>
        <v/>
      </c>
      <c r="U53" s="224" t="str">
        <f t="shared" si="25"/>
        <v/>
      </c>
      <c r="V53" s="225" t="str">
        <f>IF(U53="","",IF($I$8="A",(RANK(U53,U$11:U$355)+COUNTIF(U$11:U53,U53)-1),(RANK(U53,U$11:U$355,1)+COUNTIF(U$11:U53,U53)-1)))</f>
        <v/>
      </c>
      <c r="W53" s="226"/>
      <c r="X53" s="61" t="str">
        <f>IF(L53="","",VLOOKUP($L53,classifications!$C:$J,6,FALSE))</f>
        <v/>
      </c>
      <c r="Y53" s="49" t="b">
        <f t="shared" si="4"/>
        <v>0</v>
      </c>
      <c r="Z53" s="57" t="e">
        <f>IF(Y53="","",IF(I$8="A",(RANK(Y53,Y$11:Y$355,1)+COUNTIF(Y$11:Y53,Y53)-1),(RANK(Y53,Y$11:Y$355)+COUNTIF(Y$11:Y53,Y53)-1)))</f>
        <v>#N/A</v>
      </c>
      <c r="AA53" s="231" t="str">
        <f>IF(L53="","",VLOOKUP($L53,classifications!C:I,7,FALSE))</f>
        <v/>
      </c>
      <c r="AB53" s="225" t="str">
        <f t="shared" si="14"/>
        <v/>
      </c>
      <c r="AC53" s="225" t="str">
        <f>IF(AB53="","",IF($I$8="A",(RANK(AB53,AB$11:AB$355)+COUNTIF(AB$11:AB53,AB53)-1),(RANK(AB53,AB$11:AB$355,1)+COUNTIF(AB$11:AB53,AB53)-1)))</f>
        <v/>
      </c>
      <c r="AD53" s="225"/>
      <c r="AE53" s="51" t="str">
        <f t="shared" si="24"/>
        <v/>
      </c>
      <c r="AG53" s="143"/>
      <c r="AH53" s="52"/>
      <c r="AI53" s="61" t="str">
        <f>IF(L53="","",VLOOKUP($L53,classifications!$C:$J,8,FALSE))</f>
        <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HLOOKUP($AX$9&amp;$AX$10,Data!$A$1:$ZZ$1992,(MATCH($C53,Data!$A$1:$A$1992,0)),FALSE)</f>
        <v>1.2999999999999999E-2</v>
      </c>
      <c r="AY53" s="156"/>
      <c r="AZ53" s="44"/>
    </row>
    <row r="54" spans="1:52">
      <c r="A54" s="84" t="str">
        <f>$D$1&amp;44</f>
        <v>SC44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t="str">
        <f t="shared" si="10"/>
        <v/>
      </c>
      <c r="L54" s="59" t="str">
        <f t="shared" si="2"/>
        <v/>
      </c>
      <c r="M54" s="153" t="str">
        <f t="shared" si="3"/>
        <v/>
      </c>
      <c r="N54" s="148" t="str">
        <f t="shared" si="23"/>
        <v/>
      </c>
      <c r="O54" s="131" t="str">
        <f t="shared" si="11"/>
        <v/>
      </c>
      <c r="P54" s="131" t="str">
        <f t="shared" si="19"/>
        <v/>
      </c>
      <c r="Q54" s="131" t="str">
        <f t="shared" si="20"/>
        <v/>
      </c>
      <c r="R54" s="127" t="str">
        <f t="shared" si="21"/>
        <v/>
      </c>
      <c r="S54" s="60" t="str">
        <f t="shared" si="12"/>
        <v/>
      </c>
      <c r="T54" s="217" t="str">
        <f>IF(L54="","",VLOOKUP(L54,classifications!C:K,9,FALSE))</f>
        <v/>
      </c>
      <c r="U54" s="224" t="str">
        <f t="shared" si="25"/>
        <v/>
      </c>
      <c r="V54" s="225" t="str">
        <f>IF(U54="","",IF($I$8="A",(RANK(U54,U$11:U$355)+COUNTIF(U$11:U54,U54)-1),(RANK(U54,U$11:U$355,1)+COUNTIF(U$11:U54,U54)-1)))</f>
        <v/>
      </c>
      <c r="W54" s="226"/>
      <c r="X54" s="61" t="str">
        <f>IF(L54="","",VLOOKUP($L54,classifications!$C:$J,6,FALSE))</f>
        <v/>
      </c>
      <c r="Y54" s="49" t="b">
        <f t="shared" si="4"/>
        <v>0</v>
      </c>
      <c r="Z54" s="57" t="e">
        <f>IF(Y54="","",IF(I$8="A",(RANK(Y54,Y$11:Y$355,1)+COUNTIF(Y$11:Y54,Y54)-1),(RANK(Y54,Y$11:Y$355)+COUNTIF(Y$11:Y54,Y54)-1)))</f>
        <v>#N/A</v>
      </c>
      <c r="AA54" s="231" t="str">
        <f>IF(L54="","",VLOOKUP($L54,classifications!C:I,7,FALSE))</f>
        <v/>
      </c>
      <c r="AB54" s="225" t="str">
        <f t="shared" si="14"/>
        <v/>
      </c>
      <c r="AC54" s="225" t="str">
        <f>IF(AB54="","",IF($I$8="A",(RANK(AB54,AB$11:AB$355)+COUNTIF(AB$11:AB54,AB54)-1),(RANK(AB54,AB$11:AB$355,1)+COUNTIF(AB$11:AB54,AB54)-1)))</f>
        <v/>
      </c>
      <c r="AD54" s="225"/>
      <c r="AE54" s="51" t="str">
        <f t="shared" si="24"/>
        <v/>
      </c>
      <c r="AG54" s="143"/>
      <c r="AH54" s="52"/>
      <c r="AI54" s="61" t="str">
        <f>IF(L54="","",VLOOKUP($L54,classifications!$C:$J,8,FALSE))</f>
        <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HLOOKUP($AX$9&amp;$AX$10,Data!$A$1:$ZZ$1992,(MATCH($C54,Data!$A$1:$A$1992,0)),FALSE)</f>
        <v>-</v>
      </c>
      <c r="AY54" s="156"/>
      <c r="AZ54" s="44"/>
    </row>
    <row r="55" spans="1:52">
      <c r="A55" s="84" t="str">
        <f>$D$1&amp;45</f>
        <v>SC45</v>
      </c>
      <c r="B55" s="85">
        <f>IF(ISERROR(VLOOKUP(A55,classifications!A:C,3,FALSE)),0,VLOOKUP(A55,classifications!A:C,3,FALSE))</f>
        <v>0</v>
      </c>
      <c r="C55" s="31" t="s">
        <v>303</v>
      </c>
      <c r="D55" s="49" t="str">
        <f>VLOOKUP($C55,classifications!$C:$J,4,FALSE)</f>
        <v>SC</v>
      </c>
      <c r="E55" s="49">
        <f>VLOOKUP(C55,classifications!C:K,9,FALSE)</f>
        <v>0</v>
      </c>
      <c r="F55" s="59">
        <f t="shared" si="0"/>
        <v>0.27800000000000002</v>
      </c>
      <c r="G55" s="105"/>
      <c r="H55" s="60">
        <f t="shared" si="1"/>
        <v>0.27800000000000002</v>
      </c>
      <c r="I55" s="112">
        <f>IF(H55="","",IF($I$8="A",(RANK(H55,H$11:H$355,1)+COUNTIF(H$11:H55,H55)-1),(RANK(H55,H$11:H$355)+COUNTIF(H$11:H55,H55)-1)))</f>
        <v>23</v>
      </c>
      <c r="J55" s="58"/>
      <c r="K55" s="51" t="str">
        <f t="shared" si="10"/>
        <v/>
      </c>
      <c r="L55" s="59" t="str">
        <f t="shared" si="2"/>
        <v/>
      </c>
      <c r="M55" s="153" t="str">
        <f t="shared" si="3"/>
        <v/>
      </c>
      <c r="N55" s="148" t="str">
        <f t="shared" si="23"/>
        <v/>
      </c>
      <c r="O55" s="131" t="str">
        <f t="shared" si="11"/>
        <v/>
      </c>
      <c r="P55" s="131" t="str">
        <f t="shared" si="19"/>
        <v/>
      </c>
      <c r="Q55" s="131" t="str">
        <f t="shared" si="20"/>
        <v/>
      </c>
      <c r="R55" s="127" t="str">
        <f t="shared" si="21"/>
        <v/>
      </c>
      <c r="S55" s="60" t="str">
        <f t="shared" si="12"/>
        <v/>
      </c>
      <c r="T55" s="217" t="str">
        <f>IF(L55="","",VLOOKUP(L55,classifications!C:K,9,FALSE))</f>
        <v/>
      </c>
      <c r="U55" s="224" t="str">
        <f t="shared" si="25"/>
        <v/>
      </c>
      <c r="V55" s="225" t="str">
        <f>IF(U55="","",IF($I$8="A",(RANK(U55,U$11:U$355)+COUNTIF(U$11:U55,U55)-1),(RANK(U55,U$11:U$355,1)+COUNTIF(U$11:U55,U55)-1)))</f>
        <v/>
      </c>
      <c r="W55" s="226"/>
      <c r="X55" s="61" t="str">
        <f>IF(L55="","",VLOOKUP($L55,classifications!$C:$J,6,FALSE))</f>
        <v/>
      </c>
      <c r="Y55" s="49" t="b">
        <f t="shared" si="4"/>
        <v>0</v>
      </c>
      <c r="Z55" s="57" t="e">
        <f>IF(Y55="","",IF(I$8="A",(RANK(Y55,Y$11:Y$355,1)+COUNTIF(Y$11:Y55,Y55)-1),(RANK(Y55,Y$11:Y$355)+COUNTIF(Y$11:Y55,Y55)-1)))</f>
        <v>#N/A</v>
      </c>
      <c r="AA55" s="231" t="str">
        <f>IF(L55="","",VLOOKUP($L55,classifications!C:I,7,FALSE))</f>
        <v/>
      </c>
      <c r="AB55" s="225" t="str">
        <f t="shared" si="14"/>
        <v/>
      </c>
      <c r="AC55" s="225" t="str">
        <f>IF(AB55="","",IF($I$8="A",(RANK(AB55,AB$11:AB$355)+COUNTIF(AB$11:AB55,AB55)-1),(RANK(AB55,AB$11:AB$355,1)+COUNTIF(AB$11:AB55,AB55)-1)))</f>
        <v/>
      </c>
      <c r="AD55" s="225"/>
      <c r="AE55" s="51" t="str">
        <f t="shared" si="24"/>
        <v/>
      </c>
      <c r="AG55" s="143"/>
      <c r="AH55" s="52"/>
      <c r="AI55" s="61" t="str">
        <f>IF(L55="","",VLOOKUP($L55,classifications!$C:$J,8,FALSE))</f>
        <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HLOOKUP($AX$9&amp;$AX$10,Data!$A$1:$ZZ$1992,(MATCH($C55,Data!$A$1:$A$1992,0)),FALSE)</f>
        <v>0.27800000000000002</v>
      </c>
      <c r="AY55" s="156"/>
      <c r="AZ55" s="44"/>
    </row>
    <row r="56" spans="1:52">
      <c r="A56" s="84" t="str">
        <f>$D$1&amp;46</f>
        <v>SC46</v>
      </c>
      <c r="B56" s="85">
        <f>IF(ISERROR(VLOOKUP(A56,classifications!A:C,3,FALSE)),0,VLOOKUP(A56,classifications!A:C,3,FALSE))</f>
        <v>0</v>
      </c>
      <c r="C56" s="31" t="s">
        <v>201</v>
      </c>
      <c r="D56" s="49" t="str">
        <f>VLOOKUP($C56,classifications!$C:$J,4,FALSE)</f>
        <v>L</v>
      </c>
      <c r="E56" s="49">
        <f>VLOOKUP(C56,classifications!C:K,9,FALSE)</f>
        <v>0</v>
      </c>
      <c r="F56" s="59">
        <f t="shared" si="0"/>
        <v>0</v>
      </c>
      <c r="G56" s="105"/>
      <c r="H56" s="60" t="str">
        <f t="shared" si="1"/>
        <v/>
      </c>
      <c r="I56" s="112" t="str">
        <f>IF(H56="","",IF($I$8="A",(RANK(H56,H$11:H$355,1)+COUNTIF(H$11:H56,H56)-1),(RANK(H56,H$11:H$355)+COUNTIF(H$11:H56,H56)-1)))</f>
        <v/>
      </c>
      <c r="J56" s="58"/>
      <c r="K56" s="51" t="str">
        <f t="shared" si="10"/>
        <v/>
      </c>
      <c r="L56" s="59" t="str">
        <f t="shared" si="2"/>
        <v/>
      </c>
      <c r="M56" s="153" t="str">
        <f t="shared" si="3"/>
        <v/>
      </c>
      <c r="N56" s="148" t="str">
        <f t="shared" si="23"/>
        <v/>
      </c>
      <c r="O56" s="131" t="str">
        <f t="shared" si="11"/>
        <v/>
      </c>
      <c r="P56" s="131" t="str">
        <f t="shared" si="19"/>
        <v/>
      </c>
      <c r="Q56" s="131" t="str">
        <f t="shared" si="20"/>
        <v/>
      </c>
      <c r="R56" s="127" t="str">
        <f t="shared" si="21"/>
        <v/>
      </c>
      <c r="S56" s="60" t="str">
        <f t="shared" si="12"/>
        <v/>
      </c>
      <c r="T56" s="217" t="str">
        <f>IF(L56="","",VLOOKUP(L56,classifications!C:K,9,FALSE))</f>
        <v/>
      </c>
      <c r="U56" s="224" t="str">
        <f t="shared" si="25"/>
        <v/>
      </c>
      <c r="V56" s="225" t="str">
        <f>IF(U56="","",IF($I$8="A",(RANK(U56,U$11:U$355)+COUNTIF(U$11:U56,U56)-1),(RANK(U56,U$11:U$355,1)+COUNTIF(U$11:U56,U56)-1)))</f>
        <v/>
      </c>
      <c r="W56" s="226"/>
      <c r="X56" s="61" t="str">
        <f>IF(L56="","",VLOOKUP($L56,classifications!$C:$J,6,FALSE))</f>
        <v/>
      </c>
      <c r="Y56" s="49" t="b">
        <f t="shared" si="4"/>
        <v>0</v>
      </c>
      <c r="Z56" s="57" t="e">
        <f>IF(Y56="","",IF(I$8="A",(RANK(Y56,Y$11:Y$355,1)+COUNTIF(Y$11:Y56,Y56)-1),(RANK(Y56,Y$11:Y$355)+COUNTIF(Y$11:Y56,Y56)-1)))</f>
        <v>#N/A</v>
      </c>
      <c r="AA56" s="231" t="str">
        <f>IF(L56="","",VLOOKUP($L56,classifications!C:I,7,FALSE))</f>
        <v/>
      </c>
      <c r="AB56" s="225" t="str">
        <f t="shared" si="14"/>
        <v/>
      </c>
      <c r="AC56" s="225" t="str">
        <f>IF(AB56="","",IF($I$8="A",(RANK(AB56,AB$11:AB$355)+COUNTIF(AB$11:AB56,AB56)-1),(RANK(AB56,AB$11:AB$355,1)+COUNTIF(AB$11:AB56,AB56)-1)))</f>
        <v/>
      </c>
      <c r="AD56" s="225"/>
      <c r="AE56" s="51" t="str">
        <f t="shared" si="24"/>
        <v/>
      </c>
      <c r="AG56" s="143"/>
      <c r="AH56" s="52"/>
      <c r="AI56" s="61" t="str">
        <f>IF(L56="","",VLOOKUP($L56,classifications!$C:$J,8,FALSE))</f>
        <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HLOOKUP($AX$9&amp;$AX$10,Data!$A$1:$ZZ$1992,(MATCH($C56,Data!$A$1:$A$1992,0)),FALSE)</f>
        <v>0</v>
      </c>
      <c r="AY56" s="156"/>
      <c r="AZ56" s="44"/>
    </row>
    <row r="57" spans="1:52">
      <c r="A57" s="84" t="str">
        <f>$D$1&amp;47</f>
        <v>SC47</v>
      </c>
      <c r="B57" s="85">
        <f>IF(ISERROR(VLOOKUP(A57,classifications!A:C,3,FALSE)),0,VLOOKUP(A57,classifications!A:C,3,FALSE))</f>
        <v>0</v>
      </c>
      <c r="C57" s="31" t="s">
        <v>28</v>
      </c>
      <c r="D57" s="49" t="str">
        <f>VLOOKUP($C57,classifications!$C:$J,4,FALSE)</f>
        <v>SD</v>
      </c>
      <c r="E57" s="49">
        <f>VLOOKUP(C57,classifications!C:K,9,FALSE)</f>
        <v>0</v>
      </c>
      <c r="F57" s="59">
        <f t="shared" si="0"/>
        <v>0</v>
      </c>
      <c r="G57" s="105"/>
      <c r="H57" s="60" t="str">
        <f t="shared" si="1"/>
        <v/>
      </c>
      <c r="I57" s="112" t="str">
        <f>IF(H57="","",IF($I$8="A",(RANK(H57,H$11:H$355,1)+COUNTIF(H$11:H57,H57)-1),(RANK(H57,H$11:H$355)+COUNTIF(H$11:H57,H57)-1)))</f>
        <v/>
      </c>
      <c r="J57" s="58"/>
      <c r="K57" s="51" t="str">
        <f t="shared" si="10"/>
        <v/>
      </c>
      <c r="L57" s="59" t="str">
        <f t="shared" si="2"/>
        <v/>
      </c>
      <c r="M57" s="153" t="str">
        <f t="shared" si="3"/>
        <v/>
      </c>
      <c r="N57" s="148" t="str">
        <f t="shared" si="23"/>
        <v/>
      </c>
      <c r="O57" s="131" t="str">
        <f t="shared" si="11"/>
        <v/>
      </c>
      <c r="P57" s="131" t="str">
        <f t="shared" si="19"/>
        <v/>
      </c>
      <c r="Q57" s="131" t="str">
        <f t="shared" si="20"/>
        <v/>
      </c>
      <c r="R57" s="127" t="str">
        <f t="shared" si="21"/>
        <v/>
      </c>
      <c r="S57" s="60" t="str">
        <f t="shared" si="12"/>
        <v/>
      </c>
      <c r="T57" s="217" t="str">
        <f>IF(L57="","",VLOOKUP(L57,classifications!C:K,9,FALSE))</f>
        <v/>
      </c>
      <c r="U57" s="224" t="str">
        <f t="shared" si="25"/>
        <v/>
      </c>
      <c r="V57" s="225" t="str">
        <f>IF(U57="","",IF($I$8="A",(RANK(U57,U$11:U$355)+COUNTIF(U$11:U57,U57)-1),(RANK(U57,U$11:U$355,1)+COUNTIF(U$11:U57,U57)-1)))</f>
        <v/>
      </c>
      <c r="W57" s="226"/>
      <c r="X57" s="61" t="str">
        <f>IF(L57="","",VLOOKUP($L57,classifications!$C:$J,6,FALSE))</f>
        <v/>
      </c>
      <c r="Y57" s="49" t="b">
        <f t="shared" si="4"/>
        <v>0</v>
      </c>
      <c r="Z57" s="57" t="e">
        <f>IF(Y57="","",IF(I$8="A",(RANK(Y57,Y$11:Y$355,1)+COUNTIF(Y$11:Y57,Y57)-1),(RANK(Y57,Y$11:Y$355)+COUNTIF(Y$11:Y57,Y57)-1)))</f>
        <v>#N/A</v>
      </c>
      <c r="AA57" s="231" t="str">
        <f>IF(L57="","",VLOOKUP($L57,classifications!C:I,7,FALSE))</f>
        <v/>
      </c>
      <c r="AB57" s="225" t="str">
        <f t="shared" si="14"/>
        <v/>
      </c>
      <c r="AC57" s="225" t="str">
        <f>IF(AB57="","",IF($I$8="A",(RANK(AB57,AB$11:AB$355)+COUNTIF(AB$11:AB57,AB57)-1),(RANK(AB57,AB$11:AB$355,1)+COUNTIF(AB$11:AB57,AB57)-1)))</f>
        <v/>
      </c>
      <c r="AD57" s="225"/>
      <c r="AE57" s="51" t="str">
        <f t="shared" si="24"/>
        <v/>
      </c>
      <c r="AG57" s="143"/>
      <c r="AH57" s="52"/>
      <c r="AI57" s="61" t="str">
        <f>IF(L57="","",VLOOKUP($L57,classifications!$C:$J,8,FALSE))</f>
        <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HLOOKUP($AX$9&amp;$AX$10,Data!$A$1:$ZZ$1992,(MATCH($C57,Data!$A$1:$A$1992,0)),FALSE)</f>
        <v>0</v>
      </c>
      <c r="AY57" s="156"/>
      <c r="AZ57" s="44"/>
    </row>
    <row r="58" spans="1:52">
      <c r="A58" s="84" t="str">
        <f>$D$1&amp;48</f>
        <v>SC48</v>
      </c>
      <c r="B58" s="85">
        <f>IF(ISERROR(VLOOKUP(A58,classifications!A:C,3,FALSE)),0,VLOOKUP(A58,classifications!A:C,3,FALSE))</f>
        <v>0</v>
      </c>
      <c r="C58" s="31" t="s">
        <v>29</v>
      </c>
      <c r="D58" s="49" t="str">
        <f>VLOOKUP($C58,classifications!$C:$J,4,FALSE)</f>
        <v>SD</v>
      </c>
      <c r="E58" s="49">
        <f>VLOOKUP(C58,classifications!C:K,9,FALSE)</f>
        <v>0</v>
      </c>
      <c r="F58" s="59">
        <f t="shared" si="0"/>
        <v>0</v>
      </c>
      <c r="G58" s="105"/>
      <c r="H58" s="60" t="str">
        <f t="shared" si="1"/>
        <v/>
      </c>
      <c r="I58" s="112" t="str">
        <f>IF(H58="","",IF($I$8="A",(RANK(H58,H$11:H$355,1)+COUNTIF(H$11:H58,H58)-1),(RANK(H58,H$11:H$355)+COUNTIF(H$11:H58,H58)-1)))</f>
        <v/>
      </c>
      <c r="J58" s="58"/>
      <c r="K58" s="51" t="str">
        <f t="shared" si="10"/>
        <v/>
      </c>
      <c r="L58" s="59" t="str">
        <f t="shared" si="2"/>
        <v/>
      </c>
      <c r="M58" s="153" t="str">
        <f t="shared" si="3"/>
        <v/>
      </c>
      <c r="N58" s="148" t="str">
        <f t="shared" si="23"/>
        <v/>
      </c>
      <c r="O58" s="131" t="str">
        <f t="shared" si="11"/>
        <v/>
      </c>
      <c r="P58" s="131" t="str">
        <f t="shared" si="19"/>
        <v/>
      </c>
      <c r="Q58" s="131" t="str">
        <f t="shared" si="20"/>
        <v/>
      </c>
      <c r="R58" s="127" t="str">
        <f t="shared" si="21"/>
        <v/>
      </c>
      <c r="S58" s="60" t="str">
        <f t="shared" si="12"/>
        <v/>
      </c>
      <c r="T58" s="217" t="str">
        <f>IF(L58="","",VLOOKUP(L58,classifications!C:K,9,FALSE))</f>
        <v/>
      </c>
      <c r="U58" s="224" t="str">
        <f t="shared" si="25"/>
        <v/>
      </c>
      <c r="V58" s="225" t="str">
        <f>IF(U58="","",IF($I$8="A",(RANK(U58,U$11:U$355)+COUNTIF(U$11:U58,U58)-1),(RANK(U58,U$11:U$355,1)+COUNTIF(U$11:U58,U58)-1)))</f>
        <v/>
      </c>
      <c r="W58" s="226"/>
      <c r="X58" s="61" t="str">
        <f>IF(L58="","",VLOOKUP($L58,classifications!$C:$J,6,FALSE))</f>
        <v/>
      </c>
      <c r="Y58" s="49" t="b">
        <f t="shared" si="4"/>
        <v>0</v>
      </c>
      <c r="Z58" s="57" t="e">
        <f>IF(Y58="","",IF(I$8="A",(RANK(Y58,Y$11:Y$355,1)+COUNTIF(Y$11:Y58,Y58)-1),(RANK(Y58,Y$11:Y$355)+COUNTIF(Y$11:Y58,Y58)-1)))</f>
        <v>#N/A</v>
      </c>
      <c r="AA58" s="231" t="str">
        <f>IF(L58="","",VLOOKUP($L58,classifications!C:I,7,FALSE))</f>
        <v/>
      </c>
      <c r="AB58" s="225" t="str">
        <f t="shared" si="14"/>
        <v/>
      </c>
      <c r="AC58" s="225" t="str">
        <f>IF(AB58="","",IF($I$8="A",(RANK(AB58,AB$11:AB$355)+COUNTIF(AB$11:AB58,AB58)-1),(RANK(AB58,AB$11:AB$355,1)+COUNTIF(AB$11:AB58,AB58)-1)))</f>
        <v/>
      </c>
      <c r="AD58" s="225"/>
      <c r="AE58" s="51" t="str">
        <f t="shared" si="24"/>
        <v/>
      </c>
      <c r="AG58" s="143"/>
      <c r="AH58" s="52"/>
      <c r="AI58" s="61" t="str">
        <f>IF(L58="","",VLOOKUP($L58,classifications!$C:$J,8,FALSE))</f>
        <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HLOOKUP($AX$9&amp;$AX$10,Data!$A$1:$ZZ$1992,(MATCH($C58,Data!$A$1:$A$1992,0)),FALSE)</f>
        <v>0</v>
      </c>
      <c r="AY58" s="156"/>
      <c r="AZ58" s="44"/>
    </row>
    <row r="59" spans="1:52">
      <c r="A59" s="84" t="str">
        <f>$D$1&amp;49</f>
        <v>SC49</v>
      </c>
      <c r="B59" s="85">
        <f>IF(ISERROR(VLOOKUP(A59,classifications!A:C,3,FALSE)),0,VLOOKUP(A59,classifications!A:C,3,FALSE))</f>
        <v>0</v>
      </c>
      <c r="C59" s="31" t="s">
        <v>30</v>
      </c>
      <c r="D59" s="49" t="str">
        <f>VLOOKUP($C59,classifications!$C:$J,4,FALSE)</f>
        <v>SD</v>
      </c>
      <c r="E59" s="49">
        <f>VLOOKUP(C59,classifications!C:K,9,FALSE)</f>
        <v>0</v>
      </c>
      <c r="F59" s="59">
        <f t="shared" si="0"/>
        <v>0</v>
      </c>
      <c r="G59" s="105"/>
      <c r="H59" s="60" t="str">
        <f t="shared" si="1"/>
        <v/>
      </c>
      <c r="I59" s="112" t="str">
        <f>IF(H59="","",IF($I$8="A",(RANK(H59,H$11:H$355,1)+COUNTIF(H$11:H59,H59)-1),(RANK(H59,H$11:H$355)+COUNTIF(H$11:H59,H59)-1)))</f>
        <v/>
      </c>
      <c r="J59" s="58"/>
      <c r="K59" s="51" t="str">
        <f t="shared" si="10"/>
        <v/>
      </c>
      <c r="L59" s="59" t="str">
        <f t="shared" si="2"/>
        <v/>
      </c>
      <c r="M59" s="153" t="str">
        <f t="shared" si="3"/>
        <v/>
      </c>
      <c r="N59" s="148" t="str">
        <f t="shared" si="23"/>
        <v/>
      </c>
      <c r="O59" s="131" t="str">
        <f t="shared" si="11"/>
        <v/>
      </c>
      <c r="P59" s="131" t="str">
        <f t="shared" si="19"/>
        <v/>
      </c>
      <c r="Q59" s="131" t="str">
        <f t="shared" si="20"/>
        <v/>
      </c>
      <c r="R59" s="127" t="str">
        <f t="shared" si="21"/>
        <v/>
      </c>
      <c r="S59" s="60" t="str">
        <f t="shared" si="12"/>
        <v/>
      </c>
      <c r="T59" s="217" t="str">
        <f>IF(L59="","",VLOOKUP(L59,classifications!C:K,9,FALSE))</f>
        <v/>
      </c>
      <c r="U59" s="224" t="str">
        <f t="shared" si="25"/>
        <v/>
      </c>
      <c r="V59" s="225" t="str">
        <f>IF(U59="","",IF($I$8="A",(RANK(U59,U$11:U$355)+COUNTIF(U$11:U59,U59)-1),(RANK(U59,U$11:U$355,1)+COUNTIF(U$11:U59,U59)-1)))</f>
        <v/>
      </c>
      <c r="W59" s="226"/>
      <c r="X59" s="61" t="str">
        <f>IF(L59="","",VLOOKUP($L59,classifications!$C:$J,6,FALSE))</f>
        <v/>
      </c>
      <c r="Y59" s="49" t="b">
        <f t="shared" si="4"/>
        <v>0</v>
      </c>
      <c r="Z59" s="57" t="e">
        <f>IF(Y59="","",IF(I$8="A",(RANK(Y59,Y$11:Y$355,1)+COUNTIF(Y$11:Y59,Y59)-1),(RANK(Y59,Y$11:Y$355)+COUNTIF(Y$11:Y59,Y59)-1)))</f>
        <v>#N/A</v>
      </c>
      <c r="AA59" s="231" t="str">
        <f>IF(L59="","",VLOOKUP($L59,classifications!C:I,7,FALSE))</f>
        <v/>
      </c>
      <c r="AB59" s="225" t="str">
        <f t="shared" si="14"/>
        <v/>
      </c>
      <c r="AC59" s="225" t="str">
        <f>IF(AB59="","",IF($I$8="A",(RANK(AB59,AB$11:AB$355)+COUNTIF(AB$11:AB59,AB59)-1),(RANK(AB59,AB$11:AB$355,1)+COUNTIF(AB$11:AB59,AB59)-1)))</f>
        <v/>
      </c>
      <c r="AD59" s="225"/>
      <c r="AE59" s="51" t="str">
        <f t="shared" si="24"/>
        <v/>
      </c>
      <c r="AG59" s="143"/>
      <c r="AH59" s="52"/>
      <c r="AI59" s="61" t="str">
        <f>IF(L59="","",VLOOKUP($L59,classifications!$C:$J,8,FALSE))</f>
        <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HLOOKUP($AX$9&amp;$AX$10,Data!$A$1:$ZZ$1992,(MATCH($C59,Data!$A$1:$A$1992,0)),FALSE)</f>
        <v>0</v>
      </c>
      <c r="AY59" s="156"/>
      <c r="AZ59" s="44"/>
    </row>
    <row r="60" spans="1:52">
      <c r="A60" s="84" t="str">
        <f>$D$1&amp;50</f>
        <v>SC50</v>
      </c>
      <c r="B60" s="85">
        <f>IF(ISERROR(VLOOKUP(A60,classifications!A:C,3,FALSE)),0,VLOOKUP(A60,classifications!A:C,3,FALSE))</f>
        <v>0</v>
      </c>
      <c r="C60" s="31" t="s">
        <v>31</v>
      </c>
      <c r="D60" s="49" t="str">
        <f>VLOOKUP($C60,classifications!$C:$J,4,FALSE)</f>
        <v>SD</v>
      </c>
      <c r="E60" s="49">
        <f>VLOOKUP(C60,classifications!C:K,9,FALSE)</f>
        <v>0</v>
      </c>
      <c r="F60" s="59">
        <f t="shared" si="0"/>
        <v>0</v>
      </c>
      <c r="G60" s="105"/>
      <c r="H60" s="60" t="str">
        <f t="shared" si="1"/>
        <v/>
      </c>
      <c r="I60" s="112" t="str">
        <f>IF(H60="","",IF($I$8="A",(RANK(H60,H$11:H$355,1)+COUNTIF(H$11:H60,H60)-1),(RANK(H60,H$11:H$355)+COUNTIF(H$11:H60,H60)-1)))</f>
        <v/>
      </c>
      <c r="J60" s="58"/>
      <c r="K60" s="51" t="str">
        <f t="shared" si="10"/>
        <v/>
      </c>
      <c r="L60" s="59" t="str">
        <f t="shared" si="2"/>
        <v/>
      </c>
      <c r="M60" s="153" t="str">
        <f t="shared" si="3"/>
        <v/>
      </c>
      <c r="N60" s="148" t="str">
        <f t="shared" si="23"/>
        <v/>
      </c>
      <c r="O60" s="131" t="str">
        <f t="shared" si="11"/>
        <v/>
      </c>
      <c r="P60" s="131" t="str">
        <f t="shared" si="19"/>
        <v/>
      </c>
      <c r="Q60" s="131" t="str">
        <f t="shared" si="20"/>
        <v/>
      </c>
      <c r="R60" s="127" t="str">
        <f t="shared" si="21"/>
        <v/>
      </c>
      <c r="S60" s="60" t="str">
        <f t="shared" si="12"/>
        <v/>
      </c>
      <c r="T60" s="217" t="str">
        <f>IF(L60="","",VLOOKUP(L60,classifications!C:K,9,FALSE))</f>
        <v/>
      </c>
      <c r="U60" s="224" t="str">
        <f t="shared" si="25"/>
        <v/>
      </c>
      <c r="V60" s="225" t="str">
        <f>IF(U60="","",IF($I$8="A",(RANK(U60,U$11:U$355)+COUNTIF(U$11:U60,U60)-1),(RANK(U60,U$11:U$355,1)+COUNTIF(U$11:U60,U60)-1)))</f>
        <v/>
      </c>
      <c r="W60" s="226"/>
      <c r="X60" s="61" t="str">
        <f>IF(L60="","",VLOOKUP($L60,classifications!$C:$J,6,FALSE))</f>
        <v/>
      </c>
      <c r="Y60" s="49" t="b">
        <f t="shared" si="4"/>
        <v>0</v>
      </c>
      <c r="Z60" s="57" t="e">
        <f>IF(Y60="","",IF(I$8="A",(RANK(Y60,Y$11:Y$355,1)+COUNTIF(Y$11:Y60,Y60)-1),(RANK(Y60,Y$11:Y$355)+COUNTIF(Y$11:Y60,Y60)-1)))</f>
        <v>#N/A</v>
      </c>
      <c r="AA60" s="231" t="str">
        <f>IF(L60="","",VLOOKUP($L60,classifications!C:I,7,FALSE))</f>
        <v/>
      </c>
      <c r="AB60" s="225" t="str">
        <f t="shared" si="14"/>
        <v/>
      </c>
      <c r="AC60" s="225" t="str">
        <f>IF(AB60="","",IF($I$8="A",(RANK(AB60,AB$11:AB$355)+COUNTIF(AB$11:AB60,AB60)-1),(RANK(AB60,AB$11:AB$355,1)+COUNTIF(AB$11:AB60,AB60)-1)))</f>
        <v/>
      </c>
      <c r="AD60" s="225"/>
      <c r="AE60" s="51" t="str">
        <f t="shared" si="24"/>
        <v/>
      </c>
      <c r="AG60" s="143"/>
      <c r="AH60" s="52"/>
      <c r="AI60" s="61" t="str">
        <f>IF(L60="","",VLOOKUP($L60,classifications!$C:$J,8,FALSE))</f>
        <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HLOOKUP($AX$9&amp;$AX$10,Data!$A$1:$ZZ$1992,(MATCH($C60,Data!$A$1:$A$1992,0)),FALSE)</f>
        <v>0</v>
      </c>
      <c r="AY60" s="156"/>
      <c r="AZ60" s="44"/>
    </row>
    <row r="61" spans="1:52">
      <c r="A61" s="84" t="str">
        <f>$D$1&amp;51</f>
        <v>SC51</v>
      </c>
      <c r="B61" s="85">
        <f>IF(ISERROR(VLOOKUP(A61,classifications!A:C,3,FALSE)),0,VLOOKUP(A61,classifications!A:C,3,FALSE))</f>
        <v>0</v>
      </c>
      <c r="C61" s="31" t="s">
        <v>304</v>
      </c>
      <c r="D61" s="49" t="str">
        <f>VLOOKUP($C61,classifications!$C:$J,4,FALSE)</f>
        <v>UA</v>
      </c>
      <c r="E61" s="49">
        <f>VLOOKUP(C61,classifications!C:K,9,FALSE)</f>
        <v>0</v>
      </c>
      <c r="F61" s="59">
        <f t="shared" si="0"/>
        <v>0.20200000000000001</v>
      </c>
      <c r="G61" s="105"/>
      <c r="H61" s="60" t="str">
        <f t="shared" si="1"/>
        <v/>
      </c>
      <c r="I61" s="112" t="str">
        <f>IF(H61="","",IF($I$8="A",(RANK(H61,H$11:H$355,1)+COUNTIF(H$11:H61,H61)-1),(RANK(H61,H$11:H$355)+COUNTIF(H$11:H61,H61)-1)))</f>
        <v/>
      </c>
      <c r="J61" s="58"/>
      <c r="K61" s="51" t="str">
        <f t="shared" si="10"/>
        <v/>
      </c>
      <c r="L61" s="59" t="str">
        <f t="shared" si="2"/>
        <v/>
      </c>
      <c r="M61" s="153" t="str">
        <f t="shared" si="3"/>
        <v/>
      </c>
      <c r="N61" s="148" t="str">
        <f t="shared" si="23"/>
        <v/>
      </c>
      <c r="O61" s="131" t="str">
        <f t="shared" si="11"/>
        <v/>
      </c>
      <c r="P61" s="131" t="str">
        <f t="shared" si="19"/>
        <v/>
      </c>
      <c r="Q61" s="131" t="str">
        <f t="shared" si="20"/>
        <v/>
      </c>
      <c r="R61" s="127" t="str">
        <f t="shared" si="21"/>
        <v/>
      </c>
      <c r="S61" s="60" t="str">
        <f t="shared" si="12"/>
        <v/>
      </c>
      <c r="T61" s="217" t="str">
        <f>IF(L61="","",VLOOKUP(L61,classifications!C:K,9,FALSE))</f>
        <v/>
      </c>
      <c r="U61" s="224" t="str">
        <f t="shared" si="25"/>
        <v/>
      </c>
      <c r="V61" s="225" t="str">
        <f>IF(U61="","",IF($I$8="A",(RANK(U61,U$11:U$355)+COUNTIF(U$11:U61,U61)-1),(RANK(U61,U$11:U$355,1)+COUNTIF(U$11:U61,U61)-1)))</f>
        <v/>
      </c>
      <c r="W61" s="226"/>
      <c r="X61" s="61" t="str">
        <f>IF(L61="","",VLOOKUP($L61,classifications!$C:$J,6,FALSE))</f>
        <v/>
      </c>
      <c r="Y61" s="49" t="b">
        <f t="shared" si="4"/>
        <v>0</v>
      </c>
      <c r="Z61" s="57" t="e">
        <f>IF(Y61="","",IF(I$8="A",(RANK(Y61,Y$11:Y$355,1)+COUNTIF(Y$11:Y61,Y61)-1),(RANK(Y61,Y$11:Y$355)+COUNTIF(Y$11:Y61,Y61)-1)))</f>
        <v>#N/A</v>
      </c>
      <c r="AA61" s="231" t="str">
        <f>IF(L61="","",VLOOKUP($L61,classifications!C:I,7,FALSE))</f>
        <v/>
      </c>
      <c r="AB61" s="225" t="str">
        <f t="shared" si="14"/>
        <v/>
      </c>
      <c r="AC61" s="225" t="str">
        <f>IF(AB61="","",IF($I$8="A",(RANK(AB61,AB$11:AB$355)+COUNTIF(AB$11:AB61,AB61)-1),(RANK(AB61,AB$11:AB$355,1)+COUNTIF(AB$11:AB61,AB61)-1)))</f>
        <v/>
      </c>
      <c r="AD61" s="225"/>
      <c r="AE61" s="51" t="str">
        <f t="shared" si="24"/>
        <v/>
      </c>
      <c r="AG61" s="143"/>
      <c r="AH61" s="52"/>
      <c r="AI61" s="61" t="str">
        <f>IF(L61="","",VLOOKUP($L61,classifications!$C:$J,8,FALSE))</f>
        <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HLOOKUP($AX$9&amp;$AX$10,Data!$A$1:$ZZ$1992,(MATCH($C61,Data!$A$1:$A$1992,0)),FALSE)</f>
        <v>0.20200000000000001</v>
      </c>
      <c r="AY61" s="156"/>
      <c r="AZ61" s="44"/>
    </row>
    <row r="62" spans="1:52">
      <c r="A62" s="84" t="str">
        <f>$D$1&amp;52</f>
        <v>SC52</v>
      </c>
      <c r="B62" s="85">
        <f>IF(ISERROR(VLOOKUP(A62,classifications!A:C,3,FALSE)),0,VLOOKUP(A62,classifications!A:C,3,FALSE))</f>
        <v>0</v>
      </c>
      <c r="C62" s="31" t="s">
        <v>32</v>
      </c>
      <c r="D62" s="49" t="str">
        <f>VLOOKUP($C62,classifications!$C:$J,4,FALSE)</f>
        <v>SD</v>
      </c>
      <c r="E62" s="49">
        <f>VLOOKUP(C62,classifications!C:K,9,FALSE)</f>
        <v>0</v>
      </c>
      <c r="F62" s="59">
        <f t="shared" si="0"/>
        <v>0</v>
      </c>
      <c r="G62" s="105"/>
      <c r="H62" s="60" t="str">
        <f t="shared" si="1"/>
        <v/>
      </c>
      <c r="I62" s="112" t="str">
        <f>IF(H62="","",IF($I$8="A",(RANK(H62,H$11:H$355,1)+COUNTIF(H$11:H62,H62)-1),(RANK(H62,H$11:H$355)+COUNTIF(H$11:H62,H62)-1)))</f>
        <v/>
      </c>
      <c r="J62" s="58"/>
      <c r="K62" s="51" t="str">
        <f t="shared" si="10"/>
        <v/>
      </c>
      <c r="L62" s="59" t="str">
        <f t="shared" si="2"/>
        <v/>
      </c>
      <c r="M62" s="153" t="str">
        <f t="shared" si="3"/>
        <v/>
      </c>
      <c r="N62" s="148" t="str">
        <f t="shared" si="23"/>
        <v/>
      </c>
      <c r="O62" s="131" t="str">
        <f t="shared" si="11"/>
        <v/>
      </c>
      <c r="P62" s="131" t="str">
        <f t="shared" si="19"/>
        <v/>
      </c>
      <c r="Q62" s="131" t="str">
        <f t="shared" si="20"/>
        <v/>
      </c>
      <c r="R62" s="127" t="str">
        <f t="shared" si="21"/>
        <v/>
      </c>
      <c r="S62" s="60" t="str">
        <f t="shared" si="12"/>
        <v/>
      </c>
      <c r="T62" s="217" t="str">
        <f>IF(L62="","",VLOOKUP(L62,classifications!C:K,9,FALSE))</f>
        <v/>
      </c>
      <c r="U62" s="224" t="str">
        <f t="shared" si="25"/>
        <v/>
      </c>
      <c r="V62" s="225" t="str">
        <f>IF(U62="","",IF($I$8="A",(RANK(U62,U$11:U$355)+COUNTIF(U$11:U62,U62)-1),(RANK(U62,U$11:U$355,1)+COUNTIF(U$11:U62,U62)-1)))</f>
        <v/>
      </c>
      <c r="W62" s="226"/>
      <c r="X62" s="61" t="str">
        <f>IF(L62="","",VLOOKUP($L62,classifications!$C:$J,6,FALSE))</f>
        <v/>
      </c>
      <c r="Y62" s="49" t="b">
        <f t="shared" si="4"/>
        <v>0</v>
      </c>
      <c r="Z62" s="57" t="e">
        <f>IF(Y62="","",IF(I$8="A",(RANK(Y62,Y$11:Y$355,1)+COUNTIF(Y$11:Y62,Y62)-1),(RANK(Y62,Y$11:Y$355)+COUNTIF(Y$11:Y62,Y62)-1)))</f>
        <v>#N/A</v>
      </c>
      <c r="AA62" s="231" t="str">
        <f>IF(L62="","",VLOOKUP($L62,classifications!C:I,7,FALSE))</f>
        <v/>
      </c>
      <c r="AB62" s="225" t="str">
        <f t="shared" si="14"/>
        <v/>
      </c>
      <c r="AC62" s="225" t="str">
        <f>IF(AB62="","",IF($I$8="A",(RANK(AB62,AB$11:AB$355)+COUNTIF(AB$11:AB62,AB62)-1),(RANK(AB62,AB$11:AB$355,1)+COUNTIF(AB$11:AB62,AB62)-1)))</f>
        <v/>
      </c>
      <c r="AD62" s="225"/>
      <c r="AE62" s="51" t="str">
        <f t="shared" si="24"/>
        <v/>
      </c>
      <c r="AG62" s="143"/>
      <c r="AH62" s="52"/>
      <c r="AI62" s="61" t="str">
        <f>IF(L62="","",VLOOKUP($L62,classifications!$C:$J,8,FALSE))</f>
        <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HLOOKUP($AX$9&amp;$AX$10,Data!$A$1:$ZZ$1992,(MATCH($C62,Data!$A$1:$A$1992,0)),FALSE)</f>
        <v>0</v>
      </c>
      <c r="AY62" s="156"/>
      <c r="AZ62" s="44"/>
    </row>
    <row r="63" spans="1:52">
      <c r="A63" s="84" t="str">
        <f>$D$1&amp;53</f>
        <v>SC53</v>
      </c>
      <c r="B63" s="85">
        <f>IF(ISERROR(VLOOKUP(A63,classifications!A:C,3,FALSE)),0,VLOOKUP(A63,classifications!A:C,3,FALSE))</f>
        <v>0</v>
      </c>
      <c r="C63" s="31" t="s">
        <v>33</v>
      </c>
      <c r="D63" s="49" t="str">
        <f>VLOOKUP($C63,classifications!$C:$J,4,FALSE)</f>
        <v>SD</v>
      </c>
      <c r="E63" s="49">
        <f>VLOOKUP(C63,classifications!C:K,9,FALSE)</f>
        <v>0</v>
      </c>
      <c r="F63" s="59">
        <f t="shared" si="0"/>
        <v>0</v>
      </c>
      <c r="G63" s="105"/>
      <c r="H63" s="60" t="str">
        <f t="shared" si="1"/>
        <v/>
      </c>
      <c r="I63" s="112" t="str">
        <f>IF(H63="","",IF($I$8="A",(RANK(H63,H$11:H$355,1)+COUNTIF(H$11:H63,H63)-1),(RANK(H63,H$11:H$355)+COUNTIF(H$11:H63,H63)-1)))</f>
        <v/>
      </c>
      <c r="J63" s="58"/>
      <c r="K63" s="51" t="str">
        <f t="shared" si="10"/>
        <v/>
      </c>
      <c r="L63" s="59" t="str">
        <f t="shared" si="2"/>
        <v/>
      </c>
      <c r="M63" s="153" t="str">
        <f t="shared" si="3"/>
        <v/>
      </c>
      <c r="N63" s="148" t="str">
        <f t="shared" si="23"/>
        <v/>
      </c>
      <c r="O63" s="131" t="str">
        <f t="shared" si="11"/>
        <v/>
      </c>
      <c r="P63" s="131" t="str">
        <f t="shared" si="19"/>
        <v/>
      </c>
      <c r="Q63" s="131" t="str">
        <f t="shared" si="20"/>
        <v/>
      </c>
      <c r="R63" s="127" t="str">
        <f t="shared" si="21"/>
        <v/>
      </c>
      <c r="S63" s="60" t="str">
        <f t="shared" si="12"/>
        <v/>
      </c>
      <c r="T63" s="217" t="str">
        <f>IF(L63="","",VLOOKUP(L63,classifications!C:K,9,FALSE))</f>
        <v/>
      </c>
      <c r="U63" s="224" t="str">
        <f t="shared" si="25"/>
        <v/>
      </c>
      <c r="V63" s="225" t="str">
        <f>IF(U63="","",IF($I$8="A",(RANK(U63,U$11:U$355)+COUNTIF(U$11:U63,U63)-1),(RANK(U63,U$11:U$355,1)+COUNTIF(U$11:U63,U63)-1)))</f>
        <v/>
      </c>
      <c r="W63" s="226"/>
      <c r="X63" s="61" t="str">
        <f>IF(L63="","",VLOOKUP($L63,classifications!$C:$J,6,FALSE))</f>
        <v/>
      </c>
      <c r="Y63" s="49" t="b">
        <f t="shared" si="4"/>
        <v>0</v>
      </c>
      <c r="Z63" s="57" t="e">
        <f>IF(Y63="","",IF(I$8="A",(RANK(Y63,Y$11:Y$355,1)+COUNTIF(Y$11:Y63,Y63)-1),(RANK(Y63,Y$11:Y$355)+COUNTIF(Y$11:Y63,Y63)-1)))</f>
        <v>#N/A</v>
      </c>
      <c r="AA63" s="231" t="str">
        <f>IF(L63="","",VLOOKUP($L63,classifications!C:I,7,FALSE))</f>
        <v/>
      </c>
      <c r="AB63" s="225" t="str">
        <f t="shared" si="14"/>
        <v/>
      </c>
      <c r="AC63" s="225" t="str">
        <f>IF(AB63="","",IF($I$8="A",(RANK(AB63,AB$11:AB$355)+COUNTIF(AB$11:AB63,AB63)-1),(RANK(AB63,AB$11:AB$355,1)+COUNTIF(AB$11:AB63,AB63)-1)))</f>
        <v/>
      </c>
      <c r="AD63" s="225"/>
      <c r="AE63" s="51" t="str">
        <f t="shared" si="24"/>
        <v/>
      </c>
      <c r="AG63" s="143"/>
      <c r="AH63" s="52"/>
      <c r="AI63" s="61" t="str">
        <f>IF(L63="","",VLOOKUP($L63,classifications!$C:$J,8,FALSE))</f>
        <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HLOOKUP($AX$9&amp;$AX$10,Data!$A$1:$ZZ$1992,(MATCH($C63,Data!$A$1:$A$1992,0)),FALSE)</f>
        <v>0</v>
      </c>
      <c r="AY63" s="156"/>
      <c r="AZ63" s="44"/>
    </row>
    <row r="64" spans="1:52">
      <c r="A64" s="84" t="str">
        <f>$D$1&amp;54</f>
        <v>SC54</v>
      </c>
      <c r="B64" s="85">
        <f>IF(ISERROR(VLOOKUP(A64,classifications!A:C,3,FALSE)),0,VLOOKUP(A64,classifications!A:C,3,FALSE))</f>
        <v>0</v>
      </c>
      <c r="C64" s="31" t="s">
        <v>34</v>
      </c>
      <c r="D64" s="49" t="str">
        <f>VLOOKUP($C64,classifications!$C:$J,4,FALSE)</f>
        <v>SD</v>
      </c>
      <c r="E64" s="49">
        <f>VLOOKUP(C64,classifications!C:K,9,FALSE)</f>
        <v>0</v>
      </c>
      <c r="F64" s="59">
        <f t="shared" si="0"/>
        <v>0</v>
      </c>
      <c r="G64" s="105"/>
      <c r="H64" s="60" t="str">
        <f t="shared" si="1"/>
        <v/>
      </c>
      <c r="I64" s="112" t="str">
        <f>IF(H64="","",IF($I$8="A",(RANK(H64,H$11:H$355,1)+COUNTIF(H$11:H64,H64)-1),(RANK(H64,H$11:H$355)+COUNTIF(H$11:H64,H64)-1)))</f>
        <v/>
      </c>
      <c r="J64" s="58"/>
      <c r="K64" s="51" t="str">
        <f t="shared" si="10"/>
        <v/>
      </c>
      <c r="L64" s="59" t="str">
        <f t="shared" si="2"/>
        <v/>
      </c>
      <c r="M64" s="153" t="str">
        <f t="shared" si="3"/>
        <v/>
      </c>
      <c r="N64" s="148" t="str">
        <f t="shared" si="23"/>
        <v/>
      </c>
      <c r="O64" s="131" t="str">
        <f t="shared" si="11"/>
        <v/>
      </c>
      <c r="P64" s="131" t="str">
        <f t="shared" si="19"/>
        <v/>
      </c>
      <c r="Q64" s="131" t="str">
        <f t="shared" si="20"/>
        <v/>
      </c>
      <c r="R64" s="127" t="str">
        <f t="shared" si="21"/>
        <v/>
      </c>
      <c r="S64" s="60" t="str">
        <f t="shared" si="12"/>
        <v/>
      </c>
      <c r="T64" s="217" t="str">
        <f>IF(L64="","",VLOOKUP(L64,classifications!C:K,9,FALSE))</f>
        <v/>
      </c>
      <c r="U64" s="224" t="str">
        <f t="shared" si="25"/>
        <v/>
      </c>
      <c r="V64" s="225" t="str">
        <f>IF(U64="","",IF($I$8="A",(RANK(U64,U$11:U$355)+COUNTIF(U$11:U64,U64)-1),(RANK(U64,U$11:U$355,1)+COUNTIF(U$11:U64,U64)-1)))</f>
        <v/>
      </c>
      <c r="W64" s="226"/>
      <c r="X64" s="61" t="str">
        <f>IF(L64="","",VLOOKUP($L64,classifications!$C:$J,6,FALSE))</f>
        <v/>
      </c>
      <c r="Y64" s="49" t="b">
        <f t="shared" si="4"/>
        <v>0</v>
      </c>
      <c r="Z64" s="57" t="e">
        <f>IF(Y64="","",IF(I$8="A",(RANK(Y64,Y$11:Y$355,1)+COUNTIF(Y$11:Y64,Y64)-1),(RANK(Y64,Y$11:Y$355)+COUNTIF(Y$11:Y64,Y64)-1)))</f>
        <v>#N/A</v>
      </c>
      <c r="AA64" s="231" t="str">
        <f>IF(L64="","",VLOOKUP($L64,classifications!C:I,7,FALSE))</f>
        <v/>
      </c>
      <c r="AB64" s="225" t="str">
        <f t="shared" si="14"/>
        <v/>
      </c>
      <c r="AC64" s="225" t="str">
        <f>IF(AB64="","",IF($I$8="A",(RANK(AB64,AB$11:AB$355)+COUNTIF(AB$11:AB64,AB64)-1),(RANK(AB64,AB$11:AB$355,1)+COUNTIF(AB$11:AB64,AB64)-1)))</f>
        <v/>
      </c>
      <c r="AD64" s="225"/>
      <c r="AE64" s="51" t="str">
        <f t="shared" si="24"/>
        <v/>
      </c>
      <c r="AG64" s="143"/>
      <c r="AH64" s="52"/>
      <c r="AI64" s="61" t="str">
        <f>IF(L64="","",VLOOKUP($L64,classifications!$C:$J,8,FALSE))</f>
        <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HLOOKUP($AX$9&amp;$AX$10,Data!$A$1:$ZZ$1992,(MATCH($C64,Data!$A$1:$A$1992,0)),FALSE)</f>
        <v>0</v>
      </c>
      <c r="AY64" s="156"/>
      <c r="AZ64" s="44"/>
    </row>
    <row r="65" spans="1:52">
      <c r="A65" s="84" t="str">
        <f>$D$1&amp;55</f>
        <v>SC55</v>
      </c>
      <c r="B65" s="85">
        <f>IF(ISERROR(VLOOKUP(A65,classifications!A:C,3,FALSE)),0,VLOOKUP(A65,classifications!A:C,3,FALSE))</f>
        <v>0</v>
      </c>
      <c r="C65" s="31" t="s">
        <v>35</v>
      </c>
      <c r="D65" s="49" t="str">
        <f>VLOOKUP($C65,classifications!$C:$J,4,FALSE)</f>
        <v>SD</v>
      </c>
      <c r="E65" s="49" t="str">
        <f>VLOOKUP(C65,classifications!C:K,9,FALSE)</f>
        <v>Sparse</v>
      </c>
      <c r="F65" s="59">
        <f t="shared" si="0"/>
        <v>0</v>
      </c>
      <c r="G65" s="105"/>
      <c r="H65" s="60" t="str">
        <f t="shared" si="1"/>
        <v/>
      </c>
      <c r="I65" s="112" t="str">
        <f>IF(H65="","",IF($I$8="A",(RANK(H65,H$11:H$355,1)+COUNTIF(H$11:H65,H65)-1),(RANK(H65,H$11:H$355)+COUNTIF(H$11:H65,H65)-1)))</f>
        <v/>
      </c>
      <c r="J65" s="58"/>
      <c r="K65" s="51" t="str">
        <f t="shared" si="10"/>
        <v/>
      </c>
      <c r="L65" s="59" t="str">
        <f t="shared" si="2"/>
        <v/>
      </c>
      <c r="M65" s="153" t="str">
        <f t="shared" si="3"/>
        <v/>
      </c>
      <c r="N65" s="148" t="str">
        <f t="shared" si="23"/>
        <v/>
      </c>
      <c r="O65" s="131" t="str">
        <f t="shared" si="11"/>
        <v/>
      </c>
      <c r="P65" s="131" t="str">
        <f t="shared" si="19"/>
        <v/>
      </c>
      <c r="Q65" s="131" t="str">
        <f t="shared" si="20"/>
        <v/>
      </c>
      <c r="R65" s="127" t="str">
        <f t="shared" si="21"/>
        <v/>
      </c>
      <c r="S65" s="60" t="str">
        <f t="shared" si="12"/>
        <v/>
      </c>
      <c r="T65" s="217" t="str">
        <f>IF(L65="","",VLOOKUP(L65,classifications!C:K,9,FALSE))</f>
        <v/>
      </c>
      <c r="U65" s="224" t="str">
        <f t="shared" si="25"/>
        <v/>
      </c>
      <c r="V65" s="225" t="str">
        <f>IF(U65="","",IF($I$8="A",(RANK(U65,U$11:U$355)+COUNTIF(U$11:U65,U65)-1),(RANK(U65,U$11:U$355,1)+COUNTIF(U$11:U65,U65)-1)))</f>
        <v/>
      </c>
      <c r="W65" s="226"/>
      <c r="X65" s="61" t="str">
        <f>IF(L65="","",VLOOKUP($L65,classifications!$C:$J,6,FALSE))</f>
        <v/>
      </c>
      <c r="Y65" s="49" t="b">
        <f t="shared" si="4"/>
        <v>0</v>
      </c>
      <c r="Z65" s="57" t="e">
        <f>IF(Y65="","",IF(I$8="A",(RANK(Y65,Y$11:Y$355,1)+COUNTIF(Y$11:Y65,Y65)-1),(RANK(Y65,Y$11:Y$355)+COUNTIF(Y$11:Y65,Y65)-1)))</f>
        <v>#N/A</v>
      </c>
      <c r="AA65" s="231" t="str">
        <f>IF(L65="","",VLOOKUP($L65,classifications!C:I,7,FALSE))</f>
        <v/>
      </c>
      <c r="AB65" s="225" t="str">
        <f t="shared" si="14"/>
        <v/>
      </c>
      <c r="AC65" s="225" t="str">
        <f>IF(AB65="","",IF($I$8="A",(RANK(AB65,AB$11:AB$355)+COUNTIF(AB$11:AB65,AB65)-1),(RANK(AB65,AB$11:AB$355,1)+COUNTIF(AB$11:AB65,AB65)-1)))</f>
        <v/>
      </c>
      <c r="AD65" s="225"/>
      <c r="AE65" s="51" t="str">
        <f t="shared" si="24"/>
        <v/>
      </c>
      <c r="AG65" s="143"/>
      <c r="AH65" s="52"/>
      <c r="AI65" s="61" t="str">
        <f>IF(L65="","",VLOOKUP($L65,classifications!$C:$J,8,FALSE))</f>
        <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HLOOKUP($AX$9&amp;$AX$10,Data!$A$1:$ZZ$1992,(MATCH($C65,Data!$A$1:$A$1992,0)),FALSE)</f>
        <v>0</v>
      </c>
      <c r="AY65" s="156"/>
      <c r="AZ65" s="44"/>
    </row>
    <row r="66" spans="1:52">
      <c r="A66" s="84" t="str">
        <f>$D$1&amp;56</f>
        <v>SC56</v>
      </c>
      <c r="B66" s="85">
        <f>IF(ISERROR(VLOOKUP(A66,classifications!A:C,3,FALSE)),0,VLOOKUP(A66,classifications!A:C,3,FALSE))</f>
        <v>0</v>
      </c>
      <c r="C66" s="31" t="s">
        <v>305</v>
      </c>
      <c r="D66" s="49" t="str">
        <f>VLOOKUP($C66,classifications!$C:$J,4,FALSE)</f>
        <v>UA</v>
      </c>
      <c r="E66" s="49" t="str">
        <f>VLOOKUP(C66,classifications!C:K,9,FALSE)</f>
        <v>Sparse</v>
      </c>
      <c r="F66" s="59">
        <f t="shared" si="0"/>
        <v>2.9000000000000001E-2</v>
      </c>
      <c r="G66" s="105"/>
      <c r="H66" s="60" t="str">
        <f t="shared" si="1"/>
        <v/>
      </c>
      <c r="I66" s="112" t="str">
        <f>IF(H66="","",IF($I$8="A",(RANK(H66,H$11:H$355,1)+COUNTIF(H$11:H66,H66)-1),(RANK(H66,H$11:H$355)+COUNTIF(H$11:H66,H66)-1)))</f>
        <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17" t="str">
        <f>IF(L66="","",VLOOKUP(L66,classifications!C:K,9,FALSE))</f>
        <v/>
      </c>
      <c r="U66" s="224" t="str">
        <f t="shared" si="25"/>
        <v/>
      </c>
      <c r="V66" s="225" t="str">
        <f>IF(U66="","",IF($I$8="A",(RANK(U66,U$11:U$355)+COUNTIF(U$11:U66,U66)-1),(RANK(U66,U$11:U$355,1)+COUNTIF(U$11:U66,U66)-1)))</f>
        <v/>
      </c>
      <c r="W66" s="226"/>
      <c r="X66" s="61" t="str">
        <f>IF(L66="","",VLOOKUP($L66,classifications!$C:$J,6,FALSE))</f>
        <v/>
      </c>
      <c r="Y66" s="49" t="b">
        <f t="shared" si="4"/>
        <v>0</v>
      </c>
      <c r="Z66" s="57" t="e">
        <f>IF(Y66="","",IF(I$8="A",(RANK(Y66,Y$11:Y$355,1)+COUNTIF(Y$11:Y66,Y66)-1),(RANK(Y66,Y$11:Y$355)+COUNTIF(Y$11:Y66,Y66)-1)))</f>
        <v>#N/A</v>
      </c>
      <c r="AA66" s="231" t="str">
        <f>IF(L66="","",VLOOKUP($L66,classifications!C:I,7,FALSE))</f>
        <v/>
      </c>
      <c r="AB66" s="225" t="str">
        <f t="shared" si="14"/>
        <v/>
      </c>
      <c r="AC66" s="225" t="str">
        <f>IF(AB66="","",IF($I$8="A",(RANK(AB66,AB$11:AB$355)+COUNTIF(AB$11:AB66,AB66)-1),(RANK(AB66,AB$11:AB$355,1)+COUNTIF(AB$11:AB66,AB66)-1)))</f>
        <v/>
      </c>
      <c r="AD66" s="225"/>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HLOOKUP($AX$9&amp;$AX$10,Data!$A$1:$ZZ$1992,(MATCH($C66,Data!$A$1:$A$1992,0)),FALSE)</f>
        <v>2.9000000000000001E-2</v>
      </c>
      <c r="AY66" s="156"/>
      <c r="AZ66" s="44"/>
    </row>
    <row r="67" spans="1:52">
      <c r="A67" s="84" t="str">
        <f>$D$1&amp;57</f>
        <v>SC57</v>
      </c>
      <c r="B67" s="85">
        <f>IF(ISERROR(VLOOKUP(A67,classifications!A:C,3,FALSE)),0,VLOOKUP(A67,classifications!A:C,3,FALSE))</f>
        <v>0</v>
      </c>
      <c r="C67" s="31" t="s">
        <v>814</v>
      </c>
      <c r="D67" s="49" t="str">
        <f>VLOOKUP($C67,classifications!$C:$J,4,FALSE)</f>
        <v>UA</v>
      </c>
      <c r="E67" s="49">
        <f>VLOOKUP(C67,classifications!C:K,9,FALSE)</f>
        <v>0</v>
      </c>
      <c r="F67" s="59" t="e">
        <f t="shared" si="0"/>
        <v>#N/A</v>
      </c>
      <c r="G67" s="105"/>
      <c r="H67" s="60" t="str">
        <f t="shared" si="1"/>
        <v/>
      </c>
      <c r="I67" s="112" t="str">
        <f>IF(H67="","",IF($I$8="A",(RANK(H67,H$11:H$355,1)+COUNTIF(H$11:H67,H67)-1),(RANK(H67,H$11:H$355)+COUNTIF(H$11:H67,H67)-1)))</f>
        <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17" t="str">
        <f>IF(L67="","",VLOOKUP(L67,classifications!C:K,9,FALSE))</f>
        <v/>
      </c>
      <c r="U67" s="224" t="str">
        <f t="shared" si="25"/>
        <v/>
      </c>
      <c r="V67" s="225" t="str">
        <f>IF(U67="","",IF($I$8="A",(RANK(U67,U$11:U$355)+COUNTIF(U$11:U67,U67)-1),(RANK(U67,U$11:U$355,1)+COUNTIF(U$11:U67,U67)-1)))</f>
        <v/>
      </c>
      <c r="W67" s="226"/>
      <c r="X67" s="61" t="str">
        <f>IF(L67="","",VLOOKUP($L67,classifications!$C:$J,6,FALSE))</f>
        <v/>
      </c>
      <c r="Y67" s="49" t="b">
        <f t="shared" si="4"/>
        <v>0</v>
      </c>
      <c r="Z67" s="57" t="e">
        <f>IF(Y67="","",IF(I$8="A",(RANK(Y67,Y$11:Y$355,1)+COUNTIF(Y$11:Y67,Y67)-1),(RANK(Y67,Y$11:Y$355)+COUNTIF(Y$11:Y67,Y67)-1)))</f>
        <v>#N/A</v>
      </c>
      <c r="AA67" s="231" t="str">
        <f>IF(L67="","",VLOOKUP($L67,classifications!C:I,7,FALSE))</f>
        <v/>
      </c>
      <c r="AB67" s="225" t="str">
        <f t="shared" si="14"/>
        <v/>
      </c>
      <c r="AC67" s="225" t="str">
        <f>IF(AB67="","",IF($I$8="A",(RANK(AB67,AB$11:AB$355)+COUNTIF(AB$11:AB67,AB67)-1),(RANK(AB67,AB$11:AB$355,1)+COUNTIF(AB$11:AB67,AB67)-1)))</f>
        <v/>
      </c>
      <c r="AD67" s="225"/>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t="e">
        <f>HLOOKUP($AX$9&amp;$AX$10,Data!$A$1:$ZZ$1992,(MATCH($C67,Data!$A$1:$A$1992,0)),FALSE)</f>
        <v>#N/A</v>
      </c>
      <c r="AY67" s="156"/>
      <c r="AZ67" s="44"/>
    </row>
    <row r="68" spans="1:52">
      <c r="A68" s="84" t="str">
        <f>$D$1&amp;58</f>
        <v>SC58</v>
      </c>
      <c r="B68" s="85">
        <f>IF(ISERROR(VLOOKUP(A68,classifications!A:C,3,FALSE)),0,VLOOKUP(A68,classifications!A:C,3,FALSE))</f>
        <v>0</v>
      </c>
      <c r="C68" s="31" t="s">
        <v>36</v>
      </c>
      <c r="D68" s="49" t="str">
        <f>VLOOKUP($C68,classifications!$C:$J,4,FALSE)</f>
        <v>SD</v>
      </c>
      <c r="E68" s="49">
        <f>VLOOKUP(C68,classifications!C:K,9,FALSE)</f>
        <v>0</v>
      </c>
      <c r="F68" s="59">
        <f t="shared" si="0"/>
        <v>0</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17" t="str">
        <f>IF(L68="","",VLOOKUP(L68,classifications!C:K,9,FALSE))</f>
        <v/>
      </c>
      <c r="U68" s="224" t="str">
        <f t="shared" si="25"/>
        <v/>
      </c>
      <c r="V68" s="225" t="str">
        <f>IF(U68="","",IF($I$8="A",(RANK(U68,U$11:U$355)+COUNTIF(U$11:U68,U68)-1),(RANK(U68,U$11:U$355,1)+COUNTIF(U$11:U68,U68)-1)))</f>
        <v/>
      </c>
      <c r="W68" s="226"/>
      <c r="X68" s="61" t="str">
        <f>IF(L68="","",VLOOKUP($L68,classifications!$C:$J,6,FALSE))</f>
        <v/>
      </c>
      <c r="Y68" s="49" t="b">
        <f t="shared" si="4"/>
        <v>0</v>
      </c>
      <c r="Z68" s="57" t="e">
        <f>IF(Y68="","",IF(I$8="A",(RANK(Y68,Y$11:Y$355,1)+COUNTIF(Y$11:Y68,Y68)-1),(RANK(Y68,Y$11:Y$355)+COUNTIF(Y$11:Y68,Y68)-1)))</f>
        <v>#N/A</v>
      </c>
      <c r="AA68" s="231" t="str">
        <f>IF(L68="","",VLOOKUP($L68,classifications!C:I,7,FALSE))</f>
        <v/>
      </c>
      <c r="AB68" s="225" t="str">
        <f t="shared" si="14"/>
        <v/>
      </c>
      <c r="AC68" s="225" t="str">
        <f>IF(AB68="","",IF($I$8="A",(RANK(AB68,AB$11:AB$355)+COUNTIF(AB$11:AB68,AB68)-1),(RANK(AB68,AB$11:AB$355,1)+COUNTIF(AB$11:AB68,AB68)-1)))</f>
        <v/>
      </c>
      <c r="AD68" s="225"/>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HLOOKUP($AX$9&amp;$AX$10,Data!$A$1:$ZZ$1992,(MATCH($C68,Data!$A$1:$A$1992,0)),FALSE)</f>
        <v>0</v>
      </c>
      <c r="AY68" s="156"/>
      <c r="AZ68" s="44"/>
    </row>
    <row r="69" spans="1:52">
      <c r="A69" s="84" t="str">
        <f>$D$1&amp;59</f>
        <v>SC59</v>
      </c>
      <c r="B69" s="85">
        <f>IF(ISERROR(VLOOKUP(A69,classifications!A:C,3,FALSE)),0,VLOOKUP(A69,classifications!A:C,3,FALSE))</f>
        <v>0</v>
      </c>
      <c r="C69" s="31" t="s">
        <v>37</v>
      </c>
      <c r="D69" s="49" t="str">
        <f>VLOOKUP($C69,classifications!$C:$J,4,FALSE)</f>
        <v>SD</v>
      </c>
      <c r="E69" s="49" t="str">
        <f>VLOOKUP(C69,classifications!C:K,9,FALSE)</f>
        <v>Sparse</v>
      </c>
      <c r="F69" s="59">
        <f t="shared" si="0"/>
        <v>0</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17" t="str">
        <f>IF(L69="","",VLOOKUP(L69,classifications!C:K,9,FALSE))</f>
        <v/>
      </c>
      <c r="U69" s="224" t="str">
        <f t="shared" si="25"/>
        <v/>
      </c>
      <c r="V69" s="225" t="str">
        <f>IF(U69="","",IF($I$8="A",(RANK(U69,U$11:U$355)+COUNTIF(U$11:U69,U69)-1),(RANK(U69,U$11:U$355,1)+COUNTIF(U$11:U69,U69)-1)))</f>
        <v/>
      </c>
      <c r="W69" s="226"/>
      <c r="X69" s="61" t="str">
        <f>IF(L69="","",VLOOKUP($L69,classifications!$C:$J,6,FALSE))</f>
        <v/>
      </c>
      <c r="Y69" s="49" t="b">
        <f t="shared" si="4"/>
        <v>0</v>
      </c>
      <c r="Z69" s="57" t="e">
        <f>IF(Y69="","",IF(I$8="A",(RANK(Y69,Y$11:Y$355,1)+COUNTIF(Y$11:Y69,Y69)-1),(RANK(Y69,Y$11:Y$355)+COUNTIF(Y$11:Y69,Y69)-1)))</f>
        <v>#N/A</v>
      </c>
      <c r="AA69" s="231" t="str">
        <f>IF(L69="","",VLOOKUP($L69,classifications!C:I,7,FALSE))</f>
        <v/>
      </c>
      <c r="AB69" s="225" t="str">
        <f t="shared" si="14"/>
        <v/>
      </c>
      <c r="AC69" s="225" t="str">
        <f>IF(AB69="","",IF($I$8="A",(RANK(AB69,AB$11:AB$355)+COUNTIF(AB$11:AB69,AB69)-1),(RANK(AB69,AB$11:AB$355,1)+COUNTIF(AB$11:AB69,AB69)-1)))</f>
        <v/>
      </c>
      <c r="AD69" s="225"/>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HLOOKUP($AX$9&amp;$AX$10,Data!$A$1:$ZZ$1992,(MATCH($C69,Data!$A$1:$A$1992,0)),FALSE)</f>
        <v>0</v>
      </c>
      <c r="AY69" s="156"/>
      <c r="AZ69" s="44"/>
    </row>
    <row r="70" spans="1:52">
      <c r="A70" s="84" t="str">
        <f>$D$1&amp;60</f>
        <v>SC60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17" t="str">
        <f>IF(L70="","",VLOOKUP(L70,classifications!C:K,9,FALSE))</f>
        <v/>
      </c>
      <c r="U70" s="224" t="str">
        <f t="shared" si="25"/>
        <v/>
      </c>
      <c r="V70" s="225" t="str">
        <f>IF(U70="","",IF($I$8="A",(RANK(U70,U$11:U$355)+COUNTIF(U$11:U70,U70)-1),(RANK(U70,U$11:U$355,1)+COUNTIF(U$11:U70,U70)-1)))</f>
        <v/>
      </c>
      <c r="W70" s="226"/>
      <c r="X70" s="61" t="str">
        <f>IF(L70="","",VLOOKUP($L70,classifications!$C:$J,6,FALSE))</f>
        <v/>
      </c>
      <c r="Y70" s="49" t="b">
        <f t="shared" si="4"/>
        <v>0</v>
      </c>
      <c r="Z70" s="57" t="e">
        <f>IF(Y70="","",IF(I$8="A",(RANK(Y70,Y$11:Y$355,1)+COUNTIF(Y$11:Y70,Y70)-1),(RANK(Y70,Y$11:Y$355)+COUNTIF(Y$11:Y70,Y70)-1)))</f>
        <v>#N/A</v>
      </c>
      <c r="AA70" s="231" t="str">
        <f>IF(L70="","",VLOOKUP($L70,classifications!C:I,7,FALSE))</f>
        <v/>
      </c>
      <c r="AB70" s="225" t="str">
        <f t="shared" si="14"/>
        <v/>
      </c>
      <c r="AC70" s="225" t="str">
        <f>IF(AB70="","",IF($I$8="A",(RANK(AB70,AB$11:AB$355)+COUNTIF(AB$11:AB70,AB70)-1),(RANK(AB70,AB$11:AB$355,1)+COUNTIF(AB$11:AB70,AB70)-1)))</f>
        <v/>
      </c>
      <c r="AD70" s="225"/>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HLOOKUP($AX$9&amp;$AX$10,Data!$A$1:$ZZ$1992,(MATCH($C70,Data!$A$1:$A$1992,0)),FALSE)</f>
        <v>-</v>
      </c>
      <c r="AY70" s="156"/>
      <c r="AZ70" s="44"/>
    </row>
    <row r="71" spans="1:52">
      <c r="A71" s="84" t="str">
        <f>$D$1&amp;61</f>
        <v>SC61</v>
      </c>
      <c r="B71" s="85">
        <f>IF(ISERROR(VLOOKUP(A71,classifications!A:C,3,FALSE)),0,VLOOKUP(A71,classifications!A:C,3,FALSE))</f>
        <v>0</v>
      </c>
      <c r="C71" s="31" t="s">
        <v>39</v>
      </c>
      <c r="D71" s="49" t="str">
        <f>VLOOKUP($C71,classifications!$C:$J,4,FALSE)</f>
        <v>SD</v>
      </c>
      <c r="E71" s="49">
        <f>VLOOKUP(C71,classifications!C:K,9,FALSE)</f>
        <v>0</v>
      </c>
      <c r="F71" s="59">
        <f t="shared" si="0"/>
        <v>0</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17" t="str">
        <f>IF(L71="","",VLOOKUP(L71,classifications!C:K,9,FALSE))</f>
        <v/>
      </c>
      <c r="U71" s="224" t="str">
        <f t="shared" si="25"/>
        <v/>
      </c>
      <c r="V71" s="225" t="str">
        <f>IF(U71="","",IF($I$8="A",(RANK(U71,U$11:U$355)+COUNTIF(U$11:U71,U71)-1),(RANK(U71,U$11:U$355,1)+COUNTIF(U$11:U71,U71)-1)))</f>
        <v/>
      </c>
      <c r="W71" s="226"/>
      <c r="X71" s="61" t="str">
        <f>IF(L71="","",VLOOKUP($L71,classifications!$C:$J,6,FALSE))</f>
        <v/>
      </c>
      <c r="Y71" s="49" t="b">
        <f t="shared" si="4"/>
        <v>0</v>
      </c>
      <c r="Z71" s="57" t="e">
        <f>IF(Y71="","",IF(I$8="A",(RANK(Y71,Y$11:Y$355,1)+COUNTIF(Y$11:Y71,Y71)-1),(RANK(Y71,Y$11:Y$355)+COUNTIF(Y$11:Y71,Y71)-1)))</f>
        <v>#N/A</v>
      </c>
      <c r="AA71" s="231" t="str">
        <f>IF(L71="","",VLOOKUP($L71,classifications!C:I,7,FALSE))</f>
        <v/>
      </c>
      <c r="AB71" s="225" t="str">
        <f t="shared" si="14"/>
        <v/>
      </c>
      <c r="AC71" s="225" t="str">
        <f>IF(AB71="","",IF($I$8="A",(RANK(AB71,AB$11:AB$355)+COUNTIF(AB$11:AB71,AB71)-1),(RANK(AB71,AB$11:AB$355,1)+COUNTIF(AB$11:AB71,AB71)-1)))</f>
        <v/>
      </c>
      <c r="AD71" s="225"/>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HLOOKUP($AX$9&amp;$AX$10,Data!$A$1:$ZZ$1992,(MATCH($C71,Data!$A$1:$A$1992,0)),FALSE)</f>
        <v>0</v>
      </c>
      <c r="AY71" s="156"/>
      <c r="AZ71" s="44"/>
    </row>
    <row r="72" spans="1:52">
      <c r="A72" s="84" t="str">
        <f>$D$1&amp;62</f>
        <v>SC62</v>
      </c>
      <c r="B72" s="85">
        <f>IF(ISERROR(VLOOKUP(A72,classifications!A:C,3,FALSE)),0,VLOOKUP(A72,classifications!A:C,3,FALSE))</f>
        <v>0</v>
      </c>
      <c r="C72" s="31" t="s">
        <v>371</v>
      </c>
      <c r="D72" s="49" t="str">
        <f>VLOOKUP($C72,classifications!$C:$J,4,FALSE)</f>
        <v>L</v>
      </c>
      <c r="E72" s="49">
        <f>VLOOKUP(C72,classifications!C:K,9,FALSE)</f>
        <v>0</v>
      </c>
      <c r="F72" s="59">
        <f t="shared" si="0"/>
        <v>0</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17" t="str">
        <f>IF(L72="","",VLOOKUP(L72,classifications!C:K,9,FALSE))</f>
        <v/>
      </c>
      <c r="U72" s="224" t="str">
        <f t="shared" si="25"/>
        <v/>
      </c>
      <c r="V72" s="225" t="str">
        <f>IF(U72="","",IF($I$8="A",(RANK(U72,U$11:U$355)+COUNTIF(U$11:U72,U72)-1),(RANK(U72,U$11:U$355,1)+COUNTIF(U$11:U72,U72)-1)))</f>
        <v/>
      </c>
      <c r="W72" s="226"/>
      <c r="X72" s="61" t="str">
        <f>IF(L72="","",VLOOKUP($L72,classifications!$C:$J,6,FALSE))</f>
        <v/>
      </c>
      <c r="Y72" s="49" t="b">
        <f t="shared" si="4"/>
        <v>0</v>
      </c>
      <c r="Z72" s="57" t="e">
        <f>IF(Y72="","",IF(I$8="A",(RANK(Y72,Y$11:Y$355,1)+COUNTIF(Y$11:Y72,Y72)-1),(RANK(Y72,Y$11:Y$355)+COUNTIF(Y$11:Y72,Y72)-1)))</f>
        <v>#N/A</v>
      </c>
      <c r="AA72" s="231" t="str">
        <f>IF(L72="","",VLOOKUP($L72,classifications!C:I,7,FALSE))</f>
        <v/>
      </c>
      <c r="AB72" s="225" t="str">
        <f t="shared" si="14"/>
        <v/>
      </c>
      <c r="AC72" s="225" t="str">
        <f>IF(AB72="","",IF($I$8="A",(RANK(AB72,AB$11:AB$355)+COUNTIF(AB$11:AB72,AB72)-1),(RANK(AB72,AB$11:AB$355,1)+COUNTIF(AB$11:AB72,AB72)-1)))</f>
        <v/>
      </c>
      <c r="AD72" s="225"/>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HLOOKUP($AX$9&amp;$AX$10,Data!$A$1:$ZZ$1992,(MATCH($C72,Data!$A$1:$A$1992,0)),FALSE)</f>
        <v>0</v>
      </c>
      <c r="AY72" s="156"/>
      <c r="AZ72" s="44"/>
    </row>
    <row r="73" spans="1:52">
      <c r="A73" s="84" t="str">
        <f>$D$1&amp;63</f>
        <v>SC63</v>
      </c>
      <c r="B73" s="85">
        <f>IF(ISERROR(VLOOKUP(A73,classifications!A:C,3,FALSE)),0,VLOOKUP(A73,classifications!A:C,3,FALSE))</f>
        <v>0</v>
      </c>
      <c r="C73" s="31" t="s">
        <v>41</v>
      </c>
      <c r="D73" s="49" t="str">
        <f>VLOOKUP($C73,classifications!$C:$J,4,FALSE)</f>
        <v>SD</v>
      </c>
      <c r="E73" s="49">
        <f>VLOOKUP(C73,classifications!C:K,9,FALSE)</f>
        <v>0</v>
      </c>
      <c r="F73" s="59">
        <f t="shared" si="0"/>
        <v>0</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17" t="str">
        <f>IF(L73="","",VLOOKUP(L73,classifications!C:K,9,FALSE))</f>
        <v/>
      </c>
      <c r="U73" s="224" t="str">
        <f t="shared" si="25"/>
        <v/>
      </c>
      <c r="V73" s="225" t="str">
        <f>IF(U73="","",IF($I$8="A",(RANK(U73,U$11:U$355)+COUNTIF(U$11:U73,U73)-1),(RANK(U73,U$11:U$355,1)+COUNTIF(U$11:U73,U73)-1)))</f>
        <v/>
      </c>
      <c r="W73" s="226"/>
      <c r="X73" s="61" t="str">
        <f>IF(L73="","",VLOOKUP($L73,classifications!$C:$J,6,FALSE))</f>
        <v/>
      </c>
      <c r="Y73" s="49" t="b">
        <f t="shared" si="4"/>
        <v>0</v>
      </c>
      <c r="Z73" s="57" t="e">
        <f>IF(Y73="","",IF(I$8="A",(RANK(Y73,Y$11:Y$355,1)+COUNTIF(Y$11:Y73,Y73)-1),(RANK(Y73,Y$11:Y$355)+COUNTIF(Y$11:Y73,Y73)-1)))</f>
        <v>#N/A</v>
      </c>
      <c r="AA73" s="231" t="str">
        <f>IF(L73="","",VLOOKUP($L73,classifications!C:I,7,FALSE))</f>
        <v/>
      </c>
      <c r="AB73" s="225" t="str">
        <f t="shared" si="14"/>
        <v/>
      </c>
      <c r="AC73" s="225" t="str">
        <f>IF(AB73="","",IF($I$8="A",(RANK(AB73,AB$11:AB$355)+COUNTIF(AB$11:AB73,AB73)-1),(RANK(AB73,AB$11:AB$355,1)+COUNTIF(AB$11:AB73,AB73)-1)))</f>
        <v/>
      </c>
      <c r="AD73" s="225"/>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HLOOKUP($AX$9&amp;$AX$10,Data!$A$1:$ZZ$1992,(MATCH($C73,Data!$A$1:$A$1992,0)),FALSE)</f>
        <v>0</v>
      </c>
      <c r="AY73" s="156"/>
      <c r="AZ73" s="44"/>
    </row>
    <row r="74" spans="1:52">
      <c r="A74" s="84" t="str">
        <f>$D$1&amp;64</f>
        <v>SC64</v>
      </c>
      <c r="B74" s="85">
        <f>IF(ISERROR(VLOOKUP(A74,classifications!A:C,3,FALSE)),0,VLOOKUP(A74,classifications!A:C,3,FALSE))</f>
        <v>0</v>
      </c>
      <c r="C74" s="31" t="s">
        <v>42</v>
      </c>
      <c r="D74" s="49" t="str">
        <f>VLOOKUP($C74,classifications!$C:$J,4,FALSE)</f>
        <v>SD</v>
      </c>
      <c r="E74" s="49" t="str">
        <f>VLOOKUP(C74,classifications!C:K,9,FALSE)</f>
        <v>Sparse</v>
      </c>
      <c r="F74" s="59">
        <f t="shared" si="0"/>
        <v>0</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17" t="str">
        <f>IF(L74="","",VLOOKUP(L74,classifications!C:K,9,FALSE))</f>
        <v/>
      </c>
      <c r="U74" s="224" t="str">
        <f t="shared" si="25"/>
        <v/>
      </c>
      <c r="V74" s="225" t="str">
        <f>IF(U74="","",IF($I$8="A",(RANK(U74,U$11:U$355)+COUNTIF(U$11:U74,U74)-1),(RANK(U74,U$11:U$355,1)+COUNTIF(U$11:U74,U74)-1)))</f>
        <v/>
      </c>
      <c r="W74" s="226"/>
      <c r="X74" s="61" t="str">
        <f>IF(L74="","",VLOOKUP($L74,classifications!$C:$J,6,FALSE))</f>
        <v/>
      </c>
      <c r="Y74" s="49" t="b">
        <f t="shared" si="4"/>
        <v>0</v>
      </c>
      <c r="Z74" s="57" t="e">
        <f>IF(Y74="","",IF(I$8="A",(RANK(Y74,Y$11:Y$355,1)+COUNTIF(Y$11:Y74,Y74)-1),(RANK(Y74,Y$11:Y$355)+COUNTIF(Y$11:Y74,Y74)-1)))</f>
        <v>#N/A</v>
      </c>
      <c r="AA74" s="231" t="str">
        <f>IF(L74="","",VLOOKUP($L74,classifications!C:I,7,FALSE))</f>
        <v/>
      </c>
      <c r="AB74" s="225" t="str">
        <f t="shared" si="14"/>
        <v/>
      </c>
      <c r="AC74" s="225" t="str">
        <f>IF(AB74="","",IF($I$8="A",(RANK(AB74,AB$11:AB$355)+COUNTIF(AB$11:AB74,AB74)-1),(RANK(AB74,AB$11:AB$355,1)+COUNTIF(AB$11:AB74,AB74)-1)))</f>
        <v/>
      </c>
      <c r="AD74" s="225"/>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HLOOKUP($AX$9&amp;$AX$10,Data!$A$1:$ZZ$1992,(MATCH($C74,Data!$A$1:$A$1992,0)),FALSE)</f>
        <v>0</v>
      </c>
      <c r="AY74" s="156"/>
      <c r="AZ74" s="44"/>
    </row>
    <row r="75" spans="1:52">
      <c r="A75" s="84" t="str">
        <f>$D$1&amp;65</f>
        <v>SC65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17" t="str">
        <f>IF(L75="","",VLOOKUP(L75,classifications!C:K,9,FALSE))</f>
        <v/>
      </c>
      <c r="U75" s="224" t="str">
        <f t="shared" ref="U75:U138" si="31">IF(T75="Sparse",M75,"")</f>
        <v/>
      </c>
      <c r="V75" s="225" t="str">
        <f>IF(U75="","",IF($I$8="A",(RANK(U75,U$11:U$355)+COUNTIF(U$11:U75,U75)-1),(RANK(U75,U$11:U$355,1)+COUNTIF(U$11:U75,U75)-1)))</f>
        <v/>
      </c>
      <c r="W75" s="226"/>
      <c r="X75" s="61" t="str">
        <f>IF(L75="","",VLOOKUP($L75,classifications!$C:$J,6,FALSE))</f>
        <v/>
      </c>
      <c r="Y75" s="49" t="b">
        <f t="shared" ref="Y75:Y138" si="32">IF($D$1="UA",IF(X75="Largely Rural (rural including hub towns 50-79%) ",M75,IF(X75="Mainly Rural (rural including hub towns &gt;=80%) ",M75,IF(X75="Urban with Significant Rural (rural including hub towns 26-49%)",M75,""))),IF($D$1="SD",IF(X75=$H$3,M75,"")))</f>
        <v>0</v>
      </c>
      <c r="Z75" s="57" t="e">
        <f>IF(Y75="","",IF(I$8="A",(RANK(Y75,Y$11:Y$355,1)+COUNTIF(Y$11:Y75,Y75)-1),(RANK(Y75,Y$11:Y$355)+COUNTIF(Y$11:Y75,Y75)-1)))</f>
        <v>#N/A</v>
      </c>
      <c r="AA75" s="231" t="str">
        <f>IF(L75="","",VLOOKUP($L75,classifications!C:I,7,FALSE))</f>
        <v/>
      </c>
      <c r="AB75" s="225" t="str">
        <f t="shared" si="14"/>
        <v/>
      </c>
      <c r="AC75" s="225" t="str">
        <f>IF(AB75="","",IF($I$8="A",(RANK(AB75,AB$11:AB$355)+COUNTIF(AB$11:AB75,AB75)-1),(RANK(AB75,AB$11:AB$355,1)+COUNTIF(AB$11:AB75,AB75)-1)))</f>
        <v/>
      </c>
      <c r="AD75" s="225"/>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HLOOKUP($AX$9&amp;$AX$10,Data!$A$1:$ZZ$1992,(MATCH($C75,Data!$A$1:$A$1992,0)),FALSE)</f>
        <v>-</v>
      </c>
      <c r="AY75" s="156"/>
      <c r="AZ75" s="44"/>
    </row>
    <row r="76" spans="1:52">
      <c r="A76" s="84" t="str">
        <f>$D$1&amp;66</f>
        <v>SC66</v>
      </c>
      <c r="B76" s="85">
        <f>IF(ISERROR(VLOOKUP(A76,classifications!A:C,3,FALSE)),0,VLOOKUP(A76,classifications!A:C,3,FALSE))</f>
        <v>0</v>
      </c>
      <c r="C76" s="31" t="s">
        <v>306</v>
      </c>
      <c r="D76" s="49" t="str">
        <f>VLOOKUP($C76,classifications!$C:$J,4,FALSE)</f>
        <v>UA</v>
      </c>
      <c r="E76" s="49" t="str">
        <f>VLOOKUP(C76,classifications!C:K,9,FALSE)</f>
        <v>Sparse</v>
      </c>
      <c r="F76" s="59">
        <f t="shared" si="26"/>
        <v>0</v>
      </c>
      <c r="G76" s="105"/>
      <c r="H76" s="60" t="str">
        <f t="shared" si="27"/>
        <v/>
      </c>
      <c r="I76" s="112" t="str">
        <f>IF(H76="","",IF($I$8="A",(RANK(H76,H$11:H$355,1)+COUNTIF(H$11:H76,H76)-1),(RANK(H76,H$11:H$355)+COUNTIF(H$11:H76,H76)-1)))</f>
        <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17" t="str">
        <f>IF(L76="","",VLOOKUP(L76,classifications!C:K,9,FALSE))</f>
        <v/>
      </c>
      <c r="U76" s="224" t="str">
        <f t="shared" si="31"/>
        <v/>
      </c>
      <c r="V76" s="225" t="str">
        <f>IF(U76="","",IF($I$8="A",(RANK(U76,U$11:U$355)+COUNTIF(U$11:U76,U76)-1),(RANK(U76,U$11:U$355,1)+COUNTIF(U$11:U76,U76)-1)))</f>
        <v/>
      </c>
      <c r="W76" s="226"/>
      <c r="X76" s="61" t="str">
        <f>IF(L76="","",VLOOKUP($L76,classifications!$C:$J,6,FALSE))</f>
        <v/>
      </c>
      <c r="Y76" s="49" t="b">
        <f t="shared" si="32"/>
        <v>0</v>
      </c>
      <c r="Z76" s="57" t="e">
        <f>IF(Y76="","",IF(I$8="A",(RANK(Y76,Y$11:Y$355,1)+COUNTIF(Y$11:Y76,Y76)-1),(RANK(Y76,Y$11:Y$355)+COUNTIF(Y$11:Y76,Y76)-1)))</f>
        <v>#N/A</v>
      </c>
      <c r="AA76" s="231" t="str">
        <f>IF(L76="","",VLOOKUP($L76,classifications!C:I,7,FALSE))</f>
        <v/>
      </c>
      <c r="AB76" s="225" t="str">
        <f t="shared" ref="AB76:AB139" si="41">IF(AA76=$J$3,M76,"")</f>
        <v/>
      </c>
      <c r="AC76" s="225" t="str">
        <f>IF(AB76="","",IF($I$8="A",(RANK(AB76,AB$11:AB$355)+COUNTIF(AB$11:AB76,AB76)-1),(RANK(AB76,AB$11:AB$355,1)+COUNTIF(AB$11:AB76,AB76)-1)))</f>
        <v/>
      </c>
      <c r="AD76" s="225"/>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HLOOKUP($AX$9&amp;$AX$10,Data!$A$1:$ZZ$1992,(MATCH($C76,Data!$A$1:$A$1992,0)),FALSE)</f>
        <v>0</v>
      </c>
      <c r="AY76" s="156"/>
      <c r="AZ76" s="44"/>
    </row>
    <row r="77" spans="1:52">
      <c r="A77" s="84" t="str">
        <f>$D$1&amp;67</f>
        <v>SC67</v>
      </c>
      <c r="B77" s="85">
        <f>IF(ISERROR(VLOOKUP(A77,classifications!A:C,3,FALSE)),0,VLOOKUP(A77,classifications!A:C,3,FALSE))</f>
        <v>0</v>
      </c>
      <c r="C77" s="31" t="s">
        <v>44</v>
      </c>
      <c r="D77" s="49" t="str">
        <f>VLOOKUP($C77,classifications!$C:$J,4,FALSE)</f>
        <v>SD</v>
      </c>
      <c r="E77" s="49" t="str">
        <f>VLOOKUP(C77,classifications!C:K,9,FALSE)</f>
        <v>Sparse</v>
      </c>
      <c r="F77" s="59">
        <f t="shared" si="26"/>
        <v>0</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17" t="str">
        <f>IF(L77="","",VLOOKUP(L77,classifications!C:K,9,FALSE))</f>
        <v/>
      </c>
      <c r="U77" s="224" t="str">
        <f t="shared" si="31"/>
        <v/>
      </c>
      <c r="V77" s="225" t="str">
        <f>IF(U77="","",IF($I$8="A",(RANK(U77,U$11:U$355)+COUNTIF(U$11:U77,U77)-1),(RANK(U77,U$11:U$355,1)+COUNTIF(U$11:U77,U77)-1)))</f>
        <v/>
      </c>
      <c r="W77" s="226"/>
      <c r="X77" s="61" t="str">
        <f>IF(L77="","",VLOOKUP($L77,classifications!$C:$J,6,FALSE))</f>
        <v/>
      </c>
      <c r="Y77" s="49" t="b">
        <f t="shared" si="32"/>
        <v>0</v>
      </c>
      <c r="Z77" s="57" t="e">
        <f>IF(Y77="","",IF(I$8="A",(RANK(Y77,Y$11:Y$355,1)+COUNTIF(Y$11:Y77,Y77)-1),(RANK(Y77,Y$11:Y$355)+COUNTIF(Y$11:Y77,Y77)-1)))</f>
        <v>#N/A</v>
      </c>
      <c r="AA77" s="231" t="str">
        <f>IF(L77="","",VLOOKUP($L77,classifications!C:I,7,FALSE))</f>
        <v/>
      </c>
      <c r="AB77" s="225" t="str">
        <f t="shared" si="41"/>
        <v/>
      </c>
      <c r="AC77" s="225" t="str">
        <f>IF(AB77="","",IF($I$8="A",(RANK(AB77,AB$11:AB$355)+COUNTIF(AB$11:AB77,AB77)-1),(RANK(AB77,AB$11:AB$355,1)+COUNTIF(AB$11:AB77,AB77)-1)))</f>
        <v/>
      </c>
      <c r="AD77" s="225"/>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HLOOKUP($AX$9&amp;$AX$10,Data!$A$1:$ZZ$1992,(MATCH($C77,Data!$A$1:$A$1992,0)),FALSE)</f>
        <v>0</v>
      </c>
      <c r="AY77" s="156"/>
      <c r="AZ77" s="44"/>
    </row>
    <row r="78" spans="1:52">
      <c r="A78" s="84" t="str">
        <f>$D$1&amp;68</f>
        <v>SC68</v>
      </c>
      <c r="B78" s="85">
        <f>IF(ISERROR(VLOOKUP(A78,classifications!A:C,3,FALSE)),0,VLOOKUP(A78,classifications!A:C,3,FALSE))</f>
        <v>0</v>
      </c>
      <c r="C78" s="31" t="s">
        <v>229</v>
      </c>
      <c r="D78" s="49" t="str">
        <f>VLOOKUP($C78,classifications!$C:$J,4,FALSE)</f>
        <v>MD</v>
      </c>
      <c r="E78" s="49">
        <f>VLOOKUP(C78,classifications!C:K,9,FALSE)</f>
        <v>0</v>
      </c>
      <c r="F78" s="59">
        <f t="shared" si="26"/>
        <v>6.3E-2</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17" t="str">
        <f>IF(L78="","",VLOOKUP(L78,classifications!C:K,9,FALSE))</f>
        <v/>
      </c>
      <c r="U78" s="224" t="str">
        <f t="shared" si="31"/>
        <v/>
      </c>
      <c r="V78" s="225" t="str">
        <f>IF(U78="","",IF($I$8="A",(RANK(U78,U$11:U$355)+COUNTIF(U$11:U78,U78)-1),(RANK(U78,U$11:U$355,1)+COUNTIF(U$11:U78,U78)-1)))</f>
        <v/>
      </c>
      <c r="W78" s="226"/>
      <c r="X78" s="61" t="str">
        <f>IF(L78="","",VLOOKUP($L78,classifications!$C:$J,6,FALSE))</f>
        <v/>
      </c>
      <c r="Y78" s="49" t="b">
        <f t="shared" si="32"/>
        <v>0</v>
      </c>
      <c r="Z78" s="57" t="e">
        <f>IF(Y78="","",IF(I$8="A",(RANK(Y78,Y$11:Y$355,1)+COUNTIF(Y$11:Y78,Y78)-1),(RANK(Y78,Y$11:Y$355)+COUNTIF(Y$11:Y78,Y78)-1)))</f>
        <v>#N/A</v>
      </c>
      <c r="AA78" s="231" t="str">
        <f>IF(L78="","",VLOOKUP($L78,classifications!C:I,7,FALSE))</f>
        <v/>
      </c>
      <c r="AB78" s="225" t="str">
        <f t="shared" si="41"/>
        <v/>
      </c>
      <c r="AC78" s="225" t="str">
        <f>IF(AB78="","",IF($I$8="A",(RANK(AB78,AB$11:AB$355)+COUNTIF(AB$11:AB78,AB78)-1),(RANK(AB78,AB$11:AB$355,1)+COUNTIF(AB$11:AB78,AB78)-1)))</f>
        <v/>
      </c>
      <c r="AD78" s="225"/>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HLOOKUP($AX$9&amp;$AX$10,Data!$A$1:$ZZ$1992,(MATCH($C78,Data!$A$1:$A$1992,0)),FALSE)</f>
        <v>6.3E-2</v>
      </c>
      <c r="AY78" s="156"/>
      <c r="AZ78" s="44"/>
    </row>
    <row r="79" spans="1:52">
      <c r="A79" s="84" t="str">
        <f>$D$1&amp;69</f>
        <v>SC69</v>
      </c>
      <c r="B79" s="85">
        <f>IF(ISERROR(VLOOKUP(A79,classifications!A:C,3,FALSE)),0,VLOOKUP(A79,classifications!A:C,3,FALSE))</f>
        <v>0</v>
      </c>
      <c r="C79" s="31" t="s">
        <v>45</v>
      </c>
      <c r="D79" s="49" t="str">
        <f>VLOOKUP($C79,classifications!$C:$J,4,FALSE)</f>
        <v>SD</v>
      </c>
      <c r="E79" s="49" t="str">
        <f>VLOOKUP(C79,classifications!C:K,9,FALSE)</f>
        <v>Sparse</v>
      </c>
      <c r="F79" s="59">
        <f t="shared" si="26"/>
        <v>0</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17" t="str">
        <f>IF(L79="","",VLOOKUP(L79,classifications!C:K,9,FALSE))</f>
        <v/>
      </c>
      <c r="U79" s="224" t="str">
        <f t="shared" si="31"/>
        <v/>
      </c>
      <c r="V79" s="225" t="str">
        <f>IF(U79="","",IF($I$8="A",(RANK(U79,U$11:U$355)+COUNTIF(U$11:U79,U79)-1),(RANK(U79,U$11:U$355,1)+COUNTIF(U$11:U79,U79)-1)))</f>
        <v/>
      </c>
      <c r="W79" s="226"/>
      <c r="X79" s="61" t="str">
        <f>IF(L79="","",VLOOKUP($L79,classifications!$C:$J,6,FALSE))</f>
        <v/>
      </c>
      <c r="Y79" s="49" t="b">
        <f t="shared" si="32"/>
        <v>0</v>
      </c>
      <c r="Z79" s="57" t="e">
        <f>IF(Y79="","",IF(I$8="A",(RANK(Y79,Y$11:Y$355,1)+COUNTIF(Y$11:Y79,Y79)-1),(RANK(Y79,Y$11:Y$355)+COUNTIF(Y$11:Y79,Y79)-1)))</f>
        <v>#N/A</v>
      </c>
      <c r="AA79" s="231" t="str">
        <f>IF(L79="","",VLOOKUP($L79,classifications!C:I,7,FALSE))</f>
        <v/>
      </c>
      <c r="AB79" s="225" t="str">
        <f t="shared" si="41"/>
        <v/>
      </c>
      <c r="AC79" s="225" t="str">
        <f>IF(AB79="","",IF($I$8="A",(RANK(AB79,AB$11:AB$355)+COUNTIF(AB$11:AB79,AB79)-1),(RANK(AB79,AB$11:AB$355,1)+COUNTIF(AB$11:AB79,AB79)-1)))</f>
        <v/>
      </c>
      <c r="AD79" s="225"/>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HLOOKUP($AX$9&amp;$AX$10,Data!$A$1:$ZZ$1992,(MATCH($C79,Data!$A$1:$A$1992,0)),FALSE)</f>
        <v>0</v>
      </c>
      <c r="AY79" s="156"/>
      <c r="AZ79" s="44"/>
    </row>
    <row r="80" spans="1:52">
      <c r="A80" s="84" t="str">
        <f>$D$1&amp;70</f>
        <v>SC70</v>
      </c>
      <c r="B80" s="85">
        <f>IF(ISERROR(VLOOKUP(A80,classifications!A:C,3,FALSE)),0,VLOOKUP(A80,classifications!A:C,3,FALSE))</f>
        <v>0</v>
      </c>
      <c r="C80" s="31" t="s">
        <v>46</v>
      </c>
      <c r="D80" s="49" t="str">
        <f>VLOOKUP($C80,classifications!$C:$J,4,FALSE)</f>
        <v>SD</v>
      </c>
      <c r="E80" s="49">
        <f>VLOOKUP(C80,classifications!C:K,9,FALSE)</f>
        <v>0</v>
      </c>
      <c r="F80" s="59">
        <f t="shared" si="26"/>
        <v>0</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17" t="str">
        <f>IF(L80="","",VLOOKUP(L80,classifications!C:K,9,FALSE))</f>
        <v/>
      </c>
      <c r="U80" s="224" t="str">
        <f t="shared" si="31"/>
        <v/>
      </c>
      <c r="V80" s="225" t="str">
        <f>IF(U80="","",IF($I$8="A",(RANK(U80,U$11:U$355)+COUNTIF(U$11:U80,U80)-1),(RANK(U80,U$11:U$355,1)+COUNTIF(U$11:U80,U80)-1)))</f>
        <v/>
      </c>
      <c r="W80" s="226"/>
      <c r="X80" s="61" t="str">
        <f>IF(L80="","",VLOOKUP($L80,classifications!$C:$J,6,FALSE))</f>
        <v/>
      </c>
      <c r="Y80" s="49" t="b">
        <f t="shared" si="32"/>
        <v>0</v>
      </c>
      <c r="Z80" s="57" t="e">
        <f>IF(Y80="","",IF(I$8="A",(RANK(Y80,Y$11:Y$355,1)+COUNTIF(Y$11:Y80,Y80)-1),(RANK(Y80,Y$11:Y$355)+COUNTIF(Y$11:Y80,Y80)-1)))</f>
        <v>#N/A</v>
      </c>
      <c r="AA80" s="231" t="str">
        <f>IF(L80="","",VLOOKUP($L80,classifications!C:I,7,FALSE))</f>
        <v/>
      </c>
      <c r="AB80" s="225" t="str">
        <f t="shared" si="41"/>
        <v/>
      </c>
      <c r="AC80" s="225" t="str">
        <f>IF(AB80="","",IF($I$8="A",(RANK(AB80,AB$11:AB$355)+COUNTIF(AB$11:AB80,AB80)-1),(RANK(AB80,AB$11:AB$355,1)+COUNTIF(AB$11:AB80,AB80)-1)))</f>
        <v/>
      </c>
      <c r="AD80" s="225"/>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HLOOKUP($AX$9&amp;$AX$10,Data!$A$1:$ZZ$1992,(MATCH($C80,Data!$A$1:$A$1992,0)),FALSE)</f>
        <v>0</v>
      </c>
      <c r="AY80" s="156"/>
      <c r="AZ80" s="44"/>
    </row>
    <row r="81" spans="1:52">
      <c r="A81" s="84" t="str">
        <f>$D$1&amp;71</f>
        <v>SC71</v>
      </c>
      <c r="B81" s="85">
        <f>IF(ISERROR(VLOOKUP(A81,classifications!A:C,3,FALSE)),0,VLOOKUP(A81,classifications!A:C,3,FALSE))</f>
        <v>0</v>
      </c>
      <c r="C81" s="31" t="s">
        <v>202</v>
      </c>
      <c r="D81" s="49" t="str">
        <f>VLOOKUP($C81,classifications!$C:$J,4,FALSE)</f>
        <v>L</v>
      </c>
      <c r="E81" s="49">
        <f>VLOOKUP(C81,classifications!C:K,9,FALSE)</f>
        <v>0</v>
      </c>
      <c r="F81" s="59">
        <f t="shared" si="26"/>
        <v>4.1000000000000002E-2</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17" t="str">
        <f>IF(L81="","",VLOOKUP(L81,classifications!C:K,9,FALSE))</f>
        <v/>
      </c>
      <c r="U81" s="224" t="str">
        <f t="shared" si="31"/>
        <v/>
      </c>
      <c r="V81" s="225" t="str">
        <f>IF(U81="","",IF($I$8="A",(RANK(U81,U$11:U$355)+COUNTIF(U$11:U81,U81)-1),(RANK(U81,U$11:U$355,1)+COUNTIF(U$11:U81,U81)-1)))</f>
        <v/>
      </c>
      <c r="W81" s="226"/>
      <c r="X81" s="61" t="str">
        <f>IF(L81="","",VLOOKUP($L81,classifications!$C:$J,6,FALSE))</f>
        <v/>
      </c>
      <c r="Y81" s="49" t="b">
        <f t="shared" si="32"/>
        <v>0</v>
      </c>
      <c r="Z81" s="57" t="e">
        <f>IF(Y81="","",IF(I$8="A",(RANK(Y81,Y$11:Y$355,1)+COUNTIF(Y$11:Y81,Y81)-1),(RANK(Y81,Y$11:Y$355)+COUNTIF(Y$11:Y81,Y81)-1)))</f>
        <v>#N/A</v>
      </c>
      <c r="AA81" s="231" t="str">
        <f>IF(L81="","",VLOOKUP($L81,classifications!C:I,7,FALSE))</f>
        <v/>
      </c>
      <c r="AB81" s="225" t="str">
        <f t="shared" si="41"/>
        <v/>
      </c>
      <c r="AC81" s="225" t="str">
        <f>IF(AB81="","",IF($I$8="A",(RANK(AB81,AB$11:AB$355)+COUNTIF(AB$11:AB81,AB81)-1),(RANK(AB81,AB$11:AB$355,1)+COUNTIF(AB$11:AB81,AB81)-1)))</f>
        <v/>
      </c>
      <c r="AD81" s="225"/>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HLOOKUP($AX$9&amp;$AX$10,Data!$A$1:$ZZ$1992,(MATCH($C81,Data!$A$1:$A$1992,0)),FALSE)</f>
        <v>4.1000000000000002E-2</v>
      </c>
      <c r="AY81" s="156"/>
      <c r="AZ81" s="44"/>
    </row>
    <row r="82" spans="1:52">
      <c r="A82" s="84" t="str">
        <f>$D$1&amp;72</f>
        <v>SC72</v>
      </c>
      <c r="B82" s="85">
        <f>IF(ISERROR(VLOOKUP(A82,classifications!A:C,3,FALSE)),0,VLOOKUP(A82,classifications!A:C,3,FALSE))</f>
        <v>0</v>
      </c>
      <c r="C82" s="31" t="s">
        <v>307</v>
      </c>
      <c r="D82" s="49" t="str">
        <f>VLOOKUP($C82,classifications!$C:$J,4,FALSE)</f>
        <v>SC</v>
      </c>
      <c r="E82" s="49" t="str">
        <f>VLOOKUP(C82,classifications!C:K,9,FALSE)</f>
        <v>Sparse</v>
      </c>
      <c r="F82" s="59">
        <f t="shared" si="26"/>
        <v>0.111</v>
      </c>
      <c r="G82" s="105"/>
      <c r="H82" s="60">
        <f t="shared" si="27"/>
        <v>0.111</v>
      </c>
      <c r="I82" s="112">
        <f>IF(H82="","",IF($I$8="A",(RANK(H82,H$11:H$355,1)+COUNTIF(H$11:H82,H82)-1),(RANK(H82,H$11:H$355)+COUNTIF(H$11:H82,H82)-1)))</f>
        <v>15</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17" t="str">
        <f>IF(L82="","",VLOOKUP(L82,classifications!C:K,9,FALSE))</f>
        <v/>
      </c>
      <c r="U82" s="224" t="str">
        <f t="shared" si="31"/>
        <v/>
      </c>
      <c r="V82" s="225" t="str">
        <f>IF(U82="","",IF($I$8="A",(RANK(U82,U$11:U$355)+COUNTIF(U$11:U82,U82)-1),(RANK(U82,U$11:U$355,1)+COUNTIF(U$11:U82,U82)-1)))</f>
        <v/>
      </c>
      <c r="W82" s="226"/>
      <c r="X82" s="61" t="str">
        <f>IF(L82="","",VLOOKUP($L82,classifications!$C:$J,6,FALSE))</f>
        <v/>
      </c>
      <c r="Y82" s="49" t="b">
        <f t="shared" si="32"/>
        <v>0</v>
      </c>
      <c r="Z82" s="57" t="e">
        <f>IF(Y82="","",IF(I$8="A",(RANK(Y82,Y$11:Y$355,1)+COUNTIF(Y$11:Y82,Y82)-1),(RANK(Y82,Y$11:Y$355)+COUNTIF(Y$11:Y82,Y82)-1)))</f>
        <v>#N/A</v>
      </c>
      <c r="AA82" s="231" t="str">
        <f>IF(L82="","",VLOOKUP($L82,classifications!C:I,7,FALSE))</f>
        <v/>
      </c>
      <c r="AB82" s="225" t="str">
        <f t="shared" si="41"/>
        <v/>
      </c>
      <c r="AC82" s="225" t="str">
        <f>IF(AB82="","",IF($I$8="A",(RANK(AB82,AB$11:AB$355)+COUNTIF(AB$11:AB82,AB82)-1),(RANK(AB82,AB$11:AB$355,1)+COUNTIF(AB$11:AB82,AB82)-1)))</f>
        <v/>
      </c>
      <c r="AD82" s="225"/>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HLOOKUP($AX$9&amp;$AX$10,Data!$A$1:$ZZ$1992,(MATCH($C82,Data!$A$1:$A$1992,0)),FALSE)</f>
        <v>0.111</v>
      </c>
      <c r="AY82" s="156"/>
      <c r="AZ82" s="44"/>
    </row>
    <row r="83" spans="1:52">
      <c r="A83" s="84" t="str">
        <f>$D$1&amp;73</f>
        <v>SC73</v>
      </c>
      <c r="B83" s="85">
        <f>IF(ISERROR(VLOOKUP(A83,classifications!A:C,3,FALSE)),0,VLOOKUP(A83,classifications!A:C,3,FALSE))</f>
        <v>0</v>
      </c>
      <c r="C83" s="31" t="s">
        <v>47</v>
      </c>
      <c r="D83" s="49" t="str">
        <f>VLOOKUP($C83,classifications!$C:$J,4,FALSE)</f>
        <v>SD</v>
      </c>
      <c r="E83" s="49">
        <f>VLOOKUP(C83,classifications!C:K,9,FALSE)</f>
        <v>0</v>
      </c>
      <c r="F83" s="59">
        <f t="shared" si="26"/>
        <v>0</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17" t="str">
        <f>IF(L83="","",VLOOKUP(L83,classifications!C:K,9,FALSE))</f>
        <v/>
      </c>
      <c r="U83" s="224" t="str">
        <f t="shared" si="31"/>
        <v/>
      </c>
      <c r="V83" s="225" t="str">
        <f>IF(U83="","",IF($I$8="A",(RANK(U83,U$11:U$355)+COUNTIF(U$11:U83,U83)-1),(RANK(U83,U$11:U$355,1)+COUNTIF(U$11:U83,U83)-1)))</f>
        <v/>
      </c>
      <c r="W83" s="226"/>
      <c r="X83" s="61" t="str">
        <f>IF(L83="","",VLOOKUP($L83,classifications!$C:$J,6,FALSE))</f>
        <v/>
      </c>
      <c r="Y83" s="49" t="b">
        <f t="shared" si="32"/>
        <v>0</v>
      </c>
      <c r="Z83" s="57" t="e">
        <f>IF(Y83="","",IF(I$8="A",(RANK(Y83,Y$11:Y$355,1)+COUNTIF(Y$11:Y83,Y83)-1),(RANK(Y83,Y$11:Y$355)+COUNTIF(Y$11:Y83,Y83)-1)))</f>
        <v>#N/A</v>
      </c>
      <c r="AA83" s="231" t="str">
        <f>IF(L83="","",VLOOKUP($L83,classifications!C:I,7,FALSE))</f>
        <v/>
      </c>
      <c r="AB83" s="225" t="str">
        <f t="shared" si="41"/>
        <v/>
      </c>
      <c r="AC83" s="225" t="str">
        <f>IF(AB83="","",IF($I$8="A",(RANK(AB83,AB$11:AB$355)+COUNTIF(AB$11:AB83,AB83)-1),(RANK(AB83,AB$11:AB$355,1)+COUNTIF(AB$11:AB83,AB83)-1)))</f>
        <v/>
      </c>
      <c r="AD83" s="225"/>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HLOOKUP($AX$9&amp;$AX$10,Data!$A$1:$ZZ$1992,(MATCH($C83,Data!$A$1:$A$1992,0)),FALSE)</f>
        <v>0</v>
      </c>
      <c r="AY83" s="156"/>
      <c r="AZ83" s="44"/>
    </row>
    <row r="84" spans="1:52">
      <c r="A84" s="84" t="str">
        <f>$D$1&amp;74</f>
        <v>SC74</v>
      </c>
      <c r="B84" s="85">
        <f>IF(ISERROR(VLOOKUP(A84,classifications!A:C,3,FALSE)),0,VLOOKUP(A84,classifications!A:C,3,FALSE))</f>
        <v>0</v>
      </c>
      <c r="C84" s="31" t="s">
        <v>265</v>
      </c>
      <c r="D84" s="49" t="str">
        <f>VLOOKUP($C84,classifications!$C:$J,4,FALSE)</f>
        <v>UA</v>
      </c>
      <c r="E84" s="49">
        <f>VLOOKUP(C84,classifications!C:K,9,FALSE)</f>
        <v>0</v>
      </c>
      <c r="F84" s="59">
        <f t="shared" si="26"/>
        <v>0.25600000000000001</v>
      </c>
      <c r="G84" s="105"/>
      <c r="H84" s="60" t="str">
        <f t="shared" si="27"/>
        <v/>
      </c>
      <c r="I84" s="112" t="str">
        <f>IF(H84="","",IF($I$8="A",(RANK(H84,H$11:H$355,1)+COUNTIF(H$11:H84,H84)-1),(RANK(H84,H$11:H$355)+COUNTIF(H$11:H84,H84)-1)))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17" t="str">
        <f>IF(L84="","",VLOOKUP(L84,classifications!C:K,9,FALSE))</f>
        <v/>
      </c>
      <c r="U84" s="224" t="str">
        <f t="shared" si="31"/>
        <v/>
      </c>
      <c r="V84" s="225" t="str">
        <f>IF(U84="","",IF($I$8="A",(RANK(U84,U$11:U$355)+COUNTIF(U$11:U84,U84)-1),(RANK(U84,U$11:U$355,1)+COUNTIF(U$11:U84,U84)-1)))</f>
        <v/>
      </c>
      <c r="W84" s="226"/>
      <c r="X84" s="61" t="str">
        <f>IF(L84="","",VLOOKUP($L84,classifications!$C:$J,6,FALSE))</f>
        <v/>
      </c>
      <c r="Y84" s="49" t="b">
        <f t="shared" si="32"/>
        <v>0</v>
      </c>
      <c r="Z84" s="57" t="e">
        <f>IF(Y84="","",IF(I$8="A",(RANK(Y84,Y$11:Y$355,1)+COUNTIF(Y$11:Y84,Y84)-1),(RANK(Y84,Y$11:Y$355)+COUNTIF(Y$11:Y84,Y84)-1)))</f>
        <v>#N/A</v>
      </c>
      <c r="AA84" s="231" t="str">
        <f>IF(L84="","",VLOOKUP($L84,classifications!C:I,7,FALSE))</f>
        <v/>
      </c>
      <c r="AB84" s="225" t="str">
        <f t="shared" si="41"/>
        <v/>
      </c>
      <c r="AC84" s="225" t="str">
        <f>IF(AB84="","",IF($I$8="A",(RANK(AB84,AB$11:AB$355)+COUNTIF(AB$11:AB84,AB84)-1),(RANK(AB84,AB$11:AB$355,1)+COUNTIF(AB$11:AB84,AB84)-1)))</f>
        <v/>
      </c>
      <c r="AD84" s="225"/>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HLOOKUP($AX$9&amp;$AX$10,Data!$A$1:$ZZ$1992,(MATCH($C84,Data!$A$1:$A$1992,0)),FALSE)</f>
        <v>0.25600000000000001</v>
      </c>
      <c r="AY84" s="156"/>
      <c r="AZ84" s="44"/>
    </row>
    <row r="85" spans="1:52">
      <c r="A85" s="84" t="str">
        <f>$D$1&amp;75</f>
        <v>SC75</v>
      </c>
      <c r="B85" s="85">
        <f>IF(ISERROR(VLOOKUP(A85,classifications!A:C,3,FALSE)),0,VLOOKUP(A85,classifications!A:C,3,FALSE))</f>
        <v>0</v>
      </c>
      <c r="C85" s="31" t="s">
        <v>48</v>
      </c>
      <c r="D85" s="49" t="str">
        <f>VLOOKUP($C85,classifications!$C:$J,4,FALSE)</f>
        <v>SD</v>
      </c>
      <c r="E85" s="49">
        <f>VLOOKUP(C85,classifications!C:K,9,FALSE)</f>
        <v>0</v>
      </c>
      <c r="F85" s="59">
        <f t="shared" si="26"/>
        <v>0</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17" t="str">
        <f>IF(L85="","",VLOOKUP(L85,classifications!C:K,9,FALSE))</f>
        <v/>
      </c>
      <c r="U85" s="224" t="str">
        <f t="shared" si="31"/>
        <v/>
      </c>
      <c r="V85" s="225" t="str">
        <f>IF(U85="","",IF($I$8="A",(RANK(U85,U$11:U$355)+COUNTIF(U$11:U85,U85)-1),(RANK(U85,U$11:U$355,1)+COUNTIF(U$11:U85,U85)-1)))</f>
        <v/>
      </c>
      <c r="W85" s="226"/>
      <c r="X85" s="61" t="str">
        <f>IF(L85="","",VLOOKUP($L85,classifications!$C:$J,6,FALSE))</f>
        <v/>
      </c>
      <c r="Y85" s="49" t="b">
        <f t="shared" si="32"/>
        <v>0</v>
      </c>
      <c r="Z85" s="57" t="e">
        <f>IF(Y85="","",IF(I$8="A",(RANK(Y85,Y$11:Y$355,1)+COUNTIF(Y$11:Y85,Y85)-1),(RANK(Y85,Y$11:Y$355)+COUNTIF(Y$11:Y85,Y85)-1)))</f>
        <v>#N/A</v>
      </c>
      <c r="AA85" s="231" t="str">
        <f>IF(L85="","",VLOOKUP($L85,classifications!C:I,7,FALSE))</f>
        <v/>
      </c>
      <c r="AB85" s="225" t="str">
        <f t="shared" si="41"/>
        <v/>
      </c>
      <c r="AC85" s="225" t="str">
        <f>IF(AB85="","",IF($I$8="A",(RANK(AB85,AB$11:AB$355)+COUNTIF(AB$11:AB85,AB85)-1),(RANK(AB85,AB$11:AB$355,1)+COUNTIF(AB$11:AB85,AB85)-1)))</f>
        <v/>
      </c>
      <c r="AD85" s="225"/>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HLOOKUP($AX$9&amp;$AX$10,Data!$A$1:$ZZ$1992,(MATCH($C85,Data!$A$1:$A$1992,0)),FALSE)</f>
        <v>0</v>
      </c>
      <c r="AY85" s="156"/>
      <c r="AZ85" s="44"/>
    </row>
    <row r="86" spans="1:52">
      <c r="A86" s="84" t="str">
        <f>$D$1&amp;76</f>
        <v>SC76</v>
      </c>
      <c r="B86" s="85">
        <f>IF(ISERROR(VLOOKUP(A86,classifications!A:C,3,FALSE)),0,VLOOKUP(A86,classifications!A:C,3,FALSE))</f>
        <v>0</v>
      </c>
      <c r="C86" s="31" t="s">
        <v>49</v>
      </c>
      <c r="D86" s="49" t="str">
        <f>VLOOKUP($C86,classifications!$C:$J,4,FALSE)</f>
        <v>SD</v>
      </c>
      <c r="E86" s="49" t="str">
        <f>VLOOKUP(C86,classifications!C:K,9,FALSE)</f>
        <v>Sparse</v>
      </c>
      <c r="F86" s="59">
        <f t="shared" si="26"/>
        <v>0</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17" t="str">
        <f>IF(L86="","",VLOOKUP(L86,classifications!C:K,9,FALSE))</f>
        <v/>
      </c>
      <c r="U86" s="224" t="str">
        <f t="shared" si="31"/>
        <v/>
      </c>
      <c r="V86" s="225" t="str">
        <f>IF(U86="","",IF($I$8="A",(RANK(U86,U$11:U$355)+COUNTIF(U$11:U86,U86)-1),(RANK(U86,U$11:U$355,1)+COUNTIF(U$11:U86,U86)-1)))</f>
        <v/>
      </c>
      <c r="W86" s="226"/>
      <c r="X86" s="61" t="str">
        <f>IF(L86="","",VLOOKUP($L86,classifications!$C:$J,6,FALSE))</f>
        <v/>
      </c>
      <c r="Y86" s="49" t="b">
        <f t="shared" si="32"/>
        <v>0</v>
      </c>
      <c r="Z86" s="57" t="e">
        <f>IF(Y86="","",IF(I$8="A",(RANK(Y86,Y$11:Y$355,1)+COUNTIF(Y$11:Y86,Y86)-1),(RANK(Y86,Y$11:Y$355)+COUNTIF(Y$11:Y86,Y86)-1)))</f>
        <v>#N/A</v>
      </c>
      <c r="AA86" s="231" t="str">
        <f>IF(L86="","",VLOOKUP($L86,classifications!C:I,7,FALSE))</f>
        <v/>
      </c>
      <c r="AB86" s="225" t="str">
        <f t="shared" si="41"/>
        <v/>
      </c>
      <c r="AC86" s="225" t="str">
        <f>IF(AB86="","",IF($I$8="A",(RANK(AB86,AB$11:AB$355)+COUNTIF(AB$11:AB86,AB86)-1),(RANK(AB86,AB$11:AB$355,1)+COUNTIF(AB$11:AB86,AB86)-1)))</f>
        <v/>
      </c>
      <c r="AD86" s="225"/>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HLOOKUP($AX$9&amp;$AX$10,Data!$A$1:$ZZ$1992,(MATCH($C86,Data!$A$1:$A$1992,0)),FALSE)</f>
        <v>0</v>
      </c>
      <c r="AY86" s="156"/>
      <c r="AZ86" s="44"/>
    </row>
    <row r="87" spans="1:52">
      <c r="A87" s="84" t="str">
        <f>$D$1&amp;77</f>
        <v>SC77</v>
      </c>
      <c r="B87" s="85">
        <f>IF(ISERROR(VLOOKUP(A87,classifications!A:C,3,FALSE)),0,VLOOKUP(A87,classifications!A:C,3,FALSE))</f>
        <v>0</v>
      </c>
      <c r="C87" s="31" t="s">
        <v>266</v>
      </c>
      <c r="D87" s="49" t="str">
        <f>VLOOKUP($C87,classifications!$C:$J,4,FALSE)</f>
        <v>UA</v>
      </c>
      <c r="E87" s="49">
        <f>VLOOKUP(C87,classifications!C:K,9,FALSE)</f>
        <v>0</v>
      </c>
      <c r="F87" s="59">
        <f t="shared" si="26"/>
        <v>0.22</v>
      </c>
      <c r="G87" s="105"/>
      <c r="H87" s="60" t="str">
        <f t="shared" si="27"/>
        <v/>
      </c>
      <c r="I87" s="112" t="str">
        <f>IF(H87="","",IF($I$8="A",(RANK(H87,H$11:H$355,1)+COUNTIF(H$11:H87,H87)-1),(RANK(H87,H$11:H$355)+COUNTIF(H$11:H87,H87)-1)))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17" t="str">
        <f>IF(L87="","",VLOOKUP(L87,classifications!C:K,9,FALSE))</f>
        <v/>
      </c>
      <c r="U87" s="224" t="str">
        <f t="shared" si="31"/>
        <v/>
      </c>
      <c r="V87" s="225" t="str">
        <f>IF(U87="","",IF($I$8="A",(RANK(U87,U$11:U$355)+COUNTIF(U$11:U87,U87)-1),(RANK(U87,U$11:U$355,1)+COUNTIF(U$11:U87,U87)-1)))</f>
        <v/>
      </c>
      <c r="W87" s="226"/>
      <c r="X87" s="61" t="str">
        <f>IF(L87="","",VLOOKUP($L87,classifications!$C:$J,6,FALSE))</f>
        <v/>
      </c>
      <c r="Y87" s="49" t="b">
        <f t="shared" si="32"/>
        <v>0</v>
      </c>
      <c r="Z87" s="57" t="e">
        <f>IF(Y87="","",IF(I$8="A",(RANK(Y87,Y$11:Y$355,1)+COUNTIF(Y$11:Y87,Y87)-1),(RANK(Y87,Y$11:Y$355)+COUNTIF(Y$11:Y87,Y87)-1)))</f>
        <v>#N/A</v>
      </c>
      <c r="AA87" s="231" t="str">
        <f>IF(L87="","",VLOOKUP($L87,classifications!C:I,7,FALSE))</f>
        <v/>
      </c>
      <c r="AB87" s="225" t="str">
        <f t="shared" si="41"/>
        <v/>
      </c>
      <c r="AC87" s="225" t="str">
        <f>IF(AB87="","",IF($I$8="A",(RANK(AB87,AB$11:AB$355)+COUNTIF(AB$11:AB87,AB87)-1),(RANK(AB87,AB$11:AB$355,1)+COUNTIF(AB$11:AB87,AB87)-1)))</f>
        <v/>
      </c>
      <c r="AD87" s="225"/>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HLOOKUP($AX$9&amp;$AX$10,Data!$A$1:$ZZ$1992,(MATCH($C87,Data!$A$1:$A$1992,0)),FALSE)</f>
        <v>0.22</v>
      </c>
      <c r="AY87" s="156"/>
      <c r="AZ87" s="44"/>
    </row>
    <row r="88" spans="1:52">
      <c r="A88" s="84" t="str">
        <f>$D$1&amp;78</f>
        <v>SC78</v>
      </c>
      <c r="B88" s="85">
        <f>IF(ISERROR(VLOOKUP(A88,classifications!A:C,3,FALSE)),0,VLOOKUP(A88,classifications!A:C,3,FALSE))</f>
        <v>0</v>
      </c>
      <c r="C88" s="31" t="s">
        <v>308</v>
      </c>
      <c r="D88" s="49" t="str">
        <f>VLOOKUP($C88,classifications!$C:$J,4,FALSE)</f>
        <v>SC</v>
      </c>
      <c r="E88" s="49" t="str">
        <f>VLOOKUP(C88,classifications!C:K,9,FALSE)</f>
        <v>Sparse</v>
      </c>
      <c r="F88" s="59">
        <f t="shared" si="26"/>
        <v>0.2</v>
      </c>
      <c r="G88" s="105"/>
      <c r="H88" s="60">
        <f t="shared" si="27"/>
        <v>0.2</v>
      </c>
      <c r="I88" s="112">
        <f>IF(H88="","",IF($I$8="A",(RANK(H88,H$11:H$355,1)+COUNTIF(H$11:H88,H88)-1),(RANK(H88,H$11:H$355)+COUNTIF(H$11:H88,H88)-1)))</f>
        <v>22</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17" t="str">
        <f>IF(L88="","",VLOOKUP(L88,classifications!C:K,9,FALSE))</f>
        <v/>
      </c>
      <c r="U88" s="224" t="str">
        <f t="shared" si="31"/>
        <v/>
      </c>
      <c r="V88" s="225" t="str">
        <f>IF(U88="","",IF($I$8="A",(RANK(U88,U$11:U$355)+COUNTIF(U$11:U88,U88)-1),(RANK(U88,U$11:U$355,1)+COUNTIF(U$11:U88,U88)-1)))</f>
        <v/>
      </c>
      <c r="W88" s="226"/>
      <c r="X88" s="61" t="str">
        <f>IF(L88="","",VLOOKUP($L88,classifications!$C:$J,6,FALSE))</f>
        <v/>
      </c>
      <c r="Y88" s="49" t="b">
        <f t="shared" si="32"/>
        <v>0</v>
      </c>
      <c r="Z88" s="57" t="e">
        <f>IF(Y88="","",IF(I$8="A",(RANK(Y88,Y$11:Y$355,1)+COUNTIF(Y$11:Y88,Y88)-1),(RANK(Y88,Y$11:Y$355)+COUNTIF(Y$11:Y88,Y88)-1)))</f>
        <v>#N/A</v>
      </c>
      <c r="AA88" s="231" t="str">
        <f>IF(L88="","",VLOOKUP($L88,classifications!C:I,7,FALSE))</f>
        <v/>
      </c>
      <c r="AB88" s="225" t="str">
        <f t="shared" si="41"/>
        <v/>
      </c>
      <c r="AC88" s="225" t="str">
        <f>IF(AB88="","",IF($I$8="A",(RANK(AB88,AB$11:AB$355)+COUNTIF(AB$11:AB88,AB88)-1),(RANK(AB88,AB$11:AB$355,1)+COUNTIF(AB$11:AB88,AB88)-1)))</f>
        <v/>
      </c>
      <c r="AD88" s="225"/>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HLOOKUP($AX$9&amp;$AX$10,Data!$A$1:$ZZ$1992,(MATCH($C88,Data!$A$1:$A$1992,0)),FALSE)</f>
        <v>0.2</v>
      </c>
      <c r="AY88" s="156"/>
      <c r="AZ88" s="44"/>
    </row>
    <row r="89" spans="1:52">
      <c r="A89" s="84" t="str">
        <f>$D$1&amp;79</f>
        <v>SC79</v>
      </c>
      <c r="B89" s="85">
        <f>IF(ISERROR(VLOOKUP(A89,classifications!A:C,3,FALSE)),0,VLOOKUP(A89,classifications!A:C,3,FALSE))</f>
        <v>0</v>
      </c>
      <c r="C89" s="31" t="s">
        <v>50</v>
      </c>
      <c r="D89" s="49" t="str">
        <f>VLOOKUP($C89,classifications!$C:$J,4,FALSE)</f>
        <v>SD</v>
      </c>
      <c r="E89" s="49" t="str">
        <f>VLOOKUP(C89,classifications!C:K,9,FALSE)</f>
        <v>Sparse</v>
      </c>
      <c r="F89" s="59">
        <f t="shared" si="26"/>
        <v>0</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17" t="str">
        <f>IF(L89="","",VLOOKUP(L89,classifications!C:K,9,FALSE))</f>
        <v/>
      </c>
      <c r="U89" s="224" t="str">
        <f t="shared" si="31"/>
        <v/>
      </c>
      <c r="V89" s="225" t="str">
        <f>IF(U89="","",IF($I$8="A",(RANK(U89,U$11:U$355)+COUNTIF(U$11:U89,U89)-1),(RANK(U89,U$11:U$355,1)+COUNTIF(U$11:U89,U89)-1)))</f>
        <v/>
      </c>
      <c r="W89" s="226"/>
      <c r="X89" s="61" t="str">
        <f>IF(L89="","",VLOOKUP($L89,classifications!$C:$J,6,FALSE))</f>
        <v/>
      </c>
      <c r="Y89" s="49" t="b">
        <f t="shared" si="32"/>
        <v>0</v>
      </c>
      <c r="Z89" s="57" t="e">
        <f>IF(Y89="","",IF(I$8="A",(RANK(Y89,Y$11:Y$355,1)+COUNTIF(Y$11:Y89,Y89)-1),(RANK(Y89,Y$11:Y$355)+COUNTIF(Y$11:Y89,Y89)-1)))</f>
        <v>#N/A</v>
      </c>
      <c r="AA89" s="231" t="str">
        <f>IF(L89="","",VLOOKUP($L89,classifications!C:I,7,FALSE))</f>
        <v/>
      </c>
      <c r="AB89" s="225" t="str">
        <f t="shared" si="41"/>
        <v/>
      </c>
      <c r="AC89" s="225" t="str">
        <f>IF(AB89="","",IF($I$8="A",(RANK(AB89,AB$11:AB$355)+COUNTIF(AB$11:AB89,AB89)-1),(RANK(AB89,AB$11:AB$355,1)+COUNTIF(AB$11:AB89,AB89)-1)))</f>
        <v/>
      </c>
      <c r="AD89" s="225"/>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HLOOKUP($AX$9&amp;$AX$10,Data!$A$1:$ZZ$1992,(MATCH($C89,Data!$A$1:$A$1992,0)),FALSE)</f>
        <v>0</v>
      </c>
      <c r="AY89" s="156"/>
      <c r="AZ89" s="44"/>
    </row>
    <row r="90" spans="1:52">
      <c r="A90" s="84" t="str">
        <f>$D$1&amp;80</f>
        <v>SC80</v>
      </c>
      <c r="B90" s="85">
        <f>IF(ISERROR(VLOOKUP(A90,classifications!A:C,3,FALSE)),0,VLOOKUP(A90,classifications!A:C,3,FALSE))</f>
        <v>0</v>
      </c>
      <c r="C90" s="31" t="s">
        <v>309</v>
      </c>
      <c r="D90" s="49" t="str">
        <f>VLOOKUP($C90,classifications!$C:$J,4,FALSE)</f>
        <v>SC</v>
      </c>
      <c r="E90" s="49" t="str">
        <f>VLOOKUP(C90,classifications!C:K,9,FALSE)</f>
        <v>Sparse</v>
      </c>
      <c r="F90" s="59">
        <f t="shared" si="26"/>
        <v>4.2000000000000003E-2</v>
      </c>
      <c r="G90" s="105"/>
      <c r="H90" s="60">
        <f t="shared" si="27"/>
        <v>4.2000000000000003E-2</v>
      </c>
      <c r="I90" s="112">
        <f>IF(H90="","",IF($I$8="A",(RANK(H90,H$11:H$355,1)+COUNTIF(H$11:H90,H90)-1),(RANK(H90,H$11:H$355)+COUNTIF(H$11:H90,H90)-1)))</f>
        <v>7</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17" t="str">
        <f>IF(L90="","",VLOOKUP(L90,classifications!C:K,9,FALSE))</f>
        <v/>
      </c>
      <c r="U90" s="224" t="str">
        <f t="shared" si="31"/>
        <v/>
      </c>
      <c r="V90" s="225" t="str">
        <f>IF(U90="","",IF($I$8="A",(RANK(U90,U$11:U$355)+COUNTIF(U$11:U90,U90)-1),(RANK(U90,U$11:U$355,1)+COUNTIF(U$11:U90,U90)-1)))</f>
        <v/>
      </c>
      <c r="W90" s="226"/>
      <c r="X90" s="61" t="str">
        <f>IF(L90="","",VLOOKUP($L90,classifications!$C:$J,6,FALSE))</f>
        <v/>
      </c>
      <c r="Y90" s="49" t="b">
        <f t="shared" si="32"/>
        <v>0</v>
      </c>
      <c r="Z90" s="57" t="e">
        <f>IF(Y90="","",IF(I$8="A",(RANK(Y90,Y$11:Y$355,1)+COUNTIF(Y$11:Y90,Y90)-1),(RANK(Y90,Y$11:Y$355)+COUNTIF(Y$11:Y90,Y90)-1)))</f>
        <v>#N/A</v>
      </c>
      <c r="AA90" s="231" t="str">
        <f>IF(L90="","",VLOOKUP($L90,classifications!C:I,7,FALSE))</f>
        <v/>
      </c>
      <c r="AB90" s="225" t="str">
        <f t="shared" si="41"/>
        <v/>
      </c>
      <c r="AC90" s="225" t="str">
        <f>IF(AB90="","",IF($I$8="A",(RANK(AB90,AB$11:AB$355)+COUNTIF(AB$11:AB90,AB90)-1),(RANK(AB90,AB$11:AB$355,1)+COUNTIF(AB$11:AB90,AB90)-1)))</f>
        <v/>
      </c>
      <c r="AD90" s="225"/>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HLOOKUP($AX$9&amp;$AX$10,Data!$A$1:$ZZ$1992,(MATCH($C90,Data!$A$1:$A$1992,0)),FALSE)</f>
        <v>4.2000000000000003E-2</v>
      </c>
      <c r="AY90" s="156"/>
      <c r="AZ90" s="44"/>
    </row>
    <row r="91" spans="1:52">
      <c r="A91" s="84" t="str">
        <f>$D$1&amp;81</f>
        <v>SC81</v>
      </c>
      <c r="B91" s="85">
        <f>IF(ISERROR(VLOOKUP(A91,classifications!A:C,3,FALSE)),0,VLOOKUP(A91,classifications!A:C,3,FALSE))</f>
        <v>0</v>
      </c>
      <c r="C91" s="31" t="s">
        <v>230</v>
      </c>
      <c r="D91" s="49" t="str">
        <f>VLOOKUP($C91,classifications!$C:$J,4,FALSE)</f>
        <v>MD</v>
      </c>
      <c r="E91" s="49">
        <f>VLOOKUP(C91,classifications!C:K,9,FALSE)</f>
        <v>0</v>
      </c>
      <c r="F91" s="59">
        <f t="shared" si="26"/>
        <v>4.3999999999999997E-2</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17" t="str">
        <f>IF(L91="","",VLOOKUP(L91,classifications!C:K,9,FALSE))</f>
        <v/>
      </c>
      <c r="U91" s="224" t="str">
        <f t="shared" si="31"/>
        <v/>
      </c>
      <c r="V91" s="225" t="str">
        <f>IF(U91="","",IF($I$8="A",(RANK(U91,U$11:U$355)+COUNTIF(U$11:U91,U91)-1),(RANK(U91,U$11:U$355,1)+COUNTIF(U$11:U91,U91)-1)))</f>
        <v/>
      </c>
      <c r="W91" s="226"/>
      <c r="X91" s="61" t="str">
        <f>IF(L91="","",VLOOKUP($L91,classifications!$C:$J,6,FALSE))</f>
        <v/>
      </c>
      <c r="Y91" s="49" t="b">
        <f t="shared" si="32"/>
        <v>0</v>
      </c>
      <c r="Z91" s="57" t="e">
        <f>IF(Y91="","",IF(I$8="A",(RANK(Y91,Y$11:Y$355,1)+COUNTIF(Y$11:Y91,Y91)-1),(RANK(Y91,Y$11:Y$355)+COUNTIF(Y$11:Y91,Y91)-1)))</f>
        <v>#N/A</v>
      </c>
      <c r="AA91" s="231" t="str">
        <f>IF(L91="","",VLOOKUP($L91,classifications!C:I,7,FALSE))</f>
        <v/>
      </c>
      <c r="AB91" s="225" t="str">
        <f t="shared" si="41"/>
        <v/>
      </c>
      <c r="AC91" s="225" t="str">
        <f>IF(AB91="","",IF($I$8="A",(RANK(AB91,AB$11:AB$355)+COUNTIF(AB$11:AB91,AB91)-1),(RANK(AB91,AB$11:AB$355,1)+COUNTIF(AB$11:AB91,AB91)-1)))</f>
        <v/>
      </c>
      <c r="AD91" s="225"/>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HLOOKUP($AX$9&amp;$AX$10,Data!$A$1:$ZZ$1992,(MATCH($C91,Data!$A$1:$A$1992,0)),FALSE)</f>
        <v>4.3999999999999997E-2</v>
      </c>
      <c r="AY91" s="156"/>
      <c r="AZ91" s="44"/>
    </row>
    <row r="92" spans="1:52">
      <c r="A92" s="84" t="str">
        <f>$D$1&amp;82</f>
        <v>SC82</v>
      </c>
      <c r="B92" s="85">
        <f>IF(ISERROR(VLOOKUP(A92,classifications!A:C,3,FALSE)),0,VLOOKUP(A92,classifications!A:C,3,FALSE))</f>
        <v>0</v>
      </c>
      <c r="C92" s="31" t="s">
        <v>310</v>
      </c>
      <c r="D92" s="49" t="str">
        <f>VLOOKUP($C92,classifications!$C:$J,4,FALSE)</f>
        <v>UA</v>
      </c>
      <c r="E92" s="49">
        <f>VLOOKUP(C92,classifications!C:K,9,FALSE)</f>
        <v>0</v>
      </c>
      <c r="F92" s="59">
        <f t="shared" si="26"/>
        <v>0.12</v>
      </c>
      <c r="G92" s="105"/>
      <c r="H92" s="60" t="str">
        <f t="shared" si="27"/>
        <v/>
      </c>
      <c r="I92" s="112" t="str">
        <f>IF(H92="","",IF($I$8="A",(RANK(H92,H$11:H$355,1)+COUNTIF(H$11:H92,H92)-1),(RANK(H92,H$11:H$355)+COUNTIF(H$11:H92,H92)-1)))</f>
        <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17" t="str">
        <f>IF(L92="","",VLOOKUP(L92,classifications!C:K,9,FALSE))</f>
        <v/>
      </c>
      <c r="U92" s="224" t="str">
        <f t="shared" si="31"/>
        <v/>
      </c>
      <c r="V92" s="225" t="str">
        <f>IF(U92="","",IF($I$8="A",(RANK(U92,U$11:U$355)+COUNTIF(U$11:U92,U92)-1),(RANK(U92,U$11:U$355,1)+COUNTIF(U$11:U92,U92)-1)))</f>
        <v/>
      </c>
      <c r="W92" s="226"/>
      <c r="X92" s="61" t="str">
        <f>IF(L92="","",VLOOKUP($L92,classifications!$C:$J,6,FALSE))</f>
        <v/>
      </c>
      <c r="Y92" s="49" t="b">
        <f t="shared" si="32"/>
        <v>0</v>
      </c>
      <c r="Z92" s="57" t="e">
        <f>IF(Y92="","",IF(I$8="A",(RANK(Y92,Y$11:Y$355,1)+COUNTIF(Y$11:Y92,Y92)-1),(RANK(Y92,Y$11:Y$355)+COUNTIF(Y$11:Y92,Y92)-1)))</f>
        <v>#N/A</v>
      </c>
      <c r="AA92" s="231" t="str">
        <f>IF(L92="","",VLOOKUP($L92,classifications!C:I,7,FALSE))</f>
        <v/>
      </c>
      <c r="AB92" s="225" t="str">
        <f t="shared" si="41"/>
        <v/>
      </c>
      <c r="AC92" s="225" t="str">
        <f>IF(AB92="","",IF($I$8="A",(RANK(AB92,AB$11:AB$355)+COUNTIF(AB$11:AB92,AB92)-1),(RANK(AB92,AB$11:AB$355,1)+COUNTIF(AB$11:AB92,AB92)-1)))</f>
        <v/>
      </c>
      <c r="AD92" s="225"/>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HLOOKUP($AX$9&amp;$AX$10,Data!$A$1:$ZZ$1992,(MATCH($C92,Data!$A$1:$A$1992,0)),FALSE)</f>
        <v>0.12</v>
      </c>
      <c r="AY92" s="156"/>
      <c r="AZ92" s="44"/>
    </row>
    <row r="93" spans="1:52">
      <c r="A93" s="84" t="str">
        <f>$D$1&amp;83</f>
        <v>SC83</v>
      </c>
      <c r="B93" s="85">
        <f>IF(ISERROR(VLOOKUP(A93,classifications!A:C,3,FALSE)),0,VLOOKUP(A93,classifications!A:C,3,FALSE))</f>
        <v>0</v>
      </c>
      <c r="C93" s="31" t="s">
        <v>51</v>
      </c>
      <c r="D93" s="49" t="str">
        <f>VLOOKUP($C93,classifications!$C:$J,4,FALSE)</f>
        <v>SD</v>
      </c>
      <c r="E93" s="49">
        <f>VLOOKUP(C93,classifications!C:K,9,FALSE)</f>
        <v>0</v>
      </c>
      <c r="F93" s="59">
        <f t="shared" si="26"/>
        <v>0</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17" t="str">
        <f>IF(L93="","",VLOOKUP(L93,classifications!C:K,9,FALSE))</f>
        <v/>
      </c>
      <c r="U93" s="224" t="str">
        <f t="shared" si="31"/>
        <v/>
      </c>
      <c r="V93" s="225" t="str">
        <f>IF(U93="","",IF($I$8="A",(RANK(U93,U$11:U$355)+COUNTIF(U$11:U93,U93)-1),(RANK(U93,U$11:U$355,1)+COUNTIF(U$11:U93,U93)-1)))</f>
        <v/>
      </c>
      <c r="W93" s="226"/>
      <c r="X93" s="61" t="str">
        <f>IF(L93="","",VLOOKUP($L93,classifications!$C:$J,6,FALSE))</f>
        <v/>
      </c>
      <c r="Y93" s="49" t="b">
        <f t="shared" si="32"/>
        <v>0</v>
      </c>
      <c r="Z93" s="57" t="e">
        <f>IF(Y93="","",IF(I$8="A",(RANK(Y93,Y$11:Y$355,1)+COUNTIF(Y$11:Y93,Y93)-1),(RANK(Y93,Y$11:Y$355)+COUNTIF(Y$11:Y93,Y93)-1)))</f>
        <v>#N/A</v>
      </c>
      <c r="AA93" s="231" t="str">
        <f>IF(L93="","",VLOOKUP($L93,classifications!C:I,7,FALSE))</f>
        <v/>
      </c>
      <c r="AB93" s="225" t="str">
        <f t="shared" si="41"/>
        <v/>
      </c>
      <c r="AC93" s="225" t="str">
        <f>IF(AB93="","",IF($I$8="A",(RANK(AB93,AB$11:AB$355)+COUNTIF(AB$11:AB93,AB93)-1),(RANK(AB93,AB$11:AB$355,1)+COUNTIF(AB$11:AB93,AB93)-1)))</f>
        <v/>
      </c>
      <c r="AD93" s="225"/>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HLOOKUP($AX$9&amp;$AX$10,Data!$A$1:$ZZ$1992,(MATCH($C93,Data!$A$1:$A$1992,0)),FALSE)</f>
        <v>0</v>
      </c>
      <c r="AY93" s="156"/>
      <c r="AZ93" s="44"/>
    </row>
    <row r="94" spans="1:52">
      <c r="A94" s="84" t="str">
        <f>$D$1&amp;84</f>
        <v>SC84</v>
      </c>
      <c r="B94" s="85">
        <f>IF(ISERROR(VLOOKUP(A94,classifications!A:C,3,FALSE)),0,VLOOKUP(A94,classifications!A:C,3,FALSE))</f>
        <v>0</v>
      </c>
      <c r="C94" s="31" t="s">
        <v>267</v>
      </c>
      <c r="D94" s="49" t="str">
        <f>VLOOKUP($C94,classifications!$C:$J,4,FALSE)</f>
        <v>UA</v>
      </c>
      <c r="E94" s="49" t="str">
        <f>VLOOKUP(C94,classifications!C:K,9,FALSE)</f>
        <v>Sparse</v>
      </c>
      <c r="F94" s="59" t="e">
        <f t="shared" si="26"/>
        <v>#N/A</v>
      </c>
      <c r="G94" s="105"/>
      <c r="H94" s="60" t="str">
        <f t="shared" si="27"/>
        <v/>
      </c>
      <c r="I94" s="112" t="str">
        <f>IF(H94="","",IF($I$8="A",(RANK(H94,H$11:H$355,1)+COUNTIF(H$11:H94,H94)-1),(RANK(H94,H$11:H$355)+COUNTIF(H$11:H94,H94)-1)))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17" t="str">
        <f>IF(L94="","",VLOOKUP(L94,classifications!C:K,9,FALSE))</f>
        <v/>
      </c>
      <c r="U94" s="224" t="str">
        <f t="shared" si="31"/>
        <v/>
      </c>
      <c r="V94" s="225" t="str">
        <f>IF(U94="","",IF($I$8="A",(RANK(U94,U$11:U$355)+COUNTIF(U$11:U94,U94)-1),(RANK(U94,U$11:U$355,1)+COUNTIF(U$11:U94,U94)-1)))</f>
        <v/>
      </c>
      <c r="W94" s="226"/>
      <c r="X94" s="61" t="str">
        <f>IF(L94="","",VLOOKUP($L94,classifications!$C:$J,6,FALSE))</f>
        <v/>
      </c>
      <c r="Y94" s="49" t="b">
        <f t="shared" si="32"/>
        <v>0</v>
      </c>
      <c r="Z94" s="57" t="e">
        <f>IF(Y94="","",IF(I$8="A",(RANK(Y94,Y$11:Y$355,1)+COUNTIF(Y$11:Y94,Y94)-1),(RANK(Y94,Y$11:Y$355)+COUNTIF(Y$11:Y94,Y94)-1)))</f>
        <v>#N/A</v>
      </c>
      <c r="AA94" s="231" t="str">
        <f>IF(L94="","",VLOOKUP($L94,classifications!C:I,7,FALSE))</f>
        <v/>
      </c>
      <c r="AB94" s="225" t="str">
        <f t="shared" si="41"/>
        <v/>
      </c>
      <c r="AC94" s="225" t="str">
        <f>IF(AB94="","",IF($I$8="A",(RANK(AB94,AB$11:AB$355)+COUNTIF(AB$11:AB94,AB94)-1),(RANK(AB94,AB$11:AB$355,1)+COUNTIF(AB$11:AB94,AB94)-1)))</f>
        <v/>
      </c>
      <c r="AD94" s="225"/>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t="e">
        <f>HLOOKUP($AX$9&amp;$AX$10,Data!$A$1:$ZZ$1992,(MATCH($C94,Data!$A$1:$A$1992,0)),FALSE)</f>
        <v>#N/A</v>
      </c>
      <c r="AY94" s="156"/>
      <c r="AZ94" s="44"/>
    </row>
    <row r="95" spans="1:52">
      <c r="A95" s="84" t="str">
        <f>$D$1&amp;85</f>
        <v>SC85</v>
      </c>
      <c r="B95" s="85">
        <f>IF(ISERROR(VLOOKUP(A95,classifications!A:C,3,FALSE)),0,VLOOKUP(A95,classifications!A:C,3,FALSE))</f>
        <v>0</v>
      </c>
      <c r="C95" s="31" t="s">
        <v>231</v>
      </c>
      <c r="D95" s="49" t="str">
        <f>VLOOKUP($C95,classifications!$C:$J,4,FALSE)</f>
        <v>MD</v>
      </c>
      <c r="E95" s="49">
        <f>VLOOKUP(C95,classifications!C:K,9,FALSE)</f>
        <v>0</v>
      </c>
      <c r="F95" s="59">
        <f t="shared" si="26"/>
        <v>1.7000000000000001E-2</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17" t="str">
        <f>IF(L95="","",VLOOKUP(L95,classifications!C:K,9,FALSE))</f>
        <v/>
      </c>
      <c r="U95" s="224" t="str">
        <f t="shared" si="31"/>
        <v/>
      </c>
      <c r="V95" s="225" t="str">
        <f>IF(U95="","",IF($I$8="A",(RANK(U95,U$11:U$355)+COUNTIF(U$11:U95,U95)-1),(RANK(U95,U$11:U$355,1)+COUNTIF(U$11:U95,U95)-1)))</f>
        <v/>
      </c>
      <c r="W95" s="226"/>
      <c r="X95" s="61" t="str">
        <f>IF(L95="","",VLOOKUP($L95,classifications!$C:$J,6,FALSE))</f>
        <v/>
      </c>
      <c r="Y95" s="49" t="b">
        <f t="shared" si="32"/>
        <v>0</v>
      </c>
      <c r="Z95" s="57" t="e">
        <f>IF(Y95="","",IF(I$8="A",(RANK(Y95,Y$11:Y$355,1)+COUNTIF(Y$11:Y95,Y95)-1),(RANK(Y95,Y$11:Y$355)+COUNTIF(Y$11:Y95,Y95)-1)))</f>
        <v>#N/A</v>
      </c>
      <c r="AA95" s="231" t="str">
        <f>IF(L95="","",VLOOKUP($L95,classifications!C:I,7,FALSE))</f>
        <v/>
      </c>
      <c r="AB95" s="225" t="str">
        <f t="shared" si="41"/>
        <v/>
      </c>
      <c r="AC95" s="225" t="str">
        <f>IF(AB95="","",IF($I$8="A",(RANK(AB95,AB$11:AB$355)+COUNTIF(AB$11:AB95,AB95)-1),(RANK(AB95,AB$11:AB$355,1)+COUNTIF(AB$11:AB95,AB95)-1)))</f>
        <v/>
      </c>
      <c r="AD95" s="225"/>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HLOOKUP($AX$9&amp;$AX$10,Data!$A$1:$ZZ$1992,(MATCH($C95,Data!$A$1:$A$1992,0)),FALSE)</f>
        <v>1.7000000000000001E-2</v>
      </c>
      <c r="AY95" s="156"/>
      <c r="AZ95" s="44"/>
    </row>
    <row r="96" spans="1:52">
      <c r="A96" s="84" t="str">
        <f>$D$1&amp;86</f>
        <v>SC86</v>
      </c>
      <c r="B96" s="85">
        <f>IF(ISERROR(VLOOKUP(A96,classifications!A:C,3,FALSE)),0,VLOOKUP(A96,classifications!A:C,3,FALSE))</f>
        <v>0</v>
      </c>
      <c r="C96" s="31" t="s">
        <v>203</v>
      </c>
      <c r="D96" s="49" t="str">
        <f>VLOOKUP($C96,classifications!$C:$J,4,FALSE)</f>
        <v>L</v>
      </c>
      <c r="E96" s="49">
        <f>VLOOKUP(C96,classifications!C:K,9,FALSE)</f>
        <v>0</v>
      </c>
      <c r="F96" s="59">
        <f t="shared" si="26"/>
        <v>0</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17" t="str">
        <f>IF(L96="","",VLOOKUP(L96,classifications!C:K,9,FALSE))</f>
        <v/>
      </c>
      <c r="U96" s="224" t="str">
        <f t="shared" si="31"/>
        <v/>
      </c>
      <c r="V96" s="225" t="str">
        <f>IF(U96="","",IF($I$8="A",(RANK(U96,U$11:U$355)+COUNTIF(U$11:U96,U96)-1),(RANK(U96,U$11:U$355,1)+COUNTIF(U$11:U96,U96)-1)))</f>
        <v/>
      </c>
      <c r="W96" s="226"/>
      <c r="X96" s="61" t="str">
        <f>IF(L96="","",VLOOKUP($L96,classifications!$C:$J,6,FALSE))</f>
        <v/>
      </c>
      <c r="Y96" s="49" t="b">
        <f t="shared" si="32"/>
        <v>0</v>
      </c>
      <c r="Z96" s="57" t="e">
        <f>IF(Y96="","",IF(I$8="A",(RANK(Y96,Y$11:Y$355,1)+COUNTIF(Y$11:Y96,Y96)-1),(RANK(Y96,Y$11:Y$355)+COUNTIF(Y$11:Y96,Y96)-1)))</f>
        <v>#N/A</v>
      </c>
      <c r="AA96" s="231" t="str">
        <f>IF(L96="","",VLOOKUP($L96,classifications!C:I,7,FALSE))</f>
        <v/>
      </c>
      <c r="AB96" s="225" t="str">
        <f t="shared" si="41"/>
        <v/>
      </c>
      <c r="AC96" s="225" t="str">
        <f>IF(AB96="","",IF($I$8="A",(RANK(AB96,AB$11:AB$355)+COUNTIF(AB$11:AB96,AB96)-1),(RANK(AB96,AB$11:AB$355,1)+COUNTIF(AB$11:AB96,AB96)-1)))</f>
        <v/>
      </c>
      <c r="AD96" s="225"/>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HLOOKUP($AX$9&amp;$AX$10,Data!$A$1:$ZZ$1992,(MATCH($C96,Data!$A$1:$A$1992,0)),FALSE)</f>
        <v>0</v>
      </c>
      <c r="AY96" s="156"/>
      <c r="AZ96" s="44"/>
    </row>
    <row r="97" spans="1:52">
      <c r="A97" s="84" t="str">
        <f>$D$1&amp;87</f>
        <v>SC87</v>
      </c>
      <c r="B97" s="85">
        <f>IF(ISERROR(VLOOKUP(A97,classifications!A:C,3,FALSE)),0,VLOOKUP(A97,classifications!A:C,3,FALSE))</f>
        <v>0</v>
      </c>
      <c r="C97" s="31" t="s">
        <v>52</v>
      </c>
      <c r="D97" s="49" t="str">
        <f>VLOOKUP($C97,classifications!$C:$J,4,FALSE)</f>
        <v>SD</v>
      </c>
      <c r="E97" s="49" t="str">
        <f>VLOOKUP(C97,classifications!C:K,9,FALSE)</f>
        <v>Sparse</v>
      </c>
      <c r="F97" s="59">
        <f t="shared" si="26"/>
        <v>0</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17" t="str">
        <f>IF(L97="","",VLOOKUP(L97,classifications!C:K,9,FALSE))</f>
        <v/>
      </c>
      <c r="U97" s="224" t="str">
        <f t="shared" si="31"/>
        <v/>
      </c>
      <c r="V97" s="225" t="str">
        <f>IF(U97="","",IF($I$8="A",(RANK(U97,U$11:U$355)+COUNTIF(U$11:U97,U97)-1),(RANK(U97,U$11:U$355,1)+COUNTIF(U$11:U97,U97)-1)))</f>
        <v/>
      </c>
      <c r="W97" s="226"/>
      <c r="X97" s="61" t="str">
        <f>IF(L97="","",VLOOKUP($L97,classifications!$C:$J,6,FALSE))</f>
        <v/>
      </c>
      <c r="Y97" s="49" t="b">
        <f t="shared" si="32"/>
        <v>0</v>
      </c>
      <c r="Z97" s="57" t="e">
        <f>IF(Y97="","",IF(I$8="A",(RANK(Y97,Y$11:Y$355,1)+COUNTIF(Y$11:Y97,Y97)-1),(RANK(Y97,Y$11:Y$355)+COUNTIF(Y$11:Y97,Y97)-1)))</f>
        <v>#N/A</v>
      </c>
      <c r="AA97" s="231" t="str">
        <f>IF(L97="","",VLOOKUP($L97,classifications!C:I,7,FALSE))</f>
        <v/>
      </c>
      <c r="AB97" s="225" t="str">
        <f t="shared" si="41"/>
        <v/>
      </c>
      <c r="AC97" s="225" t="str">
        <f>IF(AB97="","",IF($I$8="A",(RANK(AB97,AB$11:AB$355)+COUNTIF(AB$11:AB97,AB97)-1),(RANK(AB97,AB$11:AB$355,1)+COUNTIF(AB$11:AB97,AB97)-1)))</f>
        <v/>
      </c>
      <c r="AD97" s="225"/>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HLOOKUP($AX$9&amp;$AX$10,Data!$A$1:$ZZ$1992,(MATCH($C97,Data!$A$1:$A$1992,0)),FALSE)</f>
        <v>0</v>
      </c>
      <c r="AY97" s="156"/>
      <c r="AZ97" s="44"/>
    </row>
    <row r="98" spans="1:52">
      <c r="A98" s="84" t="str">
        <f>$D$1&amp;88</f>
        <v>SC88</v>
      </c>
      <c r="B98" s="85">
        <f>IF(ISERROR(VLOOKUP(A98,classifications!A:C,3,FALSE)),0,VLOOKUP(A98,classifications!A:C,3,FALSE))</f>
        <v>0</v>
      </c>
      <c r="C98" s="31" t="s">
        <v>53</v>
      </c>
      <c r="D98" s="49" t="str">
        <f>VLOOKUP($C98,classifications!$C:$J,4,FALSE)</f>
        <v>SD</v>
      </c>
      <c r="E98" s="49" t="str">
        <f>VLOOKUP(C98,classifications!C:K,9,FALSE)</f>
        <v>Sparse</v>
      </c>
      <c r="F98" s="59">
        <f t="shared" si="26"/>
        <v>0</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17" t="str">
        <f>IF(L98="","",VLOOKUP(L98,classifications!C:K,9,FALSE))</f>
        <v/>
      </c>
      <c r="U98" s="224" t="str">
        <f t="shared" si="31"/>
        <v/>
      </c>
      <c r="V98" s="225" t="str">
        <f>IF(U98="","",IF($I$8="A",(RANK(U98,U$11:U$355)+COUNTIF(U$11:U98,U98)-1),(RANK(U98,U$11:U$355,1)+COUNTIF(U$11:U98,U98)-1)))</f>
        <v/>
      </c>
      <c r="W98" s="226"/>
      <c r="X98" s="61" t="str">
        <f>IF(L98="","",VLOOKUP($L98,classifications!$C:$J,6,FALSE))</f>
        <v/>
      </c>
      <c r="Y98" s="49" t="b">
        <f t="shared" si="32"/>
        <v>0</v>
      </c>
      <c r="Z98" s="57" t="e">
        <f>IF(Y98="","",IF(I$8="A",(RANK(Y98,Y$11:Y$355,1)+COUNTIF(Y$11:Y98,Y98)-1),(RANK(Y98,Y$11:Y$355)+COUNTIF(Y$11:Y98,Y98)-1)))</f>
        <v>#N/A</v>
      </c>
      <c r="AA98" s="231" t="str">
        <f>IF(L98="","",VLOOKUP($L98,classifications!C:I,7,FALSE))</f>
        <v/>
      </c>
      <c r="AB98" s="225" t="str">
        <f t="shared" si="41"/>
        <v/>
      </c>
      <c r="AC98" s="225" t="str">
        <f>IF(AB98="","",IF($I$8="A",(RANK(AB98,AB$11:AB$355)+COUNTIF(AB$11:AB98,AB98)-1),(RANK(AB98,AB$11:AB$355,1)+COUNTIF(AB$11:AB98,AB98)-1)))</f>
        <v/>
      </c>
      <c r="AD98" s="225"/>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HLOOKUP($AX$9&amp;$AX$10,Data!$A$1:$ZZ$1992,(MATCH($C98,Data!$A$1:$A$1992,0)),FALSE)</f>
        <v>0</v>
      </c>
      <c r="AY98" s="156"/>
      <c r="AZ98" s="44"/>
    </row>
    <row r="99" spans="1:52">
      <c r="A99" s="84" t="str">
        <f>$D$1&amp;89</f>
        <v>SC89</v>
      </c>
      <c r="B99" s="85">
        <f>IF(ISERROR(VLOOKUP(A99,classifications!A:C,3,FALSE)),0,VLOOKUP(A99,classifications!A:C,3,FALSE))</f>
        <v>0</v>
      </c>
      <c r="C99" s="31" t="s">
        <v>55</v>
      </c>
      <c r="D99" s="49" t="str">
        <f>VLOOKUP($C99,classifications!$C:$J,4,FALSE)</f>
        <v>SD</v>
      </c>
      <c r="E99" s="49">
        <f>VLOOKUP(C99,classifications!C:K,9,FALSE)</f>
        <v>0</v>
      </c>
      <c r="F99" s="59">
        <f t="shared" si="26"/>
        <v>0</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17" t="str">
        <f>IF(L99="","",VLOOKUP(L99,classifications!C:K,9,FALSE))</f>
        <v/>
      </c>
      <c r="U99" s="224" t="str">
        <f t="shared" si="31"/>
        <v/>
      </c>
      <c r="V99" s="225" t="str">
        <f>IF(U99="","",IF($I$8="A",(RANK(U99,U$11:U$355)+COUNTIF(U$11:U99,U99)-1),(RANK(U99,U$11:U$355,1)+COUNTIF(U$11:U99,U99)-1)))</f>
        <v/>
      </c>
      <c r="W99" s="226"/>
      <c r="X99" s="61" t="str">
        <f>IF(L99="","",VLOOKUP($L99,classifications!$C:$J,6,FALSE))</f>
        <v/>
      </c>
      <c r="Y99" s="49" t="b">
        <f t="shared" si="32"/>
        <v>0</v>
      </c>
      <c r="Z99" s="57" t="e">
        <f>IF(Y99="","",IF(I$8="A",(RANK(Y99,Y$11:Y$355,1)+COUNTIF(Y$11:Y99,Y99)-1),(RANK(Y99,Y$11:Y$355)+COUNTIF(Y$11:Y99,Y99)-1)))</f>
        <v>#N/A</v>
      </c>
      <c r="AA99" s="231" t="str">
        <f>IF(L99="","",VLOOKUP($L99,classifications!C:I,7,FALSE))</f>
        <v/>
      </c>
      <c r="AB99" s="225" t="str">
        <f t="shared" si="41"/>
        <v/>
      </c>
      <c r="AC99" s="225" t="str">
        <f>IF(AB99="","",IF($I$8="A",(RANK(AB99,AB$11:AB$355)+COUNTIF(AB$11:AB99,AB99)-1),(RANK(AB99,AB$11:AB$355,1)+COUNTIF(AB$11:AB99,AB99)-1)))</f>
        <v/>
      </c>
      <c r="AD99" s="225"/>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HLOOKUP($AX$9&amp;$AX$10,Data!$A$1:$ZZ$1992,(MATCH($C99,Data!$A$1:$A$1992,0)),FALSE)</f>
        <v>0</v>
      </c>
      <c r="AY99" s="156"/>
      <c r="AZ99" s="44"/>
    </row>
    <row r="100" spans="1:52">
      <c r="A100" s="84" t="str">
        <f>$D$1&amp;90</f>
        <v>SC90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17" t="str">
        <f>IF(L100="","",VLOOKUP(L100,classifications!C:K,9,FALSE))</f>
        <v/>
      </c>
      <c r="U100" s="224" t="str">
        <f t="shared" si="31"/>
        <v/>
      </c>
      <c r="V100" s="225" t="str">
        <f>IF(U100="","",IF($I$8="A",(RANK(U100,U$11:U$355)+COUNTIF(U$11:U100,U100)-1),(RANK(U100,U$11:U$355,1)+COUNTIF(U$11:U100,U100)-1)))</f>
        <v/>
      </c>
      <c r="W100" s="226"/>
      <c r="X100" s="61" t="str">
        <f>IF(L100="","",VLOOKUP($L100,classifications!$C:$J,6,FALSE))</f>
        <v/>
      </c>
      <c r="Y100" s="49" t="b">
        <f t="shared" si="32"/>
        <v>0</v>
      </c>
      <c r="Z100" s="57" t="e">
        <f>IF(Y100="","",IF(I$8="A",(RANK(Y100,Y$11:Y$355,1)+COUNTIF(Y$11:Y100,Y100)-1),(RANK(Y100,Y$11:Y$355)+COUNTIF(Y$11:Y100,Y100)-1)))</f>
        <v>#N/A</v>
      </c>
      <c r="AA100" s="231" t="str">
        <f>IF(L100="","",VLOOKUP($L100,classifications!C:I,7,FALSE))</f>
        <v/>
      </c>
      <c r="AB100" s="225" t="str">
        <f t="shared" si="41"/>
        <v/>
      </c>
      <c r="AC100" s="225" t="str">
        <f>IF(AB100="","",IF($I$8="A",(RANK(AB100,AB$11:AB$355)+COUNTIF(AB$11:AB100,AB100)-1),(RANK(AB100,AB$11:AB$355,1)+COUNTIF(AB$11:AB100,AB100)-1)))</f>
        <v/>
      </c>
      <c r="AD100" s="225"/>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HLOOKUP($AX$9&amp;$AX$10,Data!$A$1:$ZZ$1992,(MATCH($C100,Data!$A$1:$A$1992,0)),FALSE)</f>
        <v>0</v>
      </c>
      <c r="AY100" s="156"/>
      <c r="AZ100" s="44"/>
    </row>
    <row r="101" spans="1:52">
      <c r="A101" s="84" t="str">
        <f>$D$1&amp;91</f>
        <v>SC91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17" t="str">
        <f>IF(L101="","",VLOOKUP(L101,classifications!C:K,9,FALSE))</f>
        <v/>
      </c>
      <c r="U101" s="224" t="str">
        <f t="shared" si="31"/>
        <v/>
      </c>
      <c r="V101" s="225" t="str">
        <f>IF(U101="","",IF($I$8="A",(RANK(U101,U$11:U$355)+COUNTIF(U$11:U101,U101)-1),(RANK(U101,U$11:U$355,1)+COUNTIF(U$11:U101,U101)-1)))</f>
        <v/>
      </c>
      <c r="W101" s="226"/>
      <c r="X101" s="61" t="str">
        <f>IF(L101="","",VLOOKUP($L101,classifications!$C:$J,6,FALSE))</f>
        <v/>
      </c>
      <c r="Y101" s="49" t="b">
        <f t="shared" si="32"/>
        <v>0</v>
      </c>
      <c r="Z101" s="57" t="e">
        <f>IF(Y101="","",IF(I$8="A",(RANK(Y101,Y$11:Y$355,1)+COUNTIF(Y$11:Y101,Y101)-1),(RANK(Y101,Y$11:Y$355)+COUNTIF(Y$11:Y101,Y101)-1)))</f>
        <v>#N/A</v>
      </c>
      <c r="AA101" s="231" t="str">
        <f>IF(L101="","",VLOOKUP($L101,classifications!C:I,7,FALSE))</f>
        <v/>
      </c>
      <c r="AB101" s="225" t="str">
        <f t="shared" si="41"/>
        <v/>
      </c>
      <c r="AC101" s="225" t="str">
        <f>IF(AB101="","",IF($I$8="A",(RANK(AB101,AB$11:AB$355)+COUNTIF(AB$11:AB101,AB101)-1),(RANK(AB101,AB$11:AB$355,1)+COUNTIF(AB$11:AB101,AB101)-1)))</f>
        <v/>
      </c>
      <c r="AD101" s="225"/>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HLOOKUP($AX$9&amp;$AX$10,Data!$A$1:$ZZ$1992,(MATCH($C101,Data!$A$1:$A$1992,0)),FALSE)</f>
        <v>0</v>
      </c>
      <c r="AY101" s="156"/>
      <c r="AZ101" s="44"/>
    </row>
    <row r="102" spans="1:52">
      <c r="A102" s="84" t="str">
        <f>$D$1&amp;92</f>
        <v>SC92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0</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17" t="str">
        <f>IF(L102="","",VLOOKUP(L102,classifications!C:K,9,FALSE))</f>
        <v/>
      </c>
      <c r="U102" s="224" t="str">
        <f t="shared" si="31"/>
        <v/>
      </c>
      <c r="V102" s="225" t="str">
        <f>IF(U102="","",IF($I$8="A",(RANK(U102,U$11:U$355)+COUNTIF(U$11:U102,U102)-1),(RANK(U102,U$11:U$355,1)+COUNTIF(U$11:U102,U102)-1)))</f>
        <v/>
      </c>
      <c r="W102" s="226"/>
      <c r="X102" s="61" t="str">
        <f>IF(L102="","",VLOOKUP($L102,classifications!$C:$J,6,FALSE))</f>
        <v/>
      </c>
      <c r="Y102" s="49" t="b">
        <f t="shared" si="32"/>
        <v>0</v>
      </c>
      <c r="Z102" s="57" t="e">
        <f>IF(Y102="","",IF(I$8="A",(RANK(Y102,Y$11:Y$355,1)+COUNTIF(Y$11:Y102,Y102)-1),(RANK(Y102,Y$11:Y$355)+COUNTIF(Y$11:Y102,Y102)-1)))</f>
        <v>#N/A</v>
      </c>
      <c r="AA102" s="231" t="str">
        <f>IF(L102="","",VLOOKUP($L102,classifications!C:I,7,FALSE))</f>
        <v/>
      </c>
      <c r="AB102" s="225" t="str">
        <f t="shared" si="41"/>
        <v/>
      </c>
      <c r="AC102" s="225" t="str">
        <f>IF(AB102="","",IF($I$8="A",(RANK(AB102,AB$11:AB$355)+COUNTIF(AB$11:AB102,AB102)-1),(RANK(AB102,AB$11:AB$355,1)+COUNTIF(AB$11:AB102,AB102)-1)))</f>
        <v/>
      </c>
      <c r="AD102" s="225"/>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HLOOKUP($AX$9&amp;$AX$10,Data!$A$1:$ZZ$1992,(MATCH($C102,Data!$A$1:$A$1992,0)),FALSE)</f>
        <v>0</v>
      </c>
      <c r="AY102" s="156"/>
      <c r="AZ102" s="44"/>
    </row>
    <row r="103" spans="1:52">
      <c r="A103" s="84" t="str">
        <f>$D$1&amp;93</f>
        <v>SC93</v>
      </c>
      <c r="B103" s="85">
        <f>IF(ISERROR(VLOOKUP(A103,classifications!A:C,3,FALSE)),0,VLOOKUP(A103,classifications!A:C,3,FALSE))</f>
        <v>0</v>
      </c>
      <c r="C103" s="31" t="s">
        <v>268</v>
      </c>
      <c r="D103" s="49" t="str">
        <f>VLOOKUP($C103,classifications!$C:$J,4,FALSE)</f>
        <v>UA</v>
      </c>
      <c r="E103" s="49" t="str">
        <f>VLOOKUP(C103,classifications!C:K,9,FALSE)</f>
        <v>Sparse</v>
      </c>
      <c r="F103" s="59">
        <f t="shared" si="26"/>
        <v>1E-3</v>
      </c>
      <c r="G103" s="105"/>
      <c r="H103" s="60" t="str">
        <f t="shared" si="27"/>
        <v/>
      </c>
      <c r="I103" s="112" t="str">
        <f>IF(H103="","",IF($I$8="A",(RANK(H103,H$11:H$355,1)+COUNTIF(H$11:H103,H103)-1),(RANK(H103,H$11:H$355)+COUNTIF(H$11:H103,H103)-1)))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17" t="str">
        <f>IF(L103="","",VLOOKUP(L103,classifications!C:K,9,FALSE))</f>
        <v/>
      </c>
      <c r="U103" s="224" t="str">
        <f t="shared" si="31"/>
        <v/>
      </c>
      <c r="V103" s="225" t="str">
        <f>IF(U103="","",IF($I$8="A",(RANK(U103,U$11:U$355)+COUNTIF(U$11:U103,U103)-1),(RANK(U103,U$11:U$355,1)+COUNTIF(U$11:U103,U103)-1)))</f>
        <v/>
      </c>
      <c r="W103" s="226"/>
      <c r="X103" s="61" t="str">
        <f>IF(L103="","",VLOOKUP($L103,classifications!$C:$J,6,FALSE))</f>
        <v/>
      </c>
      <c r="Y103" s="49" t="b">
        <f t="shared" si="32"/>
        <v>0</v>
      </c>
      <c r="Z103" s="57" t="e">
        <f>IF(Y103="","",IF(I$8="A",(RANK(Y103,Y$11:Y$355,1)+COUNTIF(Y$11:Y103,Y103)-1),(RANK(Y103,Y$11:Y$355)+COUNTIF(Y$11:Y103,Y103)-1)))</f>
        <v>#N/A</v>
      </c>
      <c r="AA103" s="231" t="str">
        <f>IF(L103="","",VLOOKUP($L103,classifications!C:I,7,FALSE))</f>
        <v/>
      </c>
      <c r="AB103" s="225" t="str">
        <f t="shared" si="41"/>
        <v/>
      </c>
      <c r="AC103" s="225" t="str">
        <f>IF(AB103="","",IF($I$8="A",(RANK(AB103,AB$11:AB$355)+COUNTIF(AB$11:AB103,AB103)-1),(RANK(AB103,AB$11:AB$355,1)+COUNTIF(AB$11:AB103,AB103)-1)))</f>
        <v/>
      </c>
      <c r="AD103" s="225"/>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HLOOKUP($AX$9&amp;$AX$10,Data!$A$1:$ZZ$1992,(MATCH($C103,Data!$A$1:$A$1992,0)),FALSE)</f>
        <v>1E-3</v>
      </c>
      <c r="AY103" s="156"/>
      <c r="AZ103" s="44"/>
    </row>
    <row r="104" spans="1:52">
      <c r="A104" s="84" t="str">
        <f>$D$1&amp;94</f>
        <v>SC94</v>
      </c>
      <c r="B104" s="85">
        <f>IF(ISERROR(VLOOKUP(A104,classifications!A:C,3,FALSE)),0,VLOOKUP(A104,classifications!A:C,3,FALSE))</f>
        <v>0</v>
      </c>
      <c r="C104" s="31" t="s">
        <v>59</v>
      </c>
      <c r="D104" s="49" t="str">
        <f>VLOOKUP($C104,classifications!$C:$J,4,FALSE)</f>
        <v>SD</v>
      </c>
      <c r="E104" s="49">
        <f>VLOOKUP(C104,classifications!C:K,9,FALSE)</f>
        <v>0</v>
      </c>
      <c r="F104" s="59">
        <f t="shared" si="26"/>
        <v>0</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17" t="str">
        <f>IF(L104="","",VLOOKUP(L104,classifications!C:K,9,FALSE))</f>
        <v/>
      </c>
      <c r="U104" s="224" t="str">
        <f t="shared" si="31"/>
        <v/>
      </c>
      <c r="V104" s="225" t="str">
        <f>IF(U104="","",IF($I$8="A",(RANK(U104,U$11:U$355)+COUNTIF(U$11:U104,U104)-1),(RANK(U104,U$11:U$355,1)+COUNTIF(U$11:U104,U104)-1)))</f>
        <v/>
      </c>
      <c r="W104" s="226"/>
      <c r="X104" s="61" t="str">
        <f>IF(L104="","",VLOOKUP($L104,classifications!$C:$J,6,FALSE))</f>
        <v/>
      </c>
      <c r="Y104" s="49" t="b">
        <f t="shared" si="32"/>
        <v>0</v>
      </c>
      <c r="Z104" s="57" t="e">
        <f>IF(Y104="","",IF(I$8="A",(RANK(Y104,Y$11:Y$355,1)+COUNTIF(Y$11:Y104,Y104)-1),(RANK(Y104,Y$11:Y$355)+COUNTIF(Y$11:Y104,Y104)-1)))</f>
        <v>#N/A</v>
      </c>
      <c r="AA104" s="231" t="str">
        <f>IF(L104="","",VLOOKUP($L104,classifications!C:I,7,FALSE))</f>
        <v/>
      </c>
      <c r="AB104" s="225" t="str">
        <f t="shared" si="41"/>
        <v/>
      </c>
      <c r="AC104" s="225" t="str">
        <f>IF(AB104="","",IF($I$8="A",(RANK(AB104,AB$11:AB$355)+COUNTIF(AB$11:AB104,AB104)-1),(RANK(AB104,AB$11:AB$355,1)+COUNTIF(AB$11:AB104,AB104)-1)))</f>
        <v/>
      </c>
      <c r="AD104" s="225"/>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HLOOKUP($AX$9&amp;$AX$10,Data!$A$1:$ZZ$1992,(MATCH($C104,Data!$A$1:$A$1992,0)),FALSE)</f>
        <v>0</v>
      </c>
      <c r="AY104" s="156"/>
      <c r="AZ104" s="44"/>
    </row>
    <row r="105" spans="1:52">
      <c r="A105" s="84" t="str">
        <f>$D$1&amp;95</f>
        <v>SC95</v>
      </c>
      <c r="B105" s="85">
        <f>IF(ISERROR(VLOOKUP(A105,classifications!A:C,3,FALSE)),0,VLOOKUP(A105,classifications!A:C,3,FALSE))</f>
        <v>0</v>
      </c>
      <c r="C105" s="31" t="s">
        <v>311</v>
      </c>
      <c r="D105" s="49" t="str">
        <f>VLOOKUP($C105,classifications!$C:$J,4,FALSE)</f>
        <v>SC</v>
      </c>
      <c r="E105" s="49" t="str">
        <f>VLOOKUP(C105,classifications!C:K,9,FALSE)</f>
        <v>Sparse</v>
      </c>
      <c r="F105" s="59">
        <f t="shared" si="26"/>
        <v>3.5999999999999997E-2</v>
      </c>
      <c r="G105" s="105"/>
      <c r="H105" s="60">
        <f t="shared" si="27"/>
        <v>3.5999999999999997E-2</v>
      </c>
      <c r="I105" s="112">
        <f>IF(H105="","",IF($I$8="A",(RANK(H105,H$11:H$355,1)+COUNTIF(H$11:H105,H105)-1),(RANK(H105,H$11:H$355)+COUNTIF(H$11:H105,H105)-1)))</f>
        <v>6</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17" t="str">
        <f>IF(L105="","",VLOOKUP(L105,classifications!C:K,9,FALSE))</f>
        <v/>
      </c>
      <c r="U105" s="224" t="str">
        <f t="shared" si="31"/>
        <v/>
      </c>
      <c r="V105" s="225" t="str">
        <f>IF(U105="","",IF($I$8="A",(RANK(U105,U$11:U$355)+COUNTIF(U$11:U105,U105)-1),(RANK(U105,U$11:U$355,1)+COUNTIF(U$11:U105,U105)-1)))</f>
        <v/>
      </c>
      <c r="W105" s="226"/>
      <c r="X105" s="61" t="str">
        <f>IF(L105="","",VLOOKUP($L105,classifications!$C:$J,6,FALSE))</f>
        <v/>
      </c>
      <c r="Y105" s="49" t="b">
        <f t="shared" si="32"/>
        <v>0</v>
      </c>
      <c r="Z105" s="57" t="e">
        <f>IF(Y105="","",IF(I$8="A",(RANK(Y105,Y$11:Y$355,1)+COUNTIF(Y$11:Y105,Y105)-1),(RANK(Y105,Y$11:Y$355)+COUNTIF(Y$11:Y105,Y105)-1)))</f>
        <v>#N/A</v>
      </c>
      <c r="AA105" s="231" t="str">
        <f>IF(L105="","",VLOOKUP($L105,classifications!C:I,7,FALSE))</f>
        <v/>
      </c>
      <c r="AB105" s="225" t="str">
        <f t="shared" si="41"/>
        <v/>
      </c>
      <c r="AC105" s="225" t="str">
        <f>IF(AB105="","",IF($I$8="A",(RANK(AB105,AB$11:AB$355)+COUNTIF(AB$11:AB105,AB105)-1),(RANK(AB105,AB$11:AB$355,1)+COUNTIF(AB$11:AB105,AB105)-1)))</f>
        <v/>
      </c>
      <c r="AD105" s="225"/>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HLOOKUP($AX$9&amp;$AX$10,Data!$A$1:$ZZ$1992,(MATCH($C105,Data!$A$1:$A$1992,0)),FALSE)</f>
        <v>3.5999999999999997E-2</v>
      </c>
      <c r="AY105" s="156"/>
      <c r="AZ105" s="44"/>
    </row>
    <row r="106" spans="1:52">
      <c r="A106" s="84" t="str">
        <f>$D$1&amp;96</f>
        <v>SC96</v>
      </c>
      <c r="B106" s="85">
        <f>IF(ISERROR(VLOOKUP(A106,classifications!A:C,3,FALSE)),0,VLOOKUP(A106,classifications!A:C,3,FALSE))</f>
        <v>0</v>
      </c>
      <c r="C106" s="31" t="s">
        <v>60</v>
      </c>
      <c r="D106" s="49" t="str">
        <f>VLOOKUP($C106,classifications!$C:$J,4,FALSE)</f>
        <v>SD</v>
      </c>
      <c r="E106" s="49">
        <f>VLOOKUP(C106,classifications!C:K,9,FALSE)</f>
        <v>0</v>
      </c>
      <c r="F106" s="59">
        <f t="shared" si="26"/>
        <v>0</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17" t="str">
        <f>IF(L106="","",VLOOKUP(L106,classifications!C:K,9,FALSE))</f>
        <v/>
      </c>
      <c r="U106" s="224" t="str">
        <f t="shared" si="31"/>
        <v/>
      </c>
      <c r="V106" s="225" t="str">
        <f>IF(U106="","",IF($I$8="A",(RANK(U106,U$11:U$355)+COUNTIF(U$11:U106,U106)-1),(RANK(U106,U$11:U$355,1)+COUNTIF(U$11:U106,U106)-1)))</f>
        <v/>
      </c>
      <c r="W106" s="226"/>
      <c r="X106" s="61" t="str">
        <f>IF(L106="","",VLOOKUP($L106,classifications!$C:$J,6,FALSE))</f>
        <v/>
      </c>
      <c r="Y106" s="49" t="b">
        <f t="shared" si="32"/>
        <v>0</v>
      </c>
      <c r="Z106" s="57" t="e">
        <f>IF(Y106="","",IF(I$8="A",(RANK(Y106,Y$11:Y$355,1)+COUNTIF(Y$11:Y106,Y106)-1),(RANK(Y106,Y$11:Y$355)+COUNTIF(Y$11:Y106,Y106)-1)))</f>
        <v>#N/A</v>
      </c>
      <c r="AA106" s="231" t="str">
        <f>IF(L106="","",VLOOKUP($L106,classifications!C:I,7,FALSE))</f>
        <v/>
      </c>
      <c r="AB106" s="225" t="str">
        <f t="shared" si="41"/>
        <v/>
      </c>
      <c r="AC106" s="225" t="str">
        <f>IF(AB106="","",IF($I$8="A",(RANK(AB106,AB$11:AB$355)+COUNTIF(AB$11:AB106,AB106)-1),(RANK(AB106,AB$11:AB$355,1)+COUNTIF(AB$11:AB106,AB106)-1)))</f>
        <v/>
      </c>
      <c r="AD106" s="225"/>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HLOOKUP($AX$9&amp;$AX$10,Data!$A$1:$ZZ$1992,(MATCH($C106,Data!$A$1:$A$1992,0)),FALSE)</f>
        <v>0</v>
      </c>
      <c r="AY106" s="156"/>
      <c r="AZ106" s="44"/>
    </row>
    <row r="107" spans="1:52">
      <c r="A107" s="84" t="str">
        <f>$D$1&amp;97</f>
        <v>SC97</v>
      </c>
      <c r="B107" s="85">
        <f>IF(ISERROR(VLOOKUP(A107,classifications!A:C,3,FALSE)),0,VLOOKUP(A107,classifications!A:C,3,FALSE))</f>
        <v>0</v>
      </c>
      <c r="C107" s="31" t="s">
        <v>61</v>
      </c>
      <c r="D107" s="49" t="str">
        <f>VLOOKUP($C107,classifications!$C:$J,4,FALSE)</f>
        <v>SD</v>
      </c>
      <c r="E107" s="49">
        <f>VLOOKUP(C107,classifications!C:K,9,FALSE)</f>
        <v>0</v>
      </c>
      <c r="F107" s="59">
        <f t="shared" si="26"/>
        <v>0</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17" t="str">
        <f>IF(L107="","",VLOOKUP(L107,classifications!C:K,9,FALSE))</f>
        <v/>
      </c>
      <c r="U107" s="224" t="str">
        <f t="shared" si="31"/>
        <v/>
      </c>
      <c r="V107" s="225" t="str">
        <f>IF(U107="","",IF($I$8="A",(RANK(U107,U$11:U$355)+COUNTIF(U$11:U107,U107)-1),(RANK(U107,U$11:U$355,1)+COUNTIF(U$11:U107,U107)-1)))</f>
        <v/>
      </c>
      <c r="W107" s="226"/>
      <c r="X107" s="61" t="str">
        <f>IF(L107="","",VLOOKUP($L107,classifications!$C:$J,6,FALSE))</f>
        <v/>
      </c>
      <c r="Y107" s="49" t="b">
        <f t="shared" si="32"/>
        <v>0</v>
      </c>
      <c r="Z107" s="57" t="e">
        <f>IF(Y107="","",IF(I$8="A",(RANK(Y107,Y$11:Y$355,1)+COUNTIF(Y$11:Y107,Y107)-1),(RANK(Y107,Y$11:Y$355)+COUNTIF(Y$11:Y107,Y107)-1)))</f>
        <v>#N/A</v>
      </c>
      <c r="AA107" s="231" t="str">
        <f>IF(L107="","",VLOOKUP($L107,classifications!C:I,7,FALSE))</f>
        <v/>
      </c>
      <c r="AB107" s="225" t="str">
        <f t="shared" si="41"/>
        <v/>
      </c>
      <c r="AC107" s="225" t="str">
        <f>IF(AB107="","",IF($I$8="A",(RANK(AB107,AB$11:AB$355)+COUNTIF(AB$11:AB107,AB107)-1),(RANK(AB107,AB$11:AB$355,1)+COUNTIF(AB$11:AB107,AB107)-1)))</f>
        <v/>
      </c>
      <c r="AD107" s="225"/>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HLOOKUP($AX$9&amp;$AX$10,Data!$A$1:$ZZ$1992,(MATCH($C107,Data!$A$1:$A$1992,0)),FALSE)</f>
        <v>0</v>
      </c>
      <c r="AY107" s="156"/>
      <c r="AZ107" s="44"/>
    </row>
    <row r="108" spans="1:52">
      <c r="A108" s="84" t="str">
        <f>$D$1&amp;98</f>
        <v>SC98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17" t="str">
        <f>IF(L108="","",VLOOKUP(L108,classifications!C:K,9,FALSE))</f>
        <v/>
      </c>
      <c r="U108" s="224" t="str">
        <f t="shared" si="31"/>
        <v/>
      </c>
      <c r="V108" s="225" t="str">
        <f>IF(U108="","",IF($I$8="A",(RANK(U108,U$11:U$355)+COUNTIF(U$11:U108,U108)-1),(RANK(U108,U$11:U$355,1)+COUNTIF(U$11:U108,U108)-1)))</f>
        <v/>
      </c>
      <c r="W108" s="226"/>
      <c r="X108" s="61" t="str">
        <f>IF(L108="","",VLOOKUP($L108,classifications!$C:$J,6,FALSE))</f>
        <v/>
      </c>
      <c r="Y108" s="49" t="b">
        <f t="shared" si="32"/>
        <v>0</v>
      </c>
      <c r="Z108" s="57" t="e">
        <f>IF(Y108="","",IF(I$8="A",(RANK(Y108,Y$11:Y$355,1)+COUNTIF(Y$11:Y108,Y108)-1),(RANK(Y108,Y$11:Y$355)+COUNTIF(Y$11:Y108,Y108)-1)))</f>
        <v>#N/A</v>
      </c>
      <c r="AA108" s="231" t="str">
        <f>IF(L108="","",VLOOKUP($L108,classifications!C:I,7,FALSE))</f>
        <v/>
      </c>
      <c r="AB108" s="225" t="str">
        <f t="shared" si="41"/>
        <v/>
      </c>
      <c r="AC108" s="225" t="str">
        <f>IF(AB108="","",IF($I$8="A",(RANK(AB108,AB$11:AB$355)+COUNTIF(AB$11:AB108,AB108)-1),(RANK(AB108,AB$11:AB$355,1)+COUNTIF(AB$11:AB108,AB108)-1)))</f>
        <v/>
      </c>
      <c r="AD108" s="225"/>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HLOOKUP($AX$9&amp;$AX$10,Data!$A$1:$ZZ$1992,(MATCH($C108,Data!$A$1:$A$1992,0)),FALSE)</f>
        <v>0</v>
      </c>
      <c r="AY108" s="156"/>
      <c r="AZ108" s="44"/>
    </row>
    <row r="109" spans="1:52">
      <c r="A109" s="84" t="str">
        <f>$D$1&amp;99</f>
        <v>SC99</v>
      </c>
      <c r="B109" s="85">
        <f>IF(ISERROR(VLOOKUP(A109,classifications!A:C,3,FALSE)),0,VLOOKUP(A109,classifications!A:C,3,FALSE))</f>
        <v>0</v>
      </c>
      <c r="C109" s="31" t="s">
        <v>63</v>
      </c>
      <c r="D109" s="49" t="str">
        <f>VLOOKUP($C109,classifications!$C:$J,4,FALSE)</f>
        <v>SD</v>
      </c>
      <c r="E109" s="49">
        <f>VLOOKUP(C109,classifications!C:K,9,FALSE)</f>
        <v>0</v>
      </c>
      <c r="F109" s="59">
        <f t="shared" si="26"/>
        <v>0</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17" t="str">
        <f>IF(L109="","",VLOOKUP(L109,classifications!C:K,9,FALSE))</f>
        <v/>
      </c>
      <c r="U109" s="224" t="str">
        <f t="shared" si="31"/>
        <v/>
      </c>
      <c r="V109" s="225" t="str">
        <f>IF(U109="","",IF($I$8="A",(RANK(U109,U$11:U$355)+COUNTIF(U$11:U109,U109)-1),(RANK(U109,U$11:U$355,1)+COUNTIF(U$11:U109,U109)-1)))</f>
        <v/>
      </c>
      <c r="W109" s="226"/>
      <c r="X109" s="61" t="str">
        <f>IF(L109="","",VLOOKUP($L109,classifications!$C:$J,6,FALSE))</f>
        <v/>
      </c>
      <c r="Y109" s="49" t="b">
        <f t="shared" si="32"/>
        <v>0</v>
      </c>
      <c r="Z109" s="57" t="e">
        <f>IF(Y109="","",IF(I$8="A",(RANK(Y109,Y$11:Y$355,1)+COUNTIF(Y$11:Y109,Y109)-1),(RANK(Y109,Y$11:Y$355)+COUNTIF(Y$11:Y109,Y109)-1)))</f>
        <v>#N/A</v>
      </c>
      <c r="AA109" s="231" t="str">
        <f>IF(L109="","",VLOOKUP($L109,classifications!C:I,7,FALSE))</f>
        <v/>
      </c>
      <c r="AB109" s="225" t="str">
        <f t="shared" si="41"/>
        <v/>
      </c>
      <c r="AC109" s="225" t="str">
        <f>IF(AB109="","",IF($I$8="A",(RANK(AB109,AB$11:AB$355)+COUNTIF(AB$11:AB109,AB109)-1),(RANK(AB109,AB$11:AB$355,1)+COUNTIF(AB$11:AB109,AB109)-1)))</f>
        <v/>
      </c>
      <c r="AD109" s="225"/>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HLOOKUP($AX$9&amp;$AX$10,Data!$A$1:$ZZ$1992,(MATCH($C109,Data!$A$1:$A$1992,0)),FALSE)</f>
        <v>0</v>
      </c>
      <c r="AY109" s="156"/>
      <c r="AZ109" s="44"/>
    </row>
    <row r="110" spans="1:52">
      <c r="A110" s="84" t="str">
        <f>$D$1&amp;100</f>
        <v>SC100</v>
      </c>
      <c r="B110" s="85">
        <f>IF(ISERROR(VLOOKUP(A110,classifications!A:C,3,FALSE)),0,VLOOKUP(A110,classifications!A:C,3,FALSE))</f>
        <v>0</v>
      </c>
      <c r="C110" s="31" t="s">
        <v>204</v>
      </c>
      <c r="D110" s="49" t="str">
        <f>VLOOKUP($C110,classifications!$C:$J,4,FALSE)</f>
        <v>L</v>
      </c>
      <c r="E110" s="49">
        <f>VLOOKUP(C110,classifications!C:K,9,FALSE)</f>
        <v>0</v>
      </c>
      <c r="F110" s="59">
        <f t="shared" si="26"/>
        <v>0</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17" t="str">
        <f>IF(L110="","",VLOOKUP(L110,classifications!C:K,9,FALSE))</f>
        <v/>
      </c>
      <c r="U110" s="224" t="str">
        <f t="shared" si="31"/>
        <v/>
      </c>
      <c r="V110" s="225" t="str">
        <f>IF(U110="","",IF($I$8="A",(RANK(U110,U$11:U$355)+COUNTIF(U$11:U110,U110)-1),(RANK(U110,U$11:U$355,1)+COUNTIF(U$11:U110,U110)-1)))</f>
        <v/>
      </c>
      <c r="W110" s="226"/>
      <c r="X110" s="61" t="str">
        <f>IF(L110="","",VLOOKUP($L110,classifications!$C:$J,6,FALSE))</f>
        <v/>
      </c>
      <c r="Y110" s="49" t="b">
        <f t="shared" si="32"/>
        <v>0</v>
      </c>
      <c r="Z110" s="57" t="e">
        <f>IF(Y110="","",IF(I$8="A",(RANK(Y110,Y$11:Y$355,1)+COUNTIF(Y$11:Y110,Y110)-1),(RANK(Y110,Y$11:Y$355)+COUNTIF(Y$11:Y110,Y110)-1)))</f>
        <v>#N/A</v>
      </c>
      <c r="AA110" s="231" t="str">
        <f>IF(L110="","",VLOOKUP($L110,classifications!C:I,7,FALSE))</f>
        <v/>
      </c>
      <c r="AB110" s="225" t="str">
        <f t="shared" si="41"/>
        <v/>
      </c>
      <c r="AC110" s="225" t="str">
        <f>IF(AB110="","",IF($I$8="A",(RANK(AB110,AB$11:AB$355)+COUNTIF(AB$11:AB110,AB110)-1),(RANK(AB110,AB$11:AB$355,1)+COUNTIF(AB$11:AB110,AB110)-1)))</f>
        <v/>
      </c>
      <c r="AD110" s="225"/>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HLOOKUP($AX$9&amp;$AX$10,Data!$A$1:$ZZ$1992,(MATCH($C110,Data!$A$1:$A$1992,0)),FALSE)</f>
        <v>0</v>
      </c>
      <c r="AY110" s="156"/>
      <c r="AZ110" s="44"/>
    </row>
    <row r="111" spans="1:52">
      <c r="A111" s="84" t="str">
        <f>$D$1&amp;101</f>
        <v>SC101</v>
      </c>
      <c r="B111" s="85">
        <f>IF(ISERROR(VLOOKUP(A111,classifications!A:C,3,FALSE)),0,VLOOKUP(A111,classifications!A:C,3,FALSE))</f>
        <v>0</v>
      </c>
      <c r="C111" s="31" t="s">
        <v>64</v>
      </c>
      <c r="D111" s="49" t="str">
        <f>VLOOKUP($C111,classifications!$C:$J,4,FALSE)</f>
        <v>SD</v>
      </c>
      <c r="E111" s="49">
        <f>VLOOKUP(C111,classifications!C:K,9,FALSE)</f>
        <v>0</v>
      </c>
      <c r="F111" s="59">
        <f t="shared" si="26"/>
        <v>0</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17" t="str">
        <f>IF(L111="","",VLOOKUP(L111,classifications!C:K,9,FALSE))</f>
        <v/>
      </c>
      <c r="U111" s="224" t="str">
        <f t="shared" si="31"/>
        <v/>
      </c>
      <c r="V111" s="225" t="str">
        <f>IF(U111="","",IF($I$8="A",(RANK(U111,U$11:U$355)+COUNTIF(U$11:U111,U111)-1),(RANK(U111,U$11:U$355,1)+COUNTIF(U$11:U111,U111)-1)))</f>
        <v/>
      </c>
      <c r="W111" s="226"/>
      <c r="X111" s="61" t="str">
        <f>IF(L111="","",VLOOKUP($L111,classifications!$C:$J,6,FALSE))</f>
        <v/>
      </c>
      <c r="Y111" s="49" t="b">
        <f t="shared" si="32"/>
        <v>0</v>
      </c>
      <c r="Z111" s="57" t="e">
        <f>IF(Y111="","",IF(I$8="A",(RANK(Y111,Y$11:Y$355,1)+COUNTIF(Y$11:Y111,Y111)-1),(RANK(Y111,Y$11:Y$355)+COUNTIF(Y$11:Y111,Y111)-1)))</f>
        <v>#N/A</v>
      </c>
      <c r="AA111" s="231" t="str">
        <f>IF(L111="","",VLOOKUP($L111,classifications!C:I,7,FALSE))</f>
        <v/>
      </c>
      <c r="AB111" s="225" t="str">
        <f t="shared" si="41"/>
        <v/>
      </c>
      <c r="AC111" s="225" t="str">
        <f>IF(AB111="","",IF($I$8="A",(RANK(AB111,AB$11:AB$355)+COUNTIF(AB$11:AB111,AB111)-1),(RANK(AB111,AB$11:AB$355,1)+COUNTIF(AB$11:AB111,AB111)-1)))</f>
        <v/>
      </c>
      <c r="AD111" s="225"/>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HLOOKUP($AX$9&amp;$AX$10,Data!$A$1:$ZZ$1992,(MATCH($C111,Data!$A$1:$A$1992,0)),FALSE)</f>
        <v>0</v>
      </c>
      <c r="AY111" s="156"/>
      <c r="AZ111" s="44"/>
    </row>
    <row r="112" spans="1:52">
      <c r="A112" s="84" t="str">
        <f>$D$1&amp;102</f>
        <v>SC102</v>
      </c>
      <c r="B112" s="85">
        <f>IF(ISERROR(VLOOKUP(A112,classifications!A:C,3,FALSE)),0,VLOOKUP(A112,classifications!A:C,3,FALSE))</f>
        <v>0</v>
      </c>
      <c r="C112" s="31" t="s">
        <v>345</v>
      </c>
      <c r="D112" s="49" t="str">
        <f>VLOOKUP($C112,classifications!$C:$J,4,FALSE)</f>
        <v>SD</v>
      </c>
      <c r="E112" s="49">
        <f>VLOOKUP(C112,classifications!C:K,9,FALSE)</f>
        <v>0</v>
      </c>
      <c r="F112" s="59" t="e">
        <f t="shared" si="26"/>
        <v>#N/A</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17" t="str">
        <f>IF(L112="","",VLOOKUP(L112,classifications!C:K,9,FALSE))</f>
        <v/>
      </c>
      <c r="U112" s="224" t="str">
        <f t="shared" si="31"/>
        <v/>
      </c>
      <c r="V112" s="225" t="str">
        <f>IF(U112="","",IF($I$8="A",(RANK(U112,U$11:U$355)+COUNTIF(U$11:U112,U112)-1),(RANK(U112,U$11:U$355,1)+COUNTIF(U$11:U112,U112)-1)))</f>
        <v/>
      </c>
      <c r="W112" s="226"/>
      <c r="X112" s="61" t="str">
        <f>IF(L112="","",VLOOKUP($L112,classifications!$C:$J,6,FALSE))</f>
        <v/>
      </c>
      <c r="Y112" s="49" t="b">
        <f t="shared" si="32"/>
        <v>0</v>
      </c>
      <c r="Z112" s="57" t="e">
        <f>IF(Y112="","",IF(I$8="A",(RANK(Y112,Y$11:Y$355,1)+COUNTIF(Y$11:Y112,Y112)-1),(RANK(Y112,Y$11:Y$355)+COUNTIF(Y$11:Y112,Y112)-1)))</f>
        <v>#N/A</v>
      </c>
      <c r="AA112" s="231" t="str">
        <f>IF(L112="","",VLOOKUP($L112,classifications!C:I,7,FALSE))</f>
        <v/>
      </c>
      <c r="AB112" s="225" t="str">
        <f t="shared" si="41"/>
        <v/>
      </c>
      <c r="AC112" s="225" t="str">
        <f>IF(AB112="","",IF($I$8="A",(RANK(AB112,AB$11:AB$355)+COUNTIF(AB$11:AB112,AB112)-1),(RANK(AB112,AB$11:AB$355,1)+COUNTIF(AB$11:AB112,AB112)-1)))</f>
        <v/>
      </c>
      <c r="AD112" s="225"/>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t="e">
        <f>HLOOKUP($AX$9&amp;$AX$10,Data!$A$1:$ZZ$1992,(MATCH($C112,Data!$A$1:$A$1992,0)),FALSE)</f>
        <v>#N/A</v>
      </c>
      <c r="AY112" s="156"/>
      <c r="AZ112" s="44"/>
    </row>
    <row r="113" spans="1:52">
      <c r="A113" s="84" t="str">
        <f>$D$1&amp;103</f>
        <v>SC103</v>
      </c>
      <c r="B113" s="85">
        <f>IF(ISERROR(VLOOKUP(A113,classifications!A:C,3,FALSE)),0,VLOOKUP(A113,classifications!A:C,3,FALSE))</f>
        <v>0</v>
      </c>
      <c r="C113" s="31" t="s">
        <v>65</v>
      </c>
      <c r="D113" s="49" t="str">
        <f>VLOOKUP($C113,classifications!$C:$J,4,FALSE)</f>
        <v>SD</v>
      </c>
      <c r="E113" s="49">
        <f>VLOOKUP(C113,classifications!C:K,9,FALSE)</f>
        <v>0</v>
      </c>
      <c r="F113" s="59">
        <f t="shared" si="26"/>
        <v>0</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17" t="str">
        <f>IF(L113="","",VLOOKUP(L113,classifications!C:K,9,FALSE))</f>
        <v/>
      </c>
      <c r="U113" s="224" t="str">
        <f t="shared" si="31"/>
        <v/>
      </c>
      <c r="V113" s="225" t="str">
        <f>IF(U113="","",IF($I$8="A",(RANK(U113,U$11:U$355)+COUNTIF(U$11:U113,U113)-1),(RANK(U113,U$11:U$355,1)+COUNTIF(U$11:U113,U113)-1)))</f>
        <v/>
      </c>
      <c r="W113" s="226"/>
      <c r="X113" s="61" t="str">
        <f>IF(L113="","",VLOOKUP($L113,classifications!$C:$J,6,FALSE))</f>
        <v/>
      </c>
      <c r="Y113" s="49" t="b">
        <f t="shared" si="32"/>
        <v>0</v>
      </c>
      <c r="Z113" s="57" t="e">
        <f>IF(Y113="","",IF(I$8="A",(RANK(Y113,Y$11:Y$355,1)+COUNTIF(Y$11:Y113,Y113)-1),(RANK(Y113,Y$11:Y$355)+COUNTIF(Y$11:Y113,Y113)-1)))</f>
        <v>#N/A</v>
      </c>
      <c r="AA113" s="231" t="str">
        <f>IF(L113="","",VLOOKUP($L113,classifications!C:I,7,FALSE))</f>
        <v/>
      </c>
      <c r="AB113" s="225" t="str">
        <f t="shared" si="41"/>
        <v/>
      </c>
      <c r="AC113" s="225" t="str">
        <f>IF(AB113="","",IF($I$8="A",(RANK(AB113,AB$11:AB$355)+COUNTIF(AB$11:AB113,AB113)-1),(RANK(AB113,AB$11:AB$355,1)+COUNTIF(AB$11:AB113,AB113)-1)))</f>
        <v/>
      </c>
      <c r="AD113" s="225"/>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HLOOKUP($AX$9&amp;$AX$10,Data!$A$1:$ZZ$1992,(MATCH($C113,Data!$A$1:$A$1992,0)),FALSE)</f>
        <v>0</v>
      </c>
      <c r="AY113" s="156"/>
      <c r="AZ113" s="44"/>
    </row>
    <row r="114" spans="1:52">
      <c r="A114" s="84" t="str">
        <f>$D$1&amp;104</f>
        <v>SC104</v>
      </c>
      <c r="B114" s="85">
        <f>IF(ISERROR(VLOOKUP(A114,classifications!A:C,3,FALSE)),0,VLOOKUP(A114,classifications!A:C,3,FALSE))</f>
        <v>0</v>
      </c>
      <c r="C114" s="31" t="s">
        <v>312</v>
      </c>
      <c r="D114" s="49" t="str">
        <f>VLOOKUP($C114,classifications!$C:$J,4,FALSE)</f>
        <v>SC</v>
      </c>
      <c r="E114" s="49" t="str">
        <f>VLOOKUP(C114,classifications!C:K,9,FALSE)</f>
        <v>Sparse</v>
      </c>
      <c r="F114" s="59">
        <f t="shared" si="26"/>
        <v>0.187</v>
      </c>
      <c r="G114" s="105"/>
      <c r="H114" s="60">
        <f t="shared" si="27"/>
        <v>0.187</v>
      </c>
      <c r="I114" s="112">
        <f>IF(H114="","",IF($I$8="A",(RANK(H114,H$11:H$355,1)+COUNTIF(H$11:H114,H114)-1),(RANK(H114,H$11:H$355)+COUNTIF(H$11:H114,H114)-1)))</f>
        <v>21</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17" t="str">
        <f>IF(L114="","",VLOOKUP(L114,classifications!C:K,9,FALSE))</f>
        <v/>
      </c>
      <c r="U114" s="224" t="str">
        <f t="shared" si="31"/>
        <v/>
      </c>
      <c r="V114" s="225" t="str">
        <f>IF(U114="","",IF($I$8="A",(RANK(U114,U$11:U$355)+COUNTIF(U$11:U114,U114)-1),(RANK(U114,U$11:U$355,1)+COUNTIF(U$11:U114,U114)-1)))</f>
        <v/>
      </c>
      <c r="W114" s="226"/>
      <c r="X114" s="61" t="str">
        <f>IF(L114="","",VLOOKUP($L114,classifications!$C:$J,6,FALSE))</f>
        <v/>
      </c>
      <c r="Y114" s="49" t="b">
        <f t="shared" si="32"/>
        <v>0</v>
      </c>
      <c r="Z114" s="57" t="e">
        <f>IF(Y114="","",IF(I$8="A",(RANK(Y114,Y$11:Y$355,1)+COUNTIF(Y$11:Y114,Y114)-1),(RANK(Y114,Y$11:Y$355)+COUNTIF(Y$11:Y114,Y114)-1)))</f>
        <v>#N/A</v>
      </c>
      <c r="AA114" s="231" t="str">
        <f>IF(L114="","",VLOOKUP($L114,classifications!C:I,7,FALSE))</f>
        <v/>
      </c>
      <c r="AB114" s="225" t="str">
        <f t="shared" si="41"/>
        <v/>
      </c>
      <c r="AC114" s="225" t="str">
        <f>IF(AB114="","",IF($I$8="A",(RANK(AB114,AB$11:AB$355)+COUNTIF(AB$11:AB114,AB114)-1),(RANK(AB114,AB$11:AB$355,1)+COUNTIF(AB$11:AB114,AB114)-1)))</f>
        <v/>
      </c>
      <c r="AD114" s="225"/>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HLOOKUP($AX$9&amp;$AX$10,Data!$A$1:$ZZ$1992,(MATCH($C114,Data!$A$1:$A$1992,0)),FALSE)</f>
        <v>0.187</v>
      </c>
      <c r="AY114" s="156"/>
      <c r="AZ114" s="44"/>
    </row>
    <row r="115" spans="1:52">
      <c r="A115" s="84" t="str">
        <f>$D$1&amp;105</f>
        <v>SC105</v>
      </c>
      <c r="B115" s="85">
        <f>IF(ISERROR(VLOOKUP(A115,classifications!A:C,3,FALSE)),0,VLOOKUP(A115,classifications!A:C,3,FALSE))</f>
        <v>0</v>
      </c>
      <c r="C115" s="31" t="s">
        <v>66</v>
      </c>
      <c r="D115" s="49" t="str">
        <f>VLOOKUP($C115,classifications!$C:$J,4,FALSE)</f>
        <v>SD</v>
      </c>
      <c r="E115" s="49">
        <f>VLOOKUP(C115,classifications!C:K,9,FALSE)</f>
        <v>0</v>
      </c>
      <c r="F115" s="59">
        <f t="shared" si="26"/>
        <v>0</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17" t="str">
        <f>IF(L115="","",VLOOKUP(L115,classifications!C:K,9,FALSE))</f>
        <v/>
      </c>
      <c r="U115" s="224" t="str">
        <f t="shared" si="31"/>
        <v/>
      </c>
      <c r="V115" s="225" t="str">
        <f>IF(U115="","",IF($I$8="A",(RANK(U115,U$11:U$355)+COUNTIF(U$11:U115,U115)-1),(RANK(U115,U$11:U$355,1)+COUNTIF(U$11:U115,U115)-1)))</f>
        <v/>
      </c>
      <c r="W115" s="226"/>
      <c r="X115" s="61" t="str">
        <f>IF(L115="","",VLOOKUP($L115,classifications!$C:$J,6,FALSE))</f>
        <v/>
      </c>
      <c r="Y115" s="49" t="b">
        <f t="shared" si="32"/>
        <v>0</v>
      </c>
      <c r="Z115" s="57" t="e">
        <f>IF(Y115="","",IF(I$8="A",(RANK(Y115,Y$11:Y$355,1)+COUNTIF(Y$11:Y115,Y115)-1),(RANK(Y115,Y$11:Y$355)+COUNTIF(Y$11:Y115,Y115)-1)))</f>
        <v>#N/A</v>
      </c>
      <c r="AA115" s="231" t="str">
        <f>IF(L115="","",VLOOKUP($L115,classifications!C:I,7,FALSE))</f>
        <v/>
      </c>
      <c r="AB115" s="225" t="str">
        <f t="shared" si="41"/>
        <v/>
      </c>
      <c r="AC115" s="225" t="str">
        <f>IF(AB115="","",IF($I$8="A",(RANK(AB115,AB$11:AB$355)+COUNTIF(AB$11:AB115,AB115)-1),(RANK(AB115,AB$11:AB$355,1)+COUNTIF(AB$11:AB115,AB115)-1)))</f>
        <v/>
      </c>
      <c r="AD115" s="225"/>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HLOOKUP($AX$9&amp;$AX$10,Data!$A$1:$ZZ$1992,(MATCH($C115,Data!$A$1:$A$1992,0)),FALSE)</f>
        <v>0</v>
      </c>
      <c r="AY115" s="156"/>
      <c r="AZ115" s="44"/>
    </row>
    <row r="116" spans="1:52">
      <c r="A116" s="84" t="str">
        <f>$D$1&amp;106</f>
        <v>SC106</v>
      </c>
      <c r="B116" s="85">
        <f>IF(ISERROR(VLOOKUP(A116,classifications!A:C,3,FALSE)),0,VLOOKUP(A116,classifications!A:C,3,FALSE))</f>
        <v>0</v>
      </c>
      <c r="C116" s="31" t="s">
        <v>67</v>
      </c>
      <c r="D116" s="49" t="str">
        <f>VLOOKUP($C116,classifications!$C:$J,4,FALSE)</f>
        <v>SD</v>
      </c>
      <c r="E116" s="49">
        <f>VLOOKUP(C116,classifications!C:K,9,FALSE)</f>
        <v>0</v>
      </c>
      <c r="F116" s="59">
        <f t="shared" si="26"/>
        <v>0</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17" t="str">
        <f>IF(L116="","",VLOOKUP(L116,classifications!C:K,9,FALSE))</f>
        <v/>
      </c>
      <c r="U116" s="224" t="str">
        <f t="shared" si="31"/>
        <v/>
      </c>
      <c r="V116" s="225" t="str">
        <f>IF(U116="","",IF($I$8="A",(RANK(U116,U$11:U$355)+COUNTIF(U$11:U116,U116)-1),(RANK(U116,U$11:U$355,1)+COUNTIF(U$11:U116,U116)-1)))</f>
        <v/>
      </c>
      <c r="W116" s="226"/>
      <c r="X116" s="61" t="str">
        <f>IF(L116="","",VLOOKUP($L116,classifications!$C:$J,6,FALSE))</f>
        <v/>
      </c>
      <c r="Y116" s="49" t="b">
        <f t="shared" si="32"/>
        <v>0</v>
      </c>
      <c r="Z116" s="57" t="e">
        <f>IF(Y116="","",IF(I$8="A",(RANK(Y116,Y$11:Y$355,1)+COUNTIF(Y$11:Y116,Y116)-1),(RANK(Y116,Y$11:Y$355)+COUNTIF(Y$11:Y116,Y116)-1)))</f>
        <v>#N/A</v>
      </c>
      <c r="AA116" s="231" t="str">
        <f>IF(L116="","",VLOOKUP($L116,classifications!C:I,7,FALSE))</f>
        <v/>
      </c>
      <c r="AB116" s="225" t="str">
        <f t="shared" si="41"/>
        <v/>
      </c>
      <c r="AC116" s="225" t="str">
        <f>IF(AB116="","",IF($I$8="A",(RANK(AB116,AB$11:AB$355)+COUNTIF(AB$11:AB116,AB116)-1),(RANK(AB116,AB$11:AB$355,1)+COUNTIF(AB$11:AB116,AB116)-1)))</f>
        <v/>
      </c>
      <c r="AD116" s="225"/>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HLOOKUP($AX$9&amp;$AX$10,Data!$A$1:$ZZ$1992,(MATCH($C116,Data!$A$1:$A$1992,0)),FALSE)</f>
        <v>0</v>
      </c>
      <c r="AY116" s="156"/>
      <c r="AZ116" s="44"/>
    </row>
    <row r="117" spans="1:52">
      <c r="A117" s="84" t="str">
        <f>$D$1&amp;107</f>
        <v>SC107</v>
      </c>
      <c r="B117" s="85">
        <f>IF(ISERROR(VLOOKUP(A117,classifications!A:C,3,FALSE)),0,VLOOKUP(A117,classifications!A:C,3,FALSE))</f>
        <v>0</v>
      </c>
      <c r="C117" s="31" t="s">
        <v>68</v>
      </c>
      <c r="D117" s="49" t="str">
        <f>VLOOKUP($C117,classifications!$C:$J,4,FALSE)</f>
        <v>SD</v>
      </c>
      <c r="E117" s="49">
        <f>VLOOKUP(C117,classifications!C:K,9,FALSE)</f>
        <v>0</v>
      </c>
      <c r="F117" s="59">
        <f t="shared" si="26"/>
        <v>0</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17" t="str">
        <f>IF(L117="","",VLOOKUP(L117,classifications!C:K,9,FALSE))</f>
        <v/>
      </c>
      <c r="U117" s="224" t="str">
        <f t="shared" si="31"/>
        <v/>
      </c>
      <c r="V117" s="225" t="str">
        <f>IF(U117="","",IF($I$8="A",(RANK(U117,U$11:U$355)+COUNTIF(U$11:U117,U117)-1),(RANK(U117,U$11:U$355,1)+COUNTIF(U$11:U117,U117)-1)))</f>
        <v/>
      </c>
      <c r="W117" s="226"/>
      <c r="X117" s="61" t="str">
        <f>IF(L117="","",VLOOKUP($L117,classifications!$C:$J,6,FALSE))</f>
        <v/>
      </c>
      <c r="Y117" s="49" t="b">
        <f t="shared" si="32"/>
        <v>0</v>
      </c>
      <c r="Z117" s="57" t="e">
        <f>IF(Y117="","",IF(I$8="A",(RANK(Y117,Y$11:Y$355,1)+COUNTIF(Y$11:Y117,Y117)-1),(RANK(Y117,Y$11:Y$355)+COUNTIF(Y$11:Y117,Y117)-1)))</f>
        <v>#N/A</v>
      </c>
      <c r="AA117" s="231" t="str">
        <f>IF(L117="","",VLOOKUP($L117,classifications!C:I,7,FALSE))</f>
        <v/>
      </c>
      <c r="AB117" s="225" t="str">
        <f t="shared" si="41"/>
        <v/>
      </c>
      <c r="AC117" s="225" t="str">
        <f>IF(AB117="","",IF($I$8="A",(RANK(AB117,AB$11:AB$355)+COUNTIF(AB$11:AB117,AB117)-1),(RANK(AB117,AB$11:AB$355,1)+COUNTIF(AB$11:AB117,AB117)-1)))</f>
        <v/>
      </c>
      <c r="AD117" s="225"/>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HLOOKUP($AX$9&amp;$AX$10,Data!$A$1:$ZZ$1992,(MATCH($C117,Data!$A$1:$A$1992,0)),FALSE)</f>
        <v>0</v>
      </c>
      <c r="AY117" s="156"/>
      <c r="AZ117" s="44"/>
    </row>
    <row r="118" spans="1:52">
      <c r="A118" s="84" t="str">
        <f>$D$1&amp;108</f>
        <v>SC108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17" t="str">
        <f>IF(L118="","",VLOOKUP(L118,classifications!C:K,9,FALSE))</f>
        <v/>
      </c>
      <c r="U118" s="224" t="str">
        <f t="shared" si="31"/>
        <v/>
      </c>
      <c r="V118" s="225" t="str">
        <f>IF(U118="","",IF($I$8="A",(RANK(U118,U$11:U$355)+COUNTIF(U$11:U118,U118)-1),(RANK(U118,U$11:U$355,1)+COUNTIF(U$11:U118,U118)-1)))</f>
        <v/>
      </c>
      <c r="W118" s="226"/>
      <c r="X118" s="61" t="str">
        <f>IF(L118="","",VLOOKUP($L118,classifications!$C:$J,6,FALSE))</f>
        <v/>
      </c>
      <c r="Y118" s="49" t="b">
        <f t="shared" si="32"/>
        <v>0</v>
      </c>
      <c r="Z118" s="57" t="e">
        <f>IF(Y118="","",IF(I$8="A",(RANK(Y118,Y$11:Y$355,1)+COUNTIF(Y$11:Y118,Y118)-1),(RANK(Y118,Y$11:Y$355)+COUNTIF(Y$11:Y118,Y118)-1)))</f>
        <v>#N/A</v>
      </c>
      <c r="AA118" s="231" t="str">
        <f>IF(L118="","",VLOOKUP($L118,classifications!C:I,7,FALSE))</f>
        <v/>
      </c>
      <c r="AB118" s="225" t="str">
        <f t="shared" si="41"/>
        <v/>
      </c>
      <c r="AC118" s="225" t="str">
        <f>IF(AB118="","",IF($I$8="A",(RANK(AB118,AB$11:AB$355)+COUNTIF(AB$11:AB118,AB118)-1),(RANK(AB118,AB$11:AB$355,1)+COUNTIF(AB$11:AB118,AB118)-1)))</f>
        <v/>
      </c>
      <c r="AD118" s="225"/>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HLOOKUP($AX$9&amp;$AX$10,Data!$A$1:$ZZ$1992,(MATCH($C118,Data!$A$1:$A$1992,0)),FALSE)</f>
        <v>0</v>
      </c>
      <c r="AY118" s="156"/>
      <c r="AZ118" s="44"/>
    </row>
    <row r="119" spans="1:52">
      <c r="A119" s="84" t="str">
        <f>$D$1&amp;109</f>
        <v>SC109</v>
      </c>
      <c r="B119" s="85">
        <f>IF(ISERROR(VLOOKUP(A119,classifications!A:C,3,FALSE)),0,VLOOKUP(A119,classifications!A:C,3,FALSE))</f>
        <v>0</v>
      </c>
      <c r="C119" s="31" t="s">
        <v>71</v>
      </c>
      <c r="D119" s="49" t="str">
        <f>VLOOKUP($C119,classifications!$C:$J,4,FALSE)</f>
        <v>SD</v>
      </c>
      <c r="E119" s="49">
        <f>VLOOKUP(C119,classifications!C:K,9,FALSE)</f>
        <v>0</v>
      </c>
      <c r="F119" s="59">
        <f t="shared" si="26"/>
        <v>0</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17" t="str">
        <f>IF(L119="","",VLOOKUP(L119,classifications!C:K,9,FALSE))</f>
        <v/>
      </c>
      <c r="U119" s="224" t="str">
        <f t="shared" si="31"/>
        <v/>
      </c>
      <c r="V119" s="225" t="str">
        <f>IF(U119="","",IF($I$8="A",(RANK(U119,U$11:U$355)+COUNTIF(U$11:U119,U119)-1),(RANK(U119,U$11:U$355,1)+COUNTIF(U$11:U119,U119)-1)))</f>
        <v/>
      </c>
      <c r="W119" s="226"/>
      <c r="X119" s="61" t="str">
        <f>IF(L119="","",VLOOKUP($L119,classifications!$C:$J,6,FALSE))</f>
        <v/>
      </c>
      <c r="Y119" s="49" t="b">
        <f t="shared" si="32"/>
        <v>0</v>
      </c>
      <c r="Z119" s="57" t="e">
        <f>IF(Y119="","",IF(I$8="A",(RANK(Y119,Y$11:Y$355,1)+COUNTIF(Y$11:Y119,Y119)-1),(RANK(Y119,Y$11:Y$355)+COUNTIF(Y$11:Y119,Y119)-1)))</f>
        <v>#N/A</v>
      </c>
      <c r="AA119" s="231" t="str">
        <f>IF(L119="","",VLOOKUP($L119,classifications!C:I,7,FALSE))</f>
        <v/>
      </c>
      <c r="AB119" s="225" t="str">
        <f t="shared" si="41"/>
        <v/>
      </c>
      <c r="AC119" s="225" t="str">
        <f>IF(AB119="","",IF($I$8="A",(RANK(AB119,AB$11:AB$355)+COUNTIF(AB$11:AB119,AB119)-1),(RANK(AB119,AB$11:AB$355,1)+COUNTIF(AB$11:AB119,AB119)-1)))</f>
        <v/>
      </c>
      <c r="AD119" s="225"/>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HLOOKUP($AX$9&amp;$AX$10,Data!$A$1:$ZZ$1992,(MATCH($C119,Data!$A$1:$A$1992,0)),FALSE)</f>
        <v>0</v>
      </c>
      <c r="AY119" s="156"/>
      <c r="AZ119" s="44"/>
    </row>
    <row r="120" spans="1:52">
      <c r="A120" s="84" t="str">
        <f>$D$1&amp;110</f>
        <v>SC110</v>
      </c>
      <c r="B120" s="85">
        <f>IF(ISERROR(VLOOKUP(A120,classifications!A:C,3,FALSE)),0,VLOOKUP(A120,classifications!A:C,3,FALSE))</f>
        <v>0</v>
      </c>
      <c r="C120" s="31" t="s">
        <v>232</v>
      </c>
      <c r="D120" s="49" t="str">
        <f>VLOOKUP($C120,classifications!$C:$J,4,FALSE)</f>
        <v>MD</v>
      </c>
      <c r="E120" s="49">
        <f>VLOOKUP(C120,classifications!C:K,9,FALSE)</f>
        <v>0</v>
      </c>
      <c r="F120" s="59">
        <f t="shared" si="26"/>
        <v>5.0000000000000001E-3</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17" t="str">
        <f>IF(L120="","",VLOOKUP(L120,classifications!C:K,9,FALSE))</f>
        <v/>
      </c>
      <c r="U120" s="224" t="str">
        <f t="shared" si="31"/>
        <v/>
      </c>
      <c r="V120" s="225" t="str">
        <f>IF(U120="","",IF($I$8="A",(RANK(U120,U$11:U$355)+COUNTIF(U$11:U120,U120)-1),(RANK(U120,U$11:U$355,1)+COUNTIF(U$11:U120,U120)-1)))</f>
        <v/>
      </c>
      <c r="W120" s="226"/>
      <c r="X120" s="61" t="str">
        <f>IF(L120="","",VLOOKUP($L120,classifications!$C:$J,6,FALSE))</f>
        <v/>
      </c>
      <c r="Y120" s="49" t="b">
        <f t="shared" si="32"/>
        <v>0</v>
      </c>
      <c r="Z120" s="57" t="e">
        <f>IF(Y120="","",IF(I$8="A",(RANK(Y120,Y$11:Y$355,1)+COUNTIF(Y$11:Y120,Y120)-1),(RANK(Y120,Y$11:Y$355)+COUNTIF(Y$11:Y120,Y120)-1)))</f>
        <v>#N/A</v>
      </c>
      <c r="AA120" s="231" t="str">
        <f>IF(L120="","",VLOOKUP($L120,classifications!C:I,7,FALSE))</f>
        <v/>
      </c>
      <c r="AB120" s="225" t="str">
        <f t="shared" si="41"/>
        <v/>
      </c>
      <c r="AC120" s="225" t="str">
        <f>IF(AB120="","",IF($I$8="A",(RANK(AB120,AB$11:AB$355)+COUNTIF(AB$11:AB120,AB120)-1),(RANK(AB120,AB$11:AB$355,1)+COUNTIF(AB$11:AB120,AB120)-1)))</f>
        <v/>
      </c>
      <c r="AD120" s="225"/>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HLOOKUP($AX$9&amp;$AX$10,Data!$A$1:$ZZ$1992,(MATCH($C120,Data!$A$1:$A$1992,0)),FALSE)</f>
        <v>5.0000000000000001E-3</v>
      </c>
      <c r="AY120" s="156"/>
      <c r="AZ120" s="44"/>
    </row>
    <row r="121" spans="1:52">
      <c r="A121" s="84" t="str">
        <f>$D$1&amp;111</f>
        <v>SC111</v>
      </c>
      <c r="B121" s="85">
        <f>IF(ISERROR(VLOOKUP(A121,classifications!A:C,3,FALSE)),0,VLOOKUP(A121,classifications!A:C,3,FALSE))</f>
        <v>0</v>
      </c>
      <c r="C121" s="31" t="s">
        <v>72</v>
      </c>
      <c r="D121" s="49" t="str">
        <f>VLOOKUP($C121,classifications!$C:$J,4,FALSE)</f>
        <v>SD</v>
      </c>
      <c r="E121" s="49">
        <f>VLOOKUP(C121,classifications!C:K,9,FALSE)</f>
        <v>0</v>
      </c>
      <c r="F121" s="59">
        <f t="shared" si="26"/>
        <v>0</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17" t="str">
        <f>IF(L121="","",VLOOKUP(L121,classifications!C:K,9,FALSE))</f>
        <v/>
      </c>
      <c r="U121" s="224" t="str">
        <f t="shared" si="31"/>
        <v/>
      </c>
      <c r="V121" s="225" t="str">
        <f>IF(U121="","",IF($I$8="A",(RANK(U121,U$11:U$355)+COUNTIF(U$11:U121,U121)-1),(RANK(U121,U$11:U$355,1)+COUNTIF(U$11:U121,U121)-1)))</f>
        <v/>
      </c>
      <c r="W121" s="226"/>
      <c r="X121" s="61" t="str">
        <f>IF(L121="","",VLOOKUP($L121,classifications!$C:$J,6,FALSE))</f>
        <v/>
      </c>
      <c r="Y121" s="49" t="b">
        <f t="shared" si="32"/>
        <v>0</v>
      </c>
      <c r="Z121" s="57" t="e">
        <f>IF(Y121="","",IF(I$8="A",(RANK(Y121,Y$11:Y$355,1)+COUNTIF(Y$11:Y121,Y121)-1),(RANK(Y121,Y$11:Y$355)+COUNTIF(Y$11:Y121,Y121)-1)))</f>
        <v>#N/A</v>
      </c>
      <c r="AA121" s="231" t="str">
        <f>IF(L121="","",VLOOKUP($L121,classifications!C:I,7,FALSE))</f>
        <v/>
      </c>
      <c r="AB121" s="225" t="str">
        <f t="shared" si="41"/>
        <v/>
      </c>
      <c r="AC121" s="225" t="str">
        <f>IF(AB121="","",IF($I$8="A",(RANK(AB121,AB$11:AB$355)+COUNTIF(AB$11:AB121,AB121)-1),(RANK(AB121,AB$11:AB$355,1)+COUNTIF(AB$11:AB121,AB121)-1)))</f>
        <v/>
      </c>
      <c r="AD121" s="225"/>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HLOOKUP($AX$9&amp;$AX$10,Data!$A$1:$ZZ$1992,(MATCH($C121,Data!$A$1:$A$1992,0)),FALSE)</f>
        <v>0</v>
      </c>
      <c r="AY121" s="156"/>
      <c r="AZ121" s="44"/>
    </row>
    <row r="122" spans="1:52">
      <c r="A122" s="84" t="str">
        <f>$D$1&amp;112</f>
        <v>SC112</v>
      </c>
      <c r="B122" s="85">
        <f>IF(ISERROR(VLOOKUP(A122,classifications!A:C,3,FALSE)),0,VLOOKUP(A122,classifications!A:C,3,FALSE))</f>
        <v>0</v>
      </c>
      <c r="C122" s="31" t="s">
        <v>73</v>
      </c>
      <c r="D122" s="49" t="str">
        <f>VLOOKUP($C122,classifications!$C:$J,4,FALSE)</f>
        <v>SD</v>
      </c>
      <c r="E122" s="49">
        <f>VLOOKUP(C122,classifications!C:K,9,FALSE)</f>
        <v>0</v>
      </c>
      <c r="F122" s="59">
        <f t="shared" si="26"/>
        <v>0</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17" t="str">
        <f>IF(L122="","",VLOOKUP(L122,classifications!C:K,9,FALSE))</f>
        <v/>
      </c>
      <c r="U122" s="224" t="str">
        <f t="shared" si="31"/>
        <v/>
      </c>
      <c r="V122" s="225" t="str">
        <f>IF(U122="","",IF($I$8="A",(RANK(U122,U$11:U$355)+COUNTIF(U$11:U122,U122)-1),(RANK(U122,U$11:U$355,1)+COUNTIF(U$11:U122,U122)-1)))</f>
        <v/>
      </c>
      <c r="W122" s="226"/>
      <c r="X122" s="61" t="str">
        <f>IF(L122="","",VLOOKUP($L122,classifications!$C:$J,6,FALSE))</f>
        <v/>
      </c>
      <c r="Y122" s="49" t="b">
        <f t="shared" si="32"/>
        <v>0</v>
      </c>
      <c r="Z122" s="57" t="e">
        <f>IF(Y122="","",IF(I$8="A",(RANK(Y122,Y$11:Y$355,1)+COUNTIF(Y$11:Y122,Y122)-1),(RANK(Y122,Y$11:Y$355)+COUNTIF(Y$11:Y122,Y122)-1)))</f>
        <v>#N/A</v>
      </c>
      <c r="AA122" s="231" t="str">
        <f>IF(L122="","",VLOOKUP($L122,classifications!C:I,7,FALSE))</f>
        <v/>
      </c>
      <c r="AB122" s="225" t="str">
        <f t="shared" si="41"/>
        <v/>
      </c>
      <c r="AC122" s="225" t="str">
        <f>IF(AB122="","",IF($I$8="A",(RANK(AB122,AB$11:AB$355)+COUNTIF(AB$11:AB122,AB122)-1),(RANK(AB122,AB$11:AB$355,1)+COUNTIF(AB$11:AB122,AB122)-1)))</f>
        <v/>
      </c>
      <c r="AD122" s="225"/>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HLOOKUP($AX$9&amp;$AX$10,Data!$A$1:$ZZ$1992,(MATCH($C122,Data!$A$1:$A$1992,0)),FALSE)</f>
        <v>0</v>
      </c>
      <c r="AY122" s="156"/>
      <c r="AZ122" s="44"/>
    </row>
    <row r="123" spans="1:52">
      <c r="A123" s="84" t="str">
        <f>$D$1&amp;113</f>
        <v>SC113</v>
      </c>
      <c r="B123" s="85">
        <f>IF(ISERROR(VLOOKUP(A123,classifications!A:C,3,FALSE)),0,VLOOKUP(A123,classifications!A:C,3,FALSE))</f>
        <v>0</v>
      </c>
      <c r="C123" s="31" t="s">
        <v>313</v>
      </c>
      <c r="D123" s="49" t="str">
        <f>VLOOKUP($C123,classifications!$C:$J,4,FALSE)</f>
        <v>SC</v>
      </c>
      <c r="E123" s="49">
        <f>VLOOKUP(C123,classifications!C:K,9,FALSE)</f>
        <v>0</v>
      </c>
      <c r="F123" s="59">
        <f t="shared" si="26"/>
        <v>0.17799999999999999</v>
      </c>
      <c r="G123" s="105"/>
      <c r="H123" s="60">
        <f t="shared" si="27"/>
        <v>0.17799999999999999</v>
      </c>
      <c r="I123" s="112">
        <f>IF(H123="","",IF($I$8="A",(RANK(H123,H$11:H$355,1)+COUNTIF(H$11:H123,H123)-1),(RANK(H123,H$11:H$355)+COUNTIF(H$11:H123,H123)-1)))</f>
        <v>19</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17" t="str">
        <f>IF(L123="","",VLOOKUP(L123,classifications!C:K,9,FALSE))</f>
        <v/>
      </c>
      <c r="U123" s="224" t="str">
        <f t="shared" si="31"/>
        <v/>
      </c>
      <c r="V123" s="225" t="str">
        <f>IF(U123="","",IF($I$8="A",(RANK(U123,U$11:U$355)+COUNTIF(U$11:U123,U123)-1),(RANK(U123,U$11:U$355,1)+COUNTIF(U$11:U123,U123)-1)))</f>
        <v/>
      </c>
      <c r="W123" s="226"/>
      <c r="X123" s="61" t="str">
        <f>IF(L123="","",VLOOKUP($L123,classifications!$C:$J,6,FALSE))</f>
        <v/>
      </c>
      <c r="Y123" s="49" t="b">
        <f t="shared" si="32"/>
        <v>0</v>
      </c>
      <c r="Z123" s="57" t="e">
        <f>IF(Y123="","",IF(I$8="A",(RANK(Y123,Y$11:Y$355,1)+COUNTIF(Y$11:Y123,Y123)-1),(RANK(Y123,Y$11:Y$355)+COUNTIF(Y$11:Y123,Y123)-1)))</f>
        <v>#N/A</v>
      </c>
      <c r="AA123" s="231" t="str">
        <f>IF(L123="","",VLOOKUP($L123,classifications!C:I,7,FALSE))</f>
        <v/>
      </c>
      <c r="AB123" s="225" t="str">
        <f t="shared" si="41"/>
        <v/>
      </c>
      <c r="AC123" s="225" t="str">
        <f>IF(AB123="","",IF($I$8="A",(RANK(AB123,AB$11:AB$355)+COUNTIF(AB$11:AB123,AB123)-1),(RANK(AB123,AB$11:AB$355,1)+COUNTIF(AB$11:AB123,AB123)-1)))</f>
        <v/>
      </c>
      <c r="AD123" s="225"/>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HLOOKUP($AX$9&amp;$AX$10,Data!$A$1:$ZZ$1992,(MATCH($C123,Data!$A$1:$A$1992,0)),FALSE)</f>
        <v>0.17799999999999999</v>
      </c>
      <c r="AY123" s="156"/>
      <c r="AZ123" s="44"/>
    </row>
    <row r="124" spans="1:52">
      <c r="A124" s="84" t="str">
        <f>$D$1&amp;114</f>
        <v>SC114</v>
      </c>
      <c r="B124" s="85">
        <f>IF(ISERROR(VLOOKUP(A124,classifications!A:C,3,FALSE)),0,VLOOKUP(A124,classifications!A:C,3,FALSE))</f>
        <v>0</v>
      </c>
      <c r="C124" s="31" t="s">
        <v>74</v>
      </c>
      <c r="D124" s="49" t="str">
        <f>VLOOKUP($C124,classifications!$C:$J,4,FALSE)</f>
        <v>SD</v>
      </c>
      <c r="E124" s="49">
        <f>VLOOKUP(C124,classifications!C:K,9,FALSE)</f>
        <v>0</v>
      </c>
      <c r="F124" s="59">
        <f t="shared" si="26"/>
        <v>0</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17" t="str">
        <f>IF(L124="","",VLOOKUP(L124,classifications!C:K,9,FALSE))</f>
        <v/>
      </c>
      <c r="U124" s="224" t="str">
        <f t="shared" si="31"/>
        <v/>
      </c>
      <c r="V124" s="225" t="str">
        <f>IF(U124="","",IF($I$8="A",(RANK(U124,U$11:U$355)+COUNTIF(U$11:U124,U124)-1),(RANK(U124,U$11:U$355,1)+COUNTIF(U$11:U124,U124)-1)))</f>
        <v/>
      </c>
      <c r="W124" s="226"/>
      <c r="X124" s="61" t="str">
        <f>IF(L124="","",VLOOKUP($L124,classifications!$C:$J,6,FALSE))</f>
        <v/>
      </c>
      <c r="Y124" s="49" t="b">
        <f t="shared" si="32"/>
        <v>0</v>
      </c>
      <c r="Z124" s="57" t="e">
        <f>IF(Y124="","",IF(I$8="A",(RANK(Y124,Y$11:Y$355,1)+COUNTIF(Y$11:Y124,Y124)-1),(RANK(Y124,Y$11:Y$355)+COUNTIF(Y$11:Y124,Y124)-1)))</f>
        <v>#N/A</v>
      </c>
      <c r="AA124" s="231" t="str">
        <f>IF(L124="","",VLOOKUP($L124,classifications!C:I,7,FALSE))</f>
        <v/>
      </c>
      <c r="AB124" s="225" t="str">
        <f t="shared" si="41"/>
        <v/>
      </c>
      <c r="AC124" s="225" t="str">
        <f>IF(AB124="","",IF($I$8="A",(RANK(AB124,AB$11:AB$355)+COUNTIF(AB$11:AB124,AB124)-1),(RANK(AB124,AB$11:AB$355,1)+COUNTIF(AB$11:AB124,AB124)-1)))</f>
        <v/>
      </c>
      <c r="AD124" s="225"/>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HLOOKUP($AX$9&amp;$AX$10,Data!$A$1:$ZZ$1992,(MATCH($C124,Data!$A$1:$A$1992,0)),FALSE)</f>
        <v>0</v>
      </c>
      <c r="AY124" s="156"/>
      <c r="AZ124" s="44"/>
    </row>
    <row r="125" spans="1:52">
      <c r="A125" s="84" t="str">
        <f>$D$1&amp;115</f>
        <v>SC115</v>
      </c>
      <c r="B125" s="85">
        <f>IF(ISERROR(VLOOKUP(A125,classifications!A:C,3,FALSE)),0,VLOOKUP(A125,classifications!A:C,3,FALSE))</f>
        <v>0</v>
      </c>
      <c r="C125" s="31" t="s">
        <v>75</v>
      </c>
      <c r="D125" s="49" t="str">
        <f>VLOOKUP($C125,classifications!$C:$J,4,FALSE)</f>
        <v>SD</v>
      </c>
      <c r="E125" s="49">
        <f>VLOOKUP(C125,classifications!C:K,9,FALSE)</f>
        <v>0</v>
      </c>
      <c r="F125" s="59">
        <f t="shared" si="26"/>
        <v>0</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17" t="str">
        <f>IF(L125="","",VLOOKUP(L125,classifications!C:K,9,FALSE))</f>
        <v/>
      </c>
      <c r="U125" s="224" t="str">
        <f t="shared" si="31"/>
        <v/>
      </c>
      <c r="V125" s="225" t="str">
        <f>IF(U125="","",IF($I$8="A",(RANK(U125,U$11:U$355)+COUNTIF(U$11:U125,U125)-1),(RANK(U125,U$11:U$355,1)+COUNTIF(U$11:U125,U125)-1)))</f>
        <v/>
      </c>
      <c r="W125" s="226"/>
      <c r="X125" s="61" t="str">
        <f>IF(L125="","",VLOOKUP($L125,classifications!$C:$J,6,FALSE))</f>
        <v/>
      </c>
      <c r="Y125" s="49" t="b">
        <f t="shared" si="32"/>
        <v>0</v>
      </c>
      <c r="Z125" s="57" t="e">
        <f>IF(Y125="","",IF(I$8="A",(RANK(Y125,Y$11:Y$355,1)+COUNTIF(Y$11:Y125,Y125)-1),(RANK(Y125,Y$11:Y$355)+COUNTIF(Y$11:Y125,Y125)-1)))</f>
        <v>#N/A</v>
      </c>
      <c r="AA125" s="231" t="str">
        <f>IF(L125="","",VLOOKUP($L125,classifications!C:I,7,FALSE))</f>
        <v/>
      </c>
      <c r="AB125" s="225" t="str">
        <f t="shared" si="41"/>
        <v/>
      </c>
      <c r="AC125" s="225" t="str">
        <f>IF(AB125="","",IF($I$8="A",(RANK(AB125,AB$11:AB$355)+COUNTIF(AB$11:AB125,AB125)-1),(RANK(AB125,AB$11:AB$355,1)+COUNTIF(AB$11:AB125,AB125)-1)))</f>
        <v/>
      </c>
      <c r="AD125" s="225"/>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HLOOKUP($AX$9&amp;$AX$10,Data!$A$1:$ZZ$1992,(MATCH($C125,Data!$A$1:$A$1992,0)),FALSE)</f>
        <v>0</v>
      </c>
      <c r="AY125" s="156"/>
      <c r="AZ125" s="44"/>
    </row>
    <row r="126" spans="1:52">
      <c r="A126" s="84" t="str">
        <f>$D$1&amp;116</f>
        <v>SC116</v>
      </c>
      <c r="B126" s="85">
        <f>IF(ISERROR(VLOOKUP(A126,classifications!A:C,3,FALSE)),0,VLOOKUP(A126,classifications!A:C,3,FALSE))</f>
        <v>0</v>
      </c>
      <c r="C126" s="31" t="s">
        <v>76</v>
      </c>
      <c r="D126" s="49" t="str">
        <f>VLOOKUP($C126,classifications!$C:$J,4,FALSE)</f>
        <v>SD</v>
      </c>
      <c r="E126" s="49">
        <f>VLOOKUP(C126,classifications!C:K,9,FALSE)</f>
        <v>0</v>
      </c>
      <c r="F126" s="59">
        <f t="shared" si="26"/>
        <v>0</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17" t="str">
        <f>IF(L126="","",VLOOKUP(L126,classifications!C:K,9,FALSE))</f>
        <v/>
      </c>
      <c r="U126" s="224" t="str">
        <f t="shared" si="31"/>
        <v/>
      </c>
      <c r="V126" s="225" t="str">
        <f>IF(U126="","",IF($I$8="A",(RANK(U126,U$11:U$355)+COUNTIF(U$11:U126,U126)-1),(RANK(U126,U$11:U$355,1)+COUNTIF(U$11:U126,U126)-1)))</f>
        <v/>
      </c>
      <c r="W126" s="226"/>
      <c r="X126" s="61" t="str">
        <f>IF(L126="","",VLOOKUP($L126,classifications!$C:$J,6,FALSE))</f>
        <v/>
      </c>
      <c r="Y126" s="49" t="b">
        <f t="shared" si="32"/>
        <v>0</v>
      </c>
      <c r="Z126" s="57" t="e">
        <f>IF(Y126="","",IF(I$8="A",(RANK(Y126,Y$11:Y$355,1)+COUNTIF(Y$11:Y126,Y126)-1),(RANK(Y126,Y$11:Y$355)+COUNTIF(Y$11:Y126,Y126)-1)))</f>
        <v>#N/A</v>
      </c>
      <c r="AA126" s="231" t="str">
        <f>IF(L126="","",VLOOKUP($L126,classifications!C:I,7,FALSE))</f>
        <v/>
      </c>
      <c r="AB126" s="225" t="str">
        <f>IF(AA126=$J$3,M126,"")</f>
        <v/>
      </c>
      <c r="AC126" s="225" t="str">
        <f>IF(AB126="","",IF($I$8="A",(RANK(AB126,AB$11:AB$355)+COUNTIF(AB$11:AB126,AB126)-1),(RANK(AB126,AB$11:AB$355,1)+COUNTIF(AB$11:AB126,AB126)-1)))</f>
        <v/>
      </c>
      <c r="AD126" s="225"/>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HLOOKUP($AX$9&amp;$AX$10,Data!$A$1:$ZZ$1992,(MATCH($C126,Data!$A$1:$A$1992,0)),FALSE)</f>
        <v>0</v>
      </c>
      <c r="AY126" s="156"/>
      <c r="AZ126" s="44"/>
    </row>
    <row r="127" spans="1:52">
      <c r="A127" s="84" t="str">
        <f>$D$1&amp;117</f>
        <v>SC117</v>
      </c>
      <c r="B127" s="85">
        <f>IF(ISERROR(VLOOKUP(A127,classifications!A:C,3,FALSE)),0,VLOOKUP(A127,classifications!A:C,3,FALSE))</f>
        <v>0</v>
      </c>
      <c r="C127" s="31" t="s">
        <v>205</v>
      </c>
      <c r="D127" s="49" t="str">
        <f>VLOOKUP($C127,classifications!$C:$J,4,FALSE)</f>
        <v>L</v>
      </c>
      <c r="E127" s="49">
        <f>VLOOKUP(C127,classifications!C:K,9,FALSE)</f>
        <v>0</v>
      </c>
      <c r="F127" s="59">
        <f t="shared" si="26"/>
        <v>2.3E-2</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17" t="str">
        <f>IF(L127="","",VLOOKUP(L127,classifications!C:K,9,FALSE))</f>
        <v/>
      </c>
      <c r="U127" s="224" t="str">
        <f t="shared" si="31"/>
        <v/>
      </c>
      <c r="V127" s="225" t="str">
        <f>IF(U127="","",IF($I$8="A",(RANK(U127,U$11:U$355)+COUNTIF(U$11:U127,U127)-1),(RANK(U127,U$11:U$355,1)+COUNTIF(U$11:U127,U127)-1)))</f>
        <v/>
      </c>
      <c r="W127" s="226"/>
      <c r="X127" s="61" t="str">
        <f>IF(L127="","",VLOOKUP($L127,classifications!$C:$J,6,FALSE))</f>
        <v/>
      </c>
      <c r="Y127" s="49" t="b">
        <f t="shared" si="32"/>
        <v>0</v>
      </c>
      <c r="Z127" s="57" t="e">
        <f>IF(Y127="","",IF(I$8="A",(RANK(Y127,Y$11:Y$355,1)+COUNTIF(Y$11:Y127,Y127)-1),(RANK(Y127,Y$11:Y$355)+COUNTIF(Y$11:Y127,Y127)-1)))</f>
        <v>#N/A</v>
      </c>
      <c r="AA127" s="231" t="str">
        <f>IF(L127="","",VLOOKUP($L127,classifications!C:I,7,FALSE))</f>
        <v/>
      </c>
      <c r="AB127" s="225" t="str">
        <f t="shared" si="41"/>
        <v/>
      </c>
      <c r="AC127" s="225" t="str">
        <f>IF(AB127="","",IF($I$8="A",(RANK(AB127,AB$11:AB$355)+COUNTIF(AB$11:AB127,AB127)-1),(RANK(AB127,AB$11:AB$355,1)+COUNTIF(AB$11:AB127,AB127)-1)))</f>
        <v/>
      </c>
      <c r="AD127" s="225"/>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HLOOKUP($AX$9&amp;$AX$10,Data!$A$1:$ZZ$1992,(MATCH($C127,Data!$A$1:$A$1992,0)),FALSE)</f>
        <v>2.3E-2</v>
      </c>
      <c r="AY127" s="156"/>
      <c r="AZ127" s="44"/>
    </row>
    <row r="128" spans="1:52">
      <c r="A128" s="84" t="str">
        <f>$D$1&amp;118</f>
        <v>SC118</v>
      </c>
      <c r="B128" s="85">
        <f>IF(ISERROR(VLOOKUP(A128,classifications!A:C,3,FALSE)),0,VLOOKUP(A128,classifications!A:C,3,FALSE))</f>
        <v>0</v>
      </c>
      <c r="C128" s="31" t="s">
        <v>77</v>
      </c>
      <c r="D128" s="49" t="str">
        <f>VLOOKUP($C128,classifications!$C:$J,4,FALSE)</f>
        <v>SD</v>
      </c>
      <c r="E128" s="49">
        <f>VLOOKUP(C128,classifications!C:K,9,FALSE)</f>
        <v>0</v>
      </c>
      <c r="F128" s="59">
        <f t="shared" si="26"/>
        <v>0</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17" t="str">
        <f>IF(L128="","",VLOOKUP(L128,classifications!C:K,9,FALSE))</f>
        <v/>
      </c>
      <c r="U128" s="224" t="str">
        <f t="shared" si="31"/>
        <v/>
      </c>
      <c r="V128" s="225" t="str">
        <f>IF(U128="","",IF($I$8="A",(RANK(U128,U$11:U$355)+COUNTIF(U$11:U128,U128)-1),(RANK(U128,U$11:U$355,1)+COUNTIF(U$11:U128,U128)-1)))</f>
        <v/>
      </c>
      <c r="W128" s="226"/>
      <c r="X128" s="61" t="str">
        <f>IF(L128="","",VLOOKUP($L128,classifications!$C:$J,6,FALSE))</f>
        <v/>
      </c>
      <c r="Y128" s="49" t="b">
        <f t="shared" si="32"/>
        <v>0</v>
      </c>
      <c r="Z128" s="57" t="e">
        <f>IF(Y128="","",IF(I$8="A",(RANK(Y128,Y$11:Y$355,1)+COUNTIF(Y$11:Y128,Y128)-1),(RANK(Y128,Y$11:Y$355)+COUNTIF(Y$11:Y128,Y128)-1)))</f>
        <v>#N/A</v>
      </c>
      <c r="AA128" s="231" t="str">
        <f>IF(L128="","",VLOOKUP($L128,classifications!C:I,7,FALSE))</f>
        <v/>
      </c>
      <c r="AB128" s="225" t="str">
        <f t="shared" si="41"/>
        <v/>
      </c>
      <c r="AC128" s="225" t="str">
        <f>IF(AB128="","",IF($I$8="A",(RANK(AB128,AB$11:AB$355)+COUNTIF(AB$11:AB128,AB128)-1),(RANK(AB128,AB$11:AB$355,1)+COUNTIF(AB$11:AB128,AB128)-1)))</f>
        <v/>
      </c>
      <c r="AD128" s="225"/>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HLOOKUP($AX$9&amp;$AX$10,Data!$A$1:$ZZ$1992,(MATCH($C128,Data!$A$1:$A$1992,0)),FALSE)</f>
        <v>0</v>
      </c>
      <c r="AY128" s="156"/>
      <c r="AZ128" s="44"/>
    </row>
    <row r="129" spans="1:52">
      <c r="A129" s="84" t="str">
        <f>$D$1&amp;119</f>
        <v>SC119</v>
      </c>
      <c r="B129" s="85">
        <f>IF(ISERROR(VLOOKUP(A129,classifications!A:C,3,FALSE)),0,VLOOKUP(A129,classifications!A:C,3,FALSE))</f>
        <v>0</v>
      </c>
      <c r="C129" s="31" t="s">
        <v>206</v>
      </c>
      <c r="D129" s="49" t="str">
        <f>VLOOKUP($C129,classifications!$C:$J,4,FALSE)</f>
        <v>L</v>
      </c>
      <c r="E129" s="49">
        <f>VLOOKUP(C129,classifications!C:K,9,FALSE)</f>
        <v>0</v>
      </c>
      <c r="F129" s="59">
        <f t="shared" si="26"/>
        <v>0</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17" t="str">
        <f>IF(L129="","",VLOOKUP(L129,classifications!C:K,9,FALSE))</f>
        <v/>
      </c>
      <c r="U129" s="224" t="str">
        <f t="shared" si="31"/>
        <v/>
      </c>
      <c r="V129" s="225" t="str">
        <f>IF(U129="","",IF($I$8="A",(RANK(U129,U$11:U$355)+COUNTIF(U$11:U129,U129)-1),(RANK(U129,U$11:U$355,1)+COUNTIF(U$11:U129,U129)-1)))</f>
        <v/>
      </c>
      <c r="W129" s="226"/>
      <c r="X129" s="61" t="str">
        <f>IF(L129="","",VLOOKUP($L129,classifications!$C:$J,6,FALSE))</f>
        <v/>
      </c>
      <c r="Y129" s="49" t="b">
        <f t="shared" si="32"/>
        <v>0</v>
      </c>
      <c r="Z129" s="57" t="e">
        <f>IF(Y129="","",IF(I$8="A",(RANK(Y129,Y$11:Y$355,1)+COUNTIF(Y$11:Y129,Y129)-1),(RANK(Y129,Y$11:Y$355)+COUNTIF(Y$11:Y129,Y129)-1)))</f>
        <v>#N/A</v>
      </c>
      <c r="AA129" s="231" t="str">
        <f>IF(L129="","",VLOOKUP($L129,classifications!C:I,7,FALSE))</f>
        <v/>
      </c>
      <c r="AB129" s="225" t="str">
        <f t="shared" si="41"/>
        <v/>
      </c>
      <c r="AC129" s="225" t="str">
        <f>IF(AB129="","",IF($I$8="A",(RANK(AB129,AB$11:AB$355)+COUNTIF(AB$11:AB129,AB129)-1),(RANK(AB129,AB$11:AB$355,1)+COUNTIF(AB$11:AB129,AB129)-1)))</f>
        <v/>
      </c>
      <c r="AD129" s="225"/>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HLOOKUP($AX$9&amp;$AX$10,Data!$A$1:$ZZ$1992,(MATCH($C129,Data!$A$1:$A$1992,0)),FALSE)</f>
        <v>0</v>
      </c>
      <c r="AY129" s="156"/>
      <c r="AZ129" s="44"/>
    </row>
    <row r="130" spans="1:52">
      <c r="A130" s="84" t="str">
        <f>$D$1&amp;120</f>
        <v>SC120</v>
      </c>
      <c r="B130" s="85">
        <f>IF(ISERROR(VLOOKUP(A130,classifications!A:C,3,FALSE)),0,VLOOKUP(A130,classifications!A:C,3,FALSE))</f>
        <v>0</v>
      </c>
      <c r="C130" s="31" t="s">
        <v>269</v>
      </c>
      <c r="D130" s="49" t="str">
        <f>VLOOKUP($C130,classifications!$C:$J,4,FALSE)</f>
        <v>UA</v>
      </c>
      <c r="E130" s="49">
        <f>VLOOKUP(C130,classifications!C:K,9,FALSE)</f>
        <v>0</v>
      </c>
      <c r="F130" s="59">
        <f t="shared" si="26"/>
        <v>0</v>
      </c>
      <c r="G130" s="105"/>
      <c r="H130" s="60" t="str">
        <f t="shared" si="27"/>
        <v/>
      </c>
      <c r="I130" s="112" t="str">
        <f>IF(H130="","",IF($I$8="A",(RANK(H130,H$11:H$355,1)+COUNTIF(H$11:H130,H130)-1),(RANK(H130,H$11:H$355)+COUNTIF(H$11:H130,H130)-1)))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17" t="str">
        <f>IF(L130="","",VLOOKUP(L130,classifications!C:K,9,FALSE))</f>
        <v/>
      </c>
      <c r="U130" s="224" t="str">
        <f t="shared" si="31"/>
        <v/>
      </c>
      <c r="V130" s="225" t="str">
        <f>IF(U130="","",IF($I$8="A",(RANK(U130,U$11:U$355)+COUNTIF(U$11:U130,U130)-1),(RANK(U130,U$11:U$355,1)+COUNTIF(U$11:U130,U130)-1)))</f>
        <v/>
      </c>
      <c r="W130" s="226"/>
      <c r="X130" s="61" t="str">
        <f>IF(L130="","",VLOOKUP($L130,classifications!$C:$J,6,FALSE))</f>
        <v/>
      </c>
      <c r="Y130" s="49" t="b">
        <f t="shared" si="32"/>
        <v>0</v>
      </c>
      <c r="Z130" s="57" t="e">
        <f>IF(Y130="","",IF(I$8="A",(RANK(Y130,Y$11:Y$355,1)+COUNTIF(Y$11:Y130,Y130)-1),(RANK(Y130,Y$11:Y$355)+COUNTIF(Y$11:Y130,Y130)-1)))</f>
        <v>#N/A</v>
      </c>
      <c r="AA130" s="231" t="str">
        <f>IF(L130="","",VLOOKUP($L130,classifications!C:I,7,FALSE))</f>
        <v/>
      </c>
      <c r="AB130" s="225" t="str">
        <f t="shared" si="41"/>
        <v/>
      </c>
      <c r="AC130" s="225" t="str">
        <f>IF(AB130="","",IF($I$8="A",(RANK(AB130,AB$11:AB$355)+COUNTIF(AB$11:AB130,AB130)-1),(RANK(AB130,AB$11:AB$355,1)+COUNTIF(AB$11:AB130,AB130)-1)))</f>
        <v/>
      </c>
      <c r="AD130" s="225"/>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HLOOKUP($AX$9&amp;$AX$10,Data!$A$1:$ZZ$1992,(MATCH($C130,Data!$A$1:$A$1992,0)),FALSE)</f>
        <v>0</v>
      </c>
      <c r="AY130" s="156"/>
      <c r="AZ130" s="44"/>
    </row>
    <row r="131" spans="1:52">
      <c r="A131" s="84" t="str">
        <f>$D$1&amp;121</f>
        <v>SC121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17" t="str">
        <f>IF(L131="","",VLOOKUP(L131,classifications!C:K,9,FALSE))</f>
        <v/>
      </c>
      <c r="U131" s="224" t="str">
        <f t="shared" si="31"/>
        <v/>
      </c>
      <c r="V131" s="225" t="str">
        <f>IF(U131="","",IF($I$8="A",(RANK(U131,U$11:U$355)+COUNTIF(U$11:U131,U131)-1),(RANK(U131,U$11:U$355,1)+COUNTIF(U$11:U131,U131)-1)))</f>
        <v/>
      </c>
      <c r="W131" s="226"/>
      <c r="X131" s="61" t="str">
        <f>IF(L131="","",VLOOKUP($L131,classifications!$C:$J,6,FALSE))</f>
        <v/>
      </c>
      <c r="Y131" s="49" t="b">
        <f t="shared" si="32"/>
        <v>0</v>
      </c>
      <c r="Z131" s="57" t="e">
        <f>IF(Y131="","",IF(I$8="A",(RANK(Y131,Y$11:Y$355,1)+COUNTIF(Y$11:Y131,Y131)-1),(RANK(Y131,Y$11:Y$355)+COUNTIF(Y$11:Y131,Y131)-1)))</f>
        <v>#N/A</v>
      </c>
      <c r="AA131" s="231" t="str">
        <f>IF(L131="","",VLOOKUP($L131,classifications!C:I,7,FALSE))</f>
        <v/>
      </c>
      <c r="AB131" s="225" t="str">
        <f t="shared" si="41"/>
        <v/>
      </c>
      <c r="AC131" s="225" t="str">
        <f>IF(AB131="","",IF($I$8="A",(RANK(AB131,AB$11:AB$355)+COUNTIF(AB$11:AB131,AB131)-1),(RANK(AB131,AB$11:AB$355,1)+COUNTIF(AB$11:AB131,AB131)-1)))</f>
        <v/>
      </c>
      <c r="AD131" s="225"/>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HLOOKUP($AX$9&amp;$AX$10,Data!$A$1:$ZZ$1992,(MATCH($C131,Data!$A$1:$A$1992,0)),FALSE)</f>
        <v>0</v>
      </c>
      <c r="AY131" s="156"/>
      <c r="AZ131" s="44"/>
    </row>
    <row r="132" spans="1:52">
      <c r="A132" s="84" t="str">
        <f>$D$1&amp;122</f>
        <v>SC122</v>
      </c>
      <c r="B132" s="85">
        <f>IF(ISERROR(VLOOKUP(A132,classifications!A:C,3,FALSE)),0,VLOOKUP(A132,classifications!A:C,3,FALSE))</f>
        <v>0</v>
      </c>
      <c r="C132" s="31" t="s">
        <v>337</v>
      </c>
      <c r="D132" s="49" t="str">
        <f>VLOOKUP($C132,classifications!$C:$J,4,FALSE)</f>
        <v>L</v>
      </c>
      <c r="E132" s="49">
        <f>VLOOKUP(C132,classifications!C:K,9,FALSE)</f>
        <v>0</v>
      </c>
      <c r="F132" s="59" t="e">
        <f t="shared" si="26"/>
        <v>#N/A</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17" t="str">
        <f>IF(L132="","",VLOOKUP(L132,classifications!C:K,9,FALSE))</f>
        <v/>
      </c>
      <c r="U132" s="224" t="str">
        <f t="shared" si="31"/>
        <v/>
      </c>
      <c r="V132" s="225" t="str">
        <f>IF(U132="","",IF($I$8="A",(RANK(U132,U$11:U$355)+COUNTIF(U$11:U132,U132)-1),(RANK(U132,U$11:U$355,1)+COUNTIF(U$11:U132,U132)-1)))</f>
        <v/>
      </c>
      <c r="W132" s="226"/>
      <c r="X132" s="61" t="str">
        <f>IF(L132="","",VLOOKUP($L132,classifications!$C:$J,6,FALSE))</f>
        <v/>
      </c>
      <c r="Y132" s="49" t="b">
        <f t="shared" si="32"/>
        <v>0</v>
      </c>
      <c r="Z132" s="57" t="e">
        <f>IF(Y132="","",IF(I$8="A",(RANK(Y132,Y$11:Y$355,1)+COUNTIF(Y$11:Y132,Y132)-1),(RANK(Y132,Y$11:Y$355)+COUNTIF(Y$11:Y132,Y132)-1)))</f>
        <v>#N/A</v>
      </c>
      <c r="AA132" s="231" t="str">
        <f>IF(L132="","",VLOOKUP($L132,classifications!C:I,7,FALSE))</f>
        <v/>
      </c>
      <c r="AB132" s="225" t="str">
        <f t="shared" si="41"/>
        <v/>
      </c>
      <c r="AC132" s="225" t="str">
        <f>IF(AB132="","",IF($I$8="A",(RANK(AB132,AB$11:AB$355)+COUNTIF(AB$11:AB132,AB132)-1),(RANK(AB132,AB$11:AB$355,1)+COUNTIF(AB$11:AB132,AB132)-1)))</f>
        <v/>
      </c>
      <c r="AD132" s="225"/>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t="e">
        <f>HLOOKUP($AX$9&amp;$AX$10,Data!$A$1:$ZZ$1992,(MATCH($C132,Data!$A$1:$A$1992,0)),FALSE)</f>
        <v>#N/A</v>
      </c>
      <c r="AY132" s="156"/>
      <c r="AZ132" s="44"/>
    </row>
    <row r="133" spans="1:52">
      <c r="A133" s="84" t="str">
        <f>$D$1&amp;123</f>
        <v>SC123</v>
      </c>
      <c r="B133" s="85">
        <f>IF(ISERROR(VLOOKUP(A133,classifications!A:C,3,FALSE)),0,VLOOKUP(A133,classifications!A:C,3,FALSE))</f>
        <v>0</v>
      </c>
      <c r="C133" s="31" t="s">
        <v>314</v>
      </c>
      <c r="D133" s="49" t="str">
        <f>VLOOKUP($C133,classifications!$C:$J,4,FALSE)</f>
        <v>SC</v>
      </c>
      <c r="E133" s="49" t="str">
        <f>VLOOKUP(C133,classifications!C:K,9,FALSE)</f>
        <v>Sparse</v>
      </c>
      <c r="F133" s="59">
        <f t="shared" si="26"/>
        <v>5.5E-2</v>
      </c>
      <c r="G133" s="105"/>
      <c r="H133" s="60">
        <f t="shared" si="27"/>
        <v>5.5E-2</v>
      </c>
      <c r="I133" s="112">
        <f>IF(H133="","",IF($I$8="A",(RANK(H133,H$11:H$355,1)+COUNTIF(H$11:H133,H133)-1),(RANK(H133,H$11:H$355)+COUNTIF(H$11:H133,H133)-1)))</f>
        <v>10</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17" t="str">
        <f>IF(L133="","",VLOOKUP(L133,classifications!C:K,9,FALSE))</f>
        <v/>
      </c>
      <c r="U133" s="224" t="str">
        <f t="shared" si="31"/>
        <v/>
      </c>
      <c r="V133" s="225" t="str">
        <f>IF(U133="","",IF($I$8="A",(RANK(U133,U$11:U$355)+COUNTIF(U$11:U133,U133)-1),(RANK(U133,U$11:U$355,1)+COUNTIF(U$11:U133,U133)-1)))</f>
        <v/>
      </c>
      <c r="W133" s="226"/>
      <c r="X133" s="61" t="str">
        <f>IF(L133="","",VLOOKUP($L133,classifications!$C:$J,6,FALSE))</f>
        <v/>
      </c>
      <c r="Y133" s="49" t="b">
        <f t="shared" si="32"/>
        <v>0</v>
      </c>
      <c r="Z133" s="57" t="e">
        <f>IF(Y133="","",IF(I$8="A",(RANK(Y133,Y$11:Y$355,1)+COUNTIF(Y$11:Y133,Y133)-1),(RANK(Y133,Y$11:Y$355)+COUNTIF(Y$11:Y133,Y133)-1)))</f>
        <v>#N/A</v>
      </c>
      <c r="AA133" s="231" t="str">
        <f>IF(L133="","",VLOOKUP($L133,classifications!C:I,7,FALSE))</f>
        <v/>
      </c>
      <c r="AB133" s="225" t="str">
        <f t="shared" si="41"/>
        <v/>
      </c>
      <c r="AC133" s="225" t="str">
        <f>IF(AB133="","",IF($I$8="A",(RANK(AB133,AB$11:AB$355)+COUNTIF(AB$11:AB133,AB133)-1),(RANK(AB133,AB$11:AB$355,1)+COUNTIF(AB$11:AB133,AB133)-1)))</f>
        <v/>
      </c>
      <c r="AD133" s="225"/>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HLOOKUP($AX$9&amp;$AX$10,Data!$A$1:$ZZ$1992,(MATCH($C133,Data!$A$1:$A$1992,0)),FALSE)</f>
        <v>5.5E-2</v>
      </c>
      <c r="AY133" s="156"/>
      <c r="AZ133" s="44"/>
    </row>
    <row r="134" spans="1:52">
      <c r="A134" s="84" t="str">
        <f>$D$1&amp;124</f>
        <v>SC124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17" t="str">
        <f>IF(L134="","",VLOOKUP(L134,classifications!C:K,9,FALSE))</f>
        <v/>
      </c>
      <c r="U134" s="224" t="str">
        <f t="shared" si="31"/>
        <v/>
      </c>
      <c r="V134" s="225" t="str">
        <f>IF(U134="","",IF($I$8="A",(RANK(U134,U$11:U$355)+COUNTIF(U$11:U134,U134)-1),(RANK(U134,U$11:U$355,1)+COUNTIF(U$11:U134,U134)-1)))</f>
        <v/>
      </c>
      <c r="W134" s="226"/>
      <c r="X134" s="61" t="str">
        <f>IF(L134="","",VLOOKUP($L134,classifications!$C:$J,6,FALSE))</f>
        <v/>
      </c>
      <c r="Y134" s="49" t="b">
        <f t="shared" si="32"/>
        <v>0</v>
      </c>
      <c r="Z134" s="57" t="e">
        <f>IF(Y134="","",IF(I$8="A",(RANK(Y134,Y$11:Y$355,1)+COUNTIF(Y$11:Y134,Y134)-1),(RANK(Y134,Y$11:Y$355)+COUNTIF(Y$11:Y134,Y134)-1)))</f>
        <v>#N/A</v>
      </c>
      <c r="AA134" s="231" t="str">
        <f>IF(L134="","",VLOOKUP($L134,classifications!C:I,7,FALSE))</f>
        <v/>
      </c>
      <c r="AB134" s="225" t="str">
        <f t="shared" si="41"/>
        <v/>
      </c>
      <c r="AC134" s="225" t="str">
        <f>IF(AB134="","",IF($I$8="A",(RANK(AB134,AB$11:AB$355)+COUNTIF(AB$11:AB134,AB134)-1),(RANK(AB134,AB$11:AB$355,1)+COUNTIF(AB$11:AB134,AB134)-1)))</f>
        <v/>
      </c>
      <c r="AD134" s="225"/>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HLOOKUP($AX$9&amp;$AX$10,Data!$A$1:$ZZ$1992,(MATCH($C134,Data!$A$1:$A$1992,0)),FALSE)</f>
        <v>0</v>
      </c>
      <c r="AY134" s="156"/>
      <c r="AZ134" s="44"/>
    </row>
    <row r="135" spans="1:52">
      <c r="A135" s="84" t="str">
        <f>$D$1&amp;125</f>
        <v>SC125</v>
      </c>
      <c r="B135" s="85">
        <f>IF(ISERROR(VLOOKUP(A135,classifications!A:C,3,FALSE)),0,VLOOKUP(A135,classifications!A:C,3,FALSE))</f>
        <v>0</v>
      </c>
      <c r="C135" s="31" t="s">
        <v>207</v>
      </c>
      <c r="D135" s="49" t="str">
        <f>VLOOKUP($C135,classifications!$C:$J,4,FALSE)</f>
        <v>L</v>
      </c>
      <c r="E135" s="49">
        <f>VLOOKUP(C135,classifications!C:K,9,FALSE)</f>
        <v>0</v>
      </c>
      <c r="F135" s="59">
        <f t="shared" si="26"/>
        <v>0</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17" t="str">
        <f>IF(L135="","",VLOOKUP(L135,classifications!C:K,9,FALSE))</f>
        <v/>
      </c>
      <c r="U135" s="224" t="str">
        <f t="shared" si="31"/>
        <v/>
      </c>
      <c r="V135" s="225" t="str">
        <f>IF(U135="","",IF($I$8="A",(RANK(U135,U$11:U$355)+COUNTIF(U$11:U135,U135)-1),(RANK(U135,U$11:U$355,1)+COUNTIF(U$11:U135,U135)-1)))</f>
        <v/>
      </c>
      <c r="W135" s="226"/>
      <c r="X135" s="61" t="str">
        <f>IF(L135="","",VLOOKUP($L135,classifications!$C:$J,6,FALSE))</f>
        <v/>
      </c>
      <c r="Y135" s="49" t="b">
        <f t="shared" si="32"/>
        <v>0</v>
      </c>
      <c r="Z135" s="57" t="e">
        <f>IF(Y135="","",IF(I$8="A",(RANK(Y135,Y$11:Y$355,1)+COUNTIF(Y$11:Y135,Y135)-1),(RANK(Y135,Y$11:Y$355)+COUNTIF(Y$11:Y135,Y135)-1)))</f>
        <v>#N/A</v>
      </c>
      <c r="AA135" s="231" t="str">
        <f>IF(L135="","",VLOOKUP($L135,classifications!C:I,7,FALSE))</f>
        <v/>
      </c>
      <c r="AB135" s="225" t="str">
        <f t="shared" si="41"/>
        <v/>
      </c>
      <c r="AC135" s="225" t="str">
        <f>IF(AB135="","",IF($I$8="A",(RANK(AB135,AB$11:AB$355)+COUNTIF(AB$11:AB135,AB135)-1),(RANK(AB135,AB$11:AB$355,1)+COUNTIF(AB$11:AB135,AB135)-1)))</f>
        <v/>
      </c>
      <c r="AD135" s="225"/>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HLOOKUP($AX$9&amp;$AX$10,Data!$A$1:$ZZ$1992,(MATCH($C135,Data!$A$1:$A$1992,0)),FALSE)</f>
        <v>0</v>
      </c>
      <c r="AY135" s="156"/>
      <c r="AZ135" s="44"/>
    </row>
    <row r="136" spans="1:52">
      <c r="A136" s="84" t="str">
        <f>$D$1&amp;126</f>
        <v>SC126</v>
      </c>
      <c r="B136" s="85">
        <f>IF(ISERROR(VLOOKUP(A136,classifications!A:C,3,FALSE)),0,VLOOKUP(A136,classifications!A:C,3,FALSE))</f>
        <v>0</v>
      </c>
      <c r="C136" s="31" t="s">
        <v>80</v>
      </c>
      <c r="D136" s="49" t="str">
        <f>VLOOKUP($C136,classifications!$C:$J,4,FALSE)</f>
        <v>SD</v>
      </c>
      <c r="E136" s="49">
        <f>VLOOKUP(C136,classifications!C:K,9,FALSE)</f>
        <v>0</v>
      </c>
      <c r="F136" s="59">
        <f t="shared" si="26"/>
        <v>0</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17" t="str">
        <f>IF(L136="","",VLOOKUP(L136,classifications!C:K,9,FALSE))</f>
        <v/>
      </c>
      <c r="U136" s="224" t="str">
        <f t="shared" si="31"/>
        <v/>
      </c>
      <c r="V136" s="225" t="str">
        <f>IF(U136="","",IF($I$8="A",(RANK(U136,U$11:U$355)+COUNTIF(U$11:U136,U136)-1),(RANK(U136,U$11:U$355,1)+COUNTIF(U$11:U136,U136)-1)))</f>
        <v/>
      </c>
      <c r="W136" s="226"/>
      <c r="X136" s="61" t="str">
        <f>IF(L136="","",VLOOKUP($L136,classifications!$C:$J,6,FALSE))</f>
        <v/>
      </c>
      <c r="Y136" s="49" t="b">
        <f t="shared" si="32"/>
        <v>0</v>
      </c>
      <c r="Z136" s="57" t="e">
        <f>IF(Y136="","",IF(I$8="A",(RANK(Y136,Y$11:Y$355,1)+COUNTIF(Y$11:Y136,Y136)-1),(RANK(Y136,Y$11:Y$355)+COUNTIF(Y$11:Y136,Y136)-1)))</f>
        <v>#N/A</v>
      </c>
      <c r="AA136" s="231" t="str">
        <f>IF(L136="","",VLOOKUP($L136,classifications!C:I,7,FALSE))</f>
        <v/>
      </c>
      <c r="AB136" s="225" t="str">
        <f t="shared" si="41"/>
        <v/>
      </c>
      <c r="AC136" s="225" t="str">
        <f>IF(AB136="","",IF($I$8="A",(RANK(AB136,AB$11:AB$355)+COUNTIF(AB$11:AB136,AB136)-1),(RANK(AB136,AB$11:AB$355,1)+COUNTIF(AB$11:AB136,AB136)-1)))</f>
        <v/>
      </c>
      <c r="AD136" s="225"/>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HLOOKUP($AX$9&amp;$AX$10,Data!$A$1:$ZZ$1992,(MATCH($C136,Data!$A$1:$A$1992,0)),FALSE)</f>
        <v>0</v>
      </c>
      <c r="AY136" s="156"/>
      <c r="AZ136" s="44"/>
    </row>
    <row r="137" spans="1:52">
      <c r="A137" s="84" t="str">
        <f>$D$1&amp;127</f>
        <v>SC127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17" t="str">
        <f>IF(L137="","",VLOOKUP(L137,classifications!C:K,9,FALSE))</f>
        <v/>
      </c>
      <c r="U137" s="224" t="str">
        <f t="shared" si="31"/>
        <v/>
      </c>
      <c r="V137" s="225" t="str">
        <f>IF(U137="","",IF($I$8="A",(RANK(U137,U$11:U$355)+COUNTIF(U$11:U137,U137)-1),(RANK(U137,U$11:U$355,1)+COUNTIF(U$11:U137,U137)-1)))</f>
        <v/>
      </c>
      <c r="W137" s="226"/>
      <c r="X137" s="61" t="str">
        <f>IF(L137="","",VLOOKUP($L137,classifications!$C:$J,6,FALSE))</f>
        <v/>
      </c>
      <c r="Y137" s="49" t="b">
        <f t="shared" si="32"/>
        <v>0</v>
      </c>
      <c r="Z137" s="57" t="e">
        <f>IF(Y137="","",IF(I$8="A",(RANK(Y137,Y$11:Y$355,1)+COUNTIF(Y$11:Y137,Y137)-1),(RANK(Y137,Y$11:Y$355)+COUNTIF(Y$11:Y137,Y137)-1)))</f>
        <v>#N/A</v>
      </c>
      <c r="AA137" s="231" t="str">
        <f>IF(L137="","",VLOOKUP($L137,classifications!C:I,7,FALSE))</f>
        <v/>
      </c>
      <c r="AB137" s="225" t="str">
        <f t="shared" si="41"/>
        <v/>
      </c>
      <c r="AC137" s="225" t="str">
        <f>IF(AB137="","",IF($I$8="A",(RANK(AB137,AB$11:AB$355)+COUNTIF(AB$11:AB137,AB137)-1),(RANK(AB137,AB$11:AB$355,1)+COUNTIF(AB$11:AB137,AB137)-1)))</f>
        <v/>
      </c>
      <c r="AD137" s="225"/>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HLOOKUP($AX$9&amp;$AX$10,Data!$A$1:$ZZ$1992,(MATCH($C137,Data!$A$1:$A$1992,0)),FALSE)</f>
        <v>0</v>
      </c>
      <c r="AY137" s="156"/>
      <c r="AZ137" s="44"/>
    </row>
    <row r="138" spans="1:52">
      <c r="A138" s="84" t="str">
        <f>$D$1&amp;128</f>
        <v>SC128</v>
      </c>
      <c r="B138" s="85">
        <f>IF(ISERROR(VLOOKUP(A138,classifications!A:C,3,FALSE)),0,VLOOKUP(A138,classifications!A:C,3,FALSE))</f>
        <v>0</v>
      </c>
      <c r="C138" s="31" t="s">
        <v>208</v>
      </c>
      <c r="D138" s="49" t="str">
        <f>VLOOKUP($C138,classifications!$C:$J,4,FALSE)</f>
        <v>L</v>
      </c>
      <c r="E138" s="49">
        <f>VLOOKUP(C138,classifications!C:K,9,FALSE)</f>
        <v>0</v>
      </c>
      <c r="F138" s="59">
        <f t="shared" si="26"/>
        <v>0</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17" t="str">
        <f>IF(L138="","",VLOOKUP(L138,classifications!C:K,9,FALSE))</f>
        <v/>
      </c>
      <c r="U138" s="224" t="str">
        <f t="shared" si="31"/>
        <v/>
      </c>
      <c r="V138" s="225" t="str">
        <f>IF(U138="","",IF($I$8="A",(RANK(U138,U$11:U$355)+COUNTIF(U$11:U138,U138)-1),(RANK(U138,U$11:U$355,1)+COUNTIF(U$11:U138,U138)-1)))</f>
        <v/>
      </c>
      <c r="W138" s="226"/>
      <c r="X138" s="61" t="str">
        <f>IF(L138="","",VLOOKUP($L138,classifications!$C:$J,6,FALSE))</f>
        <v/>
      </c>
      <c r="Y138" s="49" t="b">
        <f t="shared" si="32"/>
        <v>0</v>
      </c>
      <c r="Z138" s="57" t="e">
        <f>IF(Y138="","",IF(I$8="A",(RANK(Y138,Y$11:Y$355,1)+COUNTIF(Y$11:Y138,Y138)-1),(RANK(Y138,Y$11:Y$355)+COUNTIF(Y$11:Y138,Y138)-1)))</f>
        <v>#N/A</v>
      </c>
      <c r="AA138" s="231" t="str">
        <f>IF(L138="","",VLOOKUP($L138,classifications!C:I,7,FALSE))</f>
        <v/>
      </c>
      <c r="AB138" s="225" t="str">
        <f t="shared" si="41"/>
        <v/>
      </c>
      <c r="AC138" s="225" t="str">
        <f>IF(AB138="","",IF($I$8="A",(RANK(AB138,AB$11:AB$355)+COUNTIF(AB$11:AB138,AB138)-1),(RANK(AB138,AB$11:AB$355,1)+COUNTIF(AB$11:AB138,AB138)-1)))</f>
        <v/>
      </c>
      <c r="AD138" s="225"/>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HLOOKUP($AX$9&amp;$AX$10,Data!$A$1:$ZZ$1992,(MATCH($C138,Data!$A$1:$A$1992,0)),FALSE)</f>
        <v>0</v>
      </c>
      <c r="AY138" s="156"/>
      <c r="AZ138" s="44"/>
    </row>
    <row r="139" spans="1:52">
      <c r="A139" s="84" t="str">
        <f>$D$1&amp;129</f>
        <v>SC129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17" t="str">
        <f>IF(L139="","",VLOOKUP(L139,classifications!C:K,9,FALSE))</f>
        <v/>
      </c>
      <c r="U139" s="224" t="str">
        <f t="shared" ref="U139:U202" si="54">IF(T139="Sparse",M139,"")</f>
        <v/>
      </c>
      <c r="V139" s="225" t="str">
        <f>IF(U139="","",IF($I$8="A",(RANK(U139,U$11:U$355)+COUNTIF(U$11:U139,U139)-1),(RANK(U139,U$11:U$355,1)+COUNTIF(U$11:U139,U139)-1)))</f>
        <v/>
      </c>
      <c r="W139" s="226"/>
      <c r="X139" s="61" t="str">
        <f>IF(L139="","",VLOOKUP($L139,classifications!$C:$J,6,FALSE))</f>
        <v/>
      </c>
      <c r="Y139" s="49" t="b">
        <f t="shared" ref="Y139:Y202" si="55">IF($D$1="UA",IF(X139="Largely Rural (rural including hub towns 50-79%) ",M139,IF(X139="Mainly Rural (rural including hub towns &gt;=80%) ",M139,IF(X139="Urban with Significant Rural (rural including hub towns 26-49%)",M139,""))),IF($D$1="SD",IF(X139=$H$3,M139,"")))</f>
        <v>0</v>
      </c>
      <c r="Z139" s="57" t="e">
        <f>IF(Y139="","",IF(I$8="A",(RANK(Y139,Y$11:Y$355,1)+COUNTIF(Y$11:Y139,Y139)-1),(RANK(Y139,Y$11:Y$355)+COUNTIF(Y$11:Y139,Y139)-1)))</f>
        <v>#N/A</v>
      </c>
      <c r="AA139" s="231" t="str">
        <f>IF(L139="","",VLOOKUP($L139,classifications!C:I,7,FALSE))</f>
        <v/>
      </c>
      <c r="AB139" s="225" t="str">
        <f t="shared" si="41"/>
        <v/>
      </c>
      <c r="AC139" s="225" t="str">
        <f>IF(AB139="","",IF($I$8="A",(RANK(AB139,AB$11:AB$355)+COUNTIF(AB$11:AB139,AB139)-1),(RANK(AB139,AB$11:AB$355,1)+COUNTIF(AB$11:AB139,AB139)-1)))</f>
        <v/>
      </c>
      <c r="AD139" s="225"/>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HLOOKUP($AX$9&amp;$AX$10,Data!$A$1:$ZZ$1992,(MATCH($C139,Data!$A$1:$A$1992,0)),FALSE)</f>
        <v>0</v>
      </c>
      <c r="AY139" s="156"/>
      <c r="AZ139" s="44"/>
    </row>
    <row r="140" spans="1:52">
      <c r="A140" s="84" t="str">
        <f>$D$1&amp;130</f>
        <v>SC130</v>
      </c>
      <c r="B140" s="85">
        <f>IF(ISERROR(VLOOKUP(A140,classifications!A:C,3,FALSE)),0,VLOOKUP(A140,classifications!A:C,3,FALSE))</f>
        <v>0</v>
      </c>
      <c r="C140" s="31" t="s">
        <v>270</v>
      </c>
      <c r="D140" s="49" t="str">
        <f>VLOOKUP($C140,classifications!$C:$J,4,FALSE)</f>
        <v>UA</v>
      </c>
      <c r="E140" s="49">
        <f>VLOOKUP(C140,classifications!C:K,9,FALSE)</f>
        <v>0</v>
      </c>
      <c r="F140" s="59">
        <f t="shared" si="49"/>
        <v>1.6E-2</v>
      </c>
      <c r="G140" s="105"/>
      <c r="H140" s="60" t="str">
        <f t="shared" si="50"/>
        <v/>
      </c>
      <c r="I140" s="112" t="str">
        <f>IF(H140="","",IF($I$8="A",(RANK(H140,H$11:H$355,1)+COUNTIF(H$11:H140,H140)-1),(RANK(H140,H$11:H$355)+COUNTIF(H$11:H140,H140)-1)))</f>
        <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17" t="str">
        <f>IF(L140="","",VLOOKUP(L140,classifications!C:K,9,FALSE))</f>
        <v/>
      </c>
      <c r="U140" s="224" t="str">
        <f t="shared" si="54"/>
        <v/>
      </c>
      <c r="V140" s="225" t="str">
        <f>IF(U140="","",IF($I$8="A",(RANK(U140,U$11:U$355)+COUNTIF(U$11:U140,U140)-1),(RANK(U140,U$11:U$355,1)+COUNTIF(U$11:U140,U140)-1)))</f>
        <v/>
      </c>
      <c r="W140" s="226"/>
      <c r="X140" s="61" t="str">
        <f>IF(L140="","",VLOOKUP($L140,classifications!$C:$J,6,FALSE))</f>
        <v/>
      </c>
      <c r="Y140" s="49" t="b">
        <f t="shared" si="55"/>
        <v>0</v>
      </c>
      <c r="Z140" s="57" t="e">
        <f>IF(Y140="","",IF(I$8="A",(RANK(Y140,Y$11:Y$355,1)+COUNTIF(Y$11:Y140,Y140)-1),(RANK(Y140,Y$11:Y$355)+COUNTIF(Y$11:Y140,Y140)-1)))</f>
        <v>#N/A</v>
      </c>
      <c r="AA140" s="231" t="str">
        <f>IF(L140="","",VLOOKUP($L140,classifications!C:I,7,FALSE))</f>
        <v/>
      </c>
      <c r="AB140" s="225" t="str">
        <f t="shared" ref="AB140:AB203" si="64">IF(AA140=$J$3,M140,"")</f>
        <v/>
      </c>
      <c r="AC140" s="225" t="str">
        <f>IF(AB140="","",IF($I$8="A",(RANK(AB140,AB$11:AB$355)+COUNTIF(AB$11:AB140,AB140)-1),(RANK(AB140,AB$11:AB$355,1)+COUNTIF(AB$11:AB140,AB140)-1)))</f>
        <v/>
      </c>
      <c r="AD140" s="225"/>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HLOOKUP($AX$9&amp;$AX$10,Data!$A$1:$ZZ$1992,(MATCH($C140,Data!$A$1:$A$1992,0)),FALSE)</f>
        <v>1.6E-2</v>
      </c>
      <c r="AY140" s="156"/>
      <c r="AZ140" s="44"/>
    </row>
    <row r="141" spans="1:52">
      <c r="A141" s="84" t="str">
        <f>$D$1&amp;131</f>
        <v>SC131</v>
      </c>
      <c r="B141" s="85">
        <f>IF(ISERROR(VLOOKUP(A141,classifications!A:C,3,FALSE)),0,VLOOKUP(A141,classifications!A:C,3,FALSE))</f>
        <v>0</v>
      </c>
      <c r="C141" s="31" t="s">
        <v>83</v>
      </c>
      <c r="D141" s="49" t="str">
        <f>VLOOKUP($C141,classifications!$C:$J,4,FALSE)</f>
        <v>SD</v>
      </c>
      <c r="E141" s="49">
        <f>VLOOKUP(C141,classifications!C:K,9,FALSE)</f>
        <v>0</v>
      </c>
      <c r="F141" s="59">
        <f t="shared" si="49"/>
        <v>0</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17" t="str">
        <f>IF(L141="","",VLOOKUP(L141,classifications!C:K,9,FALSE))</f>
        <v/>
      </c>
      <c r="U141" s="224" t="str">
        <f t="shared" si="54"/>
        <v/>
      </c>
      <c r="V141" s="225" t="str">
        <f>IF(U141="","",IF($I$8="A",(RANK(U141,U$11:U$355)+COUNTIF(U$11:U141,U141)-1),(RANK(U141,U$11:U$355,1)+COUNTIF(U$11:U141,U141)-1)))</f>
        <v/>
      </c>
      <c r="W141" s="226"/>
      <c r="X141" s="61" t="str">
        <f>IF(L141="","",VLOOKUP($L141,classifications!$C:$J,6,FALSE))</f>
        <v/>
      </c>
      <c r="Y141" s="49" t="b">
        <f t="shared" si="55"/>
        <v>0</v>
      </c>
      <c r="Z141" s="57" t="e">
        <f>IF(Y141="","",IF(I$8="A",(RANK(Y141,Y$11:Y$355,1)+COUNTIF(Y$11:Y141,Y141)-1),(RANK(Y141,Y$11:Y$355)+COUNTIF(Y$11:Y141,Y141)-1)))</f>
        <v>#N/A</v>
      </c>
      <c r="AA141" s="231" t="str">
        <f>IF(L141="","",VLOOKUP($L141,classifications!C:I,7,FALSE))</f>
        <v/>
      </c>
      <c r="AB141" s="225" t="str">
        <f t="shared" si="64"/>
        <v/>
      </c>
      <c r="AC141" s="225" t="str">
        <f>IF(AB141="","",IF($I$8="A",(RANK(AB141,AB$11:AB$355)+COUNTIF(AB$11:AB141,AB141)-1),(RANK(AB141,AB$11:AB$355,1)+COUNTIF(AB$11:AB141,AB141)-1)))</f>
        <v/>
      </c>
      <c r="AD141" s="225"/>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HLOOKUP($AX$9&amp;$AX$10,Data!$A$1:$ZZ$1992,(MATCH($C141,Data!$A$1:$A$1992,0)),FALSE)</f>
        <v>0</v>
      </c>
      <c r="AY141" s="156"/>
      <c r="AZ141" s="44"/>
    </row>
    <row r="142" spans="1:52">
      <c r="A142" s="84" t="str">
        <f>$D$1&amp;132</f>
        <v>SC132</v>
      </c>
      <c r="B142" s="85">
        <f>IF(ISERROR(VLOOKUP(A142,classifications!A:C,3,FALSE)),0,VLOOKUP(A142,classifications!A:C,3,FALSE))</f>
        <v>0</v>
      </c>
      <c r="C142" s="31" t="s">
        <v>84</v>
      </c>
      <c r="D142" s="49" t="str">
        <f>VLOOKUP($C142,classifications!$C:$J,4,FALSE)</f>
        <v>SD</v>
      </c>
      <c r="E142" s="49">
        <f>VLOOKUP(C142,classifications!C:K,9,FALSE)</f>
        <v>0</v>
      </c>
      <c r="F142" s="59">
        <f t="shared" si="49"/>
        <v>0</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17" t="str">
        <f>IF(L142="","",VLOOKUP(L142,classifications!C:K,9,FALSE))</f>
        <v/>
      </c>
      <c r="U142" s="224" t="str">
        <f t="shared" si="54"/>
        <v/>
      </c>
      <c r="V142" s="225" t="str">
        <f>IF(U142="","",IF($I$8="A",(RANK(U142,U$11:U$355)+COUNTIF(U$11:U142,U142)-1),(RANK(U142,U$11:U$355,1)+COUNTIF(U$11:U142,U142)-1)))</f>
        <v/>
      </c>
      <c r="W142" s="226"/>
      <c r="X142" s="61" t="str">
        <f>IF(L142="","",VLOOKUP($L142,classifications!$C:$J,6,FALSE))</f>
        <v/>
      </c>
      <c r="Y142" s="49" t="b">
        <f t="shared" si="55"/>
        <v>0</v>
      </c>
      <c r="Z142" s="57" t="e">
        <f>IF(Y142="","",IF(I$8="A",(RANK(Y142,Y$11:Y$355,1)+COUNTIF(Y$11:Y142,Y142)-1),(RANK(Y142,Y$11:Y$355)+COUNTIF(Y$11:Y142,Y142)-1)))</f>
        <v>#N/A</v>
      </c>
      <c r="AA142" s="231" t="str">
        <f>IF(L142="","",VLOOKUP($L142,classifications!C:I,7,FALSE))</f>
        <v/>
      </c>
      <c r="AB142" s="225" t="str">
        <f t="shared" si="64"/>
        <v/>
      </c>
      <c r="AC142" s="225" t="str">
        <f>IF(AB142="","",IF($I$8="A",(RANK(AB142,AB$11:AB$355)+COUNTIF(AB$11:AB142,AB142)-1),(RANK(AB142,AB$11:AB$355,1)+COUNTIF(AB$11:AB142,AB142)-1)))</f>
        <v/>
      </c>
      <c r="AD142" s="225"/>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HLOOKUP($AX$9&amp;$AX$10,Data!$A$1:$ZZ$1992,(MATCH($C142,Data!$A$1:$A$1992,0)),FALSE)</f>
        <v>0</v>
      </c>
      <c r="AY142" s="156"/>
      <c r="AZ142" s="44"/>
    </row>
    <row r="143" spans="1:52">
      <c r="A143" s="84" t="str">
        <f>$D$1&amp;133</f>
        <v>SC133</v>
      </c>
      <c r="B143" s="85">
        <f>IF(ISERROR(VLOOKUP(A143,classifications!A:C,3,FALSE)),0,VLOOKUP(A143,classifications!A:C,3,FALSE))</f>
        <v>0</v>
      </c>
      <c r="C143" s="31" t="s">
        <v>209</v>
      </c>
      <c r="D143" s="49" t="str">
        <f>VLOOKUP($C143,classifications!$C:$J,4,FALSE)</f>
        <v>L</v>
      </c>
      <c r="E143" s="49">
        <f>VLOOKUP(C143,classifications!C:K,9,FALSE)</f>
        <v>0</v>
      </c>
      <c r="F143" s="59">
        <f t="shared" si="49"/>
        <v>0</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17" t="str">
        <f>IF(L143="","",VLOOKUP(L143,classifications!C:K,9,FALSE))</f>
        <v/>
      </c>
      <c r="U143" s="224" t="str">
        <f t="shared" si="54"/>
        <v/>
      </c>
      <c r="V143" s="225" t="str">
        <f>IF(U143="","",IF($I$8="A",(RANK(U143,U$11:U$355)+COUNTIF(U$11:U143,U143)-1),(RANK(U143,U$11:U$355,1)+COUNTIF(U$11:U143,U143)-1)))</f>
        <v/>
      </c>
      <c r="W143" s="226"/>
      <c r="X143" s="61" t="str">
        <f>IF(L143="","",VLOOKUP($L143,classifications!$C:$J,6,FALSE))</f>
        <v/>
      </c>
      <c r="Y143" s="49" t="b">
        <f t="shared" si="55"/>
        <v>0</v>
      </c>
      <c r="Z143" s="57" t="e">
        <f>IF(Y143="","",IF(I$8="A",(RANK(Y143,Y$11:Y$355,1)+COUNTIF(Y$11:Y143,Y143)-1),(RANK(Y143,Y$11:Y$355)+COUNTIF(Y$11:Y143,Y143)-1)))</f>
        <v>#N/A</v>
      </c>
      <c r="AA143" s="231" t="str">
        <f>IF(L143="","",VLOOKUP($L143,classifications!C:I,7,FALSE))</f>
        <v/>
      </c>
      <c r="AB143" s="225" t="str">
        <f t="shared" si="64"/>
        <v/>
      </c>
      <c r="AC143" s="225" t="str">
        <f>IF(AB143="","",IF($I$8="A",(RANK(AB143,AB$11:AB$355)+COUNTIF(AB$11:AB143,AB143)-1),(RANK(AB143,AB$11:AB$355,1)+COUNTIF(AB$11:AB143,AB143)-1)))</f>
        <v/>
      </c>
      <c r="AD143" s="225"/>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HLOOKUP($AX$9&amp;$AX$10,Data!$A$1:$ZZ$1992,(MATCH($C143,Data!$A$1:$A$1992,0)),FALSE)</f>
        <v>0</v>
      </c>
      <c r="AY143" s="156"/>
      <c r="AZ143" s="44"/>
    </row>
    <row r="144" spans="1:52">
      <c r="A144" s="84" t="str">
        <f>$D$1&amp;134</f>
        <v>SC134</v>
      </c>
      <c r="B144" s="85">
        <f>IF(ISERROR(VLOOKUP(A144,classifications!A:C,3,FALSE)),0,VLOOKUP(A144,classifications!A:C,3,FALSE))</f>
        <v>0</v>
      </c>
      <c r="C144" s="31" t="s">
        <v>818</v>
      </c>
      <c r="D144" s="49" t="str">
        <f>VLOOKUP($C144,classifications!$C:$J,4,FALSE)</f>
        <v>UA</v>
      </c>
      <c r="E144" s="49" t="str">
        <f>VLOOKUP(C144,classifications!C:K,9,FALSE)</f>
        <v>Sparse</v>
      </c>
      <c r="F144" s="59">
        <f t="shared" si="49"/>
        <v>0.20200000000000001</v>
      </c>
      <c r="G144" s="105"/>
      <c r="H144" s="60" t="str">
        <f t="shared" si="50"/>
        <v/>
      </c>
      <c r="I144" s="112" t="str">
        <f>IF(H144="","",IF($I$8="A",(RANK(H144,H$11:H$355,1)+COUNTIF(H$11:H144,H144)-1),(RANK(H144,H$11:H$355)+COUNTIF(H$11:H144,H144)-1)))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17" t="str">
        <f>IF(L144="","",VLOOKUP(L144,classifications!C:K,9,FALSE))</f>
        <v/>
      </c>
      <c r="U144" s="224" t="str">
        <f t="shared" si="54"/>
        <v/>
      </c>
      <c r="V144" s="225" t="str">
        <f>IF(U144="","",IF($I$8="A",(RANK(U144,U$11:U$355)+COUNTIF(U$11:U144,U144)-1),(RANK(U144,U$11:U$355,1)+COUNTIF(U$11:U144,U144)-1)))</f>
        <v/>
      </c>
      <c r="W144" s="226"/>
      <c r="X144" s="61" t="str">
        <f>IF(L144="","",VLOOKUP($L144,classifications!$C:$J,6,FALSE))</f>
        <v/>
      </c>
      <c r="Y144" s="49" t="b">
        <f t="shared" si="55"/>
        <v>0</v>
      </c>
      <c r="Z144" s="57" t="e">
        <f>IF(Y144="","",IF(I$8="A",(RANK(Y144,Y$11:Y$355,1)+COUNTIF(Y$11:Y144,Y144)-1),(RANK(Y144,Y$11:Y$355)+COUNTIF(Y$11:Y144,Y144)-1)))</f>
        <v>#N/A</v>
      </c>
      <c r="AA144" s="231" t="str">
        <f>IF(L144="","",VLOOKUP($L144,classifications!C:I,7,FALSE))</f>
        <v/>
      </c>
      <c r="AB144" s="225" t="str">
        <f t="shared" si="64"/>
        <v/>
      </c>
      <c r="AC144" s="225" t="str">
        <f>IF(AB144="","",IF($I$8="A",(RANK(AB144,AB$11:AB$355)+COUNTIF(AB$11:AB144,AB144)-1),(RANK(AB144,AB$11:AB$355,1)+COUNTIF(AB$11:AB144,AB144)-1)))</f>
        <v/>
      </c>
      <c r="AD144" s="225"/>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HLOOKUP($AX$9&amp;$AX$10,Data!$A$1:$ZZ$1992,(MATCH($C144,Data!$A$1:$A$1992,0)),FALSE)</f>
        <v>0.20200000000000001</v>
      </c>
      <c r="AY144" s="156"/>
      <c r="AZ144" s="44"/>
    </row>
    <row r="145" spans="1:52">
      <c r="A145" s="84" t="str">
        <f>$D$1&amp;135</f>
        <v>SC135</v>
      </c>
      <c r="B145" s="85">
        <f>IF(ISERROR(VLOOKUP(A145,classifications!A:C,3,FALSE)),0,VLOOKUP(A145,classifications!A:C,3,FALSE))</f>
        <v>0</v>
      </c>
      <c r="C145" s="31" t="s">
        <v>315</v>
      </c>
      <c r="D145" s="49" t="str">
        <f>VLOOKUP($C145,classifications!$C:$J,4,FALSE)</f>
        <v>SC</v>
      </c>
      <c r="E145" s="49">
        <f>VLOOKUP(C145,classifications!C:K,9,FALSE)</f>
        <v>0</v>
      </c>
      <c r="F145" s="59">
        <f t="shared" si="49"/>
        <v>0.157</v>
      </c>
      <c r="G145" s="105"/>
      <c r="H145" s="60">
        <f t="shared" si="50"/>
        <v>0.157</v>
      </c>
      <c r="I145" s="112">
        <f>IF(H145="","",IF($I$8="A",(RANK(H145,H$11:H$355,1)+COUNTIF(H$11:H145,H145)-1),(RANK(H145,H$11:H$355)+COUNTIF(H$11:H145,H145)-1)))</f>
        <v>18</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17" t="str">
        <f>IF(L145="","",VLOOKUP(L145,classifications!C:K,9,FALSE))</f>
        <v/>
      </c>
      <c r="U145" s="224" t="str">
        <f t="shared" si="54"/>
        <v/>
      </c>
      <c r="V145" s="225" t="str">
        <f>IF(U145="","",IF($I$8="A",(RANK(U145,U$11:U$355)+COUNTIF(U$11:U145,U145)-1),(RANK(U145,U$11:U$355,1)+COUNTIF(U$11:U145,U145)-1)))</f>
        <v/>
      </c>
      <c r="W145" s="226"/>
      <c r="X145" s="61" t="str">
        <f>IF(L145="","",VLOOKUP($L145,classifications!$C:$J,6,FALSE))</f>
        <v/>
      </c>
      <c r="Y145" s="49" t="b">
        <f t="shared" si="55"/>
        <v>0</v>
      </c>
      <c r="Z145" s="57" t="e">
        <f>IF(Y145="","",IF(I$8="A",(RANK(Y145,Y$11:Y$355,1)+COUNTIF(Y$11:Y145,Y145)-1),(RANK(Y145,Y$11:Y$355)+COUNTIF(Y$11:Y145,Y145)-1)))</f>
        <v>#N/A</v>
      </c>
      <c r="AA145" s="231" t="str">
        <f>IF(L145="","",VLOOKUP($L145,classifications!C:I,7,FALSE))</f>
        <v/>
      </c>
      <c r="AB145" s="225" t="str">
        <f t="shared" si="64"/>
        <v/>
      </c>
      <c r="AC145" s="225" t="str">
        <f>IF(AB145="","",IF($I$8="A",(RANK(AB145,AB$11:AB$355)+COUNTIF(AB$11:AB145,AB145)-1),(RANK(AB145,AB$11:AB$355,1)+COUNTIF(AB$11:AB145,AB145)-1)))</f>
        <v/>
      </c>
      <c r="AD145" s="225"/>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HLOOKUP($AX$9&amp;$AX$10,Data!$A$1:$ZZ$1992,(MATCH($C145,Data!$A$1:$A$1992,0)),FALSE)</f>
        <v>0.157</v>
      </c>
      <c r="AY145" s="156"/>
      <c r="AZ145" s="44"/>
    </row>
    <row r="146" spans="1:52">
      <c r="A146" s="84" t="str">
        <f>$D$1&amp;136</f>
        <v>SC136</v>
      </c>
      <c r="B146" s="85">
        <f>IF(ISERROR(VLOOKUP(A146,classifications!A:C,3,FALSE)),0,VLOOKUP(A146,classifications!A:C,3,FALSE))</f>
        <v>0</v>
      </c>
      <c r="C146" s="31" t="s">
        <v>85</v>
      </c>
      <c r="D146" s="49" t="str">
        <f>VLOOKUP($C146,classifications!$C:$J,4,FALSE)</f>
        <v>SD</v>
      </c>
      <c r="E146" s="49">
        <f>VLOOKUP(C146,classifications!C:K,9,FALSE)</f>
        <v>0</v>
      </c>
      <c r="F146" s="59">
        <f t="shared" si="49"/>
        <v>0</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17" t="str">
        <f>IF(L146="","",VLOOKUP(L146,classifications!C:K,9,FALSE))</f>
        <v/>
      </c>
      <c r="U146" s="224" t="str">
        <f t="shared" si="54"/>
        <v/>
      </c>
      <c r="V146" s="225" t="str">
        <f>IF(U146="","",IF($I$8="A",(RANK(U146,U$11:U$355)+COUNTIF(U$11:U146,U146)-1),(RANK(U146,U$11:U$355,1)+COUNTIF(U$11:U146,U146)-1)))</f>
        <v/>
      </c>
      <c r="W146" s="226"/>
      <c r="X146" s="61" t="str">
        <f>IF(L146="","",VLOOKUP($L146,classifications!$C:$J,6,FALSE))</f>
        <v/>
      </c>
      <c r="Y146" s="49" t="b">
        <f t="shared" si="55"/>
        <v>0</v>
      </c>
      <c r="Z146" s="57" t="e">
        <f>IF(Y146="","",IF(I$8="A",(RANK(Y146,Y$11:Y$355,1)+COUNTIF(Y$11:Y146,Y146)-1),(RANK(Y146,Y$11:Y$355)+COUNTIF(Y$11:Y146,Y146)-1)))</f>
        <v>#N/A</v>
      </c>
      <c r="AA146" s="231" t="str">
        <f>IF(L146="","",VLOOKUP($L146,classifications!C:I,7,FALSE))</f>
        <v/>
      </c>
      <c r="AB146" s="225" t="str">
        <f t="shared" si="64"/>
        <v/>
      </c>
      <c r="AC146" s="225" t="str">
        <f>IF(AB146="","",IF($I$8="A",(RANK(AB146,AB$11:AB$355)+COUNTIF(AB$11:AB146,AB146)-1),(RANK(AB146,AB$11:AB$355,1)+COUNTIF(AB$11:AB146,AB146)-1)))</f>
        <v/>
      </c>
      <c r="AD146" s="225"/>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HLOOKUP($AX$9&amp;$AX$10,Data!$A$1:$ZZ$1992,(MATCH($C146,Data!$A$1:$A$1992,0)),FALSE)</f>
        <v>0</v>
      </c>
      <c r="AY146" s="156"/>
      <c r="AZ146" s="44"/>
    </row>
    <row r="147" spans="1:52">
      <c r="A147" s="84" t="str">
        <f>$D$1&amp;137</f>
        <v>SC137</v>
      </c>
      <c r="B147" s="85">
        <f>IF(ISERROR(VLOOKUP(A147,classifications!A:C,3,FALSE)),0,VLOOKUP(A147,classifications!A:C,3,FALSE))</f>
        <v>0</v>
      </c>
      <c r="C147" s="31" t="s">
        <v>86</v>
      </c>
      <c r="D147" s="49" t="str">
        <f>VLOOKUP($C147,classifications!$C:$J,4,FALSE)</f>
        <v>SD</v>
      </c>
      <c r="E147" s="49">
        <f>VLOOKUP(C147,classifications!C:K,9,FALSE)</f>
        <v>0</v>
      </c>
      <c r="F147" s="59">
        <f t="shared" si="49"/>
        <v>0</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17" t="str">
        <f>IF(L147="","",VLOOKUP(L147,classifications!C:K,9,FALSE))</f>
        <v/>
      </c>
      <c r="U147" s="224" t="str">
        <f t="shared" si="54"/>
        <v/>
      </c>
      <c r="V147" s="225" t="str">
        <f>IF(U147="","",IF($I$8="A",(RANK(U147,U$11:U$355)+COUNTIF(U$11:U147,U147)-1),(RANK(U147,U$11:U$355,1)+COUNTIF(U$11:U147,U147)-1)))</f>
        <v/>
      </c>
      <c r="W147" s="226"/>
      <c r="X147" s="61" t="str">
        <f>IF(L147="","",VLOOKUP($L147,classifications!$C:$J,6,FALSE))</f>
        <v/>
      </c>
      <c r="Y147" s="49" t="b">
        <f t="shared" si="55"/>
        <v>0</v>
      </c>
      <c r="Z147" s="57" t="e">
        <f>IF(Y147="","",IF(I$8="A",(RANK(Y147,Y$11:Y$355,1)+COUNTIF(Y$11:Y147,Y147)-1),(RANK(Y147,Y$11:Y$355)+COUNTIF(Y$11:Y147,Y147)-1)))</f>
        <v>#N/A</v>
      </c>
      <c r="AA147" s="231" t="str">
        <f>IF(L147="","",VLOOKUP($L147,classifications!C:I,7,FALSE))</f>
        <v/>
      </c>
      <c r="AB147" s="225" t="str">
        <f t="shared" si="64"/>
        <v/>
      </c>
      <c r="AC147" s="225" t="str">
        <f>IF(AB147="","",IF($I$8="A",(RANK(AB147,AB$11:AB$355)+COUNTIF(AB$11:AB147,AB147)-1),(RANK(AB147,AB$11:AB$355,1)+COUNTIF(AB$11:AB147,AB147)-1)))</f>
        <v/>
      </c>
      <c r="AD147" s="225"/>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HLOOKUP($AX$9&amp;$AX$10,Data!$A$1:$ZZ$1992,(MATCH($C147,Data!$A$1:$A$1992,0)),FALSE)</f>
        <v>0</v>
      </c>
      <c r="AY147" s="156"/>
      <c r="AZ147" s="44"/>
    </row>
    <row r="148" spans="1:52">
      <c r="A148" s="84" t="str">
        <f>$D$1&amp;138</f>
        <v>SC138</v>
      </c>
      <c r="B148" s="85">
        <f>IF(ISERROR(VLOOKUP(A148,classifications!A:C,3,FALSE)),0,VLOOKUP(A148,classifications!A:C,3,FALSE))</f>
        <v>0</v>
      </c>
      <c r="C148" s="31" t="s">
        <v>210</v>
      </c>
      <c r="D148" s="49" t="str">
        <f>VLOOKUP($C148,classifications!$C:$J,4,FALSE)</f>
        <v>L</v>
      </c>
      <c r="E148" s="49">
        <f>VLOOKUP(C148,classifications!C:K,9,FALSE)</f>
        <v>0</v>
      </c>
      <c r="F148" s="59">
        <f t="shared" si="49"/>
        <v>0</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17" t="str">
        <f>IF(L148="","",VLOOKUP(L148,classifications!C:K,9,FALSE))</f>
        <v/>
      </c>
      <c r="U148" s="224" t="str">
        <f t="shared" si="54"/>
        <v/>
      </c>
      <c r="V148" s="225" t="str">
        <f>IF(U148="","",IF($I$8="A",(RANK(U148,U$11:U$355)+COUNTIF(U$11:U148,U148)-1),(RANK(U148,U$11:U$355,1)+COUNTIF(U$11:U148,U148)-1)))</f>
        <v/>
      </c>
      <c r="W148" s="226"/>
      <c r="X148" s="61" t="str">
        <f>IF(L148="","",VLOOKUP($L148,classifications!$C:$J,6,FALSE))</f>
        <v/>
      </c>
      <c r="Y148" s="49" t="b">
        <f t="shared" si="55"/>
        <v>0</v>
      </c>
      <c r="Z148" s="57" t="e">
        <f>IF(Y148="","",IF(I$8="A",(RANK(Y148,Y$11:Y$355,1)+COUNTIF(Y$11:Y148,Y148)-1),(RANK(Y148,Y$11:Y$355)+COUNTIF(Y$11:Y148,Y148)-1)))</f>
        <v>#N/A</v>
      </c>
      <c r="AA148" s="231" t="str">
        <f>IF(L148="","",VLOOKUP($L148,classifications!C:I,7,FALSE))</f>
        <v/>
      </c>
      <c r="AB148" s="225" t="str">
        <f t="shared" si="64"/>
        <v/>
      </c>
      <c r="AC148" s="225" t="str">
        <f>IF(AB148="","",IF($I$8="A",(RANK(AB148,AB$11:AB$355)+COUNTIF(AB$11:AB148,AB148)-1),(RANK(AB148,AB$11:AB$355,1)+COUNTIF(AB$11:AB148,AB148)-1)))</f>
        <v/>
      </c>
      <c r="AD148" s="225"/>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HLOOKUP($AX$9&amp;$AX$10,Data!$A$1:$ZZ$1992,(MATCH($C148,Data!$A$1:$A$1992,0)),FALSE)</f>
        <v>0</v>
      </c>
      <c r="AY148" s="156"/>
      <c r="AZ148" s="44"/>
    </row>
    <row r="149" spans="1:52">
      <c r="A149" s="84" t="str">
        <f>$D$1&amp;139</f>
        <v>SC139</v>
      </c>
      <c r="B149" s="85">
        <f>IF(ISERROR(VLOOKUP(A149,classifications!A:C,3,FALSE)),0,VLOOKUP(A149,classifications!A:C,3,FALSE))</f>
        <v>0</v>
      </c>
      <c r="C149" s="31" t="s">
        <v>346</v>
      </c>
      <c r="D149" s="49" t="str">
        <f>VLOOKUP($C149,classifications!$C:$J,4,FALSE)</f>
        <v>SD</v>
      </c>
      <c r="E149" s="49">
        <f>VLOOKUP(C149,classifications!C:K,9,FALSE)</f>
        <v>0</v>
      </c>
      <c r="F149" s="59" t="e">
        <f t="shared" si="49"/>
        <v>#N/A</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17" t="str">
        <f>IF(L149="","",VLOOKUP(L149,classifications!C:K,9,FALSE))</f>
        <v/>
      </c>
      <c r="U149" s="224" t="str">
        <f t="shared" si="54"/>
        <v/>
      </c>
      <c r="V149" s="225" t="str">
        <f>IF(U149="","",IF($I$8="A",(RANK(U149,U$11:U$355)+COUNTIF(U$11:U149,U149)-1),(RANK(U149,U$11:U$355,1)+COUNTIF(U$11:U149,U149)-1)))</f>
        <v/>
      </c>
      <c r="W149" s="226"/>
      <c r="X149" s="61" t="str">
        <f>IF(L149="","",VLOOKUP($L149,classifications!$C:$J,6,FALSE))</f>
        <v/>
      </c>
      <c r="Y149" s="49" t="b">
        <f t="shared" si="55"/>
        <v>0</v>
      </c>
      <c r="Z149" s="57" t="e">
        <f>IF(Y149="","",IF(I$8="A",(RANK(Y149,Y$11:Y$355,1)+COUNTIF(Y$11:Y149,Y149)-1),(RANK(Y149,Y$11:Y$355)+COUNTIF(Y$11:Y149,Y149)-1)))</f>
        <v>#N/A</v>
      </c>
      <c r="AA149" s="231" t="str">
        <f>IF(L149="","",VLOOKUP($L149,classifications!C:I,7,FALSE))</f>
        <v/>
      </c>
      <c r="AB149" s="225" t="str">
        <f t="shared" si="64"/>
        <v/>
      </c>
      <c r="AC149" s="225" t="str">
        <f>IF(AB149="","",IF($I$8="A",(RANK(AB149,AB$11:AB$355)+COUNTIF(AB$11:AB149,AB149)-1),(RANK(AB149,AB$11:AB$355,1)+COUNTIF(AB$11:AB149,AB149)-1)))</f>
        <v/>
      </c>
      <c r="AD149" s="225"/>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t="e">
        <f>HLOOKUP($AX$9&amp;$AX$10,Data!$A$1:$ZZ$1992,(MATCH($C149,Data!$A$1:$A$1992,0)),FALSE)</f>
        <v>#N/A</v>
      </c>
      <c r="AY149" s="156"/>
      <c r="AZ149" s="44"/>
    </row>
    <row r="150" spans="1:52">
      <c r="A150" s="84" t="str">
        <f>$D$1&amp;140</f>
        <v>SC140</v>
      </c>
      <c r="B150" s="85">
        <f>IF(ISERROR(VLOOKUP(A150,classifications!A:C,3,FALSE)),0,VLOOKUP(A150,classifications!A:C,3,FALSE))</f>
        <v>0</v>
      </c>
      <c r="C150" s="31" t="s">
        <v>87</v>
      </c>
      <c r="D150" s="49" t="str">
        <f>VLOOKUP($C150,classifications!$C:$J,4,FALSE)</f>
        <v>SD</v>
      </c>
      <c r="E150" s="49">
        <f>VLOOKUP(C150,classifications!C:K,9,FALSE)</f>
        <v>0</v>
      </c>
      <c r="F150" s="59">
        <f t="shared" si="49"/>
        <v>0</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17" t="str">
        <f>IF(L150="","",VLOOKUP(L150,classifications!C:K,9,FALSE))</f>
        <v/>
      </c>
      <c r="U150" s="224" t="str">
        <f t="shared" si="54"/>
        <v/>
      </c>
      <c r="V150" s="225" t="str">
        <f>IF(U150="","",IF($I$8="A",(RANK(U150,U$11:U$355)+COUNTIF(U$11:U150,U150)-1),(RANK(U150,U$11:U$355,1)+COUNTIF(U$11:U150,U150)-1)))</f>
        <v/>
      </c>
      <c r="W150" s="226"/>
      <c r="X150" s="61" t="str">
        <f>IF(L150="","",VLOOKUP($L150,classifications!$C:$J,6,FALSE))</f>
        <v/>
      </c>
      <c r="Y150" s="49" t="b">
        <f t="shared" si="55"/>
        <v>0</v>
      </c>
      <c r="Z150" s="57" t="e">
        <f>IF(Y150="","",IF(I$8="A",(RANK(Y150,Y$11:Y$355,1)+COUNTIF(Y$11:Y150,Y150)-1),(RANK(Y150,Y$11:Y$355)+COUNTIF(Y$11:Y150,Y150)-1)))</f>
        <v>#N/A</v>
      </c>
      <c r="AA150" s="231" t="str">
        <f>IF(L150="","",VLOOKUP($L150,classifications!C:I,7,FALSE))</f>
        <v/>
      </c>
      <c r="AB150" s="225" t="str">
        <f t="shared" si="64"/>
        <v/>
      </c>
      <c r="AC150" s="225" t="str">
        <f>IF(AB150="","",IF($I$8="A",(RANK(AB150,AB$11:AB$355)+COUNTIF(AB$11:AB150,AB150)-1),(RANK(AB150,AB$11:AB$355,1)+COUNTIF(AB$11:AB150,AB150)-1)))</f>
        <v/>
      </c>
      <c r="AD150" s="225"/>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HLOOKUP($AX$9&amp;$AX$10,Data!$A$1:$ZZ$1992,(MATCH($C150,Data!$A$1:$A$1992,0)),FALSE)</f>
        <v>0</v>
      </c>
      <c r="AY150" s="156"/>
      <c r="AZ150" s="44"/>
    </row>
    <row r="151" spans="1:52">
      <c r="A151" s="84" t="str">
        <f>$D$1&amp;141</f>
        <v>SC141</v>
      </c>
      <c r="B151" s="85">
        <f>IF(ISERROR(VLOOKUP(A151,classifications!A:C,3,FALSE)),0,VLOOKUP(A151,classifications!A:C,3,FALSE))</f>
        <v>0</v>
      </c>
      <c r="C151" s="31" t="s">
        <v>211</v>
      </c>
      <c r="D151" s="49" t="str">
        <f>VLOOKUP($C151,classifications!$C:$J,4,FALSE)</f>
        <v>L</v>
      </c>
      <c r="E151" s="49">
        <f>VLOOKUP(C151,classifications!C:K,9,FALSE)</f>
        <v>0</v>
      </c>
      <c r="F151" s="59">
        <f t="shared" si="49"/>
        <v>0</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17" t="str">
        <f>IF(L151="","",VLOOKUP(L151,classifications!C:K,9,FALSE))</f>
        <v/>
      </c>
      <c r="U151" s="224" t="str">
        <f t="shared" si="54"/>
        <v/>
      </c>
      <c r="V151" s="225" t="str">
        <f>IF(U151="","",IF($I$8="A",(RANK(U151,U$11:U$355)+COUNTIF(U$11:U151,U151)-1),(RANK(U151,U$11:U$355,1)+COUNTIF(U$11:U151,U151)-1)))</f>
        <v/>
      </c>
      <c r="W151" s="226"/>
      <c r="X151" s="61" t="str">
        <f>IF(L151="","",VLOOKUP($L151,classifications!$C:$J,6,FALSE))</f>
        <v/>
      </c>
      <c r="Y151" s="49" t="b">
        <f t="shared" si="55"/>
        <v>0</v>
      </c>
      <c r="Z151" s="57" t="e">
        <f>IF(Y151="","",IF(I$8="A",(RANK(Y151,Y$11:Y$355,1)+COUNTIF(Y$11:Y151,Y151)-1),(RANK(Y151,Y$11:Y$355)+COUNTIF(Y$11:Y151,Y151)-1)))</f>
        <v>#N/A</v>
      </c>
      <c r="AA151" s="231" t="str">
        <f>IF(L151="","",VLOOKUP($L151,classifications!C:I,7,FALSE))</f>
        <v/>
      </c>
      <c r="AB151" s="225" t="str">
        <f t="shared" si="64"/>
        <v/>
      </c>
      <c r="AC151" s="225" t="str">
        <f>IF(AB151="","",IF($I$8="A",(RANK(AB151,AB$11:AB$355)+COUNTIF(AB$11:AB151,AB151)-1),(RANK(AB151,AB$11:AB$355,1)+COUNTIF(AB$11:AB151,AB151)-1)))</f>
        <v/>
      </c>
      <c r="AD151" s="225"/>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HLOOKUP($AX$9&amp;$AX$10,Data!$A$1:$ZZ$1992,(MATCH($C151,Data!$A$1:$A$1992,0)),FALSE)</f>
        <v>0</v>
      </c>
      <c r="AY151" s="156"/>
      <c r="AZ151" s="44"/>
    </row>
    <row r="152" spans="1:52">
      <c r="A152" s="84" t="str">
        <f>$D$1&amp;142</f>
        <v>SC142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0</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17" t="str">
        <f>IF(L152="","",VLOOKUP(L152,classifications!C:K,9,FALSE))</f>
        <v/>
      </c>
      <c r="U152" s="224" t="str">
        <f t="shared" si="54"/>
        <v/>
      </c>
      <c r="V152" s="225" t="str">
        <f>IF(U152="","",IF($I$8="A",(RANK(U152,U$11:U$355)+COUNTIF(U$11:U152,U152)-1),(RANK(U152,U$11:U$355,1)+COUNTIF(U$11:U152,U152)-1)))</f>
        <v/>
      </c>
      <c r="W152" s="226"/>
      <c r="X152" s="61" t="str">
        <f>IF(L152="","",VLOOKUP($L152,classifications!$C:$J,6,FALSE))</f>
        <v/>
      </c>
      <c r="Y152" s="49" t="b">
        <f t="shared" si="55"/>
        <v>0</v>
      </c>
      <c r="Z152" s="57" t="e">
        <f>IF(Y152="","",IF(I$8="A",(RANK(Y152,Y$11:Y$355,1)+COUNTIF(Y$11:Y152,Y152)-1),(RANK(Y152,Y$11:Y$355)+COUNTIF(Y$11:Y152,Y152)-1)))</f>
        <v>#N/A</v>
      </c>
      <c r="AA152" s="231" t="str">
        <f>IF(L152="","",VLOOKUP($L152,classifications!C:I,7,FALSE))</f>
        <v/>
      </c>
      <c r="AB152" s="225" t="str">
        <f t="shared" si="64"/>
        <v/>
      </c>
      <c r="AC152" s="225" t="str">
        <f>IF(AB152="","",IF($I$8="A",(RANK(AB152,AB$11:AB$355)+COUNTIF(AB$11:AB152,AB152)-1),(RANK(AB152,AB$11:AB$355,1)+COUNTIF(AB$11:AB152,AB152)-1)))</f>
        <v/>
      </c>
      <c r="AD152" s="225"/>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HLOOKUP($AX$9&amp;$AX$10,Data!$A$1:$ZZ$1992,(MATCH($C152,Data!$A$1:$A$1992,0)),FALSE)</f>
        <v>0</v>
      </c>
      <c r="AY152" s="156"/>
      <c r="AZ152" s="44"/>
    </row>
    <row r="153" spans="1:52">
      <c r="A153" s="84" t="str">
        <f>$D$1&amp;143</f>
        <v>SC143</v>
      </c>
      <c r="B153" s="85">
        <f>IF(ISERROR(VLOOKUP(A153,classifications!A:C,3,FALSE)),0,VLOOKUP(A153,classifications!A:C,3,FALSE))</f>
        <v>0</v>
      </c>
      <c r="C153" s="31" t="s">
        <v>89</v>
      </c>
      <c r="D153" s="49" t="str">
        <f>VLOOKUP($C153,classifications!$C:$J,4,FALSE)</f>
        <v>SD</v>
      </c>
      <c r="E153" s="49">
        <f>VLOOKUP(C153,classifications!C:K,9,FALSE)</f>
        <v>0</v>
      </c>
      <c r="F153" s="59">
        <f t="shared" si="49"/>
        <v>0</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17" t="str">
        <f>IF(L153="","",VLOOKUP(L153,classifications!C:K,9,FALSE))</f>
        <v/>
      </c>
      <c r="U153" s="224" t="str">
        <f t="shared" si="54"/>
        <v/>
      </c>
      <c r="V153" s="225" t="str">
        <f>IF(U153="","",IF($I$8="A",(RANK(U153,U$11:U$355)+COUNTIF(U$11:U153,U153)-1),(RANK(U153,U$11:U$355,1)+COUNTIF(U$11:U153,U153)-1)))</f>
        <v/>
      </c>
      <c r="W153" s="226"/>
      <c r="X153" s="61" t="str">
        <f>IF(L153="","",VLOOKUP($L153,classifications!$C:$J,6,FALSE))</f>
        <v/>
      </c>
      <c r="Y153" s="49" t="b">
        <f t="shared" si="55"/>
        <v>0</v>
      </c>
      <c r="Z153" s="57" t="e">
        <f>IF(Y153="","",IF(I$8="A",(RANK(Y153,Y$11:Y$355,1)+COUNTIF(Y$11:Y153,Y153)-1),(RANK(Y153,Y$11:Y$355)+COUNTIF(Y$11:Y153,Y153)-1)))</f>
        <v>#N/A</v>
      </c>
      <c r="AA153" s="231" t="str">
        <f>IF(L153="","",VLOOKUP($L153,classifications!C:I,7,FALSE))</f>
        <v/>
      </c>
      <c r="AB153" s="225" t="str">
        <f t="shared" si="64"/>
        <v/>
      </c>
      <c r="AC153" s="225" t="str">
        <f>IF(AB153="","",IF($I$8="A",(RANK(AB153,AB$11:AB$355)+COUNTIF(AB$11:AB153,AB153)-1),(RANK(AB153,AB$11:AB$355,1)+COUNTIF(AB$11:AB153,AB153)-1)))</f>
        <v/>
      </c>
      <c r="AD153" s="225"/>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HLOOKUP($AX$9&amp;$AX$10,Data!$A$1:$ZZ$1992,(MATCH($C153,Data!$A$1:$A$1992,0)),FALSE)</f>
        <v>0</v>
      </c>
      <c r="AY153" s="156"/>
      <c r="AZ153" s="44"/>
    </row>
    <row r="154" spans="1:52">
      <c r="A154" s="84" t="str">
        <f>$D$1&amp;144</f>
        <v>SC144</v>
      </c>
      <c r="B154" s="85">
        <f>IF(ISERROR(VLOOKUP(A154,classifications!A:C,3,FALSE)),0,VLOOKUP(A154,classifications!A:C,3,FALSE))</f>
        <v>0</v>
      </c>
      <c r="C154" s="31" t="s">
        <v>90</v>
      </c>
      <c r="D154" s="49" t="str">
        <f>VLOOKUP($C154,classifications!$C:$J,4,FALSE)</f>
        <v>SD</v>
      </c>
      <c r="E154" s="49">
        <f>VLOOKUP(C154,classifications!C:K,9,FALSE)</f>
        <v>0</v>
      </c>
      <c r="F154" s="59">
        <f t="shared" si="49"/>
        <v>0</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17" t="str">
        <f>IF(L154="","",VLOOKUP(L154,classifications!C:K,9,FALSE))</f>
        <v/>
      </c>
      <c r="U154" s="224" t="str">
        <f t="shared" si="54"/>
        <v/>
      </c>
      <c r="V154" s="225" t="str">
        <f>IF(U154="","",IF($I$8="A",(RANK(U154,U$11:U$355)+COUNTIF(U$11:U154,U154)-1),(RANK(U154,U$11:U$355,1)+COUNTIF(U$11:U154,U154)-1)))</f>
        <v/>
      </c>
      <c r="W154" s="226"/>
      <c r="X154" s="61" t="str">
        <f>IF(L154="","",VLOOKUP($L154,classifications!$C:$J,6,FALSE))</f>
        <v/>
      </c>
      <c r="Y154" s="49" t="b">
        <f t="shared" si="55"/>
        <v>0</v>
      </c>
      <c r="Z154" s="57" t="e">
        <f>IF(Y154="","",IF(I$8="A",(RANK(Y154,Y$11:Y$355,1)+COUNTIF(Y$11:Y154,Y154)-1),(RANK(Y154,Y$11:Y$355)+COUNTIF(Y$11:Y154,Y154)-1)))</f>
        <v>#N/A</v>
      </c>
      <c r="AA154" s="231" t="str">
        <f>IF(L154="","",VLOOKUP($L154,classifications!C:I,7,FALSE))</f>
        <v/>
      </c>
      <c r="AB154" s="225" t="str">
        <f t="shared" si="64"/>
        <v/>
      </c>
      <c r="AC154" s="225" t="str">
        <f>IF(AB154="","",IF($I$8="A",(RANK(AB154,AB$11:AB$355)+COUNTIF(AB$11:AB154,AB154)-1),(RANK(AB154,AB$11:AB$355,1)+COUNTIF(AB$11:AB154,AB154)-1)))</f>
        <v/>
      </c>
      <c r="AD154" s="225"/>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HLOOKUP($AX$9&amp;$AX$10,Data!$A$1:$ZZ$1992,(MATCH($C154,Data!$A$1:$A$1992,0)),FALSE)</f>
        <v>0</v>
      </c>
      <c r="AY154" s="156"/>
      <c r="AZ154" s="44"/>
    </row>
    <row r="155" spans="1:52">
      <c r="A155" s="84" t="str">
        <f>$D$1&amp;145</f>
        <v>SC145</v>
      </c>
      <c r="B155" s="85">
        <f>IF(ISERROR(VLOOKUP(A155,classifications!A:C,3,FALSE)),0,VLOOKUP(A155,classifications!A:C,3,FALSE))</f>
        <v>0</v>
      </c>
      <c r="C155" s="31" t="s">
        <v>271</v>
      </c>
      <c r="D155" s="49" t="str">
        <f>VLOOKUP($C155,classifications!$C:$J,4,FALSE)</f>
        <v>UA</v>
      </c>
      <c r="E155" s="49" t="str">
        <f>VLOOKUP(C155,classifications!C:K,9,FALSE)</f>
        <v>Sparse</v>
      </c>
      <c r="F155" s="59">
        <f t="shared" si="49"/>
        <v>0.312</v>
      </c>
      <c r="G155" s="105"/>
      <c r="H155" s="60" t="str">
        <f t="shared" si="50"/>
        <v/>
      </c>
      <c r="I155" s="112" t="str">
        <f>IF(H155="","",IF($I$8="A",(RANK(H155,H$11:H$355,1)+COUNTIF(H$11:H155,H155)-1),(RANK(H155,H$11:H$355)+COUNTIF(H$11:H155,H155)-1)))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17" t="str">
        <f>IF(L155="","",VLOOKUP(L155,classifications!C:K,9,FALSE))</f>
        <v/>
      </c>
      <c r="U155" s="224" t="str">
        <f t="shared" si="54"/>
        <v/>
      </c>
      <c r="V155" s="225" t="str">
        <f>IF(U155="","",IF($I$8="A",(RANK(U155,U$11:U$355)+COUNTIF(U$11:U155,U155)-1),(RANK(U155,U$11:U$355,1)+COUNTIF(U$11:U155,U155)-1)))</f>
        <v/>
      </c>
      <c r="W155" s="226"/>
      <c r="X155" s="61" t="str">
        <f>IF(L155="","",VLOOKUP($L155,classifications!$C:$J,6,FALSE))</f>
        <v/>
      </c>
      <c r="Y155" s="49" t="b">
        <f t="shared" si="55"/>
        <v>0</v>
      </c>
      <c r="Z155" s="57" t="e">
        <f>IF(Y155="","",IF(I$8="A",(RANK(Y155,Y$11:Y$355,1)+COUNTIF(Y$11:Y155,Y155)-1),(RANK(Y155,Y$11:Y$355)+COUNTIF(Y$11:Y155,Y155)-1)))</f>
        <v>#N/A</v>
      </c>
      <c r="AA155" s="231" t="str">
        <f>IF(L155="","",VLOOKUP($L155,classifications!C:I,7,FALSE))</f>
        <v/>
      </c>
      <c r="AB155" s="225" t="str">
        <f t="shared" si="64"/>
        <v/>
      </c>
      <c r="AC155" s="225" t="str">
        <f>IF(AB155="","",IF($I$8="A",(RANK(AB155,AB$11:AB$355)+COUNTIF(AB$11:AB155,AB155)-1),(RANK(AB155,AB$11:AB$355,1)+COUNTIF(AB$11:AB155,AB155)-1)))</f>
        <v/>
      </c>
      <c r="AD155" s="225"/>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HLOOKUP($AX$9&amp;$AX$10,Data!$A$1:$ZZ$1992,(MATCH($C155,Data!$A$1:$A$1992,0)),FALSE)</f>
        <v>0.312</v>
      </c>
      <c r="AY155" s="156"/>
      <c r="AZ155" s="44"/>
    </row>
    <row r="156" spans="1:52">
      <c r="A156" s="84" t="str">
        <f>$D$1&amp;146</f>
        <v>SC146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17" t="str">
        <f>IF(L156="","",VLOOKUP(L156,classifications!C:K,9,FALSE))</f>
        <v/>
      </c>
      <c r="U156" s="224" t="str">
        <f t="shared" si="54"/>
        <v/>
      </c>
      <c r="V156" s="225" t="str">
        <f>IF(U156="","",IF($I$8="A",(RANK(U156,U$11:U$355)+COUNTIF(U$11:U156,U156)-1),(RANK(U156,U$11:U$355,1)+COUNTIF(U$11:U156,U156)-1)))</f>
        <v/>
      </c>
      <c r="W156" s="226"/>
      <c r="X156" s="61" t="str">
        <f>IF(L156="","",VLOOKUP($L156,classifications!$C:$J,6,FALSE))</f>
        <v/>
      </c>
      <c r="Y156" s="49" t="b">
        <f t="shared" si="55"/>
        <v>0</v>
      </c>
      <c r="Z156" s="57" t="e">
        <f>IF(Y156="","",IF(I$8="A",(RANK(Y156,Y$11:Y$355,1)+COUNTIF(Y$11:Y156,Y156)-1),(RANK(Y156,Y$11:Y$355)+COUNTIF(Y$11:Y156,Y156)-1)))</f>
        <v>#N/A</v>
      </c>
      <c r="AA156" s="231" t="str">
        <f>IF(L156="","",VLOOKUP($L156,classifications!C:I,7,FALSE))</f>
        <v/>
      </c>
      <c r="AB156" s="225" t="str">
        <f t="shared" si="64"/>
        <v/>
      </c>
      <c r="AC156" s="225" t="str">
        <f>IF(AB156="","",IF($I$8="A",(RANK(AB156,AB$11:AB$355)+COUNTIF(AB$11:AB156,AB156)-1),(RANK(AB156,AB$11:AB$355,1)+COUNTIF(AB$11:AB156,AB156)-1)))</f>
        <v/>
      </c>
      <c r="AD156" s="225"/>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HLOOKUP($AX$9&amp;$AX$10,Data!$A$1:$ZZ$1992,(MATCH($C156,Data!$A$1:$A$1992,0)),FALSE)</f>
        <v>-</v>
      </c>
      <c r="AY156" s="156"/>
      <c r="AZ156" s="44"/>
    </row>
    <row r="157" spans="1:52">
      <c r="A157" s="84" t="str">
        <f>$D$1&amp;147</f>
        <v>SC147</v>
      </c>
      <c r="B157" s="85">
        <f>IF(ISERROR(VLOOKUP(A157,classifications!A:C,3,FALSE)),0,VLOOKUP(A157,classifications!A:C,3,FALSE))</f>
        <v>0</v>
      </c>
      <c r="C157" s="31" t="s">
        <v>212</v>
      </c>
      <c r="D157" s="49" t="str">
        <f>VLOOKUP($C157,classifications!$C:$J,4,FALSE)</f>
        <v>L</v>
      </c>
      <c r="E157" s="49">
        <f>VLOOKUP(C157,classifications!C:K,9,FALSE)</f>
        <v>0</v>
      </c>
      <c r="F157" s="59">
        <f t="shared" si="49"/>
        <v>0</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17" t="str">
        <f>IF(L157="","",VLOOKUP(L157,classifications!C:K,9,FALSE))</f>
        <v/>
      </c>
      <c r="U157" s="224" t="str">
        <f t="shared" si="54"/>
        <v/>
      </c>
      <c r="V157" s="225" t="str">
        <f>IF(U157="","",IF($I$8="A",(RANK(U157,U$11:U$355)+COUNTIF(U$11:U157,U157)-1),(RANK(U157,U$11:U$355,1)+COUNTIF(U$11:U157,U157)-1)))</f>
        <v/>
      </c>
      <c r="W157" s="226"/>
      <c r="X157" s="61" t="str">
        <f>IF(L157="","",VLOOKUP($L157,classifications!$C:$J,6,FALSE))</f>
        <v/>
      </c>
      <c r="Y157" s="49" t="b">
        <f t="shared" si="55"/>
        <v>0</v>
      </c>
      <c r="Z157" s="57" t="e">
        <f>IF(Y157="","",IF(I$8="A",(RANK(Y157,Y$11:Y$355,1)+COUNTIF(Y$11:Y157,Y157)-1),(RANK(Y157,Y$11:Y$355)+COUNTIF(Y$11:Y157,Y157)-1)))</f>
        <v>#N/A</v>
      </c>
      <c r="AA157" s="231" t="str">
        <f>IF(L157="","",VLOOKUP($L157,classifications!C:I,7,FALSE))</f>
        <v/>
      </c>
      <c r="AB157" s="225" t="str">
        <f t="shared" si="64"/>
        <v/>
      </c>
      <c r="AC157" s="225" t="str">
        <f>IF(AB157="","",IF($I$8="A",(RANK(AB157,AB$11:AB$355)+COUNTIF(AB$11:AB157,AB157)-1),(RANK(AB157,AB$11:AB$355,1)+COUNTIF(AB$11:AB157,AB157)-1)))</f>
        <v/>
      </c>
      <c r="AD157" s="225"/>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HLOOKUP($AX$9&amp;$AX$10,Data!$A$1:$ZZ$1992,(MATCH($C157,Data!$A$1:$A$1992,0)),FALSE)</f>
        <v>0</v>
      </c>
      <c r="AY157" s="156"/>
      <c r="AZ157" s="44"/>
    </row>
    <row r="158" spans="1:52">
      <c r="A158" s="84" t="str">
        <f>$D$1&amp;148</f>
        <v>SC148</v>
      </c>
      <c r="B158" s="85">
        <f>IF(ISERROR(VLOOKUP(A158,classifications!A:C,3,FALSE)),0,VLOOKUP(A158,classifications!A:C,3,FALSE))</f>
        <v>0</v>
      </c>
      <c r="C158" s="31" t="s">
        <v>338</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17" t="str">
        <f>IF(L158="","",VLOOKUP(L158,classifications!C:K,9,FALSE))</f>
        <v/>
      </c>
      <c r="U158" s="224" t="str">
        <f t="shared" si="54"/>
        <v/>
      </c>
      <c r="V158" s="225" t="str">
        <f>IF(U158="","",IF($I$8="A",(RANK(U158,U$11:U$355)+COUNTIF(U$11:U158,U158)-1),(RANK(U158,U$11:U$355,1)+COUNTIF(U$11:U158,U158)-1)))</f>
        <v/>
      </c>
      <c r="W158" s="226"/>
      <c r="X158" s="61" t="str">
        <f>IF(L158="","",VLOOKUP($L158,classifications!$C:$J,6,FALSE))</f>
        <v/>
      </c>
      <c r="Y158" s="49" t="b">
        <f t="shared" si="55"/>
        <v>0</v>
      </c>
      <c r="Z158" s="57" t="e">
        <f>IF(Y158="","",IF(I$8="A",(RANK(Y158,Y$11:Y$355,1)+COUNTIF(Y$11:Y158,Y158)-1),(RANK(Y158,Y$11:Y$355)+COUNTIF(Y$11:Y158,Y158)-1)))</f>
        <v>#N/A</v>
      </c>
      <c r="AA158" s="231" t="str">
        <f>IF(L158="","",VLOOKUP($L158,classifications!C:I,7,FALSE))</f>
        <v/>
      </c>
      <c r="AB158" s="225" t="str">
        <f t="shared" si="64"/>
        <v/>
      </c>
      <c r="AC158" s="225" t="str">
        <f>IF(AB158="","",IF($I$8="A",(RANK(AB158,AB$11:AB$355)+COUNTIF(AB$11:AB158,AB158)-1),(RANK(AB158,AB$11:AB$355,1)+COUNTIF(AB$11:AB158,AB158)-1)))</f>
        <v/>
      </c>
      <c r="AD158" s="225"/>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HLOOKUP($AX$9&amp;$AX$10,Data!$A$1:$ZZ$1992,(MATCH($C158,Data!$A$1:$A$1992,0)),FALSE)</f>
        <v>-</v>
      </c>
      <c r="AY158" s="156"/>
      <c r="AZ158" s="44"/>
    </row>
    <row r="159" spans="1:52">
      <c r="A159" s="84" t="str">
        <f>$D$1&amp;149</f>
        <v>SC149</v>
      </c>
      <c r="B159" s="85">
        <f>IF(ISERROR(VLOOKUP(A159,classifications!A:C,3,FALSE)),0,VLOOKUP(A159,classifications!A:C,3,FALSE))</f>
        <v>0</v>
      </c>
      <c r="C159" s="31" t="s">
        <v>316</v>
      </c>
      <c r="D159" s="49" t="str">
        <f>VLOOKUP($C159,classifications!$C:$J,4,FALSE)</f>
        <v>SC</v>
      </c>
      <c r="E159" s="49">
        <f>VLOOKUP(C159,classifications!C:K,9,FALSE)</f>
        <v>0</v>
      </c>
      <c r="F159" s="59">
        <f t="shared" si="49"/>
        <v>1.4999999999999999E-2</v>
      </c>
      <c r="G159" s="105"/>
      <c r="H159" s="60">
        <f t="shared" si="50"/>
        <v>1.4999999999999999E-2</v>
      </c>
      <c r="I159" s="112">
        <f>IF(H159="","",IF($I$8="A",(RANK(H159,H$11:H$355,1)+COUNTIF(H$11:H159,H159)-1),(RANK(H159,H$11:H$355)+COUNTIF(H$11:H159,H159)-1)))</f>
        <v>3</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17" t="str">
        <f>IF(L159="","",VLOOKUP(L159,classifications!C:K,9,FALSE))</f>
        <v/>
      </c>
      <c r="U159" s="224" t="str">
        <f t="shared" si="54"/>
        <v/>
      </c>
      <c r="V159" s="225" t="str">
        <f>IF(U159="","",IF($I$8="A",(RANK(U159,U$11:U$355)+COUNTIF(U$11:U159,U159)-1),(RANK(U159,U$11:U$355,1)+COUNTIF(U$11:U159,U159)-1)))</f>
        <v/>
      </c>
      <c r="W159" s="226"/>
      <c r="X159" s="61" t="str">
        <f>IF(L159="","",VLOOKUP($L159,classifications!$C:$J,6,FALSE))</f>
        <v/>
      </c>
      <c r="Y159" s="49" t="b">
        <f t="shared" si="55"/>
        <v>0</v>
      </c>
      <c r="Z159" s="57" t="e">
        <f>IF(Y159="","",IF(I$8="A",(RANK(Y159,Y$11:Y$355,1)+COUNTIF(Y$11:Y159,Y159)-1),(RANK(Y159,Y$11:Y$355)+COUNTIF(Y$11:Y159,Y159)-1)))</f>
        <v>#N/A</v>
      </c>
      <c r="AA159" s="231" t="str">
        <f>IF(L159="","",VLOOKUP($L159,classifications!C:I,7,FALSE))</f>
        <v/>
      </c>
      <c r="AB159" s="225" t="str">
        <f t="shared" si="64"/>
        <v/>
      </c>
      <c r="AC159" s="225" t="str">
        <f>IF(AB159="","",IF($I$8="A",(RANK(AB159,AB$11:AB$355)+COUNTIF(AB$11:AB159,AB159)-1),(RANK(AB159,AB$11:AB$355,1)+COUNTIF(AB$11:AB159,AB159)-1)))</f>
        <v/>
      </c>
      <c r="AD159" s="225"/>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HLOOKUP($AX$9&amp;$AX$10,Data!$A$1:$ZZ$1992,(MATCH($C159,Data!$A$1:$A$1992,0)),FALSE)</f>
        <v>1.4999999999999999E-2</v>
      </c>
      <c r="AY159" s="156"/>
      <c r="AZ159" s="44"/>
    </row>
    <row r="160" spans="1:52">
      <c r="A160" s="84" t="str">
        <f>$D$1&amp;150</f>
        <v>SC150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17" t="str">
        <f>IF(L160="","",VLOOKUP(L160,classifications!C:K,9,FALSE))</f>
        <v/>
      </c>
      <c r="U160" s="224" t="str">
        <f t="shared" si="54"/>
        <v/>
      </c>
      <c r="V160" s="225" t="str">
        <f>IF(U160="","",IF($I$8="A",(RANK(U160,U$11:U$355)+COUNTIF(U$11:U160,U160)-1),(RANK(U160,U$11:U$355,1)+COUNTIF(U$11:U160,U160)-1)))</f>
        <v/>
      </c>
      <c r="W160" s="226"/>
      <c r="X160" s="61" t="str">
        <f>IF(L160="","",VLOOKUP($L160,classifications!$C:$J,6,FALSE))</f>
        <v/>
      </c>
      <c r="Y160" s="49" t="b">
        <f t="shared" si="55"/>
        <v>0</v>
      </c>
      <c r="Z160" s="57" t="e">
        <f>IF(Y160="","",IF(I$8="A",(RANK(Y160,Y$11:Y$355,1)+COUNTIF(Y$11:Y160,Y160)-1),(RANK(Y160,Y$11:Y$355)+COUNTIF(Y$11:Y160,Y160)-1)))</f>
        <v>#N/A</v>
      </c>
      <c r="AA160" s="231" t="str">
        <f>IF(L160="","",VLOOKUP($L160,classifications!C:I,7,FALSE))</f>
        <v/>
      </c>
      <c r="AB160" s="225" t="str">
        <f t="shared" si="64"/>
        <v/>
      </c>
      <c r="AC160" s="225" t="str">
        <f>IF(AB160="","",IF($I$8="A",(RANK(AB160,AB$11:AB$355)+COUNTIF(AB$11:AB160,AB160)-1),(RANK(AB160,AB$11:AB$355,1)+COUNTIF(AB$11:AB160,AB160)-1)))</f>
        <v/>
      </c>
      <c r="AD160" s="225"/>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HLOOKUP($AX$9&amp;$AX$10,Data!$A$1:$ZZ$1992,(MATCH($C160,Data!$A$1:$A$1992,0)),FALSE)</f>
        <v>-</v>
      </c>
      <c r="AY160" s="156"/>
      <c r="AZ160" s="44"/>
    </row>
    <row r="161" spans="1:52">
      <c r="A161" s="84" t="str">
        <f>$D$1&amp;151</f>
        <v>SC151</v>
      </c>
      <c r="B161" s="85">
        <f>IF(ISERROR(VLOOKUP(A161,classifications!A:C,3,FALSE)),0,VLOOKUP(A161,classifications!A:C,3,FALSE))</f>
        <v>0</v>
      </c>
      <c r="C161" s="31" t="s">
        <v>378</v>
      </c>
      <c r="D161" s="49" t="str">
        <f>VLOOKUP($C161,classifications!$C:$J,4,FALSE)</f>
        <v>SD</v>
      </c>
      <c r="E161" s="49" t="str">
        <f>VLOOKUP(C161,classifications!C:K,9,FALSE)</f>
        <v>Sparse</v>
      </c>
      <c r="F161" s="59" t="e">
        <f t="shared" si="49"/>
        <v>#N/A</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17" t="str">
        <f>IF(L161="","",VLOOKUP(L161,classifications!C:K,9,FALSE))</f>
        <v/>
      </c>
      <c r="U161" s="224" t="str">
        <f t="shared" si="54"/>
        <v/>
      </c>
      <c r="V161" s="225" t="str">
        <f>IF(U161="","",IF($I$8="A",(RANK(U161,U$11:U$355)+COUNTIF(U$11:U161,U161)-1),(RANK(U161,U$11:U$355,1)+COUNTIF(U$11:U161,U161)-1)))</f>
        <v/>
      </c>
      <c r="W161" s="226"/>
      <c r="X161" s="61" t="str">
        <f>IF(L161="","",VLOOKUP($L161,classifications!$C:$J,6,FALSE))</f>
        <v/>
      </c>
      <c r="Y161" s="49" t="b">
        <f t="shared" si="55"/>
        <v>0</v>
      </c>
      <c r="Z161" s="57" t="e">
        <f>IF(Y161="","",IF(I$8="A",(RANK(Y161,Y$11:Y$355,1)+COUNTIF(Y$11:Y161,Y161)-1),(RANK(Y161,Y$11:Y$355)+COUNTIF(Y$11:Y161,Y161)-1)))</f>
        <v>#N/A</v>
      </c>
      <c r="AA161" s="231" t="str">
        <f>IF(L161="","",VLOOKUP($L161,classifications!C:I,7,FALSE))</f>
        <v/>
      </c>
      <c r="AB161" s="225" t="str">
        <f t="shared" si="64"/>
        <v/>
      </c>
      <c r="AC161" s="225" t="str">
        <f>IF(AB161="","",IF($I$8="A",(RANK(AB161,AB$11:AB$355)+COUNTIF(AB$11:AB161,AB161)-1),(RANK(AB161,AB$11:AB$355,1)+COUNTIF(AB$11:AB161,AB161)-1)))</f>
        <v/>
      </c>
      <c r="AD161" s="225"/>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t="e">
        <f>HLOOKUP($AX$9&amp;$AX$10,Data!$A$1:$ZZ$1992,(MATCH($C161,Data!$A$1:$A$1992,0)),FALSE)</f>
        <v>#N/A</v>
      </c>
      <c r="AY161" s="156"/>
      <c r="AZ161" s="44"/>
    </row>
    <row r="162" spans="1:52">
      <c r="A162" s="84" t="str">
        <f>$D$1&amp;152</f>
        <v>SC152</v>
      </c>
      <c r="B162" s="85">
        <f>IF(ISERROR(VLOOKUP(A162,classifications!A:C,3,FALSE)),0,VLOOKUP(A162,classifications!A:C,3,FALSE))</f>
        <v>0</v>
      </c>
      <c r="C162" s="31" t="s">
        <v>819</v>
      </c>
      <c r="D162" s="49" t="str">
        <f>VLOOKUP($C162,classifications!$C:$J,4,FALSE)</f>
        <v>UA</v>
      </c>
      <c r="E162" s="49">
        <f>VLOOKUP(C162,classifications!C:K,9,FALSE)</f>
        <v>0</v>
      </c>
      <c r="F162" s="59" t="e">
        <f t="shared" si="49"/>
        <v>#N/A</v>
      </c>
      <c r="G162" s="105"/>
      <c r="H162" s="60" t="str">
        <f t="shared" si="50"/>
        <v/>
      </c>
      <c r="I162" s="112" t="str">
        <f>IF(H162="","",IF($I$8="A",(RANK(H162,H$11:H$355,1)+COUNTIF(H$11:H162,H162)-1),(RANK(H162,H$11:H$355)+COUNTIF(H$11:H162,H162)-1)))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17" t="str">
        <f>IF(L162="","",VLOOKUP(L162,classifications!C:K,9,FALSE))</f>
        <v/>
      </c>
      <c r="U162" s="224" t="str">
        <f t="shared" si="54"/>
        <v/>
      </c>
      <c r="V162" s="225" t="str">
        <f>IF(U162="","",IF($I$8="A",(RANK(U162,U$11:U$355)+COUNTIF(U$11:U162,U162)-1),(RANK(U162,U$11:U$355,1)+COUNTIF(U$11:U162,U162)-1)))</f>
        <v/>
      </c>
      <c r="W162" s="226"/>
      <c r="X162" s="61" t="str">
        <f>IF(L162="","",VLOOKUP($L162,classifications!$C:$J,6,FALSE))</f>
        <v/>
      </c>
      <c r="Y162" s="49" t="b">
        <f t="shared" si="55"/>
        <v>0</v>
      </c>
      <c r="Z162" s="57" t="e">
        <f>IF(Y162="","",IF(I$8="A",(RANK(Y162,Y$11:Y$355,1)+COUNTIF(Y$11:Y162,Y162)-1),(RANK(Y162,Y$11:Y$355)+COUNTIF(Y$11:Y162,Y162)-1)))</f>
        <v>#N/A</v>
      </c>
      <c r="AA162" s="231" t="str">
        <f>IF(L162="","",VLOOKUP($L162,classifications!C:I,7,FALSE))</f>
        <v/>
      </c>
      <c r="AB162" s="225" t="str">
        <f t="shared" si="64"/>
        <v/>
      </c>
      <c r="AC162" s="225" t="str">
        <f>IF(AB162="","",IF($I$8="A",(RANK(AB162,AB$11:AB$355)+COUNTIF(AB$11:AB162,AB162)-1),(RANK(AB162,AB$11:AB$355,1)+COUNTIF(AB$11:AB162,AB162)-1)))</f>
        <v/>
      </c>
      <c r="AD162" s="225"/>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t="e">
        <f>HLOOKUP($AX$9&amp;$AX$10,Data!$A$1:$ZZ$1992,(MATCH($C162,Data!$A$1:$A$1992,0)),FALSE)</f>
        <v>#N/A</v>
      </c>
      <c r="AY162" s="156"/>
      <c r="AZ162" s="44"/>
    </row>
    <row r="163" spans="1:52">
      <c r="A163" s="84" t="str">
        <f>$D$1&amp;153</f>
        <v>SC153</v>
      </c>
      <c r="B163" s="85">
        <f>IF(ISERROR(VLOOKUP(A163,classifications!A:C,3,FALSE)),0,VLOOKUP(A163,classifications!A:C,3,FALSE))</f>
        <v>0</v>
      </c>
      <c r="C163" s="31" t="s">
        <v>394</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17" t="str">
        <f>IF(L163="","",VLOOKUP(L163,classifications!C:K,9,FALSE))</f>
        <v/>
      </c>
      <c r="U163" s="224" t="str">
        <f t="shared" si="54"/>
        <v/>
      </c>
      <c r="V163" s="225" t="str">
        <f>IF(U163="","",IF($I$8="A",(RANK(U163,U$11:U$355)+COUNTIF(U$11:U163,U163)-1),(RANK(U163,U$11:U$355,1)+COUNTIF(U$11:U163,U163)-1)))</f>
        <v/>
      </c>
      <c r="W163" s="226"/>
      <c r="X163" s="61" t="str">
        <f>IF(L163="","",VLOOKUP($L163,classifications!$C:$J,6,FALSE))</f>
        <v/>
      </c>
      <c r="Y163" s="49" t="b">
        <f t="shared" si="55"/>
        <v>0</v>
      </c>
      <c r="Z163" s="57" t="e">
        <f>IF(Y163="","",IF(I$8="A",(RANK(Y163,Y$11:Y$355,1)+COUNTIF(Y$11:Y163,Y163)-1),(RANK(Y163,Y$11:Y$355)+COUNTIF(Y$11:Y163,Y163)-1)))</f>
        <v>#N/A</v>
      </c>
      <c r="AA163" s="231" t="str">
        <f>IF(L163="","",VLOOKUP($L163,classifications!C:I,7,FALSE))</f>
        <v/>
      </c>
      <c r="AB163" s="225" t="str">
        <f t="shared" si="64"/>
        <v/>
      </c>
      <c r="AC163" s="225" t="str">
        <f>IF(AB163="","",IF($I$8="A",(RANK(AB163,AB$11:AB$355)+COUNTIF(AB$11:AB163,AB163)-1),(RANK(AB163,AB$11:AB$355,1)+COUNTIF(AB$11:AB163,AB163)-1)))</f>
        <v/>
      </c>
      <c r="AD163" s="225"/>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HLOOKUP($AX$9&amp;$AX$10,Data!$A$1:$ZZ$1992,(MATCH($C163,Data!$A$1:$A$1992,0)),FALSE)</f>
        <v>-</v>
      </c>
      <c r="AY163" s="156"/>
      <c r="AZ163" s="44"/>
    </row>
    <row r="164" spans="1:52">
      <c r="A164" s="84" t="str">
        <f>$D$1&amp;154</f>
        <v>SC154</v>
      </c>
      <c r="B164" s="85">
        <f>IF(ISERROR(VLOOKUP(A164,classifications!A:C,3,FALSE)),0,VLOOKUP(A164,classifications!A:C,3,FALSE))</f>
        <v>0</v>
      </c>
      <c r="C164" s="31" t="s">
        <v>233</v>
      </c>
      <c r="D164" s="49" t="str">
        <f>VLOOKUP($C164,classifications!$C:$J,4,FALSE)</f>
        <v>MD</v>
      </c>
      <c r="E164" s="49">
        <f>VLOOKUP(C164,classifications!C:K,9,FALSE)</f>
        <v>0</v>
      </c>
      <c r="F164" s="59">
        <f t="shared" si="49"/>
        <v>3.1E-2</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17" t="str">
        <f>IF(L164="","",VLOOKUP(L164,classifications!C:K,9,FALSE))</f>
        <v/>
      </c>
      <c r="U164" s="224" t="str">
        <f t="shared" si="54"/>
        <v/>
      </c>
      <c r="V164" s="225" t="str">
        <f>IF(U164="","",IF($I$8="A",(RANK(U164,U$11:U$355)+COUNTIF(U$11:U164,U164)-1),(RANK(U164,U$11:U$355,1)+COUNTIF(U$11:U164,U164)-1)))</f>
        <v/>
      </c>
      <c r="W164" s="226"/>
      <c r="X164" s="61" t="str">
        <f>IF(L164="","",VLOOKUP($L164,classifications!$C:$J,6,FALSE))</f>
        <v/>
      </c>
      <c r="Y164" s="49" t="b">
        <f t="shared" si="55"/>
        <v>0</v>
      </c>
      <c r="Z164" s="57" t="e">
        <f>IF(Y164="","",IF(I$8="A",(RANK(Y164,Y$11:Y$355,1)+COUNTIF(Y$11:Y164,Y164)-1),(RANK(Y164,Y$11:Y$355)+COUNTIF(Y$11:Y164,Y164)-1)))</f>
        <v>#N/A</v>
      </c>
      <c r="AA164" s="231" t="str">
        <f>IF(L164="","",VLOOKUP($L164,classifications!C:I,7,FALSE))</f>
        <v/>
      </c>
      <c r="AB164" s="225" t="str">
        <f t="shared" si="64"/>
        <v/>
      </c>
      <c r="AC164" s="225" t="str">
        <f>IF(AB164="","",IF($I$8="A",(RANK(AB164,AB$11:AB$355)+COUNTIF(AB$11:AB164,AB164)-1),(RANK(AB164,AB$11:AB$355,1)+COUNTIF(AB$11:AB164,AB164)-1)))</f>
        <v/>
      </c>
      <c r="AD164" s="225"/>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HLOOKUP($AX$9&amp;$AX$10,Data!$A$1:$ZZ$1992,(MATCH($C164,Data!$A$1:$A$1992,0)),FALSE)</f>
        <v>3.1E-2</v>
      </c>
      <c r="AY164" s="156"/>
      <c r="AZ164" s="44"/>
    </row>
    <row r="165" spans="1:52">
      <c r="A165" s="84" t="str">
        <f>$D$1&amp;155</f>
        <v>SC155</v>
      </c>
      <c r="B165" s="85">
        <f>IF(ISERROR(VLOOKUP(A165,classifications!A:C,3,FALSE)),0,VLOOKUP(A165,classifications!A:C,3,FALSE))</f>
        <v>0</v>
      </c>
      <c r="C165" s="31" t="s">
        <v>234</v>
      </c>
      <c r="D165" s="49" t="str">
        <f>VLOOKUP($C165,classifications!$C:$J,4,FALSE)</f>
        <v>MD</v>
      </c>
      <c r="E165" s="49">
        <f>VLOOKUP(C165,classifications!C:K,9,FALSE)</f>
        <v>0</v>
      </c>
      <c r="F165" s="59">
        <f t="shared" si="49"/>
        <v>0</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17" t="str">
        <f>IF(L165="","",VLOOKUP(L165,classifications!C:K,9,FALSE))</f>
        <v/>
      </c>
      <c r="U165" s="224" t="str">
        <f t="shared" si="54"/>
        <v/>
      </c>
      <c r="V165" s="225" t="str">
        <f>IF(U165="","",IF($I$8="A",(RANK(U165,U$11:U$355)+COUNTIF(U$11:U165,U165)-1),(RANK(U165,U$11:U$355,1)+COUNTIF(U$11:U165,U165)-1)))</f>
        <v/>
      </c>
      <c r="W165" s="226"/>
      <c r="X165" s="61" t="str">
        <f>IF(L165="","",VLOOKUP($L165,classifications!$C:$J,6,FALSE))</f>
        <v/>
      </c>
      <c r="Y165" s="49" t="b">
        <f t="shared" si="55"/>
        <v>0</v>
      </c>
      <c r="Z165" s="57" t="e">
        <f>IF(Y165="","",IF(I$8="A",(RANK(Y165,Y$11:Y$355,1)+COUNTIF(Y$11:Y165,Y165)-1),(RANK(Y165,Y$11:Y$355)+COUNTIF(Y$11:Y165,Y165)-1)))</f>
        <v>#N/A</v>
      </c>
      <c r="AA165" s="231" t="str">
        <f>IF(L165="","",VLOOKUP($L165,classifications!C:I,7,FALSE))</f>
        <v/>
      </c>
      <c r="AB165" s="225" t="str">
        <f t="shared" si="64"/>
        <v/>
      </c>
      <c r="AC165" s="225" t="str">
        <f>IF(AB165="","",IF($I$8="A",(RANK(AB165,AB$11:AB$355)+COUNTIF(AB$11:AB165,AB165)-1),(RANK(AB165,AB$11:AB$355,1)+COUNTIF(AB$11:AB165,AB165)-1)))</f>
        <v/>
      </c>
      <c r="AD165" s="225"/>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HLOOKUP($AX$9&amp;$AX$10,Data!$A$1:$ZZ$1992,(MATCH($C165,Data!$A$1:$A$1992,0)),FALSE)</f>
        <v>0</v>
      </c>
      <c r="AY165" s="156"/>
      <c r="AZ165" s="44"/>
    </row>
    <row r="166" spans="1:52">
      <c r="A166" s="84" t="str">
        <f>$D$1&amp;156</f>
        <v>SC156</v>
      </c>
      <c r="B166" s="85">
        <f>IF(ISERROR(VLOOKUP(A166,classifications!A:C,3,FALSE)),0,VLOOKUP(A166,classifications!A:C,3,FALSE))</f>
        <v>0</v>
      </c>
      <c r="C166" s="31" t="s">
        <v>213</v>
      </c>
      <c r="D166" s="49" t="str">
        <f>VLOOKUP($C166,classifications!$C:$J,4,FALSE)</f>
        <v>L</v>
      </c>
      <c r="E166" s="49">
        <f>VLOOKUP(C166,classifications!C:K,9,FALSE)</f>
        <v>0</v>
      </c>
      <c r="F166" s="59">
        <f t="shared" si="49"/>
        <v>0</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17" t="str">
        <f>IF(L166="","",VLOOKUP(L166,classifications!C:K,9,FALSE))</f>
        <v/>
      </c>
      <c r="U166" s="224" t="str">
        <f t="shared" si="54"/>
        <v/>
      </c>
      <c r="V166" s="225" t="str">
        <f>IF(U166="","",IF($I$8="A",(RANK(U166,U$11:U$355)+COUNTIF(U$11:U166,U166)-1),(RANK(U166,U$11:U$355,1)+COUNTIF(U$11:U166,U166)-1)))</f>
        <v/>
      </c>
      <c r="W166" s="226"/>
      <c r="X166" s="61" t="str">
        <f>IF(L166="","",VLOOKUP($L166,classifications!$C:$J,6,FALSE))</f>
        <v/>
      </c>
      <c r="Y166" s="49" t="b">
        <f t="shared" si="55"/>
        <v>0</v>
      </c>
      <c r="Z166" s="57" t="e">
        <f>IF(Y166="","",IF(I$8="A",(RANK(Y166,Y$11:Y$355,1)+COUNTIF(Y$11:Y166,Y166)-1),(RANK(Y166,Y$11:Y$355)+COUNTIF(Y$11:Y166,Y166)-1)))</f>
        <v>#N/A</v>
      </c>
      <c r="AA166" s="231" t="str">
        <f>IF(L166="","",VLOOKUP($L166,classifications!C:I,7,FALSE))</f>
        <v/>
      </c>
      <c r="AB166" s="225" t="str">
        <f t="shared" si="64"/>
        <v/>
      </c>
      <c r="AC166" s="225" t="str">
        <f>IF(AB166="","",IF($I$8="A",(RANK(AB166,AB$11:AB$355)+COUNTIF(AB$11:AB166,AB166)-1),(RANK(AB166,AB$11:AB$355,1)+COUNTIF(AB$11:AB166,AB166)-1)))</f>
        <v/>
      </c>
      <c r="AD166" s="225"/>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HLOOKUP($AX$9&amp;$AX$10,Data!$A$1:$ZZ$1992,(MATCH($C166,Data!$A$1:$A$1992,0)),FALSE)</f>
        <v>0</v>
      </c>
      <c r="AY166" s="156"/>
      <c r="AZ166" s="44"/>
    </row>
    <row r="167" spans="1:52">
      <c r="A167" s="84" t="str">
        <f>$D$1&amp;157</f>
        <v>SC157</v>
      </c>
      <c r="B167" s="85">
        <f>IF(ISERROR(VLOOKUP(A167,classifications!A:C,3,FALSE)),0,VLOOKUP(A167,classifications!A:C,3,FALSE))</f>
        <v>0</v>
      </c>
      <c r="C167" s="31" t="s">
        <v>317</v>
      </c>
      <c r="D167" s="49" t="str">
        <f>VLOOKUP($C167,classifications!$C:$J,4,FALSE)</f>
        <v>SC</v>
      </c>
      <c r="E167" s="49" t="str">
        <f>VLOOKUP(C167,classifications!C:K,9,FALSE)</f>
        <v>Sparse</v>
      </c>
      <c r="F167" s="59">
        <f t="shared" si="49"/>
        <v>0.35199999999999998</v>
      </c>
      <c r="G167" s="105"/>
      <c r="H167" s="60">
        <f t="shared" si="50"/>
        <v>0.35199999999999998</v>
      </c>
      <c r="I167" s="112">
        <f>IF(H167="","",IF($I$8="A",(RANK(H167,H$11:H$355,1)+COUNTIF(H$11:H167,H167)-1),(RANK(H167,H$11:H$355)+COUNTIF(H$11:H167,H167)-1)))</f>
        <v>25</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17" t="str">
        <f>IF(L167="","",VLOOKUP(L167,classifications!C:K,9,FALSE))</f>
        <v/>
      </c>
      <c r="U167" s="224" t="str">
        <f t="shared" si="54"/>
        <v/>
      </c>
      <c r="V167" s="225" t="str">
        <f>IF(U167="","",IF($I$8="A",(RANK(U167,U$11:U$355)+COUNTIF(U$11:U167,U167)-1),(RANK(U167,U$11:U$355,1)+COUNTIF(U$11:U167,U167)-1)))</f>
        <v/>
      </c>
      <c r="W167" s="226"/>
      <c r="X167" s="61" t="str">
        <f>IF(L167="","",VLOOKUP($L167,classifications!$C:$J,6,FALSE))</f>
        <v/>
      </c>
      <c r="Y167" s="49" t="b">
        <f t="shared" si="55"/>
        <v>0</v>
      </c>
      <c r="Z167" s="57" t="e">
        <f>IF(Y167="","",IF(I$8="A",(RANK(Y167,Y$11:Y$355,1)+COUNTIF(Y$11:Y167,Y167)-1),(RANK(Y167,Y$11:Y$355)+COUNTIF(Y$11:Y167,Y167)-1)))</f>
        <v>#N/A</v>
      </c>
      <c r="AA167" s="231" t="str">
        <f>IF(L167="","",VLOOKUP($L167,classifications!C:I,7,FALSE))</f>
        <v/>
      </c>
      <c r="AB167" s="225" t="str">
        <f t="shared" si="64"/>
        <v/>
      </c>
      <c r="AC167" s="225" t="str">
        <f>IF(AB167="","",IF($I$8="A",(RANK(AB167,AB$11:AB$355)+COUNTIF(AB$11:AB167,AB167)-1),(RANK(AB167,AB$11:AB$355,1)+COUNTIF(AB$11:AB167,AB167)-1)))</f>
        <v/>
      </c>
      <c r="AD167" s="225"/>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HLOOKUP($AX$9&amp;$AX$10,Data!$A$1:$ZZ$1992,(MATCH($C167,Data!$A$1:$A$1992,0)),FALSE)</f>
        <v>0.35199999999999998</v>
      </c>
      <c r="AY167" s="156"/>
      <c r="AZ167" s="44"/>
    </row>
    <row r="168" spans="1:52">
      <c r="A168" s="84" t="str">
        <f>$D$1&amp;158</f>
        <v>SC158</v>
      </c>
      <c r="B168" s="85">
        <f>IF(ISERROR(VLOOKUP(A168,classifications!A:C,3,FALSE)),0,VLOOKUP(A168,classifications!A:C,3,FALSE))</f>
        <v>0</v>
      </c>
      <c r="C168" s="31" t="s">
        <v>92</v>
      </c>
      <c r="D168" s="49" t="str">
        <f>VLOOKUP($C168,classifications!$C:$J,4,FALSE)</f>
        <v>SD</v>
      </c>
      <c r="E168" s="49">
        <f>VLOOKUP(C168,classifications!C:K,9,FALSE)</f>
        <v>0</v>
      </c>
      <c r="F168" s="59">
        <f t="shared" si="49"/>
        <v>0</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17" t="str">
        <f>IF(L168="","",VLOOKUP(L168,classifications!C:K,9,FALSE))</f>
        <v/>
      </c>
      <c r="U168" s="224" t="str">
        <f t="shared" si="54"/>
        <v/>
      </c>
      <c r="V168" s="225" t="str">
        <f>IF(U168="","",IF($I$8="A",(RANK(U168,U$11:U$355)+COUNTIF(U$11:U168,U168)-1),(RANK(U168,U$11:U$355,1)+COUNTIF(U$11:U168,U168)-1)))</f>
        <v/>
      </c>
      <c r="W168" s="226"/>
      <c r="X168" s="61" t="str">
        <f>IF(L168="","",VLOOKUP($L168,classifications!$C:$J,6,FALSE))</f>
        <v/>
      </c>
      <c r="Y168" s="49" t="b">
        <f t="shared" si="55"/>
        <v>0</v>
      </c>
      <c r="Z168" s="57" t="e">
        <f>IF(Y168="","",IF(I$8="A",(RANK(Y168,Y$11:Y$355,1)+COUNTIF(Y$11:Y168,Y168)-1),(RANK(Y168,Y$11:Y$355)+COUNTIF(Y$11:Y168,Y168)-1)))</f>
        <v>#N/A</v>
      </c>
      <c r="AA168" s="231" t="str">
        <f>IF(L168="","",VLOOKUP($L168,classifications!C:I,7,FALSE))</f>
        <v/>
      </c>
      <c r="AB168" s="225" t="str">
        <f t="shared" si="64"/>
        <v/>
      </c>
      <c r="AC168" s="225" t="str">
        <f>IF(AB168="","",IF($I$8="A",(RANK(AB168,AB$11:AB$355)+COUNTIF(AB$11:AB168,AB168)-1),(RANK(AB168,AB$11:AB$355,1)+COUNTIF(AB$11:AB168,AB168)-1)))</f>
        <v/>
      </c>
      <c r="AD168" s="225"/>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HLOOKUP($AX$9&amp;$AX$10,Data!$A$1:$ZZ$1992,(MATCH($C168,Data!$A$1:$A$1992,0)),FALSE)</f>
        <v>0</v>
      </c>
      <c r="AY168" s="156"/>
      <c r="AZ168" s="44"/>
    </row>
    <row r="169" spans="1:52">
      <c r="A169" s="84" t="str">
        <f>$D$1&amp;159</f>
        <v>SC159</v>
      </c>
      <c r="B169" s="85">
        <f>IF(ISERROR(VLOOKUP(A169,classifications!A:C,3,FALSE)),0,VLOOKUP(A169,classifications!A:C,3,FALSE))</f>
        <v>0</v>
      </c>
      <c r="C169" s="31" t="s">
        <v>235</v>
      </c>
      <c r="D169" s="49" t="str">
        <f>VLOOKUP($C169,classifications!$C:$J,4,FALSE)</f>
        <v>MD</v>
      </c>
      <c r="E169" s="49">
        <f>VLOOKUP(C169,classifications!C:K,9,FALSE)</f>
        <v>0</v>
      </c>
      <c r="F169" s="59">
        <f t="shared" si="49"/>
        <v>8.0000000000000002E-3</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17" t="str">
        <f>IF(L169="","",VLOOKUP(L169,classifications!C:K,9,FALSE))</f>
        <v/>
      </c>
      <c r="U169" s="224" t="str">
        <f t="shared" si="54"/>
        <v/>
      </c>
      <c r="V169" s="225" t="str">
        <f>IF(U169="","",IF($I$8="A",(RANK(U169,U$11:U$355)+COUNTIF(U$11:U169,U169)-1),(RANK(U169,U$11:U$355,1)+COUNTIF(U$11:U169,U169)-1)))</f>
        <v/>
      </c>
      <c r="W169" s="226"/>
      <c r="X169" s="61" t="str">
        <f>IF(L169="","",VLOOKUP($L169,classifications!$C:$J,6,FALSE))</f>
        <v/>
      </c>
      <c r="Y169" s="49" t="b">
        <f t="shared" si="55"/>
        <v>0</v>
      </c>
      <c r="Z169" s="57" t="e">
        <f>IF(Y169="","",IF(I$8="A",(RANK(Y169,Y$11:Y$355,1)+COUNTIF(Y$11:Y169,Y169)-1),(RANK(Y169,Y$11:Y$355)+COUNTIF(Y$11:Y169,Y169)-1)))</f>
        <v>#N/A</v>
      </c>
      <c r="AA169" s="231" t="str">
        <f>IF(L169="","",VLOOKUP($L169,classifications!C:I,7,FALSE))</f>
        <v/>
      </c>
      <c r="AB169" s="225" t="str">
        <f t="shared" si="64"/>
        <v/>
      </c>
      <c r="AC169" s="225" t="str">
        <f>IF(AB169="","",IF($I$8="A",(RANK(AB169,AB$11:AB$355)+COUNTIF(AB$11:AB169,AB169)-1),(RANK(AB169,AB$11:AB$355,1)+COUNTIF(AB$11:AB169,AB169)-1)))</f>
        <v/>
      </c>
      <c r="AD169" s="225"/>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HLOOKUP($AX$9&amp;$AX$10,Data!$A$1:$ZZ$1992,(MATCH($C169,Data!$A$1:$A$1992,0)),FALSE)</f>
        <v>8.0000000000000002E-3</v>
      </c>
      <c r="AY169" s="156"/>
      <c r="AZ169" s="44"/>
    </row>
    <row r="170" spans="1:52">
      <c r="A170" s="84" t="str">
        <f>$D$1&amp;160</f>
        <v>SC160</v>
      </c>
      <c r="B170" s="85">
        <f>IF(ISERROR(VLOOKUP(A170,classifications!A:C,3,FALSE)),0,VLOOKUP(A170,classifications!A:C,3,FALSE))</f>
        <v>0</v>
      </c>
      <c r="C170" s="31" t="s">
        <v>272</v>
      </c>
      <c r="D170" s="49" t="str">
        <f>VLOOKUP($C170,classifications!$C:$J,4,FALSE)</f>
        <v>UA</v>
      </c>
      <c r="E170" s="49">
        <f>VLOOKUP(C170,classifications!C:K,9,FALSE)</f>
        <v>0</v>
      </c>
      <c r="F170" s="59">
        <f t="shared" si="49"/>
        <v>0.28499999999999998</v>
      </c>
      <c r="G170" s="105"/>
      <c r="H170" s="60" t="str">
        <f t="shared" si="50"/>
        <v/>
      </c>
      <c r="I170" s="112" t="str">
        <f>IF(H170="","",IF($I$8="A",(RANK(H170,H$11:H$355,1)+COUNTIF(H$11:H170,H170)-1),(RANK(H170,H$11:H$355)+COUNTIF(H$11:H170,H170)-1)))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17" t="str">
        <f>IF(L170="","",VLOOKUP(L170,classifications!C:K,9,FALSE))</f>
        <v/>
      </c>
      <c r="U170" s="224" t="str">
        <f t="shared" si="54"/>
        <v/>
      </c>
      <c r="V170" s="225" t="str">
        <f>IF(U170="","",IF($I$8="A",(RANK(U170,U$11:U$355)+COUNTIF(U$11:U170,U170)-1),(RANK(U170,U$11:U$355,1)+COUNTIF(U$11:U170,U170)-1)))</f>
        <v/>
      </c>
      <c r="W170" s="226"/>
      <c r="X170" s="61" t="str">
        <f>IF(L170="","",VLOOKUP($L170,classifications!$C:$J,6,FALSE))</f>
        <v/>
      </c>
      <c r="Y170" s="49" t="b">
        <f t="shared" si="55"/>
        <v>0</v>
      </c>
      <c r="Z170" s="57" t="e">
        <f>IF(Y170="","",IF(I$8="A",(RANK(Y170,Y$11:Y$355,1)+COUNTIF(Y$11:Y170,Y170)-1),(RANK(Y170,Y$11:Y$355)+COUNTIF(Y$11:Y170,Y170)-1)))</f>
        <v>#N/A</v>
      </c>
      <c r="AA170" s="231" t="str">
        <f>IF(L170="","",VLOOKUP($L170,classifications!C:I,7,FALSE))</f>
        <v/>
      </c>
      <c r="AB170" s="225" t="str">
        <f t="shared" si="64"/>
        <v/>
      </c>
      <c r="AC170" s="225" t="str">
        <f>IF(AB170="","",IF($I$8="A",(RANK(AB170,AB$11:AB$355)+COUNTIF(AB$11:AB170,AB170)-1),(RANK(AB170,AB$11:AB$355,1)+COUNTIF(AB$11:AB170,AB170)-1)))</f>
        <v/>
      </c>
      <c r="AD170" s="225"/>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HLOOKUP($AX$9&amp;$AX$10,Data!$A$1:$ZZ$1992,(MATCH($C170,Data!$A$1:$A$1992,0)),FALSE)</f>
        <v>0.28499999999999998</v>
      </c>
      <c r="AY170" s="156"/>
      <c r="AZ170" s="44"/>
    </row>
    <row r="171" spans="1:52">
      <c r="A171" s="84" t="str">
        <f>$D$1&amp;161</f>
        <v>SC161</v>
      </c>
      <c r="B171" s="85">
        <f>IF(ISERROR(VLOOKUP(A171,classifications!A:C,3,FALSE)),0,VLOOKUP(A171,classifications!A:C,3,FALSE))</f>
        <v>0</v>
      </c>
      <c r="C171" s="31" t="s">
        <v>318</v>
      </c>
      <c r="D171" s="49" t="str">
        <f>VLOOKUP($C171,classifications!$C:$J,4,FALSE)</f>
        <v>SC</v>
      </c>
      <c r="E171" s="49" t="str">
        <f>VLOOKUP(C171,classifications!C:K,9,FALSE)</f>
        <v>Sparse</v>
      </c>
      <c r="F171" s="59">
        <f t="shared" si="49"/>
        <v>0.32200000000000001</v>
      </c>
      <c r="G171" s="105"/>
      <c r="H171" s="60">
        <f t="shared" si="50"/>
        <v>0.32200000000000001</v>
      </c>
      <c r="I171" s="112">
        <f>IF(H171="","",IF($I$8="A",(RANK(H171,H$11:H$355,1)+COUNTIF(H$11:H171,H171)-1),(RANK(H171,H$11:H$355)+COUNTIF(H$11:H171,H171)-1)))</f>
        <v>24</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17" t="str">
        <f>IF(L171="","",VLOOKUP(L171,classifications!C:K,9,FALSE))</f>
        <v/>
      </c>
      <c r="U171" s="224" t="str">
        <f t="shared" si="54"/>
        <v/>
      </c>
      <c r="V171" s="225" t="str">
        <f>IF(U171="","",IF($I$8="A",(RANK(U171,U$11:U$355)+COUNTIF(U$11:U171,U171)-1),(RANK(U171,U$11:U$355,1)+COUNTIF(U$11:U171,U171)-1)))</f>
        <v/>
      </c>
      <c r="W171" s="226"/>
      <c r="X171" s="61" t="str">
        <f>IF(L171="","",VLOOKUP($L171,classifications!$C:$J,6,FALSE))</f>
        <v/>
      </c>
      <c r="Y171" s="49" t="b">
        <f t="shared" si="55"/>
        <v>0</v>
      </c>
      <c r="Z171" s="57" t="e">
        <f>IF(Y171="","",IF(I$8="A",(RANK(Y171,Y$11:Y$355,1)+COUNTIF(Y$11:Y171,Y171)-1),(RANK(Y171,Y$11:Y$355)+COUNTIF(Y$11:Y171,Y171)-1)))</f>
        <v>#N/A</v>
      </c>
      <c r="AA171" s="231" t="str">
        <f>IF(L171="","",VLOOKUP($L171,classifications!C:I,7,FALSE))</f>
        <v/>
      </c>
      <c r="AB171" s="225" t="str">
        <f t="shared" si="64"/>
        <v/>
      </c>
      <c r="AC171" s="225" t="str">
        <f>IF(AB171="","",IF($I$8="A",(RANK(AB171,AB$11:AB$355)+COUNTIF(AB$11:AB171,AB171)-1),(RANK(AB171,AB$11:AB$355,1)+COUNTIF(AB$11:AB171,AB171)-1)))</f>
        <v/>
      </c>
      <c r="AD171" s="225"/>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HLOOKUP($AX$9&amp;$AX$10,Data!$A$1:$ZZ$1992,(MATCH($C171,Data!$A$1:$A$1992,0)),FALSE)</f>
        <v>0.32200000000000001</v>
      </c>
      <c r="AY171" s="156"/>
      <c r="AZ171" s="44"/>
    </row>
    <row r="172" spans="1:52">
      <c r="A172" s="84" t="str">
        <f>$D$1&amp;162</f>
        <v>SC162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17" t="str">
        <f>IF(L172="","",VLOOKUP(L172,classifications!C:K,9,FALSE))</f>
        <v/>
      </c>
      <c r="U172" s="224" t="str">
        <f t="shared" si="54"/>
        <v/>
      </c>
      <c r="V172" s="225" t="str">
        <f>IF(U172="","",IF($I$8="A",(RANK(U172,U$11:U$355)+COUNTIF(U$11:U172,U172)-1),(RANK(U172,U$11:U$355,1)+COUNTIF(U$11:U172,U172)-1)))</f>
        <v/>
      </c>
      <c r="W172" s="226"/>
      <c r="X172" s="61" t="str">
        <f>IF(L172="","",VLOOKUP($L172,classifications!$C:$J,6,FALSE))</f>
        <v/>
      </c>
      <c r="Y172" s="49" t="b">
        <f t="shared" si="55"/>
        <v>0</v>
      </c>
      <c r="Z172" s="57" t="e">
        <f>IF(Y172="","",IF(I$8="A",(RANK(Y172,Y$11:Y$355,1)+COUNTIF(Y$11:Y172,Y172)-1),(RANK(Y172,Y$11:Y$355)+COUNTIF(Y$11:Y172,Y172)-1)))</f>
        <v>#N/A</v>
      </c>
      <c r="AA172" s="231" t="str">
        <f>IF(L172="","",VLOOKUP($L172,classifications!C:I,7,FALSE))</f>
        <v/>
      </c>
      <c r="AB172" s="225" t="str">
        <f t="shared" si="64"/>
        <v/>
      </c>
      <c r="AC172" s="225" t="str">
        <f>IF(AB172="","",IF($I$8="A",(RANK(AB172,AB$11:AB$355)+COUNTIF(AB$11:AB172,AB172)-1),(RANK(AB172,AB$11:AB$355,1)+COUNTIF(AB$11:AB172,AB172)-1)))</f>
        <v/>
      </c>
      <c r="AD172" s="225"/>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HLOOKUP($AX$9&amp;$AX$10,Data!$A$1:$ZZ$1992,(MATCH($C172,Data!$A$1:$A$1992,0)),FALSE)</f>
        <v>0</v>
      </c>
      <c r="AY172" s="156"/>
      <c r="AZ172" s="44"/>
    </row>
    <row r="173" spans="1:52">
      <c r="A173" s="84" t="str">
        <f>$D$1&amp;163</f>
        <v>SC163</v>
      </c>
      <c r="B173" s="85">
        <f>IF(ISERROR(VLOOKUP(A173,classifications!A:C,3,FALSE)),0,VLOOKUP(A173,classifications!A:C,3,FALSE))</f>
        <v>0</v>
      </c>
      <c r="C173" s="31" t="s">
        <v>214</v>
      </c>
      <c r="D173" s="49" t="str">
        <f>VLOOKUP($C173,classifications!$C:$J,4,FALSE)</f>
        <v>L</v>
      </c>
      <c r="E173" s="49">
        <f>VLOOKUP(C173,classifications!C:K,9,FALSE)</f>
        <v>0</v>
      </c>
      <c r="F173" s="59">
        <f t="shared" si="49"/>
        <v>0</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17" t="str">
        <f>IF(L173="","",VLOOKUP(L173,classifications!C:K,9,FALSE))</f>
        <v/>
      </c>
      <c r="U173" s="224" t="str">
        <f t="shared" si="54"/>
        <v/>
      </c>
      <c r="V173" s="225" t="str">
        <f>IF(U173="","",IF($I$8="A",(RANK(U173,U$11:U$355)+COUNTIF(U$11:U173,U173)-1),(RANK(U173,U$11:U$355,1)+COUNTIF(U$11:U173,U173)-1)))</f>
        <v/>
      </c>
      <c r="W173" s="226"/>
      <c r="X173" s="61" t="str">
        <f>IF(L173="","",VLOOKUP($L173,classifications!$C:$J,6,FALSE))</f>
        <v/>
      </c>
      <c r="Y173" s="49" t="b">
        <f t="shared" si="55"/>
        <v>0</v>
      </c>
      <c r="Z173" s="57" t="e">
        <f>IF(Y173="","",IF(I$8="A",(RANK(Y173,Y$11:Y$355,1)+COUNTIF(Y$11:Y173,Y173)-1),(RANK(Y173,Y$11:Y$355)+COUNTIF(Y$11:Y173,Y173)-1)))</f>
        <v>#N/A</v>
      </c>
      <c r="AA173" s="231" t="str">
        <f>IF(L173="","",VLOOKUP($L173,classifications!C:I,7,FALSE))</f>
        <v/>
      </c>
      <c r="AB173" s="225" t="str">
        <f t="shared" si="64"/>
        <v/>
      </c>
      <c r="AC173" s="225" t="str">
        <f>IF(AB173="","",IF($I$8="A",(RANK(AB173,AB$11:AB$355)+COUNTIF(AB$11:AB173,AB173)-1),(RANK(AB173,AB$11:AB$355,1)+COUNTIF(AB$11:AB173,AB173)-1)))</f>
        <v/>
      </c>
      <c r="AD173" s="225"/>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HLOOKUP($AX$9&amp;$AX$10,Data!$A$1:$ZZ$1992,(MATCH($C173,Data!$A$1:$A$1992,0)),FALSE)</f>
        <v>0</v>
      </c>
      <c r="AY173" s="156"/>
      <c r="AZ173" s="44"/>
    </row>
    <row r="174" spans="1:52">
      <c r="A174" s="84" t="str">
        <f>$D$1&amp;164</f>
        <v>SC164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17" t="str">
        <f>IF(L174="","",VLOOKUP(L174,classifications!C:K,9,FALSE))</f>
        <v/>
      </c>
      <c r="U174" s="224" t="str">
        <f t="shared" si="54"/>
        <v/>
      </c>
      <c r="V174" s="225" t="str">
        <f>IF(U174="","",IF($I$8="A",(RANK(U174,U$11:U$355)+COUNTIF(U$11:U174,U174)-1),(RANK(U174,U$11:U$355,1)+COUNTIF(U$11:U174,U174)-1)))</f>
        <v/>
      </c>
      <c r="W174" s="226"/>
      <c r="X174" s="61" t="str">
        <f>IF(L174="","",VLOOKUP($L174,classifications!$C:$J,6,FALSE))</f>
        <v/>
      </c>
      <c r="Y174" s="49" t="b">
        <f t="shared" si="55"/>
        <v>0</v>
      </c>
      <c r="Z174" s="57" t="e">
        <f>IF(Y174="","",IF(I$8="A",(RANK(Y174,Y$11:Y$355,1)+COUNTIF(Y$11:Y174,Y174)-1),(RANK(Y174,Y$11:Y$355)+COUNTIF(Y$11:Y174,Y174)-1)))</f>
        <v>#N/A</v>
      </c>
      <c r="AA174" s="231" t="str">
        <f>IF(L174="","",VLOOKUP($L174,classifications!C:I,7,FALSE))</f>
        <v/>
      </c>
      <c r="AB174" s="225" t="str">
        <f t="shared" si="64"/>
        <v/>
      </c>
      <c r="AC174" s="225" t="str">
        <f>IF(AB174="","",IF($I$8="A",(RANK(AB174,AB$11:AB$355)+COUNTIF(AB$11:AB174,AB174)-1),(RANK(AB174,AB$11:AB$355,1)+COUNTIF(AB$11:AB174,AB174)-1)))</f>
        <v/>
      </c>
      <c r="AD174" s="225"/>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HLOOKUP($AX$9&amp;$AX$10,Data!$A$1:$ZZ$1992,(MATCH($C174,Data!$A$1:$A$1992,0)),FALSE)</f>
        <v>0</v>
      </c>
      <c r="AY174" s="156"/>
      <c r="AZ174" s="44"/>
    </row>
    <row r="175" spans="1:52">
      <c r="A175" s="84" t="str">
        <f>$D$1&amp;165</f>
        <v>SC165</v>
      </c>
      <c r="B175" s="85">
        <f>IF(ISERROR(VLOOKUP(A175,classifications!A:C,3,FALSE)),0,VLOOKUP(A175,classifications!A:C,3,FALSE))</f>
        <v>0</v>
      </c>
      <c r="C175" s="31" t="s">
        <v>95</v>
      </c>
      <c r="D175" s="49" t="str">
        <f>VLOOKUP($C175,classifications!$C:$J,4,FALSE)</f>
        <v>SD</v>
      </c>
      <c r="E175" s="49">
        <f>VLOOKUP(C175,classifications!C:K,9,FALSE)</f>
        <v>0</v>
      </c>
      <c r="F175" s="59">
        <f t="shared" si="49"/>
        <v>0</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17" t="str">
        <f>IF(L175="","",VLOOKUP(L175,classifications!C:K,9,FALSE))</f>
        <v/>
      </c>
      <c r="U175" s="224" t="str">
        <f t="shared" si="54"/>
        <v/>
      </c>
      <c r="V175" s="225" t="str">
        <f>IF(U175="","",IF($I$8="A",(RANK(U175,U$11:U$355)+COUNTIF(U$11:U175,U175)-1),(RANK(U175,U$11:U$355,1)+COUNTIF(U$11:U175,U175)-1)))</f>
        <v/>
      </c>
      <c r="W175" s="226"/>
      <c r="X175" s="61" t="str">
        <f>IF(L175="","",VLOOKUP($L175,classifications!$C:$J,6,FALSE))</f>
        <v/>
      </c>
      <c r="Y175" s="49" t="b">
        <f t="shared" si="55"/>
        <v>0</v>
      </c>
      <c r="Z175" s="57" t="e">
        <f>IF(Y175="","",IF(I$8="A",(RANK(Y175,Y$11:Y$355,1)+COUNTIF(Y$11:Y175,Y175)-1),(RANK(Y175,Y$11:Y$355)+COUNTIF(Y$11:Y175,Y175)-1)))</f>
        <v>#N/A</v>
      </c>
      <c r="AA175" s="231" t="str">
        <f>IF(L175="","",VLOOKUP($L175,classifications!C:I,7,FALSE))</f>
        <v/>
      </c>
      <c r="AB175" s="225" t="str">
        <f t="shared" si="64"/>
        <v/>
      </c>
      <c r="AC175" s="225" t="str">
        <f>IF(AB175="","",IF($I$8="A",(RANK(AB175,AB$11:AB$355)+COUNTIF(AB$11:AB175,AB175)-1),(RANK(AB175,AB$11:AB$355,1)+COUNTIF(AB$11:AB175,AB175)-1)))</f>
        <v/>
      </c>
      <c r="AD175" s="225"/>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HLOOKUP($AX$9&amp;$AX$10,Data!$A$1:$ZZ$1992,(MATCH($C175,Data!$A$1:$A$1992,0)),FALSE)</f>
        <v>0</v>
      </c>
      <c r="AY175" s="156"/>
      <c r="AZ175" s="44"/>
    </row>
    <row r="176" spans="1:52">
      <c r="A176" s="84" t="str">
        <f>$D$1&amp;166</f>
        <v>SC166</v>
      </c>
      <c r="B176" s="85">
        <f>IF(ISERROR(VLOOKUP(A176,classifications!A:C,3,FALSE)),0,VLOOKUP(A176,classifications!A:C,3,FALSE))</f>
        <v>0</v>
      </c>
      <c r="C176" s="31" t="s">
        <v>319</v>
      </c>
      <c r="D176" s="49" t="str">
        <f>VLOOKUP($C176,classifications!$C:$J,4,FALSE)</f>
        <v>SC</v>
      </c>
      <c r="E176" s="49" t="str">
        <f>VLOOKUP(C176,classifications!C:K,9,FALSE)</f>
        <v>Sparse</v>
      </c>
      <c r="F176" s="59">
        <f t="shared" si="49"/>
        <v>3.2000000000000001E-2</v>
      </c>
      <c r="G176" s="105"/>
      <c r="H176" s="60">
        <f t="shared" si="50"/>
        <v>3.2000000000000001E-2</v>
      </c>
      <c r="I176" s="112">
        <f>IF(H176="","",IF($I$8="A",(RANK(H176,H$11:H$355,1)+COUNTIF(H$11:H176,H176)-1),(RANK(H176,H$11:H$355)+COUNTIF(H$11:H176,H176)-1)))</f>
        <v>5</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17" t="str">
        <f>IF(L176="","",VLOOKUP(L176,classifications!C:K,9,FALSE))</f>
        <v/>
      </c>
      <c r="U176" s="224" t="str">
        <f t="shared" si="54"/>
        <v/>
      </c>
      <c r="V176" s="225" t="str">
        <f>IF(U176="","",IF($I$8="A",(RANK(U176,U$11:U$355)+COUNTIF(U$11:U176,U176)-1),(RANK(U176,U$11:U$355,1)+COUNTIF(U$11:U176,U176)-1)))</f>
        <v/>
      </c>
      <c r="W176" s="226"/>
      <c r="X176" s="61" t="str">
        <f>IF(L176="","",VLOOKUP($L176,classifications!$C:$J,6,FALSE))</f>
        <v/>
      </c>
      <c r="Y176" s="49" t="b">
        <f t="shared" si="55"/>
        <v>0</v>
      </c>
      <c r="Z176" s="57" t="e">
        <f>IF(Y176="","",IF(I$8="A",(RANK(Y176,Y$11:Y$355,1)+COUNTIF(Y$11:Y176,Y176)-1),(RANK(Y176,Y$11:Y$355)+COUNTIF(Y$11:Y176,Y176)-1)))</f>
        <v>#N/A</v>
      </c>
      <c r="AA176" s="231" t="str">
        <f>IF(L176="","",VLOOKUP($L176,classifications!C:I,7,FALSE))</f>
        <v/>
      </c>
      <c r="AB176" s="225" t="str">
        <f t="shared" si="64"/>
        <v/>
      </c>
      <c r="AC176" s="225" t="str">
        <f>IF(AB176="","",IF($I$8="A",(RANK(AB176,AB$11:AB$355)+COUNTIF(AB$11:AB176,AB176)-1),(RANK(AB176,AB$11:AB$355,1)+COUNTIF(AB$11:AB176,AB176)-1)))</f>
        <v/>
      </c>
      <c r="AD176" s="225"/>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HLOOKUP($AX$9&amp;$AX$10,Data!$A$1:$ZZ$1992,(MATCH($C176,Data!$A$1:$A$1992,0)),FALSE)</f>
        <v>3.2000000000000001E-2</v>
      </c>
      <c r="AY176" s="156"/>
      <c r="AZ176" s="44"/>
    </row>
    <row r="177" spans="1:52">
      <c r="A177" s="84" t="str">
        <f>$D$1&amp;167</f>
        <v>SC167</v>
      </c>
      <c r="B177" s="85">
        <f>IF(ISERROR(VLOOKUP(A177,classifications!A:C,3,FALSE)),0,VLOOKUP(A177,classifications!A:C,3,FALSE))</f>
        <v>0</v>
      </c>
      <c r="C177" s="31" t="s">
        <v>236</v>
      </c>
      <c r="D177" s="49" t="str">
        <f>VLOOKUP($C177,classifications!$C:$J,4,FALSE)</f>
        <v>MD</v>
      </c>
      <c r="E177" s="49">
        <f>VLOOKUP(C177,classifications!C:K,9,FALSE)</f>
        <v>0</v>
      </c>
      <c r="F177" s="59">
        <f t="shared" si="49"/>
        <v>0</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17" t="str">
        <f>IF(L177="","",VLOOKUP(L177,classifications!C:K,9,FALSE))</f>
        <v/>
      </c>
      <c r="U177" s="224" t="str">
        <f t="shared" si="54"/>
        <v/>
      </c>
      <c r="V177" s="225" t="str">
        <f>IF(U177="","",IF($I$8="A",(RANK(U177,U$11:U$355)+COUNTIF(U$11:U177,U177)-1),(RANK(U177,U$11:U$355,1)+COUNTIF(U$11:U177,U177)-1)))</f>
        <v/>
      </c>
      <c r="W177" s="226"/>
      <c r="X177" s="61" t="str">
        <f>IF(L177="","",VLOOKUP($L177,classifications!$C:$J,6,FALSE))</f>
        <v/>
      </c>
      <c r="Y177" s="49" t="b">
        <f t="shared" si="55"/>
        <v>0</v>
      </c>
      <c r="Z177" s="57" t="e">
        <f>IF(Y177="","",IF(I$8="A",(RANK(Y177,Y$11:Y$355,1)+COUNTIF(Y$11:Y177,Y177)-1),(RANK(Y177,Y$11:Y$355)+COUNTIF(Y$11:Y177,Y177)-1)))</f>
        <v>#N/A</v>
      </c>
      <c r="AA177" s="231" t="str">
        <f>IF(L177="","",VLOOKUP($L177,classifications!C:I,7,FALSE))</f>
        <v/>
      </c>
      <c r="AB177" s="225" t="str">
        <f t="shared" si="64"/>
        <v/>
      </c>
      <c r="AC177" s="225" t="str">
        <f>IF(AB177="","",IF($I$8="A",(RANK(AB177,AB$11:AB$355)+COUNTIF(AB$11:AB177,AB177)-1),(RANK(AB177,AB$11:AB$355,1)+COUNTIF(AB$11:AB177,AB177)-1)))</f>
        <v/>
      </c>
      <c r="AD177" s="225"/>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HLOOKUP($AX$9&amp;$AX$10,Data!$A$1:$ZZ$1992,(MATCH($C177,Data!$A$1:$A$1992,0)),FALSE)</f>
        <v>0</v>
      </c>
      <c r="AY177" s="156"/>
      <c r="AZ177" s="44"/>
    </row>
    <row r="178" spans="1:52">
      <c r="A178" s="84" t="str">
        <f>$D$1&amp;168</f>
        <v>SC168</v>
      </c>
      <c r="B178" s="85">
        <f>IF(ISERROR(VLOOKUP(A178,classifications!A:C,3,FALSE)),0,VLOOKUP(A178,classifications!A:C,3,FALSE))</f>
        <v>0</v>
      </c>
      <c r="C178" s="31" t="s">
        <v>273</v>
      </c>
      <c r="D178" s="49" t="str">
        <f>VLOOKUP($C178,classifications!$C:$J,4,FALSE)</f>
        <v>UA</v>
      </c>
      <c r="E178" s="49">
        <f>VLOOKUP(C178,classifications!C:K,9,FALSE)</f>
        <v>0</v>
      </c>
      <c r="F178" s="59">
        <f t="shared" si="49"/>
        <v>0.158</v>
      </c>
      <c r="G178" s="105"/>
      <c r="H178" s="60" t="str">
        <f t="shared" si="50"/>
        <v/>
      </c>
      <c r="I178" s="112" t="str">
        <f>IF(H178="","",IF($I$8="A",(RANK(H178,H$11:H$355,1)+COUNTIF(H$11:H178,H178)-1),(RANK(H178,H$11:H$355)+COUNTIF(H$11:H178,H178)-1)))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17" t="str">
        <f>IF(L178="","",VLOOKUP(L178,classifications!C:K,9,FALSE))</f>
        <v/>
      </c>
      <c r="U178" s="224" t="str">
        <f t="shared" si="54"/>
        <v/>
      </c>
      <c r="V178" s="225" t="str">
        <f>IF(U178="","",IF($I$8="A",(RANK(U178,U$11:U$355)+COUNTIF(U$11:U178,U178)-1),(RANK(U178,U$11:U$355,1)+COUNTIF(U$11:U178,U178)-1)))</f>
        <v/>
      </c>
      <c r="W178" s="226"/>
      <c r="X178" s="61" t="str">
        <f>IF(L178="","",VLOOKUP($L178,classifications!$C:$J,6,FALSE))</f>
        <v/>
      </c>
      <c r="Y178" s="49" t="b">
        <f t="shared" si="55"/>
        <v>0</v>
      </c>
      <c r="Z178" s="57" t="e">
        <f>IF(Y178="","",IF(I$8="A",(RANK(Y178,Y$11:Y$355,1)+COUNTIF(Y$11:Y178,Y178)-1),(RANK(Y178,Y$11:Y$355)+COUNTIF(Y$11:Y178,Y178)-1)))</f>
        <v>#N/A</v>
      </c>
      <c r="AA178" s="231" t="str">
        <f>IF(L178="","",VLOOKUP($L178,classifications!C:I,7,FALSE))</f>
        <v/>
      </c>
      <c r="AB178" s="225" t="str">
        <f t="shared" si="64"/>
        <v/>
      </c>
      <c r="AC178" s="225" t="str">
        <f>IF(AB178="","",IF($I$8="A",(RANK(AB178,AB$11:AB$355)+COUNTIF(AB$11:AB178,AB178)-1),(RANK(AB178,AB$11:AB$355,1)+COUNTIF(AB$11:AB178,AB178)-1)))</f>
        <v/>
      </c>
      <c r="AD178" s="225"/>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HLOOKUP($AX$9&amp;$AX$10,Data!$A$1:$ZZ$1992,(MATCH($C178,Data!$A$1:$A$1992,0)),FALSE)</f>
        <v>0.158</v>
      </c>
      <c r="AY178" s="156"/>
      <c r="AZ178" s="44"/>
    </row>
    <row r="179" spans="1:52">
      <c r="A179" s="84" t="str">
        <f>$D$1&amp;169</f>
        <v>SC169</v>
      </c>
      <c r="B179" s="85">
        <f>IF(ISERROR(VLOOKUP(A179,classifications!A:C,3,FALSE)),0,VLOOKUP(A179,classifications!A:C,3,FALSE))</f>
        <v>0</v>
      </c>
      <c r="C179" s="31" t="s">
        <v>96</v>
      </c>
      <c r="D179" s="49" t="str">
        <f>VLOOKUP($C179,classifications!$C:$J,4,FALSE)</f>
        <v>SD</v>
      </c>
      <c r="E179" s="49">
        <f>VLOOKUP(C179,classifications!C:K,9,FALSE)</f>
        <v>0</v>
      </c>
      <c r="F179" s="59">
        <f t="shared" si="49"/>
        <v>0</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17" t="str">
        <f>IF(L179="","",VLOOKUP(L179,classifications!C:K,9,FALSE))</f>
        <v/>
      </c>
      <c r="U179" s="224" t="str">
        <f t="shared" si="54"/>
        <v/>
      </c>
      <c r="V179" s="225" t="str">
        <f>IF(U179="","",IF($I$8="A",(RANK(U179,U$11:U$355)+COUNTIF(U$11:U179,U179)-1),(RANK(U179,U$11:U$355,1)+COUNTIF(U$11:U179,U179)-1)))</f>
        <v/>
      </c>
      <c r="W179" s="226"/>
      <c r="X179" s="61" t="str">
        <f>IF(L179="","",VLOOKUP($L179,classifications!$C:$J,6,FALSE))</f>
        <v/>
      </c>
      <c r="Y179" s="49" t="b">
        <f t="shared" si="55"/>
        <v>0</v>
      </c>
      <c r="Z179" s="57" t="e">
        <f>IF(Y179="","",IF(I$8="A",(RANK(Y179,Y$11:Y$355,1)+COUNTIF(Y$11:Y179,Y179)-1),(RANK(Y179,Y$11:Y$355)+COUNTIF(Y$11:Y179,Y179)-1)))</f>
        <v>#N/A</v>
      </c>
      <c r="AA179" s="231" t="str">
        <f>IF(L179="","",VLOOKUP($L179,classifications!C:I,7,FALSE))</f>
        <v/>
      </c>
      <c r="AB179" s="225" t="str">
        <f t="shared" si="64"/>
        <v/>
      </c>
      <c r="AC179" s="225" t="str">
        <f>IF(AB179="","",IF($I$8="A",(RANK(AB179,AB$11:AB$355)+COUNTIF(AB$11:AB179,AB179)-1),(RANK(AB179,AB$11:AB$355,1)+COUNTIF(AB$11:AB179,AB179)-1)))</f>
        <v/>
      </c>
      <c r="AD179" s="225"/>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HLOOKUP($AX$9&amp;$AX$10,Data!$A$1:$ZZ$1992,(MATCH($C179,Data!$A$1:$A$1992,0)),FALSE)</f>
        <v>0</v>
      </c>
      <c r="AY179" s="156"/>
      <c r="AZ179" s="44"/>
    </row>
    <row r="180" spans="1:52">
      <c r="A180" s="84" t="str">
        <f>$D$1&amp;170</f>
        <v>SC170</v>
      </c>
      <c r="B180" s="85">
        <f>IF(ISERROR(VLOOKUP(A180,classifications!A:C,3,FALSE)),0,VLOOKUP(A180,classifications!A:C,3,FALSE))</f>
        <v>0</v>
      </c>
      <c r="C180" s="31" t="s">
        <v>97</v>
      </c>
      <c r="D180" s="49" t="str">
        <f>VLOOKUP($C180,classifications!$C:$J,4,FALSE)</f>
        <v>SD</v>
      </c>
      <c r="E180" s="49">
        <f>VLOOKUP(C180,classifications!C:K,9,FALSE)</f>
        <v>0</v>
      </c>
      <c r="F180" s="59">
        <f t="shared" si="49"/>
        <v>0</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17" t="str">
        <f>IF(L180="","",VLOOKUP(L180,classifications!C:K,9,FALSE))</f>
        <v/>
      </c>
      <c r="U180" s="224" t="str">
        <f t="shared" si="54"/>
        <v/>
      </c>
      <c r="V180" s="225" t="str">
        <f>IF(U180="","",IF($I$8="A",(RANK(U180,U$11:U$355)+COUNTIF(U$11:U180,U180)-1),(RANK(U180,U$11:U$355,1)+COUNTIF(U$11:U180,U180)-1)))</f>
        <v/>
      </c>
      <c r="W180" s="226"/>
      <c r="X180" s="61" t="str">
        <f>IF(L180="","",VLOOKUP($L180,classifications!$C:$J,6,FALSE))</f>
        <v/>
      </c>
      <c r="Y180" s="49" t="b">
        <f t="shared" si="55"/>
        <v>0</v>
      </c>
      <c r="Z180" s="57" t="e">
        <f>IF(Y180="","",IF(I$8="A",(RANK(Y180,Y$11:Y$355,1)+COUNTIF(Y$11:Y180,Y180)-1),(RANK(Y180,Y$11:Y$355)+COUNTIF(Y$11:Y180,Y180)-1)))</f>
        <v>#N/A</v>
      </c>
      <c r="AA180" s="231" t="str">
        <f>IF(L180="","",VLOOKUP($L180,classifications!C:I,7,FALSE))</f>
        <v/>
      </c>
      <c r="AB180" s="225" t="str">
        <f t="shared" si="64"/>
        <v/>
      </c>
      <c r="AC180" s="225" t="str">
        <f>IF(AB180="","",IF($I$8="A",(RANK(AB180,AB$11:AB$355)+COUNTIF(AB$11:AB180,AB180)-1),(RANK(AB180,AB$11:AB$355,1)+COUNTIF(AB$11:AB180,AB180)-1)))</f>
        <v/>
      </c>
      <c r="AD180" s="225"/>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HLOOKUP($AX$9&amp;$AX$10,Data!$A$1:$ZZ$1992,(MATCH($C180,Data!$A$1:$A$1992,0)),FALSE)</f>
        <v>0</v>
      </c>
      <c r="AY180" s="156"/>
      <c r="AZ180" s="44"/>
    </row>
    <row r="181" spans="1:52">
      <c r="A181" s="84" t="str">
        <f>$D$1&amp;171</f>
        <v>SC171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17" t="str">
        <f>IF(L181="","",VLOOKUP(L181,classifications!C:K,9,FALSE))</f>
        <v/>
      </c>
      <c r="U181" s="224" t="str">
        <f t="shared" si="54"/>
        <v/>
      </c>
      <c r="V181" s="225" t="str">
        <f>IF(U181="","",IF($I$8="A",(RANK(U181,U$11:U$355)+COUNTIF(U$11:U181,U181)-1),(RANK(U181,U$11:U$355,1)+COUNTIF(U$11:U181,U181)-1)))</f>
        <v/>
      </c>
      <c r="W181" s="226"/>
      <c r="X181" s="61" t="str">
        <f>IF(L181="","",VLOOKUP($L181,classifications!$C:$J,6,FALSE))</f>
        <v/>
      </c>
      <c r="Y181" s="49" t="b">
        <f t="shared" si="55"/>
        <v>0</v>
      </c>
      <c r="Z181" s="57" t="e">
        <f>IF(Y181="","",IF(I$8="A",(RANK(Y181,Y$11:Y$355,1)+COUNTIF(Y$11:Y181,Y181)-1),(RANK(Y181,Y$11:Y$355)+COUNTIF(Y$11:Y181,Y181)-1)))</f>
        <v>#N/A</v>
      </c>
      <c r="AA181" s="231" t="str">
        <f>IF(L181="","",VLOOKUP($L181,classifications!C:I,7,FALSE))</f>
        <v/>
      </c>
      <c r="AB181" s="225" t="str">
        <f t="shared" si="64"/>
        <v/>
      </c>
      <c r="AC181" s="225" t="str">
        <f>IF(AB181="","",IF($I$8="A",(RANK(AB181,AB$11:AB$355)+COUNTIF(AB$11:AB181,AB181)-1),(RANK(AB181,AB$11:AB$355,1)+COUNTIF(AB$11:AB181,AB181)-1)))</f>
        <v/>
      </c>
      <c r="AD181" s="225"/>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HLOOKUP($AX$9&amp;$AX$10,Data!$A$1:$ZZ$1992,(MATCH($C181,Data!$A$1:$A$1992,0)),FALSE)</f>
        <v>0</v>
      </c>
      <c r="AY181" s="156"/>
      <c r="AZ181" s="44"/>
    </row>
    <row r="182" spans="1:52">
      <c r="A182" s="84" t="str">
        <f>$D$1&amp;172</f>
        <v>SC172</v>
      </c>
      <c r="B182" s="85">
        <f>IF(ISERROR(VLOOKUP(A182,classifications!A:C,3,FALSE)),0,VLOOKUP(A182,classifications!A:C,3,FALSE))</f>
        <v>0</v>
      </c>
      <c r="C182" s="31" t="s">
        <v>237</v>
      </c>
      <c r="D182" s="49" t="str">
        <f>VLOOKUP($C182,classifications!$C:$J,4,FALSE)</f>
        <v>MD</v>
      </c>
      <c r="E182" s="49">
        <f>VLOOKUP(C182,classifications!C:K,9,FALSE)</f>
        <v>0</v>
      </c>
      <c r="F182" s="59">
        <f t="shared" si="49"/>
        <v>0</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17" t="str">
        <f>IF(L182="","",VLOOKUP(L182,classifications!C:K,9,FALSE))</f>
        <v/>
      </c>
      <c r="U182" s="224" t="str">
        <f t="shared" si="54"/>
        <v/>
      </c>
      <c r="V182" s="225" t="str">
        <f>IF(U182="","",IF($I$8="A",(RANK(U182,U$11:U$355)+COUNTIF(U$11:U182,U182)-1),(RANK(U182,U$11:U$355,1)+COUNTIF(U$11:U182,U182)-1)))</f>
        <v/>
      </c>
      <c r="W182" s="226"/>
      <c r="X182" s="61" t="str">
        <f>IF(L182="","",VLOOKUP($L182,classifications!$C:$J,6,FALSE))</f>
        <v/>
      </c>
      <c r="Y182" s="49" t="b">
        <f t="shared" si="55"/>
        <v>0</v>
      </c>
      <c r="Z182" s="57" t="e">
        <f>IF(Y182="","",IF(I$8="A",(RANK(Y182,Y$11:Y$355,1)+COUNTIF(Y$11:Y182,Y182)-1),(RANK(Y182,Y$11:Y$355)+COUNTIF(Y$11:Y182,Y182)-1)))</f>
        <v>#N/A</v>
      </c>
      <c r="AA182" s="231" t="str">
        <f>IF(L182="","",VLOOKUP($L182,classifications!C:I,7,FALSE))</f>
        <v/>
      </c>
      <c r="AB182" s="225" t="str">
        <f t="shared" si="64"/>
        <v/>
      </c>
      <c r="AC182" s="225" t="str">
        <f>IF(AB182="","",IF($I$8="A",(RANK(AB182,AB$11:AB$355)+COUNTIF(AB$11:AB182,AB182)-1),(RANK(AB182,AB$11:AB$355,1)+COUNTIF(AB$11:AB182,AB182)-1)))</f>
        <v/>
      </c>
      <c r="AD182" s="225"/>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HLOOKUP($AX$9&amp;$AX$10,Data!$A$1:$ZZ$1992,(MATCH($C182,Data!$A$1:$A$1992,0)),FALSE)</f>
        <v>0</v>
      </c>
      <c r="AY182" s="156"/>
      <c r="AZ182" s="44"/>
    </row>
    <row r="183" spans="1:52">
      <c r="A183" s="84" t="str">
        <f>$D$1&amp;173</f>
        <v>SC173</v>
      </c>
      <c r="B183" s="85">
        <f>IF(ISERROR(VLOOKUP(A183,classifications!A:C,3,FALSE)),0,VLOOKUP(A183,classifications!A:C,3,FALSE))</f>
        <v>0</v>
      </c>
      <c r="C183" s="31" t="s">
        <v>99</v>
      </c>
      <c r="D183" s="49" t="str">
        <f>VLOOKUP($C183,classifications!$C:$J,4,FALSE)</f>
        <v>SD</v>
      </c>
      <c r="E183" s="49">
        <f>VLOOKUP(C183,classifications!C:K,9,FALSE)</f>
        <v>0</v>
      </c>
      <c r="F183" s="59">
        <f t="shared" si="49"/>
        <v>0</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17" t="str">
        <f>IF(L183="","",VLOOKUP(L183,classifications!C:K,9,FALSE))</f>
        <v/>
      </c>
      <c r="U183" s="224" t="str">
        <f t="shared" si="54"/>
        <v/>
      </c>
      <c r="V183" s="225" t="str">
        <f>IF(U183="","",IF($I$8="A",(RANK(U183,U$11:U$355)+COUNTIF(U$11:U183,U183)-1),(RANK(U183,U$11:U$355,1)+COUNTIF(U$11:U183,U183)-1)))</f>
        <v/>
      </c>
      <c r="W183" s="226"/>
      <c r="X183" s="61" t="str">
        <f>IF(L183="","",VLOOKUP($L183,classifications!$C:$J,6,FALSE))</f>
        <v/>
      </c>
      <c r="Y183" s="49" t="b">
        <f t="shared" si="55"/>
        <v>0</v>
      </c>
      <c r="Z183" s="57" t="e">
        <f>IF(Y183="","",IF(I$8="A",(RANK(Y183,Y$11:Y$355,1)+COUNTIF(Y$11:Y183,Y183)-1),(RANK(Y183,Y$11:Y$355)+COUNTIF(Y$11:Y183,Y183)-1)))</f>
        <v>#N/A</v>
      </c>
      <c r="AA183" s="231" t="str">
        <f>IF(L183="","",VLOOKUP($L183,classifications!C:I,7,FALSE))</f>
        <v/>
      </c>
      <c r="AB183" s="225" t="str">
        <f t="shared" si="64"/>
        <v/>
      </c>
      <c r="AC183" s="225" t="str">
        <f>IF(AB183="","",IF($I$8="A",(RANK(AB183,AB$11:AB$355)+COUNTIF(AB$11:AB183,AB183)-1),(RANK(AB183,AB$11:AB$355,1)+COUNTIF(AB$11:AB183,AB183)-1)))</f>
        <v/>
      </c>
      <c r="AD183" s="225"/>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HLOOKUP($AX$9&amp;$AX$10,Data!$A$1:$ZZ$1992,(MATCH($C183,Data!$A$1:$A$1992,0)),FALSE)</f>
        <v>0</v>
      </c>
      <c r="AY183" s="156"/>
      <c r="AZ183" s="44"/>
    </row>
    <row r="184" spans="1:52">
      <c r="A184" s="84" t="str">
        <f>$D$1&amp;174</f>
        <v>SC174</v>
      </c>
      <c r="B184" s="85">
        <f>IF(ISERROR(VLOOKUP(A184,classifications!A:C,3,FALSE)),0,VLOOKUP(A184,classifications!A:C,3,FALSE))</f>
        <v>0</v>
      </c>
      <c r="C184" s="31" t="s">
        <v>274</v>
      </c>
      <c r="D184" s="49" t="str">
        <f>VLOOKUP($C184,classifications!$C:$J,4,FALSE)</f>
        <v>UA</v>
      </c>
      <c r="E184" s="49">
        <f>VLOOKUP(C184,classifications!C:K,9,FALSE)</f>
        <v>0</v>
      </c>
      <c r="F184" s="59">
        <f t="shared" si="49"/>
        <v>0.04</v>
      </c>
      <c r="G184" s="105"/>
      <c r="H184" s="60" t="str">
        <f t="shared" si="50"/>
        <v/>
      </c>
      <c r="I184" s="112" t="str">
        <f>IF(H184="","",IF($I$8="A",(RANK(H184,H$11:H$355,1)+COUNTIF(H$11:H184,H184)-1),(RANK(H184,H$11:H$355)+COUNTIF(H$11:H184,H184)-1)))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17" t="str">
        <f>IF(L184="","",VLOOKUP(L184,classifications!C:K,9,FALSE))</f>
        <v/>
      </c>
      <c r="U184" s="224" t="str">
        <f t="shared" si="54"/>
        <v/>
      </c>
      <c r="V184" s="225" t="str">
        <f>IF(U184="","",IF($I$8="A",(RANK(U184,U$11:U$355)+COUNTIF(U$11:U184,U184)-1),(RANK(U184,U$11:U$355,1)+COUNTIF(U$11:U184,U184)-1)))</f>
        <v/>
      </c>
      <c r="W184" s="226"/>
      <c r="X184" s="61" t="str">
        <f>IF(L184="","",VLOOKUP($L184,classifications!$C:$J,6,FALSE))</f>
        <v/>
      </c>
      <c r="Y184" s="49" t="b">
        <f t="shared" si="55"/>
        <v>0</v>
      </c>
      <c r="Z184" s="57" t="e">
        <f>IF(Y184="","",IF(I$8="A",(RANK(Y184,Y$11:Y$355,1)+COUNTIF(Y$11:Y184,Y184)-1),(RANK(Y184,Y$11:Y$355)+COUNTIF(Y$11:Y184,Y184)-1)))</f>
        <v>#N/A</v>
      </c>
      <c r="AA184" s="231" t="str">
        <f>IF(L184="","",VLOOKUP($L184,classifications!C:I,7,FALSE))</f>
        <v/>
      </c>
      <c r="AB184" s="225" t="str">
        <f t="shared" si="64"/>
        <v/>
      </c>
      <c r="AC184" s="225" t="str">
        <f>IF(AB184="","",IF($I$8="A",(RANK(AB184,AB$11:AB$355)+COUNTIF(AB$11:AB184,AB184)-1),(RANK(AB184,AB$11:AB$355,1)+COUNTIF(AB$11:AB184,AB184)-1)))</f>
        <v/>
      </c>
      <c r="AD184" s="225"/>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HLOOKUP($AX$9&amp;$AX$10,Data!$A$1:$ZZ$1992,(MATCH($C184,Data!$A$1:$A$1992,0)),FALSE)</f>
        <v>0.04</v>
      </c>
      <c r="AY184" s="156"/>
      <c r="AZ184" s="44"/>
    </row>
    <row r="185" spans="1:52">
      <c r="A185" s="84" t="str">
        <f>$D$1&amp;175</f>
        <v>SC175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17" t="str">
        <f>IF(L185="","",VLOOKUP(L185,classifications!C:K,9,FALSE))</f>
        <v/>
      </c>
      <c r="U185" s="224" t="str">
        <f t="shared" si="54"/>
        <v/>
      </c>
      <c r="V185" s="225" t="str">
        <f>IF(U185="","",IF($I$8="A",(RANK(U185,U$11:U$355)+COUNTIF(U$11:U185,U185)-1),(RANK(U185,U$11:U$355,1)+COUNTIF(U$11:U185,U185)-1)))</f>
        <v/>
      </c>
      <c r="W185" s="226"/>
      <c r="X185" s="61" t="str">
        <f>IF(L185="","",VLOOKUP($L185,classifications!$C:$J,6,FALSE))</f>
        <v/>
      </c>
      <c r="Y185" s="49" t="b">
        <f t="shared" si="55"/>
        <v>0</v>
      </c>
      <c r="Z185" s="57" t="e">
        <f>IF(Y185="","",IF(I$8="A",(RANK(Y185,Y$11:Y$355,1)+COUNTIF(Y$11:Y185,Y185)-1),(RANK(Y185,Y$11:Y$355)+COUNTIF(Y$11:Y185,Y185)-1)))</f>
        <v>#N/A</v>
      </c>
      <c r="AA185" s="231" t="str">
        <f>IF(L185="","",VLOOKUP($L185,classifications!C:I,7,FALSE))</f>
        <v/>
      </c>
      <c r="AB185" s="225" t="str">
        <f t="shared" si="64"/>
        <v/>
      </c>
      <c r="AC185" s="225" t="str">
        <f>IF(AB185="","",IF($I$8="A",(RANK(AB185,AB$11:AB$355)+COUNTIF(AB$11:AB185,AB185)-1),(RANK(AB185,AB$11:AB$355,1)+COUNTIF(AB$11:AB185,AB185)-1)))</f>
        <v/>
      </c>
      <c r="AD185" s="225"/>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HLOOKUP($AX$9&amp;$AX$10,Data!$A$1:$ZZ$1992,(MATCH($C185,Data!$A$1:$A$1992,0)),FALSE)</f>
        <v>0</v>
      </c>
      <c r="AY185" s="156"/>
      <c r="AZ185" s="44"/>
    </row>
    <row r="186" spans="1:52">
      <c r="A186" s="84" t="str">
        <f>$D$1&amp;176</f>
        <v>SC176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17" t="str">
        <f>IF(L186="","",VLOOKUP(L186,classifications!C:K,9,FALSE))</f>
        <v/>
      </c>
      <c r="U186" s="224" t="str">
        <f t="shared" si="54"/>
        <v/>
      </c>
      <c r="V186" s="225" t="str">
        <f>IF(U186="","",IF($I$8="A",(RANK(U186,U$11:U$355)+COUNTIF(U$11:U186,U186)-1),(RANK(U186,U$11:U$355,1)+COUNTIF(U$11:U186,U186)-1)))</f>
        <v/>
      </c>
      <c r="W186" s="226"/>
      <c r="X186" s="61" t="str">
        <f>IF(L186="","",VLOOKUP($L186,classifications!$C:$J,6,FALSE))</f>
        <v/>
      </c>
      <c r="Y186" s="49" t="b">
        <f t="shared" si="55"/>
        <v>0</v>
      </c>
      <c r="Z186" s="57" t="e">
        <f>IF(Y186="","",IF(I$8="A",(RANK(Y186,Y$11:Y$355,1)+COUNTIF(Y$11:Y186,Y186)-1),(RANK(Y186,Y$11:Y$355)+COUNTIF(Y$11:Y186,Y186)-1)))</f>
        <v>#N/A</v>
      </c>
      <c r="AA186" s="231" t="str">
        <f>IF(L186="","",VLOOKUP($L186,classifications!C:I,7,FALSE))</f>
        <v/>
      </c>
      <c r="AB186" s="225" t="str">
        <f t="shared" si="64"/>
        <v/>
      </c>
      <c r="AC186" s="225" t="str">
        <f>IF(AB186="","",IF($I$8="A",(RANK(AB186,AB$11:AB$355)+COUNTIF(AB$11:AB186,AB186)-1),(RANK(AB186,AB$11:AB$355,1)+COUNTIF(AB$11:AB186,AB186)-1)))</f>
        <v/>
      </c>
      <c r="AD186" s="225"/>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HLOOKUP($AX$9&amp;$AX$10,Data!$A$1:$ZZ$1992,(MATCH($C186,Data!$A$1:$A$1992,0)),FALSE)</f>
        <v>-</v>
      </c>
      <c r="AY186" s="156"/>
      <c r="AZ186" s="44"/>
    </row>
    <row r="187" spans="1:52">
      <c r="A187" s="84" t="str">
        <f>$D$1&amp;177</f>
        <v>SC177</v>
      </c>
      <c r="B187" s="85">
        <f>IF(ISERROR(VLOOKUP(A187,classifications!A:C,3,FALSE)),0,VLOOKUP(A187,classifications!A:C,3,FALSE))</f>
        <v>0</v>
      </c>
      <c r="C187" s="31" t="s">
        <v>215</v>
      </c>
      <c r="D187" s="49" t="str">
        <f>VLOOKUP($C187,classifications!$C:$J,4,FALSE)</f>
        <v>L</v>
      </c>
      <c r="E187" s="49">
        <f>VLOOKUP(C187,classifications!C:K,9,FALSE)</f>
        <v>0</v>
      </c>
      <c r="F187" s="59">
        <f t="shared" si="49"/>
        <v>0.10299999999999999</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17" t="str">
        <f>IF(L187="","",VLOOKUP(L187,classifications!C:K,9,FALSE))</f>
        <v/>
      </c>
      <c r="U187" s="224" t="str">
        <f t="shared" si="54"/>
        <v/>
      </c>
      <c r="V187" s="225" t="str">
        <f>IF(U187="","",IF($I$8="A",(RANK(U187,U$11:U$355)+COUNTIF(U$11:U187,U187)-1),(RANK(U187,U$11:U$355,1)+COUNTIF(U$11:U187,U187)-1)))</f>
        <v/>
      </c>
      <c r="W187" s="226"/>
      <c r="X187" s="61" t="str">
        <f>IF(L187="","",VLOOKUP($L187,classifications!$C:$J,6,FALSE))</f>
        <v/>
      </c>
      <c r="Y187" s="49" t="b">
        <f t="shared" si="55"/>
        <v>0</v>
      </c>
      <c r="Z187" s="57" t="e">
        <f>IF(Y187="","",IF(I$8="A",(RANK(Y187,Y$11:Y$355,1)+COUNTIF(Y$11:Y187,Y187)-1),(RANK(Y187,Y$11:Y$355)+COUNTIF(Y$11:Y187,Y187)-1)))</f>
        <v>#N/A</v>
      </c>
      <c r="AA187" s="231" t="str">
        <f>IF(L187="","",VLOOKUP($L187,classifications!C:I,7,FALSE))</f>
        <v/>
      </c>
      <c r="AB187" s="225" t="str">
        <f t="shared" si="64"/>
        <v/>
      </c>
      <c r="AC187" s="225" t="str">
        <f>IF(AB187="","",IF($I$8="A",(RANK(AB187,AB$11:AB$355)+COUNTIF(AB$11:AB187,AB187)-1),(RANK(AB187,AB$11:AB$355,1)+COUNTIF(AB$11:AB187,AB187)-1)))</f>
        <v/>
      </c>
      <c r="AD187" s="225"/>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HLOOKUP($AX$9&amp;$AX$10,Data!$A$1:$ZZ$1992,(MATCH($C187,Data!$A$1:$A$1992,0)),FALSE)</f>
        <v>0.10299999999999999</v>
      </c>
      <c r="AY187" s="156"/>
      <c r="AZ187" s="44"/>
    </row>
    <row r="188" spans="1:52">
      <c r="A188" s="84" t="str">
        <f>$D$1&amp;178</f>
        <v>SC178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17" t="str">
        <f>IF(L188="","",VLOOKUP(L188,classifications!C:K,9,FALSE))</f>
        <v/>
      </c>
      <c r="U188" s="224" t="str">
        <f t="shared" si="54"/>
        <v/>
      </c>
      <c r="V188" s="225" t="str">
        <f>IF(U188="","",IF($I$8="A",(RANK(U188,U$11:U$355)+COUNTIF(U$11:U188,U188)-1),(RANK(U188,U$11:U$355,1)+COUNTIF(U$11:U188,U188)-1)))</f>
        <v/>
      </c>
      <c r="W188" s="226"/>
      <c r="X188" s="61" t="str">
        <f>IF(L188="","",VLOOKUP($L188,classifications!$C:$J,6,FALSE))</f>
        <v/>
      </c>
      <c r="Y188" s="49" t="b">
        <f t="shared" si="55"/>
        <v>0</v>
      </c>
      <c r="Z188" s="57" t="e">
        <f>IF(Y188="","",IF(I$8="A",(RANK(Y188,Y$11:Y$355,1)+COUNTIF(Y$11:Y188,Y188)-1),(RANK(Y188,Y$11:Y$355)+COUNTIF(Y$11:Y188,Y188)-1)))</f>
        <v>#N/A</v>
      </c>
      <c r="AA188" s="231" t="str">
        <f>IF(L188="","",VLOOKUP($L188,classifications!C:I,7,FALSE))</f>
        <v/>
      </c>
      <c r="AB188" s="225" t="str">
        <f t="shared" si="64"/>
        <v/>
      </c>
      <c r="AC188" s="225" t="str">
        <f>IF(AB188="","",IF($I$8="A",(RANK(AB188,AB$11:AB$355)+COUNTIF(AB$11:AB188,AB188)-1),(RANK(AB188,AB$11:AB$355,1)+COUNTIF(AB$11:AB188,AB188)-1)))</f>
        <v/>
      </c>
      <c r="AD188" s="225"/>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HLOOKUP($AX$9&amp;$AX$10,Data!$A$1:$ZZ$1992,(MATCH($C188,Data!$A$1:$A$1992,0)),FALSE)</f>
        <v>0</v>
      </c>
      <c r="AY188" s="156"/>
      <c r="AZ188" s="44"/>
    </row>
    <row r="189" spans="1:52">
      <c r="A189" s="84" t="str">
        <f>$D$1&amp;179</f>
        <v>SC179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17" t="str">
        <f>IF(L189="","",VLOOKUP(L189,classifications!C:K,9,FALSE))</f>
        <v/>
      </c>
      <c r="U189" s="224" t="str">
        <f t="shared" si="54"/>
        <v/>
      </c>
      <c r="V189" s="225" t="str">
        <f>IF(U189="","",IF($I$8="A",(RANK(U189,U$11:U$355)+COUNTIF(U$11:U189,U189)-1),(RANK(U189,U$11:U$355,1)+COUNTIF(U$11:U189,U189)-1)))</f>
        <v/>
      </c>
      <c r="W189" s="226"/>
      <c r="X189" s="61" t="str">
        <f>IF(L189="","",VLOOKUP($L189,classifications!$C:$J,6,FALSE))</f>
        <v/>
      </c>
      <c r="Y189" s="49" t="b">
        <f t="shared" si="55"/>
        <v>0</v>
      </c>
      <c r="Z189" s="57" t="e">
        <f>IF(Y189="","",IF(I$8="A",(RANK(Y189,Y$11:Y$355,1)+COUNTIF(Y$11:Y189,Y189)-1),(RANK(Y189,Y$11:Y$355)+COUNTIF(Y$11:Y189,Y189)-1)))</f>
        <v>#N/A</v>
      </c>
      <c r="AA189" s="231" t="str">
        <f>IF(L189="","",VLOOKUP($L189,classifications!C:I,7,FALSE))</f>
        <v/>
      </c>
      <c r="AB189" s="225" t="str">
        <f t="shared" si="64"/>
        <v/>
      </c>
      <c r="AC189" s="225" t="str">
        <f>IF(AB189="","",IF($I$8="A",(RANK(AB189,AB$11:AB$355)+COUNTIF(AB$11:AB189,AB189)-1),(RANK(AB189,AB$11:AB$355,1)+COUNTIF(AB$11:AB189,AB189)-1)))</f>
        <v/>
      </c>
      <c r="AD189" s="225"/>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HLOOKUP($AX$9&amp;$AX$10,Data!$A$1:$ZZ$1992,(MATCH($C189,Data!$A$1:$A$1992,0)),FALSE)</f>
        <v>0</v>
      </c>
      <c r="AY189" s="156"/>
      <c r="AZ189" s="44"/>
    </row>
    <row r="190" spans="1:52">
      <c r="A190" s="84" t="str">
        <f>$D$1&amp;180</f>
        <v>SC180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0</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17" t="str">
        <f>IF(L190="","",VLOOKUP(L190,classifications!C:K,9,FALSE))</f>
        <v/>
      </c>
      <c r="U190" s="224" t="str">
        <f t="shared" si="54"/>
        <v/>
      </c>
      <c r="V190" s="225" t="str">
        <f>IF(U190="","",IF($I$8="A",(RANK(U190,U$11:U$355)+COUNTIF(U$11:U190,U190)-1),(RANK(U190,U$11:U$355,1)+COUNTIF(U$11:U190,U190)-1)))</f>
        <v/>
      </c>
      <c r="W190" s="226"/>
      <c r="X190" s="61" t="str">
        <f>IF(L190="","",VLOOKUP($L190,classifications!$C:$J,6,FALSE))</f>
        <v/>
      </c>
      <c r="Y190" s="49" t="b">
        <f t="shared" si="55"/>
        <v>0</v>
      </c>
      <c r="Z190" s="57" t="e">
        <f>IF(Y190="","",IF(I$8="A",(RANK(Y190,Y$11:Y$355,1)+COUNTIF(Y$11:Y190,Y190)-1),(RANK(Y190,Y$11:Y$355)+COUNTIF(Y$11:Y190,Y190)-1)))</f>
        <v>#N/A</v>
      </c>
      <c r="AA190" s="231" t="str">
        <f>IF(L190="","",VLOOKUP($L190,classifications!C:I,7,FALSE))</f>
        <v/>
      </c>
      <c r="AB190" s="225" t="str">
        <f t="shared" si="64"/>
        <v/>
      </c>
      <c r="AC190" s="225" t="str">
        <f>IF(AB190="","",IF($I$8="A",(RANK(AB190,AB$11:AB$355)+COUNTIF(AB$11:AB190,AB190)-1),(RANK(AB190,AB$11:AB$355,1)+COUNTIF(AB$11:AB190,AB190)-1)))</f>
        <v/>
      </c>
      <c r="AD190" s="225"/>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HLOOKUP($AX$9&amp;$AX$10,Data!$A$1:$ZZ$1992,(MATCH($C190,Data!$A$1:$A$1992,0)),FALSE)</f>
        <v>0</v>
      </c>
      <c r="AY190" s="156"/>
      <c r="AZ190" s="44"/>
    </row>
    <row r="191" spans="1:52">
      <c r="A191" s="84" t="str">
        <f>$D$1&amp;181</f>
        <v>SC181</v>
      </c>
      <c r="B191" s="85">
        <f>IF(ISERROR(VLOOKUP(A191,classifications!A:C,3,FALSE)),0,VLOOKUP(A191,classifications!A:C,3,FALSE))</f>
        <v>0</v>
      </c>
      <c r="C191" s="31" t="s">
        <v>275</v>
      </c>
      <c r="D191" s="49" t="str">
        <f>VLOOKUP($C191,classifications!$C:$J,4,FALSE)</f>
        <v>UA</v>
      </c>
      <c r="E191" s="49">
        <f>VLOOKUP(C191,classifications!C:K,9,FALSE)</f>
        <v>0</v>
      </c>
      <c r="F191" s="59">
        <f t="shared" si="49"/>
        <v>4.9000000000000002E-2</v>
      </c>
      <c r="G191" s="105"/>
      <c r="H191" s="60" t="str">
        <f t="shared" si="50"/>
        <v/>
      </c>
      <c r="I191" s="112" t="str">
        <f>IF(H191="","",IF($I$8="A",(RANK(H191,H$11:H$355,1)+COUNTIF(H$11:H191,H191)-1),(RANK(H191,H$11:H$355)+COUNTIF(H$11:H191,H191)-1)))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17" t="str">
        <f>IF(L191="","",VLOOKUP(L191,classifications!C:K,9,FALSE))</f>
        <v/>
      </c>
      <c r="U191" s="224" t="str">
        <f t="shared" si="54"/>
        <v/>
      </c>
      <c r="V191" s="225" t="str">
        <f>IF(U191="","",IF($I$8="A",(RANK(U191,U$11:U$355)+COUNTIF(U$11:U191,U191)-1),(RANK(U191,U$11:U$355,1)+COUNTIF(U$11:U191,U191)-1)))</f>
        <v/>
      </c>
      <c r="W191" s="226"/>
      <c r="X191" s="61" t="str">
        <f>IF(L191="","",VLOOKUP($L191,classifications!$C:$J,6,FALSE))</f>
        <v/>
      </c>
      <c r="Y191" s="49" t="b">
        <f t="shared" si="55"/>
        <v>0</v>
      </c>
      <c r="Z191" s="57" t="e">
        <f>IF(Y191="","",IF(I$8="A",(RANK(Y191,Y$11:Y$355,1)+COUNTIF(Y$11:Y191,Y191)-1),(RANK(Y191,Y$11:Y$355)+COUNTIF(Y$11:Y191,Y191)-1)))</f>
        <v>#N/A</v>
      </c>
      <c r="AA191" s="231" t="str">
        <f>IF(L191="","",VLOOKUP($L191,classifications!C:I,7,FALSE))</f>
        <v/>
      </c>
      <c r="AB191" s="225" t="str">
        <f t="shared" si="64"/>
        <v/>
      </c>
      <c r="AC191" s="225" t="str">
        <f>IF(AB191="","",IF($I$8="A",(RANK(AB191,AB$11:AB$355)+COUNTIF(AB$11:AB191,AB191)-1),(RANK(AB191,AB$11:AB$355,1)+COUNTIF(AB$11:AB191,AB191)-1)))</f>
        <v/>
      </c>
      <c r="AD191" s="225"/>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HLOOKUP($AX$9&amp;$AX$10,Data!$A$1:$ZZ$1992,(MATCH($C191,Data!$A$1:$A$1992,0)),FALSE)</f>
        <v>4.9000000000000002E-2</v>
      </c>
      <c r="AY191" s="156"/>
      <c r="AZ191" s="44"/>
    </row>
    <row r="192" spans="1:52">
      <c r="A192" s="84" t="str">
        <f>$D$1&amp;182</f>
        <v>SC182</v>
      </c>
      <c r="B192" s="85">
        <f>IF(ISERROR(VLOOKUP(A192,classifications!A:C,3,FALSE)),0,VLOOKUP(A192,classifications!A:C,3,FALSE))</f>
        <v>0</v>
      </c>
      <c r="C192" s="31" t="s">
        <v>276</v>
      </c>
      <c r="D192" s="49" t="str">
        <f>VLOOKUP($C192,classifications!$C:$J,4,FALSE)</f>
        <v>UA</v>
      </c>
      <c r="E192" s="49">
        <f>VLOOKUP(C192,classifications!C:K,9,FALSE)</f>
        <v>0</v>
      </c>
      <c r="F192" s="59">
        <f t="shared" si="49"/>
        <v>4.4999999999999998E-2</v>
      </c>
      <c r="G192" s="105"/>
      <c r="H192" s="60" t="str">
        <f t="shared" si="50"/>
        <v/>
      </c>
      <c r="I192" s="112" t="str">
        <f>IF(H192="","",IF($I$8="A",(RANK(H192,H$11:H$355,1)+COUNTIF(H$11:H192,H192)-1),(RANK(H192,H$11:H$355)+COUNTIF(H$11:H192,H192)-1)))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17" t="str">
        <f>IF(L192="","",VLOOKUP(L192,classifications!C:K,9,FALSE))</f>
        <v/>
      </c>
      <c r="U192" s="224" t="str">
        <f t="shared" si="54"/>
        <v/>
      </c>
      <c r="V192" s="225" t="str">
        <f>IF(U192="","",IF($I$8="A",(RANK(U192,U$11:U$355)+COUNTIF(U$11:U192,U192)-1),(RANK(U192,U$11:U$355,1)+COUNTIF(U$11:U192,U192)-1)))</f>
        <v/>
      </c>
      <c r="W192" s="226"/>
      <c r="X192" s="61" t="str">
        <f>IF(L192="","",VLOOKUP($L192,classifications!$C:$J,6,FALSE))</f>
        <v/>
      </c>
      <c r="Y192" s="49" t="b">
        <f t="shared" si="55"/>
        <v>0</v>
      </c>
      <c r="Z192" s="57" t="e">
        <f>IF(Y192="","",IF(I$8="A",(RANK(Y192,Y$11:Y$355,1)+COUNTIF(Y$11:Y192,Y192)-1),(RANK(Y192,Y$11:Y$355)+COUNTIF(Y$11:Y192,Y192)-1)))</f>
        <v>#N/A</v>
      </c>
      <c r="AA192" s="231" t="str">
        <f>IF(L192="","",VLOOKUP($L192,classifications!C:I,7,FALSE))</f>
        <v/>
      </c>
      <c r="AB192" s="225" t="str">
        <f t="shared" si="64"/>
        <v/>
      </c>
      <c r="AC192" s="225" t="str">
        <f>IF(AB192="","",IF($I$8="A",(RANK(AB192,AB$11:AB$355)+COUNTIF(AB$11:AB192,AB192)-1),(RANK(AB192,AB$11:AB$355,1)+COUNTIF(AB$11:AB192,AB192)-1)))</f>
        <v/>
      </c>
      <c r="AD192" s="225"/>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HLOOKUP($AX$9&amp;$AX$10,Data!$A$1:$ZZ$1992,(MATCH($C192,Data!$A$1:$A$1992,0)),FALSE)</f>
        <v>4.4999999999999998E-2</v>
      </c>
      <c r="AY192" s="156"/>
      <c r="AZ192" s="44"/>
    </row>
    <row r="193" spans="1:52">
      <c r="A193" s="84" t="str">
        <f>$D$1&amp;183</f>
        <v>SC183</v>
      </c>
      <c r="B193" s="85">
        <f>IF(ISERROR(VLOOKUP(A193,classifications!A:C,3,FALSE)),0,VLOOKUP(A193,classifications!A:C,3,FALSE))</f>
        <v>0</v>
      </c>
      <c r="C193" s="31" t="s">
        <v>105</v>
      </c>
      <c r="D193" s="49" t="str">
        <f>VLOOKUP($C193,classifications!$C:$J,4,FALSE)</f>
        <v>SD</v>
      </c>
      <c r="E193" s="49">
        <f>VLOOKUP(C193,classifications!C:K,9,FALSE)</f>
        <v>0</v>
      </c>
      <c r="F193" s="59">
        <f t="shared" si="49"/>
        <v>0</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17" t="str">
        <f>IF(L193="","",VLOOKUP(L193,classifications!C:K,9,FALSE))</f>
        <v/>
      </c>
      <c r="U193" s="224" t="str">
        <f t="shared" si="54"/>
        <v/>
      </c>
      <c r="V193" s="225" t="str">
        <f>IF(U193="","",IF($I$8="A",(RANK(U193,U$11:U$355)+COUNTIF(U$11:U193,U193)-1),(RANK(U193,U$11:U$355,1)+COUNTIF(U$11:U193,U193)-1)))</f>
        <v/>
      </c>
      <c r="W193" s="226"/>
      <c r="X193" s="61" t="str">
        <f>IF(L193="","",VLOOKUP($L193,classifications!$C:$J,6,FALSE))</f>
        <v/>
      </c>
      <c r="Y193" s="49" t="b">
        <f t="shared" si="55"/>
        <v>0</v>
      </c>
      <c r="Z193" s="57" t="e">
        <f>IF(Y193="","",IF(I$8="A",(RANK(Y193,Y$11:Y$355,1)+COUNTIF(Y$11:Y193,Y193)-1),(RANK(Y193,Y$11:Y$355)+COUNTIF(Y$11:Y193,Y193)-1)))</f>
        <v>#N/A</v>
      </c>
      <c r="AA193" s="231" t="str">
        <f>IF(L193="","",VLOOKUP($L193,classifications!C:I,7,FALSE))</f>
        <v/>
      </c>
      <c r="AB193" s="225" t="str">
        <f t="shared" si="64"/>
        <v/>
      </c>
      <c r="AC193" s="225" t="str">
        <f>IF(AB193="","",IF($I$8="A",(RANK(AB193,AB$11:AB$355)+COUNTIF(AB$11:AB193,AB193)-1),(RANK(AB193,AB$11:AB$355,1)+COUNTIF(AB$11:AB193,AB193)-1)))</f>
        <v/>
      </c>
      <c r="AD193" s="225"/>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HLOOKUP($AX$9&amp;$AX$10,Data!$A$1:$ZZ$1992,(MATCH($C193,Data!$A$1:$A$1992,0)),FALSE)</f>
        <v>0</v>
      </c>
      <c r="AY193" s="156"/>
      <c r="AZ193" s="44"/>
    </row>
    <row r="194" spans="1:52">
      <c r="A194" s="84" t="str">
        <f>$D$1&amp;184</f>
        <v>SC184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17" t="str">
        <f>IF(L194="","",VLOOKUP(L194,classifications!C:K,9,FALSE))</f>
        <v/>
      </c>
      <c r="U194" s="224" t="str">
        <f t="shared" si="54"/>
        <v/>
      </c>
      <c r="V194" s="225" t="str">
        <f>IF(U194="","",IF($I$8="A",(RANK(U194,U$11:U$355)+COUNTIF(U$11:U194,U194)-1),(RANK(U194,U$11:U$355,1)+COUNTIF(U$11:U194,U194)-1)))</f>
        <v/>
      </c>
      <c r="W194" s="226"/>
      <c r="X194" s="61" t="str">
        <f>IF(L194="","",VLOOKUP($L194,classifications!$C:$J,6,FALSE))</f>
        <v/>
      </c>
      <c r="Y194" s="49" t="b">
        <f t="shared" si="55"/>
        <v>0</v>
      </c>
      <c r="Z194" s="57" t="e">
        <f>IF(Y194="","",IF(I$8="A",(RANK(Y194,Y$11:Y$355,1)+COUNTIF(Y$11:Y194,Y194)-1),(RANK(Y194,Y$11:Y$355)+COUNTIF(Y$11:Y194,Y194)-1)))</f>
        <v>#N/A</v>
      </c>
      <c r="AA194" s="231" t="str">
        <f>IF(L194="","",VLOOKUP($L194,classifications!C:I,7,FALSE))</f>
        <v/>
      </c>
      <c r="AB194" s="225" t="str">
        <f t="shared" si="64"/>
        <v/>
      </c>
      <c r="AC194" s="225" t="str">
        <f>IF(AB194="","",IF($I$8="A",(RANK(AB194,AB$11:AB$355)+COUNTIF(AB$11:AB194,AB194)-1),(RANK(AB194,AB$11:AB$355,1)+COUNTIF(AB$11:AB194,AB194)-1)))</f>
        <v/>
      </c>
      <c r="AD194" s="225"/>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HLOOKUP($AX$9&amp;$AX$10,Data!$A$1:$ZZ$1992,(MATCH($C194,Data!$A$1:$A$1992,0)),FALSE)</f>
        <v>0</v>
      </c>
      <c r="AY194" s="156"/>
      <c r="AZ194" s="44"/>
    </row>
    <row r="195" spans="1:52">
      <c r="A195" s="84" t="str">
        <f>$D$1&amp;185</f>
        <v>SC185</v>
      </c>
      <c r="B195" s="85">
        <f>IF(ISERROR(VLOOKUP(A195,classifications!A:C,3,FALSE)),0,VLOOKUP(A195,classifications!A:C,3,FALSE))</f>
        <v>0</v>
      </c>
      <c r="C195" s="31" t="s">
        <v>347</v>
      </c>
      <c r="D195" s="49" t="str">
        <f>VLOOKUP($C195,classifications!$C:$J,4,FALSE)</f>
        <v>SD</v>
      </c>
      <c r="E195" s="49" t="str">
        <f>VLOOKUP(C195,classifications!C:K,9,FALSE)</f>
        <v>Sparse</v>
      </c>
      <c r="F195" s="59" t="e">
        <f t="shared" si="49"/>
        <v>#N/A</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17" t="str">
        <f>IF(L195="","",VLOOKUP(L195,classifications!C:K,9,FALSE))</f>
        <v/>
      </c>
      <c r="U195" s="224" t="str">
        <f t="shared" si="54"/>
        <v/>
      </c>
      <c r="V195" s="225" t="str">
        <f>IF(U195="","",IF($I$8="A",(RANK(U195,U$11:U$355)+COUNTIF(U$11:U195,U195)-1),(RANK(U195,U$11:U$355,1)+COUNTIF(U$11:U195,U195)-1)))</f>
        <v/>
      </c>
      <c r="W195" s="226"/>
      <c r="X195" s="61" t="str">
        <f>IF(L195="","",VLOOKUP($L195,classifications!$C:$J,6,FALSE))</f>
        <v/>
      </c>
      <c r="Y195" s="49" t="b">
        <f t="shared" si="55"/>
        <v>0</v>
      </c>
      <c r="Z195" s="57" t="e">
        <f>IF(Y195="","",IF(I$8="A",(RANK(Y195,Y$11:Y$355,1)+COUNTIF(Y$11:Y195,Y195)-1),(RANK(Y195,Y$11:Y$355)+COUNTIF(Y$11:Y195,Y195)-1)))</f>
        <v>#N/A</v>
      </c>
      <c r="AA195" s="231" t="str">
        <f>IF(L195="","",VLOOKUP($L195,classifications!C:I,7,FALSE))</f>
        <v/>
      </c>
      <c r="AB195" s="225" t="str">
        <f t="shared" si="64"/>
        <v/>
      </c>
      <c r="AC195" s="225" t="str">
        <f>IF(AB195="","",IF($I$8="A",(RANK(AB195,AB$11:AB$355)+COUNTIF(AB$11:AB195,AB195)-1),(RANK(AB195,AB$11:AB$355,1)+COUNTIF(AB$11:AB195,AB195)-1)))</f>
        <v/>
      </c>
      <c r="AD195" s="225"/>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t="e">
        <f>HLOOKUP($AX$9&amp;$AX$10,Data!$A$1:$ZZ$1992,(MATCH($C195,Data!$A$1:$A$1992,0)),FALSE)</f>
        <v>#N/A</v>
      </c>
      <c r="AY195" s="156"/>
      <c r="AZ195" s="44"/>
    </row>
    <row r="196" spans="1:52">
      <c r="A196" s="84" t="str">
        <f>$D$1&amp;186</f>
        <v>SC186</v>
      </c>
      <c r="B196" s="85">
        <f>IF(ISERROR(VLOOKUP(A196,classifications!A:C,3,FALSE)),0,VLOOKUP(A196,classifications!A:C,3,FALSE))</f>
        <v>0</v>
      </c>
      <c r="C196" s="31" t="s">
        <v>238</v>
      </c>
      <c r="D196" s="49" t="str">
        <f>VLOOKUP($C196,classifications!$C:$J,4,FALSE)</f>
        <v>MD</v>
      </c>
      <c r="E196" s="49">
        <f>VLOOKUP(C196,classifications!C:K,9,FALSE)</f>
        <v>0</v>
      </c>
      <c r="F196" s="59" t="e">
        <f t="shared" si="49"/>
        <v>#N/A</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17" t="str">
        <f>IF(L196="","",VLOOKUP(L196,classifications!C:K,9,FALSE))</f>
        <v/>
      </c>
      <c r="U196" s="224" t="str">
        <f t="shared" si="54"/>
        <v/>
      </c>
      <c r="V196" s="225" t="str">
        <f>IF(U196="","",IF($I$8="A",(RANK(U196,U$11:U$355)+COUNTIF(U$11:U196,U196)-1),(RANK(U196,U$11:U$355,1)+COUNTIF(U$11:U196,U196)-1)))</f>
        <v/>
      </c>
      <c r="W196" s="226"/>
      <c r="X196" s="61" t="str">
        <f>IF(L196="","",VLOOKUP($L196,classifications!$C:$J,6,FALSE))</f>
        <v/>
      </c>
      <c r="Y196" s="49" t="b">
        <f t="shared" si="55"/>
        <v>0</v>
      </c>
      <c r="Z196" s="57" t="e">
        <f>IF(Y196="","",IF(I$8="A",(RANK(Y196,Y$11:Y$355,1)+COUNTIF(Y$11:Y196,Y196)-1),(RANK(Y196,Y$11:Y$355)+COUNTIF(Y$11:Y196,Y196)-1)))</f>
        <v>#N/A</v>
      </c>
      <c r="AA196" s="231" t="str">
        <f>IF(L196="","",VLOOKUP($L196,classifications!C:I,7,FALSE))</f>
        <v/>
      </c>
      <c r="AB196" s="225" t="str">
        <f t="shared" si="64"/>
        <v/>
      </c>
      <c r="AC196" s="225" t="str">
        <f>IF(AB196="","",IF($I$8="A",(RANK(AB196,AB$11:AB$355)+COUNTIF(AB$11:AB196,AB196)-1),(RANK(AB196,AB$11:AB$355,1)+COUNTIF(AB$11:AB196,AB196)-1)))</f>
        <v/>
      </c>
      <c r="AD196" s="225"/>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t="e">
        <f>HLOOKUP($AX$9&amp;$AX$10,Data!$A$1:$ZZ$1992,(MATCH($C196,Data!$A$1:$A$1992,0)),FALSE)</f>
        <v>#N/A</v>
      </c>
      <c r="AY196" s="156"/>
      <c r="AZ196" s="44"/>
    </row>
    <row r="197" spans="1:52">
      <c r="A197" s="84" t="str">
        <f>$D$1&amp;187</f>
        <v>SC187</v>
      </c>
      <c r="B197" s="85">
        <f>IF(ISERROR(VLOOKUP(A197,classifications!A:C,3,FALSE)),0,VLOOKUP(A197,classifications!A:C,3,FALSE))</f>
        <v>0</v>
      </c>
      <c r="C197" s="31" t="s">
        <v>107</v>
      </c>
      <c r="D197" s="49" t="str">
        <f>VLOOKUP($C197,classifications!$C:$J,4,FALSE)</f>
        <v>SD</v>
      </c>
      <c r="E197" s="49">
        <f>VLOOKUP(C197,classifications!C:K,9,FALSE)</f>
        <v>0</v>
      </c>
      <c r="F197" s="59">
        <f t="shared" si="49"/>
        <v>0</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17" t="str">
        <f>IF(L197="","",VLOOKUP(L197,classifications!C:K,9,FALSE))</f>
        <v/>
      </c>
      <c r="U197" s="224" t="str">
        <f t="shared" si="54"/>
        <v/>
      </c>
      <c r="V197" s="225" t="str">
        <f>IF(U197="","",IF($I$8="A",(RANK(U197,U$11:U$355)+COUNTIF(U$11:U197,U197)-1),(RANK(U197,U$11:U$355,1)+COUNTIF(U$11:U197,U197)-1)))</f>
        <v/>
      </c>
      <c r="W197" s="226"/>
      <c r="X197" s="61" t="str">
        <f>IF(L197="","",VLOOKUP($L197,classifications!$C:$J,6,FALSE))</f>
        <v/>
      </c>
      <c r="Y197" s="49" t="b">
        <f t="shared" si="55"/>
        <v>0</v>
      </c>
      <c r="Z197" s="57" t="e">
        <f>IF(Y197="","",IF(I$8="A",(RANK(Y197,Y$11:Y$355,1)+COUNTIF(Y$11:Y197,Y197)-1),(RANK(Y197,Y$11:Y$355)+COUNTIF(Y$11:Y197,Y197)-1)))</f>
        <v>#N/A</v>
      </c>
      <c r="AA197" s="231" t="str">
        <f>IF(L197="","",VLOOKUP($L197,classifications!C:I,7,FALSE))</f>
        <v/>
      </c>
      <c r="AB197" s="225" t="str">
        <f t="shared" si="64"/>
        <v/>
      </c>
      <c r="AC197" s="225" t="str">
        <f>IF(AB197="","",IF($I$8="A",(RANK(AB197,AB$11:AB$355)+COUNTIF(AB$11:AB197,AB197)-1),(RANK(AB197,AB$11:AB$355,1)+COUNTIF(AB$11:AB197,AB197)-1)))</f>
        <v/>
      </c>
      <c r="AD197" s="225"/>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HLOOKUP($AX$9&amp;$AX$10,Data!$A$1:$ZZ$1992,(MATCH($C197,Data!$A$1:$A$1992,0)),FALSE)</f>
        <v>0</v>
      </c>
      <c r="AY197" s="156"/>
      <c r="AZ197" s="44"/>
    </row>
    <row r="198" spans="1:52">
      <c r="A198" s="84" t="str">
        <f>$D$1&amp;188</f>
        <v>SC188</v>
      </c>
      <c r="B198" s="85">
        <f>IF(ISERROR(VLOOKUP(A198,classifications!A:C,3,FALSE)),0,VLOOKUP(A198,classifications!A:C,3,FALSE))</f>
        <v>0</v>
      </c>
      <c r="C198" s="31" t="s">
        <v>216</v>
      </c>
      <c r="D198" s="49" t="str">
        <f>VLOOKUP($C198,classifications!$C:$J,4,FALSE)</f>
        <v>L</v>
      </c>
      <c r="E198" s="49">
        <f>VLOOKUP(C198,classifications!C:K,9,FALSE)</f>
        <v>0</v>
      </c>
      <c r="F198" s="59">
        <f t="shared" si="49"/>
        <v>0</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17" t="str">
        <f>IF(L198="","",VLOOKUP(L198,classifications!C:K,9,FALSE))</f>
        <v/>
      </c>
      <c r="U198" s="224" t="str">
        <f t="shared" si="54"/>
        <v/>
      </c>
      <c r="V198" s="225" t="str">
        <f>IF(U198="","",IF($I$8="A",(RANK(U198,U$11:U$355)+COUNTIF(U$11:U198,U198)-1),(RANK(U198,U$11:U$355,1)+COUNTIF(U$11:U198,U198)-1)))</f>
        <v/>
      </c>
      <c r="W198" s="226"/>
      <c r="X198" s="61" t="str">
        <f>IF(L198="","",VLOOKUP($L198,classifications!$C:$J,6,FALSE))</f>
        <v/>
      </c>
      <c r="Y198" s="49" t="b">
        <f t="shared" si="55"/>
        <v>0</v>
      </c>
      <c r="Z198" s="57" t="e">
        <f>IF(Y198="","",IF(I$8="A",(RANK(Y198,Y$11:Y$355,1)+COUNTIF(Y$11:Y198,Y198)-1),(RANK(Y198,Y$11:Y$355)+COUNTIF(Y$11:Y198,Y198)-1)))</f>
        <v>#N/A</v>
      </c>
      <c r="AA198" s="231" t="str">
        <f>IF(L198="","",VLOOKUP($L198,classifications!C:I,7,FALSE))</f>
        <v/>
      </c>
      <c r="AB198" s="225" t="str">
        <f t="shared" si="64"/>
        <v/>
      </c>
      <c r="AC198" s="225" t="str">
        <f>IF(AB198="","",IF($I$8="A",(RANK(AB198,AB$11:AB$355)+COUNTIF(AB$11:AB198,AB198)-1),(RANK(AB198,AB$11:AB$355,1)+COUNTIF(AB$11:AB198,AB198)-1)))</f>
        <v/>
      </c>
      <c r="AD198" s="225"/>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HLOOKUP($AX$9&amp;$AX$10,Data!$A$1:$ZZ$1992,(MATCH($C198,Data!$A$1:$A$1992,0)),FALSE)</f>
        <v>0</v>
      </c>
      <c r="AY198" s="156"/>
      <c r="AZ198" s="44"/>
    </row>
    <row r="199" spans="1:52">
      <c r="A199" s="84" t="str">
        <f>$D$1&amp;189</f>
        <v>SC189</v>
      </c>
      <c r="B199" s="85">
        <f>IF(ISERROR(VLOOKUP(A199,classifications!A:C,3,FALSE)),0,VLOOKUP(A199,classifications!A:C,3,FALSE))</f>
        <v>0</v>
      </c>
      <c r="C199" s="31" t="s">
        <v>320</v>
      </c>
      <c r="D199" s="49" t="str">
        <f>VLOOKUP($C199,classifications!$C:$J,4,FALSE)</f>
        <v>SC</v>
      </c>
      <c r="E199" s="49" t="str">
        <f>VLOOKUP(C199,classifications!C:K,9,FALSE)</f>
        <v>Sparse</v>
      </c>
      <c r="F199" s="59">
        <f t="shared" si="49"/>
        <v>0.10199999999999999</v>
      </c>
      <c r="G199" s="105"/>
      <c r="H199" s="60">
        <f t="shared" si="50"/>
        <v>0.10199999999999999</v>
      </c>
      <c r="I199" s="112">
        <f>IF(H199="","",IF($I$8="A",(RANK(H199,H$11:H$355,1)+COUNTIF(H$11:H199,H199)-1),(RANK(H199,H$11:H$355)+COUNTIF(H$11:H199,H199)-1)))</f>
        <v>14</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17" t="str">
        <f>IF(L199="","",VLOOKUP(L199,classifications!C:K,9,FALSE))</f>
        <v/>
      </c>
      <c r="U199" s="224" t="str">
        <f t="shared" si="54"/>
        <v/>
      </c>
      <c r="V199" s="225" t="str">
        <f>IF(U199="","",IF($I$8="A",(RANK(U199,U$11:U$355)+COUNTIF(U$11:U199,U199)-1),(RANK(U199,U$11:U$355,1)+COUNTIF(U$11:U199,U199)-1)))</f>
        <v/>
      </c>
      <c r="W199" s="226"/>
      <c r="X199" s="61" t="str">
        <f>IF(L199="","",VLOOKUP($L199,classifications!$C:$J,6,FALSE))</f>
        <v/>
      </c>
      <c r="Y199" s="49" t="b">
        <f t="shared" si="55"/>
        <v>0</v>
      </c>
      <c r="Z199" s="57" t="e">
        <f>IF(Y199="","",IF(I$8="A",(RANK(Y199,Y$11:Y$355,1)+COUNTIF(Y$11:Y199,Y199)-1),(RANK(Y199,Y$11:Y$355)+COUNTIF(Y$11:Y199,Y199)-1)))</f>
        <v>#N/A</v>
      </c>
      <c r="AA199" s="231" t="str">
        <f>IF(L199="","",VLOOKUP($L199,classifications!C:I,7,FALSE))</f>
        <v/>
      </c>
      <c r="AB199" s="225" t="str">
        <f t="shared" si="64"/>
        <v/>
      </c>
      <c r="AC199" s="225" t="str">
        <f>IF(AB199="","",IF($I$8="A",(RANK(AB199,AB$11:AB$355)+COUNTIF(AB$11:AB199,AB199)-1),(RANK(AB199,AB$11:AB$355,1)+COUNTIF(AB$11:AB199,AB199)-1)))</f>
        <v/>
      </c>
      <c r="AD199" s="225"/>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HLOOKUP($AX$9&amp;$AX$10,Data!$A$1:$ZZ$1992,(MATCH($C199,Data!$A$1:$A$1992,0)),FALSE)</f>
        <v>0.10199999999999999</v>
      </c>
      <c r="AY199" s="156"/>
      <c r="AZ199" s="44"/>
    </row>
    <row r="200" spans="1:52">
      <c r="A200" s="84" t="str">
        <f>$D$1&amp;190</f>
        <v>SC190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17" t="str">
        <f>IF(L200="","",VLOOKUP(L200,classifications!C:K,9,FALSE))</f>
        <v/>
      </c>
      <c r="U200" s="224" t="str">
        <f t="shared" si="54"/>
        <v/>
      </c>
      <c r="V200" s="225" t="str">
        <f>IF(U200="","",IF($I$8="A",(RANK(U200,U$11:U$355)+COUNTIF(U$11:U200,U200)-1),(RANK(U200,U$11:U$355,1)+COUNTIF(U$11:U200,U200)-1)))</f>
        <v/>
      </c>
      <c r="W200" s="226"/>
      <c r="X200" s="61" t="str">
        <f>IF(L200="","",VLOOKUP($L200,classifications!$C:$J,6,FALSE))</f>
        <v/>
      </c>
      <c r="Y200" s="49" t="b">
        <f t="shared" si="55"/>
        <v>0</v>
      </c>
      <c r="Z200" s="57" t="e">
        <f>IF(Y200="","",IF(I$8="A",(RANK(Y200,Y$11:Y$355,1)+COUNTIF(Y$11:Y200,Y200)-1),(RANK(Y200,Y$11:Y$355)+COUNTIF(Y$11:Y200,Y200)-1)))</f>
        <v>#N/A</v>
      </c>
      <c r="AA200" s="231" t="str">
        <f>IF(L200="","",VLOOKUP($L200,classifications!C:I,7,FALSE))</f>
        <v/>
      </c>
      <c r="AB200" s="225" t="str">
        <f t="shared" si="64"/>
        <v/>
      </c>
      <c r="AC200" s="225" t="str">
        <f>IF(AB200="","",IF($I$8="A",(RANK(AB200,AB$11:AB$355)+COUNTIF(AB$11:AB200,AB200)-1),(RANK(AB200,AB$11:AB$355,1)+COUNTIF(AB$11:AB200,AB200)-1)))</f>
        <v/>
      </c>
      <c r="AD200" s="225"/>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HLOOKUP($AX$9&amp;$AX$10,Data!$A$1:$ZZ$1992,(MATCH($C200,Data!$A$1:$A$1992,0)),FALSE)</f>
        <v>0</v>
      </c>
      <c r="AY200" s="156"/>
      <c r="AZ200" s="44"/>
    </row>
    <row r="201" spans="1:52">
      <c r="A201" s="84" t="str">
        <f>$D$1&amp;191</f>
        <v>SC191</v>
      </c>
      <c r="B201" s="85">
        <f>IF(ISERROR(VLOOKUP(A201,classifications!A:C,3,FALSE)),0,VLOOKUP(A201,classifications!A:C,3,FALSE))</f>
        <v>0</v>
      </c>
      <c r="C201" s="31" t="s">
        <v>110</v>
      </c>
      <c r="D201" s="49" t="str">
        <f>VLOOKUP($C201,classifications!$C:$J,4,FALSE)</f>
        <v>SD</v>
      </c>
      <c r="E201" s="49">
        <f>VLOOKUP(C201,classifications!C:K,9,FALSE)</f>
        <v>0</v>
      </c>
      <c r="F201" s="59">
        <f t="shared" si="49"/>
        <v>0</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17" t="str">
        <f>IF(L201="","",VLOOKUP(L201,classifications!C:K,9,FALSE))</f>
        <v/>
      </c>
      <c r="U201" s="224" t="str">
        <f t="shared" si="54"/>
        <v/>
      </c>
      <c r="V201" s="225" t="str">
        <f>IF(U201="","",IF($I$8="A",(RANK(U201,U$11:U$355)+COUNTIF(U$11:U201,U201)-1),(RANK(U201,U$11:U$355,1)+COUNTIF(U$11:U201,U201)-1)))</f>
        <v/>
      </c>
      <c r="W201" s="226"/>
      <c r="X201" s="61" t="str">
        <f>IF(L201="","",VLOOKUP($L201,classifications!$C:$J,6,FALSE))</f>
        <v/>
      </c>
      <c r="Y201" s="49" t="b">
        <f t="shared" si="55"/>
        <v>0</v>
      </c>
      <c r="Z201" s="57" t="e">
        <f>IF(Y201="","",IF(I$8="A",(RANK(Y201,Y$11:Y$355,1)+COUNTIF(Y$11:Y201,Y201)-1),(RANK(Y201,Y$11:Y$355)+COUNTIF(Y$11:Y201,Y201)-1)))</f>
        <v>#N/A</v>
      </c>
      <c r="AA201" s="231" t="str">
        <f>IF(L201="","",VLOOKUP($L201,classifications!C:I,7,FALSE))</f>
        <v/>
      </c>
      <c r="AB201" s="225" t="str">
        <f t="shared" si="64"/>
        <v/>
      </c>
      <c r="AC201" s="225" t="str">
        <f>IF(AB201="","",IF($I$8="A",(RANK(AB201,AB$11:AB$355)+COUNTIF(AB$11:AB201,AB201)-1),(RANK(AB201,AB$11:AB$355,1)+COUNTIF(AB$11:AB201,AB201)-1)))</f>
        <v/>
      </c>
      <c r="AD201" s="225"/>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HLOOKUP($AX$9&amp;$AX$10,Data!$A$1:$ZZ$1992,(MATCH($C201,Data!$A$1:$A$1992,0)),FALSE)</f>
        <v>0</v>
      </c>
      <c r="AY201" s="156"/>
      <c r="AZ201" s="44"/>
    </row>
    <row r="202" spans="1:52">
      <c r="A202" s="84" t="str">
        <f>$D$1&amp;192</f>
        <v>SC192</v>
      </c>
      <c r="B202" s="85">
        <f>IF(ISERROR(VLOOKUP(A202,classifications!A:C,3,FALSE)),0,VLOOKUP(A202,classifications!A:C,3,FALSE))</f>
        <v>0</v>
      </c>
      <c r="C202" s="31" t="s">
        <v>277</v>
      </c>
      <c r="D202" s="49" t="str">
        <f>VLOOKUP($C202,classifications!$C:$J,4,FALSE)</f>
        <v>UA</v>
      </c>
      <c r="E202" s="49">
        <f>VLOOKUP(C202,classifications!C:K,9,FALSE)</f>
        <v>0</v>
      </c>
      <c r="F202" s="59">
        <f t="shared" si="49"/>
        <v>5.3999999999999999E-2</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17" t="str">
        <f>IF(L202="","",VLOOKUP(L202,classifications!C:K,9,FALSE))</f>
        <v/>
      </c>
      <c r="U202" s="224" t="str">
        <f t="shared" si="54"/>
        <v/>
      </c>
      <c r="V202" s="225" t="str">
        <f>IF(U202="","",IF($I$8="A",(RANK(U202,U$11:U$355)+COUNTIF(U$11:U202,U202)-1),(RANK(U202,U$11:U$355,1)+COUNTIF(U$11:U202,U202)-1)))</f>
        <v/>
      </c>
      <c r="W202" s="226"/>
      <c r="X202" s="61" t="str">
        <f>IF(L202="","",VLOOKUP($L202,classifications!$C:$J,6,FALSE))</f>
        <v/>
      </c>
      <c r="Y202" s="49" t="b">
        <f t="shared" si="55"/>
        <v>0</v>
      </c>
      <c r="Z202" s="57" t="e">
        <f>IF(Y202="","",IF(I$8="A",(RANK(Y202,Y$11:Y$355,1)+COUNTIF(Y$11:Y202,Y202)-1),(RANK(Y202,Y$11:Y$355)+COUNTIF(Y$11:Y202,Y202)-1)))</f>
        <v>#N/A</v>
      </c>
      <c r="AA202" s="231" t="str">
        <f>IF(L202="","",VLOOKUP($L202,classifications!C:I,7,FALSE))</f>
        <v/>
      </c>
      <c r="AB202" s="225" t="str">
        <f t="shared" si="64"/>
        <v/>
      </c>
      <c r="AC202" s="225" t="str">
        <f>IF(AB202="","",IF($I$8="A",(RANK(AB202,AB$11:AB$355)+COUNTIF(AB$11:AB202,AB202)-1),(RANK(AB202,AB$11:AB$355,1)+COUNTIF(AB$11:AB202,AB202)-1)))</f>
        <v/>
      </c>
      <c r="AD202" s="225"/>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HLOOKUP($AX$9&amp;$AX$10,Data!$A$1:$ZZ$1992,(MATCH($C202,Data!$A$1:$A$1992,0)),FALSE)</f>
        <v>5.3999999999999999E-2</v>
      </c>
      <c r="AY202" s="156"/>
      <c r="AZ202" s="44"/>
    </row>
    <row r="203" spans="1:52">
      <c r="A203" s="84" t="str">
        <f>$D$1&amp;193</f>
        <v>SC193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17" t="str">
        <f>IF(L203="","",VLOOKUP(L203,classifications!C:K,9,FALSE))</f>
        <v/>
      </c>
      <c r="U203" s="224" t="str">
        <f t="shared" ref="U203:U266" si="77">IF(T203="Sparse",M203,"")</f>
        <v/>
      </c>
      <c r="V203" s="225" t="str">
        <f>IF(U203="","",IF($I$8="A",(RANK(U203,U$11:U$355)+COUNTIF(U$11:U203,U203)-1),(RANK(U203,U$11:U$355,1)+COUNTIF(U$11:U203,U203)-1)))</f>
        <v/>
      </c>
      <c r="W203" s="226"/>
      <c r="X203" s="61" t="str">
        <f>IF(L203="","",VLOOKUP($L203,classifications!$C:$J,6,FALSE))</f>
        <v/>
      </c>
      <c r="Y203" s="49" t="b">
        <f t="shared" ref="Y203:Y266" si="78">IF($D$1="UA",IF(X203="Largely Rural (rural including hub towns 50-79%) ",M203,IF(X203="Mainly Rural (rural including hub towns &gt;=80%) ",M203,IF(X203="Urban with Significant Rural (rural including hub towns 26-49%)",M203,""))),IF($D$1="SD",IF(X203=$H$3,M203,"")))</f>
        <v>0</v>
      </c>
      <c r="Z203" s="57" t="e">
        <f>IF(Y203="","",IF(I$8="A",(RANK(Y203,Y$11:Y$355,1)+COUNTIF(Y$11:Y203,Y203)-1),(RANK(Y203,Y$11:Y$355)+COUNTIF(Y$11:Y203,Y203)-1)))</f>
        <v>#N/A</v>
      </c>
      <c r="AA203" s="231" t="str">
        <f>IF(L203="","",VLOOKUP($L203,classifications!C:I,7,FALSE))</f>
        <v/>
      </c>
      <c r="AB203" s="225" t="str">
        <f t="shared" si="64"/>
        <v/>
      </c>
      <c r="AC203" s="225" t="str">
        <f>IF(AB203="","",IF($I$8="A",(RANK(AB203,AB$11:AB$355)+COUNTIF(AB$11:AB203,AB203)-1),(RANK(AB203,AB$11:AB$355,1)+COUNTIF(AB$11:AB203,AB203)-1)))</f>
        <v/>
      </c>
      <c r="AD203" s="225"/>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HLOOKUP($AX$9&amp;$AX$10,Data!$A$1:$ZZ$1992,(MATCH($C203,Data!$A$1:$A$1992,0)),FALSE)</f>
        <v>0</v>
      </c>
      <c r="AY203" s="156"/>
      <c r="AZ203" s="44"/>
    </row>
    <row r="204" spans="1:52">
      <c r="A204" s="84" t="str">
        <f>$D$1&amp;194</f>
        <v>SC194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17" t="str">
        <f>IF(L204="","",VLOOKUP(L204,classifications!C:K,9,FALSE))</f>
        <v/>
      </c>
      <c r="U204" s="224" t="str">
        <f t="shared" si="77"/>
        <v/>
      </c>
      <c r="V204" s="225" t="str">
        <f>IF(U204="","",IF($I$8="A",(RANK(U204,U$11:U$355)+COUNTIF(U$11:U204,U204)-1),(RANK(U204,U$11:U$355,1)+COUNTIF(U$11:U204,U204)-1)))</f>
        <v/>
      </c>
      <c r="W204" s="226"/>
      <c r="X204" s="61" t="str">
        <f>IF(L204="","",VLOOKUP($L204,classifications!$C:$J,6,FALSE))</f>
        <v/>
      </c>
      <c r="Y204" s="49" t="b">
        <f t="shared" si="78"/>
        <v>0</v>
      </c>
      <c r="Z204" s="57" t="e">
        <f>IF(Y204="","",IF(I$8="A",(RANK(Y204,Y$11:Y$355,1)+COUNTIF(Y$11:Y204,Y204)-1),(RANK(Y204,Y$11:Y$355)+COUNTIF(Y$11:Y204,Y204)-1)))</f>
        <v>#N/A</v>
      </c>
      <c r="AA204" s="231" t="str">
        <f>IF(L204="","",VLOOKUP($L204,classifications!C:I,7,FALSE))</f>
        <v/>
      </c>
      <c r="AB204" s="225" t="str">
        <f t="shared" ref="AB204:AB267" si="87">IF(AA204=$J$3,M204,"")</f>
        <v/>
      </c>
      <c r="AC204" s="225" t="str">
        <f>IF(AB204="","",IF($I$8="A",(RANK(AB204,AB$11:AB$355)+COUNTIF(AB$11:AB204,AB204)-1),(RANK(AB204,AB$11:AB$355,1)+COUNTIF(AB$11:AB204,AB204)-1)))</f>
        <v/>
      </c>
      <c r="AD204" s="225"/>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HLOOKUP($AX$9&amp;$AX$10,Data!$A$1:$ZZ$1992,(MATCH($C204,Data!$A$1:$A$1992,0)),FALSE)</f>
        <v>0</v>
      </c>
      <c r="AY204" s="156"/>
      <c r="AZ204" s="44"/>
    </row>
    <row r="205" spans="1:52">
      <c r="A205" s="84" t="str">
        <f>$D$1&amp;195</f>
        <v>SC195</v>
      </c>
      <c r="B205" s="85">
        <f>IF(ISERROR(VLOOKUP(A205,classifications!A:C,3,FALSE)),0,VLOOKUP(A205,classifications!A:C,3,FALSE))</f>
        <v>0</v>
      </c>
      <c r="C205" s="31" t="s">
        <v>278</v>
      </c>
      <c r="D205" s="49" t="str">
        <f>VLOOKUP($C205,classifications!$C:$J,4,FALSE)</f>
        <v>UA</v>
      </c>
      <c r="E205" s="49" t="str">
        <f>VLOOKUP(C205,classifications!C:K,9,FALSE)</f>
        <v>Sparse</v>
      </c>
      <c r="F205" s="59">
        <f t="shared" si="72"/>
        <v>3.0000000000000001E-3</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17" t="str">
        <f>IF(L205="","",VLOOKUP(L205,classifications!C:K,9,FALSE))</f>
        <v/>
      </c>
      <c r="U205" s="224" t="str">
        <f t="shared" si="77"/>
        <v/>
      </c>
      <c r="V205" s="225" t="str">
        <f>IF(U205="","",IF($I$8="A",(RANK(U205,U$11:U$355)+COUNTIF(U$11:U205,U205)-1),(RANK(U205,U$11:U$355,1)+COUNTIF(U$11:U205,U205)-1)))</f>
        <v/>
      </c>
      <c r="W205" s="226"/>
      <c r="X205" s="61" t="str">
        <f>IF(L205="","",VLOOKUP($L205,classifications!$C:$J,6,FALSE))</f>
        <v/>
      </c>
      <c r="Y205" s="49" t="b">
        <f t="shared" si="78"/>
        <v>0</v>
      </c>
      <c r="Z205" s="57" t="e">
        <f>IF(Y205="","",IF(I$8="A",(RANK(Y205,Y$11:Y$355,1)+COUNTIF(Y$11:Y205,Y205)-1),(RANK(Y205,Y$11:Y$355)+COUNTIF(Y$11:Y205,Y205)-1)))</f>
        <v>#N/A</v>
      </c>
      <c r="AA205" s="231" t="str">
        <f>IF(L205="","",VLOOKUP($L205,classifications!C:I,7,FALSE))</f>
        <v/>
      </c>
      <c r="AB205" s="225" t="str">
        <f t="shared" si="87"/>
        <v/>
      </c>
      <c r="AC205" s="225" t="str">
        <f>IF(AB205="","",IF($I$8="A",(RANK(AB205,AB$11:AB$355)+COUNTIF(AB$11:AB205,AB205)-1),(RANK(AB205,AB$11:AB$355,1)+COUNTIF(AB$11:AB205,AB205)-1)))</f>
        <v/>
      </c>
      <c r="AD205" s="225"/>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HLOOKUP($AX$9&amp;$AX$10,Data!$A$1:$ZZ$1992,(MATCH($C205,Data!$A$1:$A$1992,0)),FALSE)</f>
        <v>3.0000000000000001E-3</v>
      </c>
      <c r="AY205" s="156"/>
      <c r="AZ205" s="44"/>
    </row>
    <row r="206" spans="1:52">
      <c r="A206" s="84" t="str">
        <f>$D$1&amp;196</f>
        <v>SC196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17" t="str">
        <f>IF(L206="","",VLOOKUP(L206,classifications!C:K,9,FALSE))</f>
        <v/>
      </c>
      <c r="U206" s="224" t="str">
        <f t="shared" si="77"/>
        <v/>
      </c>
      <c r="V206" s="225" t="str">
        <f>IF(U206="","",IF($I$8="A",(RANK(U206,U$11:U$355)+COUNTIF(U$11:U206,U206)-1),(RANK(U206,U$11:U$355,1)+COUNTIF(U$11:U206,U206)-1)))</f>
        <v/>
      </c>
      <c r="W206" s="226"/>
      <c r="X206" s="61" t="str">
        <f>IF(L206="","",VLOOKUP($L206,classifications!$C:$J,6,FALSE))</f>
        <v/>
      </c>
      <c r="Y206" s="49" t="b">
        <f t="shared" si="78"/>
        <v>0</v>
      </c>
      <c r="Z206" s="57" t="e">
        <f>IF(Y206="","",IF(I$8="A",(RANK(Y206,Y$11:Y$355,1)+COUNTIF(Y$11:Y206,Y206)-1),(RANK(Y206,Y$11:Y$355)+COUNTIF(Y$11:Y206,Y206)-1)))</f>
        <v>#N/A</v>
      </c>
      <c r="AA206" s="231" t="str">
        <f>IF(L206="","",VLOOKUP($L206,classifications!C:I,7,FALSE))</f>
        <v/>
      </c>
      <c r="AB206" s="225" t="str">
        <f t="shared" si="87"/>
        <v/>
      </c>
      <c r="AC206" s="225" t="str">
        <f>IF(AB206="","",IF($I$8="A",(RANK(AB206,AB$11:AB$355)+COUNTIF(AB$11:AB206,AB206)-1),(RANK(AB206,AB$11:AB$355,1)+COUNTIF(AB$11:AB206,AB206)-1)))</f>
        <v/>
      </c>
      <c r="AD206" s="225"/>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HLOOKUP($AX$9&amp;$AX$10,Data!$A$1:$ZZ$1992,(MATCH($C206,Data!$A$1:$A$1992,0)),FALSE)</f>
        <v>0</v>
      </c>
      <c r="AY206" s="156"/>
      <c r="AZ206" s="44"/>
    </row>
    <row r="207" spans="1:52">
      <c r="A207" s="84" t="str">
        <f>$D$1&amp;197</f>
        <v>SC197</v>
      </c>
      <c r="B207" s="85">
        <f>IF(ISERROR(VLOOKUP(A207,classifications!A:C,3,FALSE)),0,VLOOKUP(A207,classifications!A:C,3,FALSE))</f>
        <v>0</v>
      </c>
      <c r="C207" s="31" t="s">
        <v>279</v>
      </c>
      <c r="D207" s="49" t="str">
        <f>VLOOKUP($C207,classifications!$C:$J,4,FALSE)</f>
        <v>UA</v>
      </c>
      <c r="E207" s="49" t="str">
        <f>VLOOKUP(C207,classifications!C:K,9,FALSE)</f>
        <v>Sparse</v>
      </c>
      <c r="F207" s="59">
        <f t="shared" si="72"/>
        <v>0.221</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17" t="str">
        <f>IF(L207="","",VLOOKUP(L207,classifications!C:K,9,FALSE))</f>
        <v/>
      </c>
      <c r="U207" s="224" t="str">
        <f t="shared" si="77"/>
        <v/>
      </c>
      <c r="V207" s="225" t="str">
        <f>IF(U207="","",IF($I$8="A",(RANK(U207,U$11:U$355)+COUNTIF(U$11:U207,U207)-1),(RANK(U207,U$11:U$355,1)+COUNTIF(U$11:U207,U207)-1)))</f>
        <v/>
      </c>
      <c r="W207" s="226"/>
      <c r="X207" s="61" t="str">
        <f>IF(L207="","",VLOOKUP($L207,classifications!$C:$J,6,FALSE))</f>
        <v/>
      </c>
      <c r="Y207" s="49" t="b">
        <f t="shared" si="78"/>
        <v>0</v>
      </c>
      <c r="Z207" s="57" t="e">
        <f>IF(Y207="","",IF(I$8="A",(RANK(Y207,Y$11:Y$355,1)+COUNTIF(Y$11:Y207,Y207)-1),(RANK(Y207,Y$11:Y$355)+COUNTIF(Y$11:Y207,Y207)-1)))</f>
        <v>#N/A</v>
      </c>
      <c r="AA207" s="231" t="str">
        <f>IF(L207="","",VLOOKUP($L207,classifications!C:I,7,FALSE))</f>
        <v/>
      </c>
      <c r="AB207" s="225" t="str">
        <f t="shared" si="87"/>
        <v/>
      </c>
      <c r="AC207" s="225" t="str">
        <f>IF(AB207="","",IF($I$8="A",(RANK(AB207,AB$11:AB$355)+COUNTIF(AB$11:AB207,AB207)-1),(RANK(AB207,AB$11:AB$355,1)+COUNTIF(AB$11:AB207,AB207)-1)))</f>
        <v/>
      </c>
      <c r="AD207" s="225"/>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HLOOKUP($AX$9&amp;$AX$10,Data!$A$1:$ZZ$1992,(MATCH($C207,Data!$A$1:$A$1992,0)),FALSE)</f>
        <v>0.221</v>
      </c>
      <c r="AY207" s="156"/>
      <c r="AZ207" s="44"/>
    </row>
    <row r="208" spans="1:52">
      <c r="A208" s="84" t="str">
        <f>$D$1&amp;198</f>
        <v>SC198</v>
      </c>
      <c r="B208" s="85">
        <f>IF(ISERROR(VLOOKUP(A208,classifications!A:C,3,FALSE)),0,VLOOKUP(A208,classifications!A:C,3,FALSE))</f>
        <v>0</v>
      </c>
      <c r="C208" s="31" t="s">
        <v>239</v>
      </c>
      <c r="D208" s="49" t="str">
        <f>VLOOKUP($C208,classifications!$C:$J,4,FALSE)</f>
        <v>MD</v>
      </c>
      <c r="E208" s="49">
        <f>VLOOKUP(C208,classifications!C:K,9,FALSE)</f>
        <v>0</v>
      </c>
      <c r="F208" s="59">
        <f t="shared" si="72"/>
        <v>2E-3</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17" t="str">
        <f>IF(L208="","",VLOOKUP(L208,classifications!C:K,9,FALSE))</f>
        <v/>
      </c>
      <c r="U208" s="224" t="str">
        <f t="shared" si="77"/>
        <v/>
      </c>
      <c r="V208" s="225" t="str">
        <f>IF(U208="","",IF($I$8="A",(RANK(U208,U$11:U$355)+COUNTIF(U$11:U208,U208)-1),(RANK(U208,U$11:U$355,1)+COUNTIF(U$11:U208,U208)-1)))</f>
        <v/>
      </c>
      <c r="W208" s="226"/>
      <c r="X208" s="61" t="str">
        <f>IF(L208="","",VLOOKUP($L208,classifications!$C:$J,6,FALSE))</f>
        <v/>
      </c>
      <c r="Y208" s="49" t="b">
        <f t="shared" si="78"/>
        <v>0</v>
      </c>
      <c r="Z208" s="57" t="e">
        <f>IF(Y208="","",IF(I$8="A",(RANK(Y208,Y$11:Y$355,1)+COUNTIF(Y$11:Y208,Y208)-1),(RANK(Y208,Y$11:Y$355)+COUNTIF(Y$11:Y208,Y208)-1)))</f>
        <v>#N/A</v>
      </c>
      <c r="AA208" s="231" t="str">
        <f>IF(L208="","",VLOOKUP($L208,classifications!C:I,7,FALSE))</f>
        <v/>
      </c>
      <c r="AB208" s="225" t="str">
        <f t="shared" si="87"/>
        <v/>
      </c>
      <c r="AC208" s="225" t="str">
        <f>IF(AB208="","",IF($I$8="A",(RANK(AB208,AB$11:AB$355)+COUNTIF(AB$11:AB208,AB208)-1),(RANK(AB208,AB$11:AB$355,1)+COUNTIF(AB$11:AB208,AB208)-1)))</f>
        <v/>
      </c>
      <c r="AD208" s="225"/>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HLOOKUP($AX$9&amp;$AX$10,Data!$A$1:$ZZ$1992,(MATCH($C208,Data!$A$1:$A$1992,0)),FALSE)</f>
        <v>2E-3</v>
      </c>
      <c r="AY208" s="156"/>
      <c r="AZ208" s="44"/>
    </row>
    <row r="209" spans="1:52">
      <c r="A209" s="84" t="str">
        <f>$D$1&amp;199</f>
        <v>SC199</v>
      </c>
      <c r="B209" s="85">
        <f>IF(ISERROR(VLOOKUP(A209,classifications!A:C,3,FALSE)),0,VLOOKUP(A209,classifications!A:C,3,FALSE))</f>
        <v>0</v>
      </c>
      <c r="C209" s="31" t="s">
        <v>114</v>
      </c>
      <c r="D209" s="49" t="str">
        <f>VLOOKUP($C209,classifications!$C:$J,4,FALSE)</f>
        <v>SD</v>
      </c>
      <c r="E209" s="49">
        <f>VLOOKUP(C209,classifications!C:K,9,FALSE)</f>
        <v>0</v>
      </c>
      <c r="F209" s="59">
        <f t="shared" si="72"/>
        <v>0</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17" t="str">
        <f>IF(L209="","",VLOOKUP(L209,classifications!C:K,9,FALSE))</f>
        <v/>
      </c>
      <c r="U209" s="224" t="str">
        <f t="shared" si="77"/>
        <v/>
      </c>
      <c r="V209" s="225" t="str">
        <f>IF(U209="","",IF($I$8="A",(RANK(U209,U$11:U$355)+COUNTIF(U$11:U209,U209)-1),(RANK(U209,U$11:U$355,1)+COUNTIF(U$11:U209,U209)-1)))</f>
        <v/>
      </c>
      <c r="W209" s="226"/>
      <c r="X209" s="61" t="str">
        <f>IF(L209="","",VLOOKUP($L209,classifications!$C:$J,6,FALSE))</f>
        <v/>
      </c>
      <c r="Y209" s="49" t="b">
        <f t="shared" si="78"/>
        <v>0</v>
      </c>
      <c r="Z209" s="57" t="e">
        <f>IF(Y209="","",IF(I$8="A",(RANK(Y209,Y$11:Y$355,1)+COUNTIF(Y$11:Y209,Y209)-1),(RANK(Y209,Y$11:Y$355)+COUNTIF(Y$11:Y209,Y209)-1)))</f>
        <v>#N/A</v>
      </c>
      <c r="AA209" s="231" t="str">
        <f>IF(L209="","",VLOOKUP($L209,classifications!C:I,7,FALSE))</f>
        <v/>
      </c>
      <c r="AB209" s="225" t="str">
        <f t="shared" si="87"/>
        <v/>
      </c>
      <c r="AC209" s="225" t="str">
        <f>IF(AB209="","",IF($I$8="A",(RANK(AB209,AB$11:AB$355)+COUNTIF(AB$11:AB209,AB209)-1),(RANK(AB209,AB$11:AB$355,1)+COUNTIF(AB$11:AB209,AB209)-1)))</f>
        <v/>
      </c>
      <c r="AD209" s="225"/>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HLOOKUP($AX$9&amp;$AX$10,Data!$A$1:$ZZ$1992,(MATCH($C209,Data!$A$1:$A$1992,0)),FALSE)</f>
        <v>0</v>
      </c>
      <c r="AY209" s="156"/>
      <c r="AZ209" s="44"/>
    </row>
    <row r="210" spans="1:52">
      <c r="A210" s="84" t="str">
        <f>$D$1&amp;200</f>
        <v>SC200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17" t="str">
        <f>IF(L210="","",VLOOKUP(L210,classifications!C:K,9,FALSE))</f>
        <v/>
      </c>
      <c r="U210" s="224" t="str">
        <f t="shared" si="77"/>
        <v/>
      </c>
      <c r="V210" s="225" t="str">
        <f>IF(U210="","",IF($I$8="A",(RANK(U210,U$11:U$355)+COUNTIF(U$11:U210,U210)-1),(RANK(U210,U$11:U$355,1)+COUNTIF(U$11:U210,U210)-1)))</f>
        <v/>
      </c>
      <c r="W210" s="226"/>
      <c r="X210" s="61" t="str">
        <f>IF(L210="","",VLOOKUP($L210,classifications!$C:$J,6,FALSE))</f>
        <v/>
      </c>
      <c r="Y210" s="49" t="b">
        <f t="shared" si="78"/>
        <v>0</v>
      </c>
      <c r="Z210" s="57" t="e">
        <f>IF(Y210="","",IF(I$8="A",(RANK(Y210,Y$11:Y$355,1)+COUNTIF(Y$11:Y210,Y210)-1),(RANK(Y210,Y$11:Y$355)+COUNTIF(Y$11:Y210,Y210)-1)))</f>
        <v>#N/A</v>
      </c>
      <c r="AA210" s="231" t="str">
        <f>IF(L210="","",VLOOKUP($L210,classifications!C:I,7,FALSE))</f>
        <v/>
      </c>
      <c r="AB210" s="225" t="str">
        <f t="shared" si="87"/>
        <v/>
      </c>
      <c r="AC210" s="225" t="str">
        <f>IF(AB210="","",IF($I$8="A",(RANK(AB210,AB$11:AB$355)+COUNTIF(AB$11:AB210,AB210)-1),(RANK(AB210,AB$11:AB$355,1)+COUNTIF(AB$11:AB210,AB210)-1)))</f>
        <v/>
      </c>
      <c r="AD210" s="225"/>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HLOOKUP($AX$9&amp;$AX$10,Data!$A$1:$ZZ$1992,(MATCH($C210,Data!$A$1:$A$1992,0)),FALSE)</f>
        <v>0</v>
      </c>
      <c r="AY210" s="156"/>
      <c r="AZ210" s="44"/>
    </row>
    <row r="211" spans="1:52">
      <c r="A211" s="84" t="str">
        <f>$D$1&amp;201</f>
        <v>SC201</v>
      </c>
      <c r="B211" s="85">
        <f>IF(ISERROR(VLOOKUP(A211,classifications!A:C,3,FALSE)),0,VLOOKUP(A211,classifications!A:C,3,FALSE))</f>
        <v>0</v>
      </c>
      <c r="C211" s="31" t="s">
        <v>321</v>
      </c>
      <c r="D211" s="49" t="str">
        <f>VLOOKUP($C211,classifications!$C:$J,4,FALSE)</f>
        <v>SC</v>
      </c>
      <c r="E211" s="49" t="str">
        <f>VLOOKUP(C211,classifications!C:K,9,FALSE)</f>
        <v>Sparse</v>
      </c>
      <c r="F211" s="59">
        <f t="shared" si="72"/>
        <v>8.6999999999999994E-2</v>
      </c>
      <c r="G211" s="105"/>
      <c r="H211" s="60">
        <f t="shared" si="73"/>
        <v>8.6999999999999994E-2</v>
      </c>
      <c r="I211" s="112">
        <f>IF(H211="","",IF($I$8="A",(RANK(H211,H$11:H$355,1)+COUNTIF(H$11:H211,H211)-1),(RANK(H211,H$11:H$355)+COUNTIF(H$11:H211,H211)-1)))</f>
        <v>12</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17" t="str">
        <f>IF(L211="","",VLOOKUP(L211,classifications!C:K,9,FALSE))</f>
        <v/>
      </c>
      <c r="U211" s="224" t="str">
        <f t="shared" ref="U211:U226" si="94">IF(T211="Sparse",M211,"")</f>
        <v/>
      </c>
      <c r="V211" s="225" t="str">
        <f>IF(U211="","",IF($I$8="A",(RANK(U211,U$11:U$355)+COUNTIF(U$11:U211,U211)-1),(RANK(U211,U$11:U$355,1)+COUNTIF(U$11:U211,U211)-1)))</f>
        <v/>
      </c>
      <c r="W211" s="226"/>
      <c r="X211" s="61" t="str">
        <f>IF(L211="","",VLOOKUP($L211,classifications!$C:$J,6,FALSE))</f>
        <v/>
      </c>
      <c r="Y211" s="49" t="b">
        <f t="shared" si="78"/>
        <v>0</v>
      </c>
      <c r="Z211" s="57" t="e">
        <f>IF(Y211="","",IF(I$8="A",(RANK(Y211,Y$11:Y$355,1)+COUNTIF(Y$11:Y211,Y211)-1),(RANK(Y211,Y$11:Y$355)+COUNTIF(Y$11:Y211,Y211)-1)))</f>
        <v>#N/A</v>
      </c>
      <c r="AA211" s="231" t="str">
        <f>IF(L211="","",VLOOKUP($L211,classifications!C:I,7,FALSE))</f>
        <v/>
      </c>
      <c r="AB211" s="225" t="str">
        <f t="shared" si="87"/>
        <v/>
      </c>
      <c r="AC211" s="225" t="str">
        <f>IF(AB211="","",IF($I$8="A",(RANK(AB211,AB$11:AB$355)+COUNTIF(AB$11:AB211,AB211)-1),(RANK(AB211,AB$11:AB$355,1)+COUNTIF(AB$11:AB211,AB211)-1)))</f>
        <v/>
      </c>
      <c r="AD211" s="225"/>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HLOOKUP($AX$9&amp;$AX$10,Data!$A$1:$ZZ$1992,(MATCH($C211,Data!$A$1:$A$1992,0)),FALSE)</f>
        <v>8.6999999999999994E-2</v>
      </c>
      <c r="AY211" s="156"/>
      <c r="AZ211" s="44"/>
    </row>
    <row r="212" spans="1:52">
      <c r="A212" s="84" t="str">
        <f>$D$1&amp;202</f>
        <v>SC202</v>
      </c>
      <c r="B212" s="85">
        <f>IF(ISERROR(VLOOKUP(A212,classifications!A:C,3,FALSE)),0,VLOOKUP(A212,classifications!A:C,3,FALSE))</f>
        <v>0</v>
      </c>
      <c r="C212" s="31" t="s">
        <v>116</v>
      </c>
      <c r="D212" s="49" t="str">
        <f>VLOOKUP($C212,classifications!$C:$J,4,FALSE)</f>
        <v>SD</v>
      </c>
      <c r="E212" s="49">
        <f>VLOOKUP(C212,classifications!C:K,9,FALSE)</f>
        <v>0</v>
      </c>
      <c r="F212" s="59">
        <f t="shared" si="72"/>
        <v>0</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17" t="str">
        <f>IF(L212="","",VLOOKUP(L212,classifications!C:K,9,FALSE))</f>
        <v/>
      </c>
      <c r="U212" s="224" t="str">
        <f t="shared" si="94"/>
        <v/>
      </c>
      <c r="V212" s="225" t="str">
        <f>IF(U212="","",IF($I$8="A",(RANK(U212,U$11:U$355)+COUNTIF(U$11:U212,U212)-1),(RANK(U212,U$11:U$355,1)+COUNTIF(U$11:U212,U212)-1)))</f>
        <v/>
      </c>
      <c r="W212" s="226"/>
      <c r="X212" s="61" t="str">
        <f>IF(L212="","",VLOOKUP($L212,classifications!$C:$J,6,FALSE))</f>
        <v/>
      </c>
      <c r="Y212" s="49" t="b">
        <f t="shared" si="78"/>
        <v>0</v>
      </c>
      <c r="Z212" s="57" t="e">
        <f>IF(Y212="","",IF(I$8="A",(RANK(Y212,Y$11:Y$355,1)+COUNTIF(Y$11:Y212,Y212)-1),(RANK(Y212,Y$11:Y$355)+COUNTIF(Y$11:Y212,Y212)-1)))</f>
        <v>#N/A</v>
      </c>
      <c r="AA212" s="231" t="str">
        <f>IF(L212="","",VLOOKUP($L212,classifications!C:I,7,FALSE))</f>
        <v/>
      </c>
      <c r="AB212" s="225" t="str">
        <f t="shared" si="87"/>
        <v/>
      </c>
      <c r="AC212" s="225" t="str">
        <f>IF(AB212="","",IF($I$8="A",(RANK(AB212,AB$11:AB$355)+COUNTIF(AB$11:AB212,AB212)-1),(RANK(AB212,AB$11:AB$355,1)+COUNTIF(AB$11:AB212,AB212)-1)))</f>
        <v/>
      </c>
      <c r="AD212" s="225"/>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HLOOKUP($AX$9&amp;$AX$10,Data!$A$1:$ZZ$1992,(MATCH($C212,Data!$A$1:$A$1992,0)),FALSE)</f>
        <v>0</v>
      </c>
      <c r="AY212" s="156"/>
      <c r="AZ212" s="44"/>
    </row>
    <row r="213" spans="1:52">
      <c r="A213" s="84" t="str">
        <f>$D$1&amp;203</f>
        <v>SC203</v>
      </c>
      <c r="B213" s="85">
        <f>IF(ISERROR(VLOOKUP(A213,classifications!A:C,3,FALSE)),0,VLOOKUP(A213,classifications!A:C,3,FALSE))</f>
        <v>0</v>
      </c>
      <c r="C213" s="31" t="s">
        <v>322</v>
      </c>
      <c r="D213" s="49" t="str">
        <f>VLOOKUP($C213,classifications!$C:$J,4,FALSE)</f>
        <v>SC</v>
      </c>
      <c r="E213" s="49">
        <f>VLOOKUP(C213,classifications!C:K,9,FALSE)</f>
        <v>0</v>
      </c>
      <c r="F213" s="59">
        <f t="shared" si="72"/>
        <v>0.153</v>
      </c>
      <c r="G213" s="105"/>
      <c r="H213" s="60">
        <f t="shared" si="73"/>
        <v>0.153</v>
      </c>
      <c r="I213" s="112">
        <f>IF(H213="","",IF($I$8="A",(RANK(H213,H$11:H$355,1)+COUNTIF(H$11:H213,H213)-1),(RANK(H213,H$11:H$355)+COUNTIF(H$11:H213,H213)-1)))</f>
        <v>17</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17" t="str">
        <f>IF(L213="","",VLOOKUP(L213,classifications!C:K,9,FALSE))</f>
        <v/>
      </c>
      <c r="U213" s="224" t="str">
        <f t="shared" si="94"/>
        <v/>
      </c>
      <c r="V213" s="225" t="str">
        <f>IF(U213="","",IF($I$8="A",(RANK(U213,U$11:U$355)+COUNTIF(U$11:U213,U213)-1),(RANK(U213,U$11:U$355,1)+COUNTIF(U$11:U213,U213)-1)))</f>
        <v/>
      </c>
      <c r="W213" s="226"/>
      <c r="X213" s="61" t="str">
        <f>IF(L213="","",VLOOKUP($L213,classifications!$C:$J,6,FALSE))</f>
        <v/>
      </c>
      <c r="Y213" s="49" t="b">
        <f t="shared" si="78"/>
        <v>0</v>
      </c>
      <c r="Z213" s="57" t="e">
        <f>IF(Y213="","",IF(I$8="A",(RANK(Y213,Y$11:Y$355,1)+COUNTIF(Y$11:Y213,Y213)-1),(RANK(Y213,Y$11:Y$355)+COUNTIF(Y$11:Y213,Y213)-1)))</f>
        <v>#N/A</v>
      </c>
      <c r="AA213" s="231" t="str">
        <f>IF(L213="","",VLOOKUP($L213,classifications!C:I,7,FALSE))</f>
        <v/>
      </c>
      <c r="AB213" s="225" t="str">
        <f t="shared" si="87"/>
        <v/>
      </c>
      <c r="AC213" s="225" t="str">
        <f>IF(AB213="","",IF($I$8="A",(RANK(AB213,AB$11:AB$355)+COUNTIF(AB$11:AB213,AB213)-1),(RANK(AB213,AB$11:AB$355,1)+COUNTIF(AB$11:AB213,AB213)-1)))</f>
        <v/>
      </c>
      <c r="AD213" s="225"/>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HLOOKUP($AX$9&amp;$AX$10,Data!$A$1:$ZZ$1992,(MATCH($C213,Data!$A$1:$A$1992,0)),FALSE)</f>
        <v>0.153</v>
      </c>
      <c r="AY213" s="156"/>
      <c r="AZ213" s="44"/>
    </row>
    <row r="214" spans="1:52">
      <c r="A214" s="84" t="str">
        <f>$D$1&amp;204</f>
        <v>SC204</v>
      </c>
      <c r="B214" s="85">
        <f>IF(ISERROR(VLOOKUP(A214,classifications!A:C,3,FALSE)),0,VLOOKUP(A214,classifications!A:C,3,FALSE))</f>
        <v>0</v>
      </c>
      <c r="C214" s="31" t="s">
        <v>323</v>
      </c>
      <c r="D214" s="49" t="str">
        <f>VLOOKUP($C214,classifications!$C:$J,4,FALSE)</f>
        <v>UA</v>
      </c>
      <c r="E214" s="49" t="str">
        <f>VLOOKUP(C214,classifications!C:K,9,FALSE)</f>
        <v>Sparse</v>
      </c>
      <c r="F214" s="59">
        <f t="shared" si="72"/>
        <v>0.157</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17" t="str">
        <f>IF(L214="","",VLOOKUP(L214,classifications!C:K,9,FALSE))</f>
        <v/>
      </c>
      <c r="U214" s="224" t="str">
        <f t="shared" si="94"/>
        <v/>
      </c>
      <c r="V214" s="225" t="str">
        <f>IF(U214="","",IF($I$8="A",(RANK(U214,U$11:U$355)+COUNTIF(U$11:U214,U214)-1),(RANK(U214,U$11:U$355,1)+COUNTIF(U$11:U214,U214)-1)))</f>
        <v/>
      </c>
      <c r="W214" s="226"/>
      <c r="X214" s="61" t="str">
        <f>IF(L214="","",VLOOKUP($L214,classifications!$C:$J,6,FALSE))</f>
        <v/>
      </c>
      <c r="Y214" s="49" t="b">
        <f t="shared" si="78"/>
        <v>0</v>
      </c>
      <c r="Z214" s="57" t="e">
        <f>IF(Y214="","",IF(I$8="A",(RANK(Y214,Y$11:Y$355,1)+COUNTIF(Y$11:Y214,Y214)-1),(RANK(Y214,Y$11:Y$355)+COUNTIF(Y$11:Y214,Y214)-1)))</f>
        <v>#N/A</v>
      </c>
      <c r="AA214" s="231" t="str">
        <f>IF(L214="","",VLOOKUP($L214,classifications!C:I,7,FALSE))</f>
        <v/>
      </c>
      <c r="AB214" s="225" t="str">
        <f t="shared" si="87"/>
        <v/>
      </c>
      <c r="AC214" s="225" t="str">
        <f>IF(AB214="","",IF($I$8="A",(RANK(AB214,AB$11:AB$355)+COUNTIF(AB$11:AB214,AB214)-1),(RANK(AB214,AB$11:AB$355,1)+COUNTIF(AB$11:AB214,AB214)-1)))</f>
        <v/>
      </c>
      <c r="AD214" s="225"/>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HLOOKUP($AX$9&amp;$AX$10,Data!$A$1:$ZZ$1992,(MATCH($C214,Data!$A$1:$A$1992,0)),FALSE)</f>
        <v>0.157</v>
      </c>
      <c r="AY214" s="156"/>
      <c r="AZ214" s="44"/>
    </row>
    <row r="215" spans="1:52">
      <c r="A215" s="84" t="str">
        <f>$D$1&amp;205</f>
        <v>SC205</v>
      </c>
      <c r="B215" s="85">
        <f>IF(ISERROR(VLOOKUP(A215,classifications!A:C,3,FALSE)),0,VLOOKUP(A215,classifications!A:C,3,FALSE))</f>
        <v>0</v>
      </c>
      <c r="C215" s="31" t="s">
        <v>117</v>
      </c>
      <c r="D215" s="49" t="str">
        <f>VLOOKUP($C215,classifications!$C:$J,4,FALSE)</f>
        <v>SD</v>
      </c>
      <c r="E215" s="49">
        <f>VLOOKUP(C215,classifications!C:K,9,FALSE)</f>
        <v>0</v>
      </c>
      <c r="F215" s="59">
        <f t="shared" si="72"/>
        <v>0</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17" t="str">
        <f>IF(L215="","",VLOOKUP(L215,classifications!C:K,9,FALSE))</f>
        <v/>
      </c>
      <c r="U215" s="224" t="str">
        <f t="shared" si="94"/>
        <v/>
      </c>
      <c r="V215" s="225" t="str">
        <f>IF(U215="","",IF($I$8="A",(RANK(U215,U$11:U$355)+COUNTIF(U$11:U215,U215)-1),(RANK(U215,U$11:U$355,1)+COUNTIF(U$11:U215,U215)-1)))</f>
        <v/>
      </c>
      <c r="W215" s="226"/>
      <c r="X215" s="61" t="str">
        <f>IF(L215="","",VLOOKUP($L215,classifications!$C:$J,6,FALSE))</f>
        <v/>
      </c>
      <c r="Y215" s="49" t="b">
        <f t="shared" si="78"/>
        <v>0</v>
      </c>
      <c r="Z215" s="57" t="e">
        <f>IF(Y215="","",IF(I$8="A",(RANK(Y215,Y$11:Y$355,1)+COUNTIF(Y$11:Y215,Y215)-1),(RANK(Y215,Y$11:Y$355)+COUNTIF(Y$11:Y215,Y215)-1)))</f>
        <v>#N/A</v>
      </c>
      <c r="AA215" s="231" t="str">
        <f>IF(L215="","",VLOOKUP($L215,classifications!C:I,7,FALSE))</f>
        <v/>
      </c>
      <c r="AB215" s="225" t="str">
        <f t="shared" si="87"/>
        <v/>
      </c>
      <c r="AC215" s="225" t="str">
        <f>IF(AB215="","",IF($I$8="A",(RANK(AB215,AB$11:AB$355)+COUNTIF(AB$11:AB215,AB215)-1),(RANK(AB215,AB$11:AB$355,1)+COUNTIF(AB$11:AB215,AB215)-1)))</f>
        <v/>
      </c>
      <c r="AD215" s="225"/>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HLOOKUP($AX$9&amp;$AX$10,Data!$A$1:$ZZ$1992,(MATCH($C215,Data!$A$1:$A$1992,0)),FALSE)</f>
        <v>0</v>
      </c>
      <c r="AY215" s="156"/>
      <c r="AZ215" s="44"/>
    </row>
    <row r="216" spans="1:52">
      <c r="A216" s="84" t="str">
        <f>$D$1&amp;206</f>
        <v>SC206</v>
      </c>
      <c r="B216" s="85">
        <f>IF(ISERROR(VLOOKUP(A216,classifications!A:C,3,FALSE)),0,VLOOKUP(A216,classifications!A:C,3,FALSE))</f>
        <v>0</v>
      </c>
      <c r="C216" s="31" t="s">
        <v>280</v>
      </c>
      <c r="D216" s="49" t="str">
        <f>VLOOKUP($C216,classifications!$C:$J,4,FALSE)</f>
        <v>UA</v>
      </c>
      <c r="E216" s="49">
        <f>VLOOKUP(C216,classifications!C:K,9,FALSE)</f>
        <v>0</v>
      </c>
      <c r="F216" s="59">
        <f t="shared" si="72"/>
        <v>5.2999999999999999E-2</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17" t="str">
        <f>IF(L216="","",VLOOKUP(L216,classifications!C:K,9,FALSE))</f>
        <v/>
      </c>
      <c r="U216" s="224" t="str">
        <f t="shared" si="94"/>
        <v/>
      </c>
      <c r="V216" s="225" t="str">
        <f>IF(U216="","",IF($I$8="A",(RANK(U216,U$11:U$355)+COUNTIF(U$11:U216,U216)-1),(RANK(U216,U$11:U$355,1)+COUNTIF(U$11:U216,U216)-1)))</f>
        <v/>
      </c>
      <c r="W216" s="226"/>
      <c r="X216" s="61" t="str">
        <f>IF(L216="","",VLOOKUP($L216,classifications!$C:$J,6,FALSE))</f>
        <v/>
      </c>
      <c r="Y216" s="49" t="b">
        <f t="shared" si="78"/>
        <v>0</v>
      </c>
      <c r="Z216" s="57" t="e">
        <f>IF(Y216="","",IF(I$8="A",(RANK(Y216,Y$11:Y$355,1)+COUNTIF(Y$11:Y216,Y216)-1),(RANK(Y216,Y$11:Y$355)+COUNTIF(Y$11:Y216,Y216)-1)))</f>
        <v>#N/A</v>
      </c>
      <c r="AA216" s="231" t="str">
        <f>IF(L216="","",VLOOKUP($L216,classifications!C:I,7,FALSE))</f>
        <v/>
      </c>
      <c r="AB216" s="225" t="str">
        <f t="shared" si="87"/>
        <v/>
      </c>
      <c r="AC216" s="225" t="str">
        <f>IF(AB216="","",IF($I$8="A",(RANK(AB216,AB$11:AB$355)+COUNTIF(AB$11:AB216,AB216)-1),(RANK(AB216,AB$11:AB$355,1)+COUNTIF(AB$11:AB216,AB216)-1)))</f>
        <v/>
      </c>
      <c r="AD216" s="225"/>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HLOOKUP($AX$9&amp;$AX$10,Data!$A$1:$ZZ$1992,(MATCH($C216,Data!$A$1:$A$1992,0)),FALSE)</f>
        <v>5.2999999999999999E-2</v>
      </c>
      <c r="AY216" s="156"/>
      <c r="AZ216" s="44"/>
    </row>
    <row r="217" spans="1:52">
      <c r="A217" s="84" t="str">
        <f>$D$1&amp;207</f>
        <v>SC207</v>
      </c>
      <c r="B217" s="85">
        <f>IF(ISERROR(VLOOKUP(A217,classifications!A:C,3,FALSE)),0,VLOOKUP(A217,classifications!A:C,3,FALSE))</f>
        <v>0</v>
      </c>
      <c r="C217" s="31" t="s">
        <v>324</v>
      </c>
      <c r="D217" s="49" t="str">
        <f>VLOOKUP($C217,classifications!$C:$J,4,FALSE)</f>
        <v>SC</v>
      </c>
      <c r="E217" s="49" t="str">
        <f>VLOOKUP(C217,classifications!C:K,9,FALSE)</f>
        <v>Sparse</v>
      </c>
      <c r="F217" s="59">
        <f t="shared" si="72"/>
        <v>5.0999999999999997E-2</v>
      </c>
      <c r="G217" s="105"/>
      <c r="H217" s="60">
        <f t="shared" si="73"/>
        <v>5.0999999999999997E-2</v>
      </c>
      <c r="I217" s="112">
        <f>IF(H217="","",IF($I$8="A",(RANK(H217,H$11:H$355,1)+COUNTIF(H$11:H217,H217)-1),(RANK(H217,H$11:H$355)+COUNTIF(H$11:H217,H217)-1)))</f>
        <v>9</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17" t="str">
        <f>IF(L217="","",VLOOKUP(L217,classifications!C:K,9,FALSE))</f>
        <v/>
      </c>
      <c r="U217" s="224" t="str">
        <f t="shared" si="94"/>
        <v/>
      </c>
      <c r="V217" s="225" t="str">
        <f>IF(U217="","",IF($I$8="A",(RANK(U217,U$11:U$355)+COUNTIF(U$11:U217,U217)-1),(RANK(U217,U$11:U$355,1)+COUNTIF(U$11:U217,U217)-1)))</f>
        <v/>
      </c>
      <c r="W217" s="226"/>
      <c r="X217" s="61" t="str">
        <f>IF(L217="","",VLOOKUP($L217,classifications!$C:$J,6,FALSE))</f>
        <v/>
      </c>
      <c r="Y217" s="49" t="b">
        <f t="shared" si="78"/>
        <v>0</v>
      </c>
      <c r="Z217" s="57" t="e">
        <f>IF(Y217="","",IF(I$8="A",(RANK(Y217,Y$11:Y$355,1)+COUNTIF(Y$11:Y217,Y217)-1),(RANK(Y217,Y$11:Y$355)+COUNTIF(Y$11:Y217,Y217)-1)))</f>
        <v>#N/A</v>
      </c>
      <c r="AA217" s="231" t="str">
        <f>IF(L217="","",VLOOKUP($L217,classifications!C:I,7,FALSE))</f>
        <v/>
      </c>
      <c r="AB217" s="225" t="str">
        <f t="shared" si="87"/>
        <v/>
      </c>
      <c r="AC217" s="225" t="str">
        <f>IF(AB217="","",IF($I$8="A",(RANK(AB217,AB$11:AB$355)+COUNTIF(AB$11:AB217,AB217)-1),(RANK(AB217,AB$11:AB$355,1)+COUNTIF(AB$11:AB217,AB217)-1)))</f>
        <v/>
      </c>
      <c r="AD217" s="225"/>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HLOOKUP($AX$9&amp;$AX$10,Data!$A$1:$ZZ$1992,(MATCH($C217,Data!$A$1:$A$1992,0)),FALSE)</f>
        <v>5.0999999999999997E-2</v>
      </c>
      <c r="AY217" s="156"/>
      <c r="AZ217" s="44"/>
    </row>
    <row r="218" spans="1:52">
      <c r="A218" s="84" t="str">
        <f>$D$1&amp;208</f>
        <v>SC208</v>
      </c>
      <c r="B218" s="85">
        <f>IF(ISERROR(VLOOKUP(A218,classifications!A:C,3,FALSE)),0,VLOOKUP(A218,classifications!A:C,3,FALSE))</f>
        <v>0</v>
      </c>
      <c r="C218" s="31" t="s">
        <v>348</v>
      </c>
      <c r="D218" s="49" t="str">
        <f>VLOOKUP($C218,classifications!$C:$J,4,FALSE)</f>
        <v>SD</v>
      </c>
      <c r="E218" s="49">
        <f>VLOOKUP(C218,classifications!C:K,9,FALSE)</f>
        <v>0</v>
      </c>
      <c r="F218" s="59" t="e">
        <f t="shared" si="72"/>
        <v>#N/A</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17" t="str">
        <f>IF(L218="","",VLOOKUP(L218,classifications!C:K,9,FALSE))</f>
        <v/>
      </c>
      <c r="U218" s="224" t="str">
        <f t="shared" si="94"/>
        <v/>
      </c>
      <c r="V218" s="225" t="str">
        <f>IF(U218="","",IF($I$8="A",(RANK(U218,U$11:U$355)+COUNTIF(U$11:U218,U218)-1),(RANK(U218,U$11:U$355,1)+COUNTIF(U$11:U218,U218)-1)))</f>
        <v/>
      </c>
      <c r="W218" s="226"/>
      <c r="X218" s="61" t="str">
        <f>IF(L218="","",VLOOKUP($L218,classifications!$C:$J,6,FALSE))</f>
        <v/>
      </c>
      <c r="Y218" s="49" t="b">
        <f t="shared" si="78"/>
        <v>0</v>
      </c>
      <c r="Z218" s="57" t="e">
        <f>IF(Y218="","",IF(I$8="A",(RANK(Y218,Y$11:Y$355,1)+COUNTIF(Y$11:Y218,Y218)-1),(RANK(Y218,Y$11:Y$355)+COUNTIF(Y$11:Y218,Y218)-1)))</f>
        <v>#N/A</v>
      </c>
      <c r="AA218" s="231" t="str">
        <f>IF(L218="","",VLOOKUP($L218,classifications!C:I,7,FALSE))</f>
        <v/>
      </c>
      <c r="AB218" s="225" t="str">
        <f t="shared" si="87"/>
        <v/>
      </c>
      <c r="AC218" s="225" t="str">
        <f>IF(AB218="","",IF($I$8="A",(RANK(AB218,AB$11:AB$355)+COUNTIF(AB$11:AB218,AB218)-1),(RANK(AB218,AB$11:AB$355,1)+COUNTIF(AB$11:AB218,AB218)-1)))</f>
        <v/>
      </c>
      <c r="AD218" s="225"/>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t="e">
        <f>HLOOKUP($AX$9&amp;$AX$10,Data!$A$1:$ZZ$1992,(MATCH($C218,Data!$A$1:$A$1992,0)),FALSE)</f>
        <v>#N/A</v>
      </c>
      <c r="AY218" s="156"/>
      <c r="AZ218" s="44"/>
    </row>
    <row r="219" spans="1:52">
      <c r="A219" s="84" t="str">
        <f>$D$1&amp;209</f>
        <v>SC209</v>
      </c>
      <c r="B219" s="85">
        <f>IF(ISERROR(VLOOKUP(A219,classifications!A:C,3,FALSE)),0,VLOOKUP(A219,classifications!A:C,3,FALSE))</f>
        <v>0</v>
      </c>
      <c r="C219" s="31" t="s">
        <v>349</v>
      </c>
      <c r="D219" s="49" t="str">
        <f>VLOOKUP($C219,classifications!$C:$J,4,FALSE)</f>
        <v>SD</v>
      </c>
      <c r="E219" s="49">
        <f>VLOOKUP(C219,classifications!C:K,9,FALSE)</f>
        <v>0</v>
      </c>
      <c r="F219" s="59" t="e">
        <f t="shared" si="72"/>
        <v>#N/A</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17" t="str">
        <f>IF(L219="","",VLOOKUP(L219,classifications!C:K,9,FALSE))</f>
        <v/>
      </c>
      <c r="U219" s="224" t="str">
        <f t="shared" si="94"/>
        <v/>
      </c>
      <c r="V219" s="225" t="str">
        <f>IF(U219="","",IF($I$8="A",(RANK(U219,U$11:U$355)+COUNTIF(U$11:U219,U219)-1),(RANK(U219,U$11:U$355,1)+COUNTIF(U$11:U219,U219)-1)))</f>
        <v/>
      </c>
      <c r="W219" s="226"/>
      <c r="X219" s="61" t="str">
        <f>IF(L219="","",VLOOKUP($L219,classifications!$C:$J,6,FALSE))</f>
        <v/>
      </c>
      <c r="Y219" s="49" t="b">
        <f t="shared" si="78"/>
        <v>0</v>
      </c>
      <c r="Z219" s="57" t="e">
        <f>IF(Y219="","",IF(I$8="A",(RANK(Y219,Y$11:Y$355,1)+COUNTIF(Y$11:Y219,Y219)-1),(RANK(Y219,Y$11:Y$355)+COUNTIF(Y$11:Y219,Y219)-1)))</f>
        <v>#N/A</v>
      </c>
      <c r="AA219" s="231" t="str">
        <f>IF(L219="","",VLOOKUP($L219,classifications!C:I,7,FALSE))</f>
        <v/>
      </c>
      <c r="AB219" s="225" t="str">
        <f t="shared" si="87"/>
        <v/>
      </c>
      <c r="AC219" s="225" t="str">
        <f>IF(AB219="","",IF($I$8="A",(RANK(AB219,AB$11:AB$355)+COUNTIF(AB$11:AB219,AB219)-1),(RANK(AB219,AB$11:AB$355,1)+COUNTIF(AB$11:AB219,AB219)-1)))</f>
        <v/>
      </c>
      <c r="AD219" s="225"/>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t="e">
        <f>HLOOKUP($AX$9&amp;$AX$10,Data!$A$1:$ZZ$1992,(MATCH($C219,Data!$A$1:$A$1992,0)),FALSE)</f>
        <v>#N/A</v>
      </c>
      <c r="AY219" s="156"/>
      <c r="AZ219" s="44"/>
    </row>
    <row r="220" spans="1:52">
      <c r="A220" s="84" t="str">
        <f>$D$1&amp;210</f>
        <v>SC210</v>
      </c>
      <c r="B220" s="85">
        <f>IF(ISERROR(VLOOKUP(A220,classifications!A:C,3,FALSE)),0,VLOOKUP(A220,classifications!A:C,3,FALSE))</f>
        <v>0</v>
      </c>
      <c r="C220" s="31" t="s">
        <v>240</v>
      </c>
      <c r="D220" s="49" t="str">
        <f>VLOOKUP($C220,classifications!$C:$J,4,FALSE)</f>
        <v>MD</v>
      </c>
      <c r="E220" s="49">
        <f>VLOOKUP(C220,classifications!C:K,9,FALSE)</f>
        <v>0</v>
      </c>
      <c r="F220" s="59">
        <f t="shared" si="72"/>
        <v>0</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17" t="str">
        <f>IF(L220="","",VLOOKUP(L220,classifications!C:K,9,FALSE))</f>
        <v/>
      </c>
      <c r="U220" s="224" t="str">
        <f t="shared" si="94"/>
        <v/>
      </c>
      <c r="V220" s="225" t="str">
        <f>IF(U220="","",IF($I$8="A",(RANK(U220,U$11:U$355)+COUNTIF(U$11:U220,U220)-1),(RANK(U220,U$11:U$355,1)+COUNTIF(U$11:U220,U220)-1)))</f>
        <v/>
      </c>
      <c r="W220" s="226"/>
      <c r="X220" s="61" t="str">
        <f>IF(L220="","",VLOOKUP($L220,classifications!$C:$J,6,FALSE))</f>
        <v/>
      </c>
      <c r="Y220" s="49" t="b">
        <f t="shared" si="78"/>
        <v>0</v>
      </c>
      <c r="Z220" s="57" t="e">
        <f>IF(Y220="","",IF(I$8="A",(RANK(Y220,Y$11:Y$355,1)+COUNTIF(Y$11:Y220,Y220)-1),(RANK(Y220,Y$11:Y$355)+COUNTIF(Y$11:Y220,Y220)-1)))</f>
        <v>#N/A</v>
      </c>
      <c r="AA220" s="231" t="str">
        <f>IF(L220="","",VLOOKUP($L220,classifications!C:I,7,FALSE))</f>
        <v/>
      </c>
      <c r="AB220" s="225" t="str">
        <f t="shared" si="87"/>
        <v/>
      </c>
      <c r="AC220" s="225" t="str">
        <f>IF(AB220="","",IF($I$8="A",(RANK(AB220,AB$11:AB$355)+COUNTIF(AB$11:AB220,AB220)-1),(RANK(AB220,AB$11:AB$355,1)+COUNTIF(AB$11:AB220,AB220)-1)))</f>
        <v/>
      </c>
      <c r="AD220" s="225"/>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HLOOKUP($AX$9&amp;$AX$10,Data!$A$1:$ZZ$1992,(MATCH($C220,Data!$A$1:$A$1992,0)),FALSE)</f>
        <v>0</v>
      </c>
      <c r="AY220" s="156"/>
      <c r="AZ220" s="44"/>
    </row>
    <row r="221" spans="1:52">
      <c r="A221" s="84" t="str">
        <f>$D$1&amp;211</f>
        <v>SC211</v>
      </c>
      <c r="B221" s="85">
        <f>IF(ISERROR(VLOOKUP(A221,classifications!A:C,3,FALSE)),0,VLOOKUP(A221,classifications!A:C,3,FALSE))</f>
        <v>0</v>
      </c>
      <c r="C221" s="31" t="s">
        <v>118</v>
      </c>
      <c r="D221" s="49" t="str">
        <f>VLOOKUP($C221,classifications!$C:$J,4,FALSE)</f>
        <v>SD</v>
      </c>
      <c r="E221" s="49">
        <f>VLOOKUP(C221,classifications!C:K,9,FALSE)</f>
        <v>0</v>
      </c>
      <c r="F221" s="59">
        <f t="shared" si="72"/>
        <v>0</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17" t="str">
        <f>IF(L221="","",VLOOKUP(L221,classifications!C:K,9,FALSE))</f>
        <v/>
      </c>
      <c r="U221" s="224" t="str">
        <f t="shared" si="94"/>
        <v/>
      </c>
      <c r="V221" s="225" t="str">
        <f>IF(U221="","",IF($I$8="A",(RANK(U221,U$11:U$355)+COUNTIF(U$11:U221,U221)-1),(RANK(U221,U$11:U$355,1)+COUNTIF(U$11:U221,U221)-1)))</f>
        <v/>
      </c>
      <c r="W221" s="226"/>
      <c r="X221" s="61" t="str">
        <f>IF(L221="","",VLOOKUP($L221,classifications!$C:$J,6,FALSE))</f>
        <v/>
      </c>
      <c r="Y221" s="49" t="b">
        <f t="shared" si="78"/>
        <v>0</v>
      </c>
      <c r="Z221" s="57" t="e">
        <f>IF(Y221="","",IF(I$8="A",(RANK(Y221,Y$11:Y$355,1)+COUNTIF(Y$11:Y221,Y221)-1),(RANK(Y221,Y$11:Y$355)+COUNTIF(Y$11:Y221,Y221)-1)))</f>
        <v>#N/A</v>
      </c>
      <c r="AA221" s="231" t="str">
        <f>IF(L221="","",VLOOKUP($L221,classifications!C:I,7,FALSE))</f>
        <v/>
      </c>
      <c r="AB221" s="225" t="str">
        <f t="shared" si="87"/>
        <v/>
      </c>
      <c r="AC221" s="225" t="str">
        <f>IF(AB221="","",IF($I$8="A",(RANK(AB221,AB$11:AB$355)+COUNTIF(AB$11:AB221,AB221)-1),(RANK(AB221,AB$11:AB$355,1)+COUNTIF(AB$11:AB221,AB221)-1)))</f>
        <v/>
      </c>
      <c r="AD221" s="225"/>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HLOOKUP($AX$9&amp;$AX$10,Data!$A$1:$ZZ$1992,(MATCH($C221,Data!$A$1:$A$1992,0)),FALSE)</f>
        <v>0</v>
      </c>
      <c r="AY221" s="156"/>
      <c r="AZ221" s="44"/>
    </row>
    <row r="222" spans="1:52">
      <c r="A222" s="84" t="str">
        <f>$D$1&amp;212</f>
        <v>SC212</v>
      </c>
      <c r="B222" s="85">
        <f>IF(ISERROR(VLOOKUP(A222,classifications!A:C,3,FALSE)),0,VLOOKUP(A222,classifications!A:C,3,FALSE))</f>
        <v>0</v>
      </c>
      <c r="C222" s="31" t="s">
        <v>325</v>
      </c>
      <c r="D222" s="49" t="str">
        <f>VLOOKUP($C222,classifications!$C:$J,4,FALSE)</f>
        <v>SC</v>
      </c>
      <c r="E222" s="49">
        <f>VLOOKUP(C222,classifications!C:K,9,FALSE)</f>
        <v>0</v>
      </c>
      <c r="F222" s="59">
        <f t="shared" si="72"/>
        <v>4.2999999999999997E-2</v>
      </c>
      <c r="G222" s="105"/>
      <c r="H222" s="60">
        <f t="shared" si="73"/>
        <v>4.2999999999999997E-2</v>
      </c>
      <c r="I222" s="112">
        <f>IF(H222="","",IF($I$8="A",(RANK(H222,H$11:H$355,1)+COUNTIF(H$11:H222,H222)-1),(RANK(H222,H$11:H$355)+COUNTIF(H$11:H222,H222)-1)))</f>
        <v>8</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17" t="str">
        <f>IF(L222="","",VLOOKUP(L222,classifications!C:K,9,FALSE))</f>
        <v/>
      </c>
      <c r="U222" s="224" t="str">
        <f t="shared" si="94"/>
        <v/>
      </c>
      <c r="V222" s="225" t="str">
        <f>IF(U222="","",IF($I$8="A",(RANK(U222,U$11:U$355)+COUNTIF(U$11:U222,U222)-1),(RANK(U222,U$11:U$355,1)+COUNTIF(U$11:U222,U222)-1)))</f>
        <v/>
      </c>
      <c r="W222" s="226"/>
      <c r="X222" s="61" t="str">
        <f>IF(L222="","",VLOOKUP($L222,classifications!$C:$J,6,FALSE))</f>
        <v/>
      </c>
      <c r="Y222" s="49" t="b">
        <f t="shared" si="78"/>
        <v>0</v>
      </c>
      <c r="Z222" s="57" t="e">
        <f>IF(Y222="","",IF(I$8="A",(RANK(Y222,Y$11:Y$355,1)+COUNTIF(Y$11:Y222,Y222)-1),(RANK(Y222,Y$11:Y$355)+COUNTIF(Y$11:Y222,Y222)-1)))</f>
        <v>#N/A</v>
      </c>
      <c r="AA222" s="231" t="str">
        <f>IF(L222="","",VLOOKUP($L222,classifications!C:I,7,FALSE))</f>
        <v/>
      </c>
      <c r="AB222" s="225" t="str">
        <f t="shared" si="87"/>
        <v/>
      </c>
      <c r="AC222" s="225" t="str">
        <f>IF(AB222="","",IF($I$8="A",(RANK(AB222,AB$11:AB$355)+COUNTIF(AB$11:AB222,AB222)-1),(RANK(AB222,AB$11:AB$355,1)+COUNTIF(AB$11:AB222,AB222)-1)))</f>
        <v/>
      </c>
      <c r="AD222" s="225"/>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HLOOKUP($AX$9&amp;$AX$10,Data!$A$1:$ZZ$1992,(MATCH($C222,Data!$A$1:$A$1992,0)),FALSE)</f>
        <v>4.2999999999999997E-2</v>
      </c>
      <c r="AY222" s="156"/>
      <c r="AZ222" s="44"/>
    </row>
    <row r="223" spans="1:52">
      <c r="A223" s="84" t="str">
        <f>$D$1&amp;213</f>
        <v>SC213</v>
      </c>
      <c r="B223" s="85">
        <f>IF(ISERROR(VLOOKUP(A223,classifications!A:C,3,FALSE)),0,VLOOKUP(A223,classifications!A:C,3,FALSE))</f>
        <v>0</v>
      </c>
      <c r="C223" s="31" t="s">
        <v>119</v>
      </c>
      <c r="D223" s="49" t="str">
        <f>VLOOKUP($C223,classifications!$C:$J,4,FALSE)</f>
        <v>SD</v>
      </c>
      <c r="E223" s="49">
        <f>VLOOKUP(C223,classifications!C:K,9,FALSE)</f>
        <v>0</v>
      </c>
      <c r="F223" s="59">
        <f t="shared" si="72"/>
        <v>0</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17" t="str">
        <f>IF(L223="","",VLOOKUP(L223,classifications!C:K,9,FALSE))</f>
        <v/>
      </c>
      <c r="U223" s="224" t="str">
        <f t="shared" si="94"/>
        <v/>
      </c>
      <c r="V223" s="225" t="str">
        <f>IF(U223="","",IF($I$8="A",(RANK(U223,U$11:U$355)+COUNTIF(U$11:U223,U223)-1),(RANK(U223,U$11:U$355,1)+COUNTIF(U$11:U223,U223)-1)))</f>
        <v/>
      </c>
      <c r="W223" s="226"/>
      <c r="X223" s="61" t="str">
        <f>IF(L223="","",VLOOKUP($L223,classifications!$C:$J,6,FALSE))</f>
        <v/>
      </c>
      <c r="Y223" s="49" t="b">
        <f t="shared" si="78"/>
        <v>0</v>
      </c>
      <c r="Z223" s="57" t="e">
        <f>IF(Y223="","",IF(I$8="A",(RANK(Y223,Y$11:Y$355,1)+COUNTIF(Y$11:Y223,Y223)-1),(RANK(Y223,Y$11:Y$355)+COUNTIF(Y$11:Y223,Y223)-1)))</f>
        <v>#N/A</v>
      </c>
      <c r="AA223" s="231" t="str">
        <f>IF(L223="","",VLOOKUP($L223,classifications!C:I,7,FALSE))</f>
        <v/>
      </c>
      <c r="AB223" s="225" t="str">
        <f t="shared" si="87"/>
        <v/>
      </c>
      <c r="AC223" s="225" t="str">
        <f>IF(AB223="","",IF($I$8="A",(RANK(AB223,AB$11:AB$355)+COUNTIF(AB$11:AB223,AB223)-1),(RANK(AB223,AB$11:AB$355,1)+COUNTIF(AB$11:AB223,AB223)-1)))</f>
        <v/>
      </c>
      <c r="AD223" s="225"/>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HLOOKUP($AX$9&amp;$AX$10,Data!$A$1:$ZZ$1992,(MATCH($C223,Data!$A$1:$A$1992,0)),FALSE)</f>
        <v>0</v>
      </c>
      <c r="AY223" s="156"/>
      <c r="AZ223" s="44"/>
    </row>
    <row r="224" spans="1:52">
      <c r="A224" s="84" t="str">
        <f>$D$1&amp;214</f>
        <v>SC214</v>
      </c>
      <c r="B224" s="85">
        <f>IF(ISERROR(VLOOKUP(A224,classifications!A:C,3,FALSE)),0,VLOOKUP(A224,classifications!A:C,3,FALSE))</f>
        <v>0</v>
      </c>
      <c r="C224" s="31" t="s">
        <v>281</v>
      </c>
      <c r="D224" s="49" t="str">
        <f>VLOOKUP($C224,classifications!$C:$J,4,FALSE)</f>
        <v>UA</v>
      </c>
      <c r="E224" s="49">
        <f>VLOOKUP(C224,classifications!C:K,9,FALSE)</f>
        <v>0</v>
      </c>
      <c r="F224" s="59">
        <f t="shared" si="72"/>
        <v>5.0000000000000001E-3</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17" t="str">
        <f>IF(L224="","",VLOOKUP(L224,classifications!C:K,9,FALSE))</f>
        <v/>
      </c>
      <c r="U224" s="224" t="str">
        <f t="shared" si="94"/>
        <v/>
      </c>
      <c r="V224" s="225" t="str">
        <f>IF(U224="","",IF($I$8="A",(RANK(U224,U$11:U$355)+COUNTIF(U$11:U224,U224)-1),(RANK(U224,U$11:U$355,1)+COUNTIF(U$11:U224,U224)-1)))</f>
        <v/>
      </c>
      <c r="W224" s="226"/>
      <c r="X224" s="61" t="str">
        <f>IF(L224="","",VLOOKUP($L224,classifications!$C:$J,6,FALSE))</f>
        <v/>
      </c>
      <c r="Y224" s="49" t="b">
        <f t="shared" si="78"/>
        <v>0</v>
      </c>
      <c r="Z224" s="57" t="e">
        <f>IF(Y224="","",IF(I$8="A",(RANK(Y224,Y$11:Y$355,1)+COUNTIF(Y$11:Y224,Y224)-1),(RANK(Y224,Y$11:Y$355)+COUNTIF(Y$11:Y224,Y224)-1)))</f>
        <v>#N/A</v>
      </c>
      <c r="AA224" s="231" t="str">
        <f>IF(L224="","",VLOOKUP($L224,classifications!C:I,7,FALSE))</f>
        <v/>
      </c>
      <c r="AB224" s="225" t="str">
        <f t="shared" si="87"/>
        <v/>
      </c>
      <c r="AC224" s="225" t="str">
        <f>IF(AB224="","",IF($I$8="A",(RANK(AB224,AB$11:AB$355)+COUNTIF(AB$11:AB224,AB224)-1),(RANK(AB224,AB$11:AB$355,1)+COUNTIF(AB$11:AB224,AB224)-1)))</f>
        <v/>
      </c>
      <c r="AD224" s="225"/>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HLOOKUP($AX$9&amp;$AX$10,Data!$A$1:$ZZ$1992,(MATCH($C224,Data!$A$1:$A$1992,0)),FALSE)</f>
        <v>5.0000000000000001E-3</v>
      </c>
      <c r="AY224" s="156"/>
      <c r="AZ224" s="44"/>
    </row>
    <row r="225" spans="1:52">
      <c r="A225" s="84" t="str">
        <f>$D$1&amp;215</f>
        <v>SC215</v>
      </c>
      <c r="B225" s="85">
        <f>IF(ISERROR(VLOOKUP(A225,classifications!A:C,3,FALSE)),0,VLOOKUP(A225,classifications!A:C,3,FALSE))</f>
        <v>0</v>
      </c>
      <c r="C225" s="31" t="s">
        <v>282</v>
      </c>
      <c r="D225" s="49" t="str">
        <f>VLOOKUP($C225,classifications!$C:$J,4,FALSE)</f>
        <v>UA</v>
      </c>
      <c r="E225" s="49">
        <f>VLOOKUP(C225,classifications!C:K,9,FALSE)</f>
        <v>0</v>
      </c>
      <c r="F225" s="59">
        <f t="shared" si="72"/>
        <v>1E-3</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17" t="str">
        <f>IF(L225="","",VLOOKUP(L225,classifications!C:K,9,FALSE))</f>
        <v/>
      </c>
      <c r="U225" s="224" t="str">
        <f t="shared" si="94"/>
        <v/>
      </c>
      <c r="V225" s="225" t="str">
        <f>IF(U225="","",IF($I$8="A",(RANK(U225,U$11:U$355)+COUNTIF(U$11:U225,U225)-1),(RANK(U225,U$11:U$355,1)+COUNTIF(U$11:U225,U225)-1)))</f>
        <v/>
      </c>
      <c r="W225" s="226"/>
      <c r="X225" s="61" t="str">
        <f>IF(L225="","",VLOOKUP($L225,classifications!$C:$J,6,FALSE))</f>
        <v/>
      </c>
      <c r="Y225" s="49" t="b">
        <f t="shared" si="78"/>
        <v>0</v>
      </c>
      <c r="Z225" s="57" t="e">
        <f>IF(Y225="","",IF(I$8="A",(RANK(Y225,Y$11:Y$355,1)+COUNTIF(Y$11:Y225,Y225)-1),(RANK(Y225,Y$11:Y$355)+COUNTIF(Y$11:Y225,Y225)-1)))</f>
        <v>#N/A</v>
      </c>
      <c r="AA225" s="231" t="str">
        <f>IF(L225="","",VLOOKUP($L225,classifications!C:I,7,FALSE))</f>
        <v/>
      </c>
      <c r="AB225" s="225" t="str">
        <f t="shared" si="87"/>
        <v/>
      </c>
      <c r="AC225" s="225" t="str">
        <f>IF(AB225="","",IF($I$8="A",(RANK(AB225,AB$11:AB$355)+COUNTIF(AB$11:AB225,AB225)-1),(RANK(AB225,AB$11:AB$355,1)+COUNTIF(AB$11:AB225,AB225)-1)))</f>
        <v/>
      </c>
      <c r="AD225" s="225"/>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HLOOKUP($AX$9&amp;$AX$10,Data!$A$1:$ZZ$1992,(MATCH($C225,Data!$A$1:$A$1992,0)),FALSE)</f>
        <v>1E-3</v>
      </c>
      <c r="AY225" s="156"/>
      <c r="AZ225" s="44"/>
    </row>
    <row r="226" spans="1:52">
      <c r="A226" s="84" t="str">
        <f>$D$1&amp;216</f>
        <v>SC216</v>
      </c>
      <c r="B226" s="85">
        <f>IF(ISERROR(VLOOKUP(A226,classifications!A:C,3,FALSE)),0,VLOOKUP(A226,classifications!A:C,3,FALSE))</f>
        <v>0</v>
      </c>
      <c r="C226" s="31" t="s">
        <v>284</v>
      </c>
      <c r="D226" s="49" t="str">
        <f>VLOOKUP($C226,classifications!$C:$J,4,FALSE)</f>
        <v>UA</v>
      </c>
      <c r="E226" s="49">
        <f>VLOOKUP(C226,classifications!C:K,9,FALSE)</f>
        <v>0</v>
      </c>
      <c r="F226" s="59">
        <f t="shared" si="72"/>
        <v>4.1000000000000002E-2</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17" t="str">
        <f>IF(L226="","",VLOOKUP(L226,classifications!C:K,9,FALSE))</f>
        <v/>
      </c>
      <c r="U226" s="224" t="str">
        <f t="shared" si="94"/>
        <v/>
      </c>
      <c r="V226" s="225" t="str">
        <f>IF(U226="","",IF($I$8="A",(RANK(U226,U$11:U$355)+COUNTIF(U$11:U226,U226)-1),(RANK(U226,U$11:U$355,1)+COUNTIF(U$11:U226,U226)-1)))</f>
        <v/>
      </c>
      <c r="W226" s="226"/>
      <c r="X226" s="61" t="str">
        <f>IF(L226="","",VLOOKUP($L226,classifications!$C:$J,6,FALSE))</f>
        <v/>
      </c>
      <c r="Y226" s="49" t="b">
        <f t="shared" si="78"/>
        <v>0</v>
      </c>
      <c r="Z226" s="57" t="e">
        <f>IF(Y226="","",IF(I$8="A",(RANK(Y226,Y$11:Y$355,1)+COUNTIF(Y$11:Y226,Y226)-1),(RANK(Y226,Y$11:Y$355)+COUNTIF(Y$11:Y226,Y226)-1)))</f>
        <v>#N/A</v>
      </c>
      <c r="AA226" s="231" t="str">
        <f>IF(L226="","",VLOOKUP($L226,classifications!C:I,7,FALSE))</f>
        <v/>
      </c>
      <c r="AB226" s="225" t="str">
        <f t="shared" si="87"/>
        <v/>
      </c>
      <c r="AC226" s="225" t="str">
        <f>IF(AB226="","",IF($I$8="A",(RANK(AB226,AB$11:AB$355)+COUNTIF(AB$11:AB226,AB226)-1),(RANK(AB226,AB$11:AB$355,1)+COUNTIF(AB$11:AB226,AB226)-1)))</f>
        <v/>
      </c>
      <c r="AD226" s="225"/>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HLOOKUP($AX$9&amp;$AX$10,Data!$A$1:$ZZ$1992,(MATCH($C226,Data!$A$1:$A$1992,0)),FALSE)</f>
        <v>4.1000000000000002E-2</v>
      </c>
      <c r="AY226" s="156"/>
      <c r="AZ226" s="44"/>
    </row>
    <row r="227" spans="1:52">
      <c r="A227" s="84" t="str">
        <f>$D$1&amp;217</f>
        <v>SC217</v>
      </c>
      <c r="B227" s="85">
        <f>IF(ISERROR(VLOOKUP(A227,classifications!A:C,3,FALSE)),0,VLOOKUP(A227,classifications!A:C,3,FALSE))</f>
        <v>0</v>
      </c>
      <c r="C227" s="31" t="s">
        <v>120</v>
      </c>
      <c r="D227" s="49" t="str">
        <f>VLOOKUP($C227,classifications!$C:$J,4,FALSE)</f>
        <v>SD</v>
      </c>
      <c r="E227" s="49">
        <f>VLOOKUP(C227,classifications!C:K,9,FALSE)</f>
        <v>0</v>
      </c>
      <c r="F227" s="59">
        <f t="shared" si="72"/>
        <v>0</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17" t="str">
        <f>IF(L227="","",VLOOKUP(L227,classifications!C:K,9,FALSE))</f>
        <v/>
      </c>
      <c r="U227" s="224" t="str">
        <f t="shared" si="77"/>
        <v/>
      </c>
      <c r="V227" s="225" t="str">
        <f>IF(U227="","",IF($I$8="A",(RANK(U227,U$11:U$355)+COUNTIF(U$11:U227,U227)-1),(RANK(U227,U$11:U$355,1)+COUNTIF(U$11:U227,U227)-1)))</f>
        <v/>
      </c>
      <c r="W227" s="226"/>
      <c r="X227" s="61" t="str">
        <f>IF(L227="","",VLOOKUP($L227,classifications!$C:$J,6,FALSE))</f>
        <v/>
      </c>
      <c r="Y227" s="49" t="b">
        <f t="shared" si="78"/>
        <v>0</v>
      </c>
      <c r="Z227" s="57" t="e">
        <f>IF(Y227="","",IF(I$8="A",(RANK(Y227,Y$11:Y$355,1)+COUNTIF(Y$11:Y227,Y227)-1),(RANK(Y227,Y$11:Y$355)+COUNTIF(Y$11:Y227,Y227)-1)))</f>
        <v>#N/A</v>
      </c>
      <c r="AA227" s="231" t="str">
        <f>IF(L227="","",VLOOKUP($L227,classifications!C:I,7,FALSE))</f>
        <v/>
      </c>
      <c r="AB227" s="225" t="str">
        <f t="shared" si="87"/>
        <v/>
      </c>
      <c r="AC227" s="225" t="str">
        <f>IF(AB227="","",IF($I$8="A",(RANK(AB227,AB$11:AB$355)+COUNTIF(AB$11:AB227,AB227)-1),(RANK(AB227,AB$11:AB$355,1)+COUNTIF(AB$11:AB227,AB227)-1)))</f>
        <v/>
      </c>
      <c r="AD227" s="225"/>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HLOOKUP($AX$9&amp;$AX$10,Data!$A$1:$ZZ$1992,(MATCH($C227,Data!$A$1:$A$1992,0)),FALSE)</f>
        <v>0</v>
      </c>
      <c r="AY227" s="156"/>
      <c r="AZ227" s="44"/>
    </row>
    <row r="228" spans="1:52">
      <c r="A228" s="84" t="str">
        <f>$D$1&amp;218</f>
        <v>SC218</v>
      </c>
      <c r="B228" s="85">
        <f>IF(ISERROR(VLOOKUP(A228,classifications!A:C,3,FALSE)),0,VLOOKUP(A228,classifications!A:C,3,FALSE))</f>
        <v>0</v>
      </c>
      <c r="C228" s="31" t="s">
        <v>285</v>
      </c>
      <c r="D228" s="49" t="str">
        <f>VLOOKUP($C228,classifications!$C:$J,4,FALSE)</f>
        <v>UA</v>
      </c>
      <c r="E228" s="49">
        <f>VLOOKUP(C228,classifications!C:K,9,FALSE)</f>
        <v>0</v>
      </c>
      <c r="F228" s="59">
        <f t="shared" si="72"/>
        <v>0.20499999999999999</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17" t="str">
        <f>IF(L228="","",VLOOKUP(L228,classifications!C:K,9,FALSE))</f>
        <v/>
      </c>
      <c r="U228" s="224" t="str">
        <f t="shared" si="77"/>
        <v/>
      </c>
      <c r="V228" s="225" t="str">
        <f>IF(U228="","",IF($I$8="A",(RANK(U228,U$11:U$355)+COUNTIF(U$11:U228,U228)-1),(RANK(U228,U$11:U$355,1)+COUNTIF(U$11:U228,U228)-1)))</f>
        <v/>
      </c>
      <c r="W228" s="226"/>
      <c r="X228" s="61" t="str">
        <f>IF(L228="","",VLOOKUP($L228,classifications!$C:$J,6,FALSE))</f>
        <v/>
      </c>
      <c r="Y228" s="49" t="b">
        <f t="shared" si="78"/>
        <v>0</v>
      </c>
      <c r="Z228" s="57" t="e">
        <f>IF(Y228="","",IF(I$8="A",(RANK(Y228,Y$11:Y$355,1)+COUNTIF(Y$11:Y228,Y228)-1),(RANK(Y228,Y$11:Y$355)+COUNTIF(Y$11:Y228,Y228)-1)))</f>
        <v>#N/A</v>
      </c>
      <c r="AA228" s="231" t="str">
        <f>IF(L228="","",VLOOKUP($L228,classifications!C:I,7,FALSE))</f>
        <v/>
      </c>
      <c r="AB228" s="225" t="str">
        <f t="shared" si="87"/>
        <v/>
      </c>
      <c r="AC228" s="225" t="str">
        <f>IF(AB228="","",IF($I$8="A",(RANK(AB228,AB$11:AB$355)+COUNTIF(AB$11:AB228,AB228)-1),(RANK(AB228,AB$11:AB$355,1)+COUNTIF(AB$11:AB228,AB228)-1)))</f>
        <v/>
      </c>
      <c r="AD228" s="225"/>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HLOOKUP($AX$9&amp;$AX$10,Data!$A$1:$ZZ$1992,(MATCH($C228,Data!$A$1:$A$1992,0)),FALSE)</f>
        <v>0.20499999999999999</v>
      </c>
      <c r="AY228" s="156"/>
      <c r="AZ228" s="44"/>
    </row>
    <row r="229" spans="1:52">
      <c r="A229" s="84" t="str">
        <f>$D$1&amp;219</f>
        <v>SC219</v>
      </c>
      <c r="B229" s="85">
        <f>IF(ISERROR(VLOOKUP(A229,classifications!A:C,3,FALSE)),0,VLOOKUP(A229,classifications!A:C,3,FALSE))</f>
        <v>0</v>
      </c>
      <c r="C229" s="31" t="s">
        <v>217</v>
      </c>
      <c r="D229" s="49" t="str">
        <f>VLOOKUP($C229,classifications!$C:$J,4,FALSE)</f>
        <v>L</v>
      </c>
      <c r="E229" s="49">
        <f>VLOOKUP(C229,classifications!C:K,9,FALSE)</f>
        <v>0</v>
      </c>
      <c r="F229" s="59">
        <f t="shared" si="72"/>
        <v>0</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17" t="str">
        <f>IF(L229="","",VLOOKUP(L229,classifications!C:K,9,FALSE))</f>
        <v/>
      </c>
      <c r="U229" s="224" t="str">
        <f t="shared" si="77"/>
        <v/>
      </c>
      <c r="V229" s="225" t="str">
        <f>IF(U229="","",IF($I$8="A",(RANK(U229,U$11:U$355)+COUNTIF(U$11:U229,U229)-1),(RANK(U229,U$11:U$355,1)+COUNTIF(U$11:U229,U229)-1)))</f>
        <v/>
      </c>
      <c r="W229" s="226"/>
      <c r="X229" s="61" t="str">
        <f>IF(L229="","",VLOOKUP($L229,classifications!$C:$J,6,FALSE))</f>
        <v/>
      </c>
      <c r="Y229" s="49" t="b">
        <f t="shared" si="78"/>
        <v>0</v>
      </c>
      <c r="Z229" s="57" t="e">
        <f>IF(Y229="","",IF(I$8="A",(RANK(Y229,Y$11:Y$355,1)+COUNTIF(Y$11:Y229,Y229)-1),(RANK(Y229,Y$11:Y$355)+COUNTIF(Y$11:Y229,Y229)-1)))</f>
        <v>#N/A</v>
      </c>
      <c r="AA229" s="231" t="str">
        <f>IF(L229="","",VLOOKUP($L229,classifications!C:I,7,FALSE))</f>
        <v/>
      </c>
      <c r="AB229" s="225" t="str">
        <f t="shared" si="87"/>
        <v/>
      </c>
      <c r="AC229" s="225" t="str">
        <f>IF(AB229="","",IF($I$8="A",(RANK(AB229,AB$11:AB$355)+COUNTIF(AB$11:AB229,AB229)-1),(RANK(AB229,AB$11:AB$355,1)+COUNTIF(AB$11:AB229,AB229)-1)))</f>
        <v/>
      </c>
      <c r="AD229" s="225"/>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HLOOKUP($AX$9&amp;$AX$10,Data!$A$1:$ZZ$1992,(MATCH($C229,Data!$A$1:$A$1992,0)),FALSE)</f>
        <v>0</v>
      </c>
      <c r="AY229" s="156"/>
      <c r="AZ229" s="44"/>
    </row>
    <row r="230" spans="1:52">
      <c r="A230" s="84" t="str">
        <f>$D$1&amp;220</f>
        <v>SC220</v>
      </c>
      <c r="B230" s="85">
        <f>IF(ISERROR(VLOOKUP(A230,classifications!A:C,3,FALSE)),0,VLOOKUP(A230,classifications!A:C,3,FALSE))</f>
        <v>0</v>
      </c>
      <c r="C230" s="31" t="s">
        <v>811</v>
      </c>
      <c r="D230" s="49" t="str">
        <f>VLOOKUP($C230,classifications!$C:$J,4,FALSE)</f>
        <v>UA</v>
      </c>
      <c r="E230" s="49">
        <f>VLOOKUP(C230,classifications!C:K,9,FALSE)</f>
        <v>0</v>
      </c>
      <c r="F230" s="59" t="e">
        <f t="shared" si="72"/>
        <v>#N/A</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17" t="str">
        <f>IF(L230="","",VLOOKUP(L230,classifications!C:K,9,FALSE))</f>
        <v/>
      </c>
      <c r="U230" s="224" t="str">
        <f t="shared" si="77"/>
        <v/>
      </c>
      <c r="V230" s="225" t="str">
        <f>IF(U230="","",IF($I$8="A",(RANK(U230,U$11:U$355)+COUNTIF(U$11:U230,U230)-1),(RANK(U230,U$11:U$355,1)+COUNTIF(U$11:U230,U230)-1)))</f>
        <v/>
      </c>
      <c r="W230" s="226"/>
      <c r="X230" s="61" t="str">
        <f>IF(L230="","",VLOOKUP($L230,classifications!$C:$J,6,FALSE))</f>
        <v/>
      </c>
      <c r="Y230" s="49" t="b">
        <f t="shared" si="78"/>
        <v>0</v>
      </c>
      <c r="Z230" s="57" t="e">
        <f>IF(Y230="","",IF(I$8="A",(RANK(Y230,Y$11:Y$355,1)+COUNTIF(Y$11:Y230,Y230)-1),(RANK(Y230,Y$11:Y$355)+COUNTIF(Y$11:Y230,Y230)-1)))</f>
        <v>#N/A</v>
      </c>
      <c r="AA230" s="231" t="str">
        <f>IF(L230="","",VLOOKUP($L230,classifications!C:I,7,FALSE))</f>
        <v/>
      </c>
      <c r="AB230" s="225" t="str">
        <f t="shared" si="87"/>
        <v/>
      </c>
      <c r="AC230" s="225" t="str">
        <f>IF(AB230="","",IF($I$8="A",(RANK(AB230,AB$11:AB$355)+COUNTIF(AB$11:AB230,AB230)-1),(RANK(AB230,AB$11:AB$355,1)+COUNTIF(AB$11:AB230,AB230)-1)))</f>
        <v/>
      </c>
      <c r="AD230" s="225"/>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t="e">
        <f>HLOOKUP($AX$9&amp;$AX$10,Data!$A$1:$ZZ$1992,(MATCH($C230,Data!$A$1:$A$1992,0)),FALSE)</f>
        <v>#N/A</v>
      </c>
      <c r="AY230" s="156"/>
      <c r="AZ230" s="44"/>
    </row>
    <row r="231" spans="1:52">
      <c r="A231" s="84" t="str">
        <f>$D$1&amp;221</f>
        <v>SC221</v>
      </c>
      <c r="B231" s="85">
        <f>IF(ISERROR(VLOOKUP(A231,classifications!A:C,3,FALSE)),0,VLOOKUP(A231,classifications!A:C,3,FALSE))</f>
        <v>0</v>
      </c>
      <c r="C231" s="31" t="s">
        <v>122</v>
      </c>
      <c r="D231" s="49" t="str">
        <f>VLOOKUP($C231,classifications!$C:$J,4,FALSE)</f>
        <v>SD</v>
      </c>
      <c r="E231" s="49">
        <f>VLOOKUP(C231,classifications!C:K,9,FALSE)</f>
        <v>0</v>
      </c>
      <c r="F231" s="59">
        <f t="shared" si="72"/>
        <v>0</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17" t="str">
        <f>IF(L231="","",VLOOKUP(L231,classifications!C:K,9,FALSE))</f>
        <v/>
      </c>
      <c r="U231" s="224" t="str">
        <f t="shared" si="77"/>
        <v/>
      </c>
      <c r="V231" s="225" t="str">
        <f>IF(U231="","",IF($I$8="A",(RANK(U231,U$11:U$355)+COUNTIF(U$11:U231,U231)-1),(RANK(U231,U$11:U$355,1)+COUNTIF(U$11:U231,U231)-1)))</f>
        <v/>
      </c>
      <c r="W231" s="226"/>
      <c r="X231" s="61" t="str">
        <f>IF(L231="","",VLOOKUP($L231,classifications!$C:$J,6,FALSE))</f>
        <v/>
      </c>
      <c r="Y231" s="49" t="b">
        <f t="shared" si="78"/>
        <v>0</v>
      </c>
      <c r="Z231" s="57" t="e">
        <f>IF(Y231="","",IF(I$8="A",(RANK(Y231,Y$11:Y$355,1)+COUNTIF(Y$11:Y231,Y231)-1),(RANK(Y231,Y$11:Y$355)+COUNTIF(Y$11:Y231,Y231)-1)))</f>
        <v>#N/A</v>
      </c>
      <c r="AA231" s="231" t="str">
        <f>IF(L231="","",VLOOKUP($L231,classifications!C:I,7,FALSE))</f>
        <v/>
      </c>
      <c r="AB231" s="225" t="str">
        <f t="shared" si="87"/>
        <v/>
      </c>
      <c r="AC231" s="225" t="str">
        <f>IF(AB231="","",IF($I$8="A",(RANK(AB231,AB$11:AB$355)+COUNTIF(AB$11:AB231,AB231)-1),(RANK(AB231,AB$11:AB$355,1)+COUNTIF(AB$11:AB231,AB231)-1)))</f>
        <v/>
      </c>
      <c r="AD231" s="225"/>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HLOOKUP($AX$9&amp;$AX$10,Data!$A$1:$ZZ$1992,(MATCH($C231,Data!$A$1:$A$1992,0)),FALSE)</f>
        <v>0</v>
      </c>
      <c r="AY231" s="156"/>
      <c r="AZ231" s="44"/>
    </row>
    <row r="232" spans="1:52">
      <c r="A232" s="84" t="str">
        <f>$D$1&amp;222</f>
        <v>SC222</v>
      </c>
      <c r="B232" s="85">
        <f>IF(ISERROR(VLOOKUP(A232,classifications!A:C,3,FALSE)),0,VLOOKUP(A232,classifications!A:C,3,FALSE))</f>
        <v>0</v>
      </c>
      <c r="C232" s="31" t="s">
        <v>350</v>
      </c>
      <c r="D232" s="49" t="str">
        <f>VLOOKUP($C232,classifications!$C:$J,4,FALSE)</f>
        <v>SD</v>
      </c>
      <c r="E232" s="49">
        <f>VLOOKUP(C232,classifications!C:K,9,FALSE)</f>
        <v>0</v>
      </c>
      <c r="F232" s="59" t="e">
        <f t="shared" si="72"/>
        <v>#N/A</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17" t="str">
        <f>IF(L232="","",VLOOKUP(L232,classifications!C:K,9,FALSE))</f>
        <v/>
      </c>
      <c r="U232" s="224" t="str">
        <f t="shared" si="77"/>
        <v/>
      </c>
      <c r="V232" s="225" t="str">
        <f>IF(U232="","",IF($I$8="A",(RANK(U232,U$11:U$355)+COUNTIF(U$11:U232,U232)-1),(RANK(U232,U$11:U$355,1)+COUNTIF(U$11:U232,U232)-1)))</f>
        <v/>
      </c>
      <c r="W232" s="226"/>
      <c r="X232" s="61" t="str">
        <f>IF(L232="","",VLOOKUP($L232,classifications!$C:$J,6,FALSE))</f>
        <v/>
      </c>
      <c r="Y232" s="49" t="b">
        <f t="shared" si="78"/>
        <v>0</v>
      </c>
      <c r="Z232" s="57" t="e">
        <f>IF(Y232="","",IF(I$8="A",(RANK(Y232,Y$11:Y$355,1)+COUNTIF(Y$11:Y232,Y232)-1),(RANK(Y232,Y$11:Y$355)+COUNTIF(Y$11:Y232,Y232)-1)))</f>
        <v>#N/A</v>
      </c>
      <c r="AA232" s="231" t="str">
        <f>IF(L232="","",VLOOKUP($L232,classifications!C:I,7,FALSE))</f>
        <v/>
      </c>
      <c r="AB232" s="225" t="str">
        <f t="shared" si="87"/>
        <v/>
      </c>
      <c r="AC232" s="225" t="str">
        <f>IF(AB232="","",IF($I$8="A",(RANK(AB232,AB$11:AB$355)+COUNTIF(AB$11:AB232,AB232)-1),(RANK(AB232,AB$11:AB$355,1)+COUNTIF(AB$11:AB232,AB232)-1)))</f>
        <v/>
      </c>
      <c r="AD232" s="225"/>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t="e">
        <f>HLOOKUP($AX$9&amp;$AX$10,Data!$A$1:$ZZ$1992,(MATCH($C232,Data!$A$1:$A$1992,0)),FALSE)</f>
        <v>#N/A</v>
      </c>
      <c r="AY232" s="156"/>
      <c r="AZ232" s="44"/>
    </row>
    <row r="233" spans="1:52">
      <c r="A233" s="84" t="str">
        <f>$D$1&amp;223</f>
        <v>SC223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17" t="str">
        <f>IF(L233="","",VLOOKUP(L233,classifications!C:K,9,FALSE))</f>
        <v/>
      </c>
      <c r="U233" s="224" t="str">
        <f t="shared" si="77"/>
        <v/>
      </c>
      <c r="V233" s="225" t="str">
        <f>IF(U233="","",IF($I$8="A",(RANK(U233,U$11:U$355)+COUNTIF(U$11:U233,U233)-1),(RANK(U233,U$11:U$355,1)+COUNTIF(U$11:U233,U233)-1)))</f>
        <v/>
      </c>
      <c r="W233" s="226"/>
      <c r="X233" s="61" t="str">
        <f>IF(L233="","",VLOOKUP($L233,classifications!$C:$J,6,FALSE))</f>
        <v/>
      </c>
      <c r="Y233" s="49" t="b">
        <f t="shared" si="78"/>
        <v>0</v>
      </c>
      <c r="Z233" s="57" t="e">
        <f>IF(Y233="","",IF(I$8="A",(RANK(Y233,Y$11:Y$355,1)+COUNTIF(Y$11:Y233,Y233)-1),(RANK(Y233,Y$11:Y$355)+COUNTIF(Y$11:Y233,Y233)-1)))</f>
        <v>#N/A</v>
      </c>
      <c r="AA233" s="231" t="str">
        <f>IF(L233="","",VLOOKUP($L233,classifications!C:I,7,FALSE))</f>
        <v/>
      </c>
      <c r="AB233" s="225" t="str">
        <f t="shared" si="87"/>
        <v/>
      </c>
      <c r="AC233" s="225" t="str">
        <f>IF(AB233="","",IF($I$8="A",(RANK(AB233,AB$11:AB$355)+COUNTIF(AB$11:AB233,AB233)-1),(RANK(AB233,AB$11:AB$355,1)+COUNTIF(AB$11:AB233,AB233)-1)))</f>
        <v/>
      </c>
      <c r="AD233" s="225"/>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HLOOKUP($AX$9&amp;$AX$10,Data!$A$1:$ZZ$1992,(MATCH($C233,Data!$A$1:$A$1992,0)),FALSE)</f>
        <v>0</v>
      </c>
      <c r="AY233" s="156"/>
      <c r="AZ233" s="44"/>
    </row>
    <row r="234" spans="1:52">
      <c r="A234" s="84" t="str">
        <f>$D$1&amp;224</f>
        <v>SC224</v>
      </c>
      <c r="B234" s="85">
        <f>IF(ISERROR(VLOOKUP(A234,classifications!A:C,3,FALSE)),0,VLOOKUP(A234,classifications!A:C,3,FALSE))</f>
        <v>0</v>
      </c>
      <c r="C234" s="31" t="s">
        <v>395</v>
      </c>
      <c r="D234" s="49" t="str">
        <f>VLOOKUP($C234,classifications!$C:$J,4,FALSE)</f>
        <v>L</v>
      </c>
      <c r="E234" s="49">
        <f>VLOOKUP(C234,classifications!C:K,9,FALSE)</f>
        <v>0</v>
      </c>
      <c r="F234" s="59">
        <f t="shared" si="72"/>
        <v>0</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17" t="str">
        <f>IF(L234="","",VLOOKUP(L234,classifications!C:K,9,FALSE))</f>
        <v/>
      </c>
      <c r="U234" s="224" t="str">
        <f t="shared" si="77"/>
        <v/>
      </c>
      <c r="V234" s="225" t="str">
        <f>IF(U234="","",IF($I$8="A",(RANK(U234,U$11:U$355)+COUNTIF(U$11:U234,U234)-1),(RANK(U234,U$11:U$355,1)+COUNTIF(U$11:U234,U234)-1)))</f>
        <v/>
      </c>
      <c r="W234" s="226"/>
      <c r="X234" s="61" t="str">
        <f>IF(L234="","",VLOOKUP($L234,classifications!$C:$J,6,FALSE))</f>
        <v/>
      </c>
      <c r="Y234" s="49" t="b">
        <f t="shared" si="78"/>
        <v>0</v>
      </c>
      <c r="Z234" s="57" t="e">
        <f>IF(Y234="","",IF(I$8="A",(RANK(Y234,Y$11:Y$355,1)+COUNTIF(Y$11:Y234,Y234)-1),(RANK(Y234,Y$11:Y$355)+COUNTIF(Y$11:Y234,Y234)-1)))</f>
        <v>#N/A</v>
      </c>
      <c r="AA234" s="231" t="str">
        <f>IF(L234="","",VLOOKUP($L234,classifications!C:I,7,FALSE))</f>
        <v/>
      </c>
      <c r="AB234" s="225" t="str">
        <f t="shared" si="87"/>
        <v/>
      </c>
      <c r="AC234" s="225" t="str">
        <f>IF(AB234="","",IF($I$8="A",(RANK(AB234,AB$11:AB$355)+COUNTIF(AB$11:AB234,AB234)-1),(RANK(AB234,AB$11:AB$355,1)+COUNTIF(AB$11:AB234,AB234)-1)))</f>
        <v/>
      </c>
      <c r="AD234" s="225"/>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HLOOKUP($AX$9&amp;$AX$10,Data!$A$1:$ZZ$1992,(MATCH($C234,Data!$A$1:$A$1992,0)),FALSE)</f>
        <v>0</v>
      </c>
      <c r="AY234" s="156"/>
      <c r="AZ234" s="44"/>
    </row>
    <row r="235" spans="1:52">
      <c r="A235" s="84" t="str">
        <f>$D$1&amp;225</f>
        <v>SC225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17" t="str">
        <f>IF(L235="","",VLOOKUP(L235,classifications!C:K,9,FALSE))</f>
        <v/>
      </c>
      <c r="U235" s="224" t="str">
        <f t="shared" si="77"/>
        <v/>
      </c>
      <c r="V235" s="225" t="str">
        <f>IF(U235="","",IF($I$8="A",(RANK(U235,U$11:U$355)+COUNTIF(U$11:U235,U235)-1),(RANK(U235,U$11:U$355,1)+COUNTIF(U$11:U235,U235)-1)))</f>
        <v/>
      </c>
      <c r="W235" s="226"/>
      <c r="X235" s="61" t="str">
        <f>IF(L235="","",VLOOKUP($L235,classifications!$C:$J,6,FALSE))</f>
        <v/>
      </c>
      <c r="Y235" s="49" t="b">
        <f t="shared" si="78"/>
        <v>0</v>
      </c>
      <c r="Z235" s="57" t="e">
        <f>IF(Y235="","",IF(I$8="A",(RANK(Y235,Y$11:Y$355,1)+COUNTIF(Y$11:Y235,Y235)-1),(RANK(Y235,Y$11:Y$355)+COUNTIF(Y$11:Y235,Y235)-1)))</f>
        <v>#N/A</v>
      </c>
      <c r="AA235" s="231" t="str">
        <f>IF(L235="","",VLOOKUP($L235,classifications!C:I,7,FALSE))</f>
        <v/>
      </c>
      <c r="AB235" s="225" t="str">
        <f t="shared" si="87"/>
        <v/>
      </c>
      <c r="AC235" s="225" t="str">
        <f>IF(AB235="","",IF($I$8="A",(RANK(AB235,AB$11:AB$355)+COUNTIF(AB$11:AB235,AB235)-1),(RANK(AB235,AB$11:AB$355,1)+COUNTIF(AB$11:AB235,AB235)-1)))</f>
        <v/>
      </c>
      <c r="AD235" s="225"/>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HLOOKUP($AX$9&amp;$AX$10,Data!$A$1:$ZZ$1992,(MATCH($C235,Data!$A$1:$A$1992,0)),FALSE)</f>
        <v>0</v>
      </c>
      <c r="AY235" s="156"/>
      <c r="AZ235" s="44"/>
    </row>
    <row r="236" spans="1:52">
      <c r="A236" s="84" t="str">
        <f>$D$1&amp;226</f>
        <v>SC226</v>
      </c>
      <c r="B236" s="85">
        <f>IF(ISERROR(VLOOKUP(A236,classifications!A:C,3,FALSE)),0,VLOOKUP(A236,classifications!A:C,3,FALSE))</f>
        <v>0</v>
      </c>
      <c r="C236" s="31" t="s">
        <v>241</v>
      </c>
      <c r="D236" s="49" t="str">
        <f>VLOOKUP($C236,classifications!$C:$J,4,FALSE)</f>
        <v>MD</v>
      </c>
      <c r="E236" s="49">
        <f>VLOOKUP(C236,classifications!C:K,9,FALSE)</f>
        <v>0</v>
      </c>
      <c r="F236" s="59">
        <f t="shared" si="72"/>
        <v>0</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17" t="str">
        <f>IF(L236="","",VLOOKUP(L236,classifications!C:K,9,FALSE))</f>
        <v/>
      </c>
      <c r="U236" s="224" t="str">
        <f t="shared" si="77"/>
        <v/>
      </c>
      <c r="V236" s="225" t="str">
        <f>IF(U236="","",IF($I$8="A",(RANK(U236,U$11:U$355)+COUNTIF(U$11:U236,U236)-1),(RANK(U236,U$11:U$355,1)+COUNTIF(U$11:U236,U236)-1)))</f>
        <v/>
      </c>
      <c r="W236" s="226"/>
      <c r="X236" s="61" t="str">
        <f>IF(L236="","",VLOOKUP($L236,classifications!$C:$J,6,FALSE))</f>
        <v/>
      </c>
      <c r="Y236" s="49" t="b">
        <f t="shared" si="78"/>
        <v>0</v>
      </c>
      <c r="Z236" s="57" t="e">
        <f>IF(Y236="","",IF(I$8="A",(RANK(Y236,Y$11:Y$355,1)+COUNTIF(Y$11:Y236,Y236)-1),(RANK(Y236,Y$11:Y$355)+COUNTIF(Y$11:Y236,Y236)-1)))</f>
        <v>#N/A</v>
      </c>
      <c r="AA236" s="231" t="str">
        <f>IF(L236="","",VLOOKUP($L236,classifications!C:I,7,FALSE))</f>
        <v/>
      </c>
      <c r="AB236" s="225" t="str">
        <f t="shared" si="87"/>
        <v/>
      </c>
      <c r="AC236" s="225" t="str">
        <f>IF(AB236="","",IF($I$8="A",(RANK(AB236,AB$11:AB$355)+COUNTIF(AB$11:AB236,AB236)-1),(RANK(AB236,AB$11:AB$355,1)+COUNTIF(AB$11:AB236,AB236)-1)))</f>
        <v/>
      </c>
      <c r="AD236" s="225"/>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HLOOKUP($AX$9&amp;$AX$10,Data!$A$1:$ZZ$1992,(MATCH($C236,Data!$A$1:$A$1992,0)),FALSE)</f>
        <v>0</v>
      </c>
      <c r="AY236" s="156"/>
      <c r="AZ236" s="44"/>
    </row>
    <row r="237" spans="1:52">
      <c r="A237" s="84" t="str">
        <f>$D$1&amp;227</f>
        <v>SC227</v>
      </c>
      <c r="B237" s="85">
        <f>IF(ISERROR(VLOOKUP(A237,classifications!A:C,3,FALSE)),0,VLOOKUP(A237,classifications!A:C,3,FALSE))</f>
        <v>0</v>
      </c>
      <c r="C237" s="31" t="s">
        <v>125</v>
      </c>
      <c r="D237" s="49" t="str">
        <f>VLOOKUP($C237,classifications!$C:$J,4,FALSE)</f>
        <v>SD</v>
      </c>
      <c r="E237" s="49">
        <f>VLOOKUP(C237,classifications!C:K,9,FALSE)</f>
        <v>0</v>
      </c>
      <c r="F237" s="59">
        <f t="shared" si="72"/>
        <v>0</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17" t="str">
        <f>IF(L237="","",VLOOKUP(L237,classifications!C:K,9,FALSE))</f>
        <v/>
      </c>
      <c r="U237" s="224" t="str">
        <f t="shared" si="77"/>
        <v/>
      </c>
      <c r="V237" s="225" t="str">
        <f>IF(U237="","",IF($I$8="A",(RANK(U237,U$11:U$355)+COUNTIF(U$11:U237,U237)-1),(RANK(U237,U$11:U$355,1)+COUNTIF(U$11:U237,U237)-1)))</f>
        <v/>
      </c>
      <c r="W237" s="226"/>
      <c r="X237" s="61" t="str">
        <f>IF(L237="","",VLOOKUP($L237,classifications!$C:$J,6,FALSE))</f>
        <v/>
      </c>
      <c r="Y237" s="49" t="b">
        <f t="shared" si="78"/>
        <v>0</v>
      </c>
      <c r="Z237" s="57" t="e">
        <f>IF(Y237="","",IF(I$8="A",(RANK(Y237,Y$11:Y$355,1)+COUNTIF(Y$11:Y237,Y237)-1),(RANK(Y237,Y$11:Y$355)+COUNTIF(Y$11:Y237,Y237)-1)))</f>
        <v>#N/A</v>
      </c>
      <c r="AA237" s="231" t="str">
        <f>IF(L237="","",VLOOKUP($L237,classifications!C:I,7,FALSE))</f>
        <v/>
      </c>
      <c r="AB237" s="225" t="str">
        <f t="shared" si="87"/>
        <v/>
      </c>
      <c r="AC237" s="225" t="str">
        <f>IF(AB237="","",IF($I$8="A",(RANK(AB237,AB$11:AB$355)+COUNTIF(AB$11:AB237,AB237)-1),(RANK(AB237,AB$11:AB$355,1)+COUNTIF(AB$11:AB237,AB237)-1)))</f>
        <v/>
      </c>
      <c r="AD237" s="225"/>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HLOOKUP($AX$9&amp;$AX$10,Data!$A$1:$ZZ$1992,(MATCH($C237,Data!$A$1:$A$1992,0)),FALSE)</f>
        <v>0</v>
      </c>
      <c r="AY237" s="156"/>
      <c r="AZ237" s="44"/>
    </row>
    <row r="238" spans="1:52">
      <c r="A238" s="84" t="str">
        <f>$D$1&amp;228</f>
        <v>SC228</v>
      </c>
      <c r="B238" s="85">
        <f>IF(ISERROR(VLOOKUP(A238,classifications!A:C,3,FALSE)),0,VLOOKUP(A238,classifications!A:C,3,FALSE))</f>
        <v>0</v>
      </c>
      <c r="C238" s="31" t="s">
        <v>126</v>
      </c>
      <c r="D238" s="49" t="str">
        <f>VLOOKUP($C238,classifications!$C:$J,4,FALSE)</f>
        <v>SD</v>
      </c>
      <c r="E238" s="49">
        <f>VLOOKUP(C238,classifications!C:K,9,FALSE)</f>
        <v>0</v>
      </c>
      <c r="F238" s="59">
        <f t="shared" si="72"/>
        <v>0</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17" t="str">
        <f>IF(L238="","",VLOOKUP(L238,classifications!C:K,9,FALSE))</f>
        <v/>
      </c>
      <c r="U238" s="224" t="str">
        <f t="shared" si="77"/>
        <v/>
      </c>
      <c r="V238" s="225" t="str">
        <f>IF(U238="","",IF($I$8="A",(RANK(U238,U$11:U$355)+COUNTIF(U$11:U238,U238)-1),(RANK(U238,U$11:U$355,1)+COUNTIF(U$11:U238,U238)-1)))</f>
        <v/>
      </c>
      <c r="W238" s="226"/>
      <c r="X238" s="61" t="str">
        <f>IF(L238="","",VLOOKUP($L238,classifications!$C:$J,6,FALSE))</f>
        <v/>
      </c>
      <c r="Y238" s="49" t="b">
        <f t="shared" si="78"/>
        <v>0</v>
      </c>
      <c r="Z238" s="57" t="e">
        <f>IF(Y238="","",IF(I$8="A",(RANK(Y238,Y$11:Y$355,1)+COUNTIF(Y$11:Y238,Y238)-1),(RANK(Y238,Y$11:Y$355)+COUNTIF(Y$11:Y238,Y238)-1)))</f>
        <v>#N/A</v>
      </c>
      <c r="AA238" s="231" t="str">
        <f>IF(L238="","",VLOOKUP($L238,classifications!C:I,7,FALSE))</f>
        <v/>
      </c>
      <c r="AB238" s="225" t="str">
        <f t="shared" si="87"/>
        <v/>
      </c>
      <c r="AC238" s="225" t="str">
        <f>IF(AB238="","",IF($I$8="A",(RANK(AB238,AB$11:AB$355)+COUNTIF(AB$11:AB238,AB238)-1),(RANK(AB238,AB$11:AB$355,1)+COUNTIF(AB$11:AB238,AB238)-1)))</f>
        <v/>
      </c>
      <c r="AD238" s="225"/>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HLOOKUP($AX$9&amp;$AX$10,Data!$A$1:$ZZ$1992,(MATCH($C238,Data!$A$1:$A$1992,0)),FALSE)</f>
        <v>0</v>
      </c>
      <c r="AY238" s="156"/>
      <c r="AZ238" s="44"/>
    </row>
    <row r="239" spans="1:52">
      <c r="A239" s="84" t="str">
        <f>$D$1&amp;229</f>
        <v>SC229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17" t="str">
        <f>IF(L239="","",VLOOKUP(L239,classifications!C:K,9,FALSE))</f>
        <v/>
      </c>
      <c r="U239" s="224" t="str">
        <f t="shared" si="77"/>
        <v/>
      </c>
      <c r="V239" s="225" t="str">
        <f>IF(U239="","",IF($I$8="A",(RANK(U239,U$11:U$355)+COUNTIF(U$11:U239,U239)-1),(RANK(U239,U$11:U$355,1)+COUNTIF(U$11:U239,U239)-1)))</f>
        <v/>
      </c>
      <c r="W239" s="226"/>
      <c r="X239" s="61" t="str">
        <f>IF(L239="","",VLOOKUP($L239,classifications!$C:$J,6,FALSE))</f>
        <v/>
      </c>
      <c r="Y239" s="49" t="b">
        <f t="shared" si="78"/>
        <v>0</v>
      </c>
      <c r="Z239" s="57" t="e">
        <f>IF(Y239="","",IF(I$8="A",(RANK(Y239,Y$11:Y$355,1)+COUNTIF(Y$11:Y239,Y239)-1),(RANK(Y239,Y$11:Y$355)+COUNTIF(Y$11:Y239,Y239)-1)))</f>
        <v>#N/A</v>
      </c>
      <c r="AA239" s="231" t="str">
        <f>IF(L239="","",VLOOKUP($L239,classifications!C:I,7,FALSE))</f>
        <v/>
      </c>
      <c r="AB239" s="225" t="str">
        <f t="shared" si="87"/>
        <v/>
      </c>
      <c r="AC239" s="225" t="str">
        <f>IF(AB239="","",IF($I$8="A",(RANK(AB239,AB$11:AB$355)+COUNTIF(AB$11:AB239,AB239)-1),(RANK(AB239,AB$11:AB$355,1)+COUNTIF(AB$11:AB239,AB239)-1)))</f>
        <v/>
      </c>
      <c r="AD239" s="225"/>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HLOOKUP($AX$9&amp;$AX$10,Data!$A$1:$ZZ$1992,(MATCH($C239,Data!$A$1:$A$1992,0)),FALSE)</f>
        <v>0</v>
      </c>
      <c r="AY239" s="156"/>
      <c r="AZ239" s="44"/>
    </row>
    <row r="240" spans="1:52">
      <c r="A240" s="84" t="str">
        <f>$D$1&amp;230</f>
        <v>SC230</v>
      </c>
      <c r="B240" s="85">
        <f>IF(ISERROR(VLOOKUP(A240,classifications!A:C,3,FALSE)),0,VLOOKUP(A240,classifications!A:C,3,FALSE))</f>
        <v>0</v>
      </c>
      <c r="C240" s="31" t="s">
        <v>242</v>
      </c>
      <c r="D240" s="49" t="str">
        <f>VLOOKUP($C240,classifications!$C:$J,4,FALSE)</f>
        <v>MD</v>
      </c>
      <c r="E240" s="49">
        <f>VLOOKUP(C240,classifications!C:K,9,FALSE)</f>
        <v>0</v>
      </c>
      <c r="F240" s="59">
        <f t="shared" si="72"/>
        <v>2.4E-2</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17" t="str">
        <f>IF(L240="","",VLOOKUP(L240,classifications!C:K,9,FALSE))</f>
        <v/>
      </c>
      <c r="U240" s="224" t="str">
        <f t="shared" si="77"/>
        <v/>
      </c>
      <c r="V240" s="225" t="str">
        <f>IF(U240="","",IF($I$8="A",(RANK(U240,U$11:U$355)+COUNTIF(U$11:U240,U240)-1),(RANK(U240,U$11:U$355,1)+COUNTIF(U$11:U240,U240)-1)))</f>
        <v/>
      </c>
      <c r="W240" s="226"/>
      <c r="X240" s="61" t="str">
        <f>IF(L240="","",VLOOKUP($L240,classifications!$C:$J,6,FALSE))</f>
        <v/>
      </c>
      <c r="Y240" s="49" t="b">
        <f t="shared" si="78"/>
        <v>0</v>
      </c>
      <c r="Z240" s="57" t="e">
        <f>IF(Y240="","",IF(I$8="A",(RANK(Y240,Y$11:Y$355,1)+COUNTIF(Y$11:Y240,Y240)-1),(RANK(Y240,Y$11:Y$355)+COUNTIF(Y$11:Y240,Y240)-1)))</f>
        <v>#N/A</v>
      </c>
      <c r="AA240" s="231" t="str">
        <f>IF(L240="","",VLOOKUP($L240,classifications!C:I,7,FALSE))</f>
        <v/>
      </c>
      <c r="AB240" s="225" t="str">
        <f t="shared" si="87"/>
        <v/>
      </c>
      <c r="AC240" s="225" t="str">
        <f>IF(AB240="","",IF($I$8="A",(RANK(AB240,AB$11:AB$355)+COUNTIF(AB$11:AB240,AB240)-1),(RANK(AB240,AB$11:AB$355,1)+COUNTIF(AB$11:AB240,AB240)-1)))</f>
        <v/>
      </c>
      <c r="AD240" s="225"/>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HLOOKUP($AX$9&amp;$AX$10,Data!$A$1:$ZZ$1992,(MATCH($C240,Data!$A$1:$A$1992,0)),FALSE)</f>
        <v>2.4E-2</v>
      </c>
      <c r="AY240" s="156"/>
      <c r="AZ240" s="44"/>
    </row>
    <row r="241" spans="1:52">
      <c r="A241" s="84" t="str">
        <f>$D$1&amp;231</f>
        <v>SC231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17" t="str">
        <f>IF(L241="","",VLOOKUP(L241,classifications!C:K,9,FALSE))</f>
        <v/>
      </c>
      <c r="U241" s="224" t="str">
        <f t="shared" si="77"/>
        <v/>
      </c>
      <c r="V241" s="225" t="str">
        <f>IF(U241="","",IF($I$8="A",(RANK(U241,U$11:U$355)+COUNTIF(U$11:U241,U241)-1),(RANK(U241,U$11:U$355,1)+COUNTIF(U$11:U241,U241)-1)))</f>
        <v/>
      </c>
      <c r="W241" s="226"/>
      <c r="X241" s="61" t="str">
        <f>IF(L241="","",VLOOKUP($L241,classifications!$C:$J,6,FALSE))</f>
        <v/>
      </c>
      <c r="Y241" s="49" t="b">
        <f t="shared" si="78"/>
        <v>0</v>
      </c>
      <c r="Z241" s="57" t="e">
        <f>IF(Y241="","",IF(I$8="A",(RANK(Y241,Y$11:Y$355,1)+COUNTIF(Y$11:Y241,Y241)-1),(RANK(Y241,Y$11:Y$355)+COUNTIF(Y$11:Y241,Y241)-1)))</f>
        <v>#N/A</v>
      </c>
      <c r="AA241" s="231" t="str">
        <f>IF(L241="","",VLOOKUP($L241,classifications!C:I,7,FALSE))</f>
        <v/>
      </c>
      <c r="AB241" s="225" t="str">
        <f t="shared" si="87"/>
        <v/>
      </c>
      <c r="AC241" s="225" t="str">
        <f>IF(AB241="","",IF($I$8="A",(RANK(AB241,AB$11:AB$355)+COUNTIF(AB$11:AB241,AB241)-1),(RANK(AB241,AB$11:AB$355,1)+COUNTIF(AB$11:AB241,AB241)-1)))</f>
        <v/>
      </c>
      <c r="AD241" s="225"/>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HLOOKUP($AX$9&amp;$AX$10,Data!$A$1:$ZZ$1992,(MATCH($C241,Data!$A$1:$A$1992,0)),FALSE)</f>
        <v>0</v>
      </c>
      <c r="AY241" s="156"/>
      <c r="AZ241" s="44"/>
    </row>
    <row r="242" spans="1:52">
      <c r="A242" s="84" t="str">
        <f>$D$1&amp;232</f>
        <v>SC232</v>
      </c>
      <c r="B242" s="85">
        <f>IF(ISERROR(VLOOKUP(A242,classifications!A:C,3,FALSE)),0,VLOOKUP(A242,classifications!A:C,3,FALSE))</f>
        <v>0</v>
      </c>
      <c r="C242" s="31" t="s">
        <v>129</v>
      </c>
      <c r="D242" s="49" t="str">
        <f>VLOOKUP($C242,classifications!$C:$J,4,FALSE)</f>
        <v>SD</v>
      </c>
      <c r="E242" s="49">
        <f>VLOOKUP(C242,classifications!C:K,9,FALSE)</f>
        <v>0</v>
      </c>
      <c r="F242" s="59">
        <f t="shared" si="72"/>
        <v>0</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17" t="str">
        <f>IF(L242="","",VLOOKUP(L242,classifications!C:K,9,FALSE))</f>
        <v/>
      </c>
      <c r="U242" s="224" t="str">
        <f t="shared" si="77"/>
        <v/>
      </c>
      <c r="V242" s="225" t="str">
        <f>IF(U242="","",IF($I$8="A",(RANK(U242,U$11:U$355)+COUNTIF(U$11:U242,U242)-1),(RANK(U242,U$11:U$355,1)+COUNTIF(U$11:U242,U242)-1)))</f>
        <v/>
      </c>
      <c r="W242" s="226"/>
      <c r="X242" s="61" t="str">
        <f>IF(L242="","",VLOOKUP($L242,classifications!$C:$J,6,FALSE))</f>
        <v/>
      </c>
      <c r="Y242" s="49" t="b">
        <f t="shared" si="78"/>
        <v>0</v>
      </c>
      <c r="Z242" s="57" t="e">
        <f>IF(Y242="","",IF(I$8="A",(RANK(Y242,Y$11:Y$355,1)+COUNTIF(Y$11:Y242,Y242)-1),(RANK(Y242,Y$11:Y$355)+COUNTIF(Y$11:Y242,Y242)-1)))</f>
        <v>#N/A</v>
      </c>
      <c r="AA242" s="231" t="str">
        <f>IF(L242="","",VLOOKUP($L242,classifications!C:I,7,FALSE))</f>
        <v/>
      </c>
      <c r="AB242" s="225" t="str">
        <f t="shared" si="87"/>
        <v/>
      </c>
      <c r="AC242" s="225" t="str">
        <f>IF(AB242="","",IF($I$8="A",(RANK(AB242,AB$11:AB$355)+COUNTIF(AB$11:AB242,AB242)-1),(RANK(AB242,AB$11:AB$355,1)+COUNTIF(AB$11:AB242,AB242)-1)))</f>
        <v/>
      </c>
      <c r="AD242" s="225"/>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HLOOKUP($AX$9&amp;$AX$10,Data!$A$1:$ZZ$1992,(MATCH($C242,Data!$A$1:$A$1992,0)),FALSE)</f>
        <v>0</v>
      </c>
      <c r="AY242" s="156"/>
      <c r="AZ242" s="44"/>
    </row>
    <row r="243" spans="1:52">
      <c r="A243" s="84" t="str">
        <f>$D$1&amp;233</f>
        <v>SC233</v>
      </c>
      <c r="B243" s="85">
        <f>IF(ISERROR(VLOOKUP(A243,classifications!A:C,3,FALSE)),0,VLOOKUP(A243,classifications!A:C,3,FALSE))</f>
        <v>0</v>
      </c>
      <c r="C243" s="31" t="s">
        <v>130</v>
      </c>
      <c r="D243" s="49" t="str">
        <f>VLOOKUP($C243,classifications!$C:$J,4,FALSE)</f>
        <v>SD</v>
      </c>
      <c r="E243" s="49">
        <f>VLOOKUP(C243,classifications!C:K,9,FALSE)</f>
        <v>0</v>
      </c>
      <c r="F243" s="59">
        <f t="shared" si="72"/>
        <v>0</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17" t="str">
        <f>IF(L243="","",VLOOKUP(L243,classifications!C:K,9,FALSE))</f>
        <v/>
      </c>
      <c r="U243" s="224" t="str">
        <f t="shared" si="77"/>
        <v/>
      </c>
      <c r="V243" s="225" t="str">
        <f>IF(U243="","",IF($I$8="A",(RANK(U243,U$11:U$355)+COUNTIF(U$11:U243,U243)-1),(RANK(U243,U$11:U$355,1)+COUNTIF(U$11:U243,U243)-1)))</f>
        <v/>
      </c>
      <c r="W243" s="226"/>
      <c r="X243" s="61" t="str">
        <f>IF(L243="","",VLOOKUP($L243,classifications!$C:$J,6,FALSE))</f>
        <v/>
      </c>
      <c r="Y243" s="49" t="b">
        <f t="shared" si="78"/>
        <v>0</v>
      </c>
      <c r="Z243" s="57" t="e">
        <f>IF(Y243="","",IF(I$8="A",(RANK(Y243,Y$11:Y$355,1)+COUNTIF(Y$11:Y243,Y243)-1),(RANK(Y243,Y$11:Y$355)+COUNTIF(Y$11:Y243,Y243)-1)))</f>
        <v>#N/A</v>
      </c>
      <c r="AA243" s="231" t="str">
        <f>IF(L243="","",VLOOKUP($L243,classifications!C:I,7,FALSE))</f>
        <v/>
      </c>
      <c r="AB243" s="225" t="str">
        <f t="shared" si="87"/>
        <v/>
      </c>
      <c r="AC243" s="225" t="str">
        <f>IF(AB243="","",IF($I$8="A",(RANK(AB243,AB$11:AB$355)+COUNTIF(AB$11:AB243,AB243)-1),(RANK(AB243,AB$11:AB$355,1)+COUNTIF(AB$11:AB243,AB243)-1)))</f>
        <v/>
      </c>
      <c r="AD243" s="225"/>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HLOOKUP($AX$9&amp;$AX$10,Data!$A$1:$ZZ$1992,(MATCH($C243,Data!$A$1:$A$1992,0)),FALSE)</f>
        <v>0</v>
      </c>
      <c r="AY243" s="156"/>
      <c r="AZ243" s="44"/>
    </row>
    <row r="244" spans="1:52">
      <c r="A244" s="84" t="str">
        <f>$D$1&amp;234</f>
        <v>SC234</v>
      </c>
      <c r="B244" s="85">
        <f>IF(ISERROR(VLOOKUP(A244,classifications!A:C,3,FALSE)),0,VLOOKUP(A244,classifications!A:C,3,FALSE))</f>
        <v>0</v>
      </c>
      <c r="C244" s="31" t="s">
        <v>131</v>
      </c>
      <c r="D244" s="49" t="str">
        <f>VLOOKUP($C244,classifications!$C:$J,4,FALSE)</f>
        <v>SD</v>
      </c>
      <c r="E244" s="49">
        <f>VLOOKUP(C244,classifications!C:K,9,FALSE)</f>
        <v>0</v>
      </c>
      <c r="F244" s="59">
        <f t="shared" si="72"/>
        <v>0</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17" t="str">
        <f>IF(L244="","",VLOOKUP(L244,classifications!C:K,9,FALSE))</f>
        <v/>
      </c>
      <c r="U244" s="224" t="str">
        <f t="shared" si="77"/>
        <v/>
      </c>
      <c r="V244" s="225" t="str">
        <f>IF(U244="","",IF($I$8="A",(RANK(U244,U$11:U$355)+COUNTIF(U$11:U244,U244)-1),(RANK(U244,U$11:U$355,1)+COUNTIF(U$11:U244,U244)-1)))</f>
        <v/>
      </c>
      <c r="W244" s="226"/>
      <c r="X244" s="61" t="str">
        <f>IF(L244="","",VLOOKUP($L244,classifications!$C:$J,6,FALSE))</f>
        <v/>
      </c>
      <c r="Y244" s="49" t="b">
        <f t="shared" si="78"/>
        <v>0</v>
      </c>
      <c r="Z244" s="57" t="e">
        <f>IF(Y244="","",IF(I$8="A",(RANK(Y244,Y$11:Y$355,1)+COUNTIF(Y$11:Y244,Y244)-1),(RANK(Y244,Y$11:Y$355)+COUNTIF(Y$11:Y244,Y244)-1)))</f>
        <v>#N/A</v>
      </c>
      <c r="AA244" s="231" t="str">
        <f>IF(L244="","",VLOOKUP($L244,classifications!C:I,7,FALSE))</f>
        <v/>
      </c>
      <c r="AB244" s="225" t="str">
        <f t="shared" si="87"/>
        <v/>
      </c>
      <c r="AC244" s="225" t="str">
        <f>IF(AB244="","",IF($I$8="A",(RANK(AB244,AB$11:AB$355)+COUNTIF(AB$11:AB244,AB244)-1),(RANK(AB244,AB$11:AB$355,1)+COUNTIF(AB$11:AB244,AB244)-1)))</f>
        <v/>
      </c>
      <c r="AD244" s="225"/>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HLOOKUP($AX$9&amp;$AX$10,Data!$A$1:$ZZ$1992,(MATCH($C244,Data!$A$1:$A$1992,0)),FALSE)</f>
        <v>0</v>
      </c>
      <c r="AY244" s="156"/>
      <c r="AZ244" s="44"/>
    </row>
    <row r="245" spans="1:52">
      <c r="A245" s="84" t="str">
        <f>$D$1&amp;235</f>
        <v>SC235</v>
      </c>
      <c r="B245" s="85">
        <f>IF(ISERROR(VLOOKUP(A245,classifications!A:C,3,FALSE)),0,VLOOKUP(A245,classifications!A:C,3,FALSE))</f>
        <v>0</v>
      </c>
      <c r="C245" s="31" t="s">
        <v>286</v>
      </c>
      <c r="D245" s="49" t="str">
        <f>VLOOKUP($C245,classifications!$C:$J,4,FALSE)</f>
        <v>UA</v>
      </c>
      <c r="E245" s="49" t="str">
        <f>VLOOKUP(C245,classifications!C:K,9,FALSE)</f>
        <v>Sparse</v>
      </c>
      <c r="F245" s="59">
        <f t="shared" si="72"/>
        <v>0</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17" t="str">
        <f>IF(L245="","",VLOOKUP(L245,classifications!C:K,9,FALSE))</f>
        <v/>
      </c>
      <c r="U245" s="224" t="str">
        <f t="shared" si="77"/>
        <v/>
      </c>
      <c r="V245" s="225" t="str">
        <f>IF(U245="","",IF($I$8="A",(RANK(U245,U$11:U$355)+COUNTIF(U$11:U245,U245)-1),(RANK(U245,U$11:U$355,1)+COUNTIF(U$11:U245,U245)-1)))</f>
        <v/>
      </c>
      <c r="W245" s="226"/>
      <c r="X245" s="61" t="str">
        <f>IF(L245="","",VLOOKUP($L245,classifications!$C:$J,6,FALSE))</f>
        <v/>
      </c>
      <c r="Y245" s="49" t="b">
        <f t="shared" si="78"/>
        <v>0</v>
      </c>
      <c r="Z245" s="57" t="e">
        <f>IF(Y245="","",IF(I$8="A",(RANK(Y245,Y$11:Y$355,1)+COUNTIF(Y$11:Y245,Y245)-1),(RANK(Y245,Y$11:Y$355)+COUNTIF(Y$11:Y245,Y245)-1)))</f>
        <v>#N/A</v>
      </c>
      <c r="AA245" s="231" t="str">
        <f>IF(L245="","",VLOOKUP($L245,classifications!C:I,7,FALSE))</f>
        <v/>
      </c>
      <c r="AB245" s="225" t="str">
        <f t="shared" si="87"/>
        <v/>
      </c>
      <c r="AC245" s="225" t="str">
        <f>IF(AB245="","",IF($I$8="A",(RANK(AB245,AB$11:AB$355)+COUNTIF(AB$11:AB245,AB245)-1),(RANK(AB245,AB$11:AB$355,1)+COUNTIF(AB$11:AB245,AB245)-1)))</f>
        <v/>
      </c>
      <c r="AD245" s="225"/>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HLOOKUP($AX$9&amp;$AX$10,Data!$A$1:$ZZ$1992,(MATCH($C245,Data!$A$1:$A$1992,0)),FALSE)</f>
        <v>0</v>
      </c>
      <c r="AY245" s="156"/>
      <c r="AZ245" s="44"/>
    </row>
    <row r="246" spans="1:52">
      <c r="A246" s="84" t="str">
        <f>$D$1&amp;236</f>
        <v>SC236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17" t="str">
        <f>IF(L246="","",VLOOKUP(L246,classifications!C:K,9,FALSE))</f>
        <v/>
      </c>
      <c r="U246" s="224" t="str">
        <f t="shared" si="77"/>
        <v/>
      </c>
      <c r="V246" s="225" t="str">
        <f>IF(U246="","",IF($I$8="A",(RANK(U246,U$11:U$355)+COUNTIF(U$11:U246,U246)-1),(RANK(U246,U$11:U$355,1)+COUNTIF(U$11:U246,U246)-1)))</f>
        <v/>
      </c>
      <c r="W246" s="226"/>
      <c r="X246" s="61" t="str">
        <f>IF(L246="","",VLOOKUP($L246,classifications!$C:$J,6,FALSE))</f>
        <v/>
      </c>
      <c r="Y246" s="49" t="b">
        <f t="shared" si="78"/>
        <v>0</v>
      </c>
      <c r="Z246" s="57" t="e">
        <f>IF(Y246="","",IF(I$8="A",(RANK(Y246,Y$11:Y$355,1)+COUNTIF(Y$11:Y246,Y246)-1),(RANK(Y246,Y$11:Y$355)+COUNTIF(Y$11:Y246,Y246)-1)))</f>
        <v>#N/A</v>
      </c>
      <c r="AA246" s="231" t="str">
        <f>IF(L246="","",VLOOKUP($L246,classifications!C:I,7,FALSE))</f>
        <v/>
      </c>
      <c r="AB246" s="225" t="str">
        <f t="shared" si="87"/>
        <v/>
      </c>
      <c r="AC246" s="225" t="str">
        <f>IF(AB246="","",IF($I$8="A",(RANK(AB246,AB$11:AB$355)+COUNTIF(AB$11:AB246,AB246)-1),(RANK(AB246,AB$11:AB$355,1)+COUNTIF(AB$11:AB246,AB246)-1)))</f>
        <v/>
      </c>
      <c r="AD246" s="225"/>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HLOOKUP($AX$9&amp;$AX$10,Data!$A$1:$ZZ$1992,(MATCH($C246,Data!$A$1:$A$1992,0)),FALSE)</f>
        <v>0</v>
      </c>
      <c r="AY246" s="156"/>
      <c r="AZ246" s="44"/>
    </row>
    <row r="247" spans="1:52">
      <c r="A247" s="84" t="str">
        <f>$D$1&amp;237</f>
        <v>SC237</v>
      </c>
      <c r="B247" s="85">
        <f>IF(ISERROR(VLOOKUP(A247,classifications!A:C,3,FALSE)),0,VLOOKUP(A247,classifications!A:C,3,FALSE))</f>
        <v>0</v>
      </c>
      <c r="C247" s="31" t="s">
        <v>243</v>
      </c>
      <c r="D247" s="49" t="str">
        <f>VLOOKUP($C247,classifications!$C:$J,4,FALSE)</f>
        <v>MD</v>
      </c>
      <c r="E247" s="49">
        <f>VLOOKUP(C247,classifications!C:K,9,FALSE)</f>
        <v>0</v>
      </c>
      <c r="F247" s="59">
        <f t="shared" si="72"/>
        <v>0</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17" t="str">
        <f>IF(L247="","",VLOOKUP(L247,classifications!C:K,9,FALSE))</f>
        <v/>
      </c>
      <c r="U247" s="224" t="str">
        <f t="shared" si="77"/>
        <v/>
      </c>
      <c r="V247" s="225" t="str">
        <f>IF(U247="","",IF($I$8="A",(RANK(U247,U$11:U$355)+COUNTIF(U$11:U247,U247)-1),(RANK(U247,U$11:U$355,1)+COUNTIF(U$11:U247,U247)-1)))</f>
        <v/>
      </c>
      <c r="W247" s="226"/>
      <c r="X247" s="61" t="str">
        <f>IF(L247="","",VLOOKUP($L247,classifications!$C:$J,6,FALSE))</f>
        <v/>
      </c>
      <c r="Y247" s="49" t="b">
        <f t="shared" si="78"/>
        <v>0</v>
      </c>
      <c r="Z247" s="57" t="e">
        <f>IF(Y247="","",IF(I$8="A",(RANK(Y247,Y$11:Y$355,1)+COUNTIF(Y$11:Y247,Y247)-1),(RANK(Y247,Y$11:Y$355)+COUNTIF(Y$11:Y247,Y247)-1)))</f>
        <v>#N/A</v>
      </c>
      <c r="AA247" s="231" t="str">
        <f>IF(L247="","",VLOOKUP($L247,classifications!C:I,7,FALSE))</f>
        <v/>
      </c>
      <c r="AB247" s="225" t="str">
        <f t="shared" si="87"/>
        <v/>
      </c>
      <c r="AC247" s="225" t="str">
        <f>IF(AB247="","",IF($I$8="A",(RANK(AB247,AB$11:AB$355)+COUNTIF(AB$11:AB247,AB247)-1),(RANK(AB247,AB$11:AB$355,1)+COUNTIF(AB$11:AB247,AB247)-1)))</f>
        <v/>
      </c>
      <c r="AD247" s="225"/>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HLOOKUP($AX$9&amp;$AX$10,Data!$A$1:$ZZ$1992,(MATCH($C247,Data!$A$1:$A$1992,0)),FALSE)</f>
        <v>0</v>
      </c>
      <c r="AY247" s="156"/>
      <c r="AZ247" s="44"/>
    </row>
    <row r="248" spans="1:52">
      <c r="A248" s="84" t="str">
        <f>$D$1&amp;238</f>
        <v>SC238</v>
      </c>
      <c r="B248" s="85">
        <f>IF(ISERROR(VLOOKUP(A248,classifications!A:C,3,FALSE)),0,VLOOKUP(A248,classifications!A:C,3,FALSE))</f>
        <v>0</v>
      </c>
      <c r="C248" s="31" t="s">
        <v>244</v>
      </c>
      <c r="D248" s="49" t="str">
        <f>VLOOKUP($C248,classifications!$C:$J,4,FALSE)</f>
        <v>MD</v>
      </c>
      <c r="E248" s="49">
        <f>VLOOKUP(C248,classifications!C:K,9,FALSE)</f>
        <v>0</v>
      </c>
      <c r="F248" s="59">
        <f t="shared" si="72"/>
        <v>4.3999999999999997E-2</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17" t="str">
        <f>IF(L248="","",VLOOKUP(L248,classifications!C:K,9,FALSE))</f>
        <v/>
      </c>
      <c r="U248" s="224" t="str">
        <f t="shared" si="77"/>
        <v/>
      </c>
      <c r="V248" s="225" t="str">
        <f>IF(U248="","",IF($I$8="A",(RANK(U248,U$11:U$355)+COUNTIF(U$11:U248,U248)-1),(RANK(U248,U$11:U$355,1)+COUNTIF(U$11:U248,U248)-1)))</f>
        <v/>
      </c>
      <c r="W248" s="226"/>
      <c r="X248" s="61" t="str">
        <f>IF(L248="","",VLOOKUP($L248,classifications!$C:$J,6,FALSE))</f>
        <v/>
      </c>
      <c r="Y248" s="49" t="b">
        <f t="shared" si="78"/>
        <v>0</v>
      </c>
      <c r="Z248" s="57" t="e">
        <f>IF(Y248="","",IF(I$8="A",(RANK(Y248,Y$11:Y$355,1)+COUNTIF(Y$11:Y248,Y248)-1),(RANK(Y248,Y$11:Y$355)+COUNTIF(Y$11:Y248,Y248)-1)))</f>
        <v>#N/A</v>
      </c>
      <c r="AA248" s="231" t="str">
        <f>IF(L248="","",VLOOKUP($L248,classifications!C:I,7,FALSE))</f>
        <v/>
      </c>
      <c r="AB248" s="225" t="str">
        <f t="shared" si="87"/>
        <v/>
      </c>
      <c r="AC248" s="225" t="str">
        <f>IF(AB248="","",IF($I$8="A",(RANK(AB248,AB$11:AB$355)+COUNTIF(AB$11:AB248,AB248)-1),(RANK(AB248,AB$11:AB$355,1)+COUNTIF(AB$11:AB248,AB248)-1)))</f>
        <v/>
      </c>
      <c r="AD248" s="225"/>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HLOOKUP($AX$9&amp;$AX$10,Data!$A$1:$ZZ$1992,(MATCH($C248,Data!$A$1:$A$1992,0)),FALSE)</f>
        <v>4.3999999999999997E-2</v>
      </c>
      <c r="AY248" s="156"/>
      <c r="AZ248" s="44"/>
    </row>
    <row r="249" spans="1:52">
      <c r="A249" s="84" t="str">
        <f>$D$1&amp;239</f>
        <v>SC239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17" t="str">
        <f>IF(L249="","",VLOOKUP(L249,classifications!C:K,9,FALSE))</f>
        <v/>
      </c>
      <c r="U249" s="224" t="str">
        <f t="shared" si="77"/>
        <v/>
      </c>
      <c r="V249" s="225" t="str">
        <f>IF(U249="","",IF($I$8="A",(RANK(U249,U$11:U$355)+COUNTIF(U$11:U249,U249)-1),(RANK(U249,U$11:U$355,1)+COUNTIF(U$11:U249,U249)-1)))</f>
        <v/>
      </c>
      <c r="W249" s="226"/>
      <c r="X249" s="61" t="str">
        <f>IF(L249="","",VLOOKUP($L249,classifications!$C:$J,6,FALSE))</f>
        <v/>
      </c>
      <c r="Y249" s="49" t="b">
        <f t="shared" si="78"/>
        <v>0</v>
      </c>
      <c r="Z249" s="57" t="e">
        <f>IF(Y249="","",IF(I$8="A",(RANK(Y249,Y$11:Y$355,1)+COUNTIF(Y$11:Y249,Y249)-1),(RANK(Y249,Y$11:Y$355)+COUNTIF(Y$11:Y249,Y249)-1)))</f>
        <v>#N/A</v>
      </c>
      <c r="AA249" s="231" t="str">
        <f>IF(L249="","",VLOOKUP($L249,classifications!C:I,7,FALSE))</f>
        <v/>
      </c>
      <c r="AB249" s="225" t="str">
        <f t="shared" si="87"/>
        <v/>
      </c>
      <c r="AC249" s="225" t="str">
        <f>IF(AB249="","",IF($I$8="A",(RANK(AB249,AB$11:AB$355)+COUNTIF(AB$11:AB249,AB249)-1),(RANK(AB249,AB$11:AB$355,1)+COUNTIF(AB$11:AB249,AB249)-1)))</f>
        <v/>
      </c>
      <c r="AD249" s="225"/>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HLOOKUP($AX$9&amp;$AX$10,Data!$A$1:$ZZ$1992,(MATCH($C249,Data!$A$1:$A$1992,0)),FALSE)</f>
        <v>0</v>
      </c>
      <c r="AY249" s="156"/>
      <c r="AZ249" s="44"/>
    </row>
    <row r="250" spans="1:52">
      <c r="A250" s="84" t="str">
        <f>$D$1&amp;240</f>
        <v>SC240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17" t="str">
        <f>IF(L250="","",VLOOKUP(L250,classifications!C:K,9,FALSE))</f>
        <v/>
      </c>
      <c r="U250" s="224" t="str">
        <f t="shared" si="77"/>
        <v/>
      </c>
      <c r="V250" s="225" t="str">
        <f>IF(U250="","",IF($I$8="A",(RANK(U250,U$11:U$355)+COUNTIF(U$11:U250,U250)-1),(RANK(U250,U$11:U$355,1)+COUNTIF(U$11:U250,U250)-1)))</f>
        <v/>
      </c>
      <c r="W250" s="226"/>
      <c r="X250" s="61" t="str">
        <f>IF(L250="","",VLOOKUP($L250,classifications!$C:$J,6,FALSE))</f>
        <v/>
      </c>
      <c r="Y250" s="49" t="b">
        <f t="shared" si="78"/>
        <v>0</v>
      </c>
      <c r="Z250" s="57" t="e">
        <f>IF(Y250="","",IF(I$8="A",(RANK(Y250,Y$11:Y$355,1)+COUNTIF(Y$11:Y250,Y250)-1),(RANK(Y250,Y$11:Y$355)+COUNTIF(Y$11:Y250,Y250)-1)))</f>
        <v>#N/A</v>
      </c>
      <c r="AA250" s="231" t="str">
        <f>IF(L250="","",VLOOKUP($L250,classifications!C:I,7,FALSE))</f>
        <v/>
      </c>
      <c r="AB250" s="225" t="str">
        <f t="shared" si="87"/>
        <v/>
      </c>
      <c r="AC250" s="225" t="str">
        <f>IF(AB250="","",IF($I$8="A",(RANK(AB250,AB$11:AB$355)+COUNTIF(AB$11:AB250,AB250)-1),(RANK(AB250,AB$11:AB$355,1)+COUNTIF(AB$11:AB250,AB250)-1)))</f>
        <v/>
      </c>
      <c r="AD250" s="225"/>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HLOOKUP($AX$9&amp;$AX$10,Data!$A$1:$ZZ$1992,(MATCH($C250,Data!$A$1:$A$1992,0)),FALSE)</f>
        <v>-</v>
      </c>
      <c r="AY250" s="156"/>
      <c r="AZ250" s="44"/>
    </row>
    <row r="251" spans="1:52">
      <c r="A251" s="84" t="str">
        <f>$D$1&amp;241</f>
        <v>SC241</v>
      </c>
      <c r="B251" s="85">
        <f>IF(ISERROR(VLOOKUP(A251,classifications!A:C,3,FALSE)),0,VLOOKUP(A251,classifications!A:C,3,FALSE))</f>
        <v>0</v>
      </c>
      <c r="C251" s="31" t="s">
        <v>245</v>
      </c>
      <c r="D251" s="49" t="str">
        <f>VLOOKUP($C251,classifications!$C:$J,4,FALSE)</f>
        <v>MD</v>
      </c>
      <c r="E251" s="49">
        <f>VLOOKUP(C251,classifications!C:K,9,FALSE)</f>
        <v>0</v>
      </c>
      <c r="F251" s="59">
        <f t="shared" si="72"/>
        <v>0</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17" t="str">
        <f>IF(L251="","",VLOOKUP(L251,classifications!C:K,9,FALSE))</f>
        <v/>
      </c>
      <c r="U251" s="224" t="str">
        <f t="shared" si="77"/>
        <v/>
      </c>
      <c r="V251" s="225" t="str">
        <f>IF(U251="","",IF($I$8="A",(RANK(U251,U$11:U$355)+COUNTIF(U$11:U251,U251)-1),(RANK(U251,U$11:U$355,1)+COUNTIF(U$11:U251,U251)-1)))</f>
        <v/>
      </c>
      <c r="W251" s="226"/>
      <c r="X251" s="61" t="str">
        <f>IF(L251="","",VLOOKUP($L251,classifications!$C:$J,6,FALSE))</f>
        <v/>
      </c>
      <c r="Y251" s="49" t="b">
        <f t="shared" si="78"/>
        <v>0</v>
      </c>
      <c r="Z251" s="57" t="e">
        <f>IF(Y251="","",IF(I$8="A",(RANK(Y251,Y$11:Y$355,1)+COUNTIF(Y$11:Y251,Y251)-1),(RANK(Y251,Y$11:Y$355)+COUNTIF(Y$11:Y251,Y251)-1)))</f>
        <v>#N/A</v>
      </c>
      <c r="AA251" s="231" t="str">
        <f>IF(L251="","",VLOOKUP($L251,classifications!C:I,7,FALSE))</f>
        <v/>
      </c>
      <c r="AB251" s="225" t="str">
        <f t="shared" si="87"/>
        <v/>
      </c>
      <c r="AC251" s="225" t="str">
        <f>IF(AB251="","",IF($I$8="A",(RANK(AB251,AB$11:AB$355)+COUNTIF(AB$11:AB251,AB251)-1),(RANK(AB251,AB$11:AB$355,1)+COUNTIF(AB$11:AB251,AB251)-1)))</f>
        <v/>
      </c>
      <c r="AD251" s="225"/>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HLOOKUP($AX$9&amp;$AX$10,Data!$A$1:$ZZ$1992,(MATCH($C251,Data!$A$1:$A$1992,0)),FALSE)</f>
        <v>0</v>
      </c>
      <c r="AY251" s="156"/>
      <c r="AZ251" s="44"/>
    </row>
    <row r="252" spans="1:52">
      <c r="A252" s="84" t="str">
        <f>$D$1&amp;242</f>
        <v>SC242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17" t="str">
        <f>IF(L252="","",VLOOKUP(L252,classifications!C:K,9,FALSE))</f>
        <v/>
      </c>
      <c r="U252" s="224" t="str">
        <f t="shared" si="77"/>
        <v/>
      </c>
      <c r="V252" s="225" t="str">
        <f>IF(U252="","",IF($I$8="A",(RANK(U252,U$11:U$355)+COUNTIF(U$11:U252,U252)-1),(RANK(U252,U$11:U$355,1)+COUNTIF(U$11:U252,U252)-1)))</f>
        <v/>
      </c>
      <c r="W252" s="226"/>
      <c r="X252" s="61" t="str">
        <f>IF(L252="","",VLOOKUP($L252,classifications!$C:$J,6,FALSE))</f>
        <v/>
      </c>
      <c r="Y252" s="49" t="b">
        <f t="shared" si="78"/>
        <v>0</v>
      </c>
      <c r="Z252" s="57" t="e">
        <f>IF(Y252="","",IF(I$8="A",(RANK(Y252,Y$11:Y$355,1)+COUNTIF(Y$11:Y252,Y252)-1),(RANK(Y252,Y$11:Y$355)+COUNTIF(Y$11:Y252,Y252)-1)))</f>
        <v>#N/A</v>
      </c>
      <c r="AA252" s="231" t="str">
        <f>IF(L252="","",VLOOKUP($L252,classifications!C:I,7,FALSE))</f>
        <v/>
      </c>
      <c r="AB252" s="225" t="str">
        <f t="shared" si="87"/>
        <v/>
      </c>
      <c r="AC252" s="225" t="str">
        <f>IF(AB252="","",IF($I$8="A",(RANK(AB252,AB$11:AB$355)+COUNTIF(AB$11:AB252,AB252)-1),(RANK(AB252,AB$11:AB$355,1)+COUNTIF(AB$11:AB252,AB252)-1)))</f>
        <v/>
      </c>
      <c r="AD252" s="225"/>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HLOOKUP($AX$9&amp;$AX$10,Data!$A$1:$ZZ$1992,(MATCH($C252,Data!$A$1:$A$1992,0)),FALSE)</f>
        <v>0</v>
      </c>
      <c r="AY252" s="156"/>
      <c r="AZ252" s="44"/>
    </row>
    <row r="253" spans="1:52">
      <c r="A253" s="84" t="str">
        <f>$D$1&amp;243</f>
        <v>SC243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0</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17" t="str">
        <f>IF(L253="","",VLOOKUP(L253,classifications!C:K,9,FALSE))</f>
        <v/>
      </c>
      <c r="U253" s="224" t="str">
        <f t="shared" si="77"/>
        <v/>
      </c>
      <c r="V253" s="225" t="str">
        <f>IF(U253="","",IF($I$8="A",(RANK(U253,U$11:U$355)+COUNTIF(U$11:U253,U253)-1),(RANK(U253,U$11:U$355,1)+COUNTIF(U$11:U253,U253)-1)))</f>
        <v/>
      </c>
      <c r="W253" s="226"/>
      <c r="X253" s="61" t="str">
        <f>IF(L253="","",VLOOKUP($L253,classifications!$C:$J,6,FALSE))</f>
        <v/>
      </c>
      <c r="Y253" s="49" t="b">
        <f t="shared" si="78"/>
        <v>0</v>
      </c>
      <c r="Z253" s="57" t="e">
        <f>IF(Y253="","",IF(I$8="A",(RANK(Y253,Y$11:Y$355,1)+COUNTIF(Y$11:Y253,Y253)-1),(RANK(Y253,Y$11:Y$355)+COUNTIF(Y$11:Y253,Y253)-1)))</f>
        <v>#N/A</v>
      </c>
      <c r="AA253" s="231" t="str">
        <f>IF(L253="","",VLOOKUP($L253,classifications!C:I,7,FALSE))</f>
        <v/>
      </c>
      <c r="AB253" s="225" t="str">
        <f t="shared" si="87"/>
        <v/>
      </c>
      <c r="AC253" s="225" t="str">
        <f>IF(AB253="","",IF($I$8="A",(RANK(AB253,AB$11:AB$355)+COUNTIF(AB$11:AB253,AB253)-1),(RANK(AB253,AB$11:AB$355,1)+COUNTIF(AB$11:AB253,AB253)-1)))</f>
        <v/>
      </c>
      <c r="AD253" s="225"/>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HLOOKUP($AX$9&amp;$AX$10,Data!$A$1:$ZZ$1992,(MATCH($C253,Data!$A$1:$A$1992,0)),FALSE)</f>
        <v>0</v>
      </c>
      <c r="AY253" s="156"/>
      <c r="AZ253" s="44"/>
    </row>
    <row r="254" spans="1:52">
      <c r="A254" s="84" t="str">
        <f>$D$1&amp;244</f>
        <v>SC244</v>
      </c>
      <c r="B254" s="85">
        <f>IF(ISERROR(VLOOKUP(A254,classifications!A:C,3,FALSE)),0,VLOOKUP(A254,classifications!A:C,3,FALSE))</f>
        <v>0</v>
      </c>
      <c r="C254" s="31" t="s">
        <v>246</v>
      </c>
      <c r="D254" s="49" t="str">
        <f>VLOOKUP($C254,classifications!$C:$J,4,FALSE)</f>
        <v>MD</v>
      </c>
      <c r="E254" s="49">
        <f>VLOOKUP(C254,classifications!C:K,9,FALSE)</f>
        <v>0</v>
      </c>
      <c r="F254" s="59">
        <f t="shared" si="72"/>
        <v>1.4E-2</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17" t="str">
        <f>IF(L254="","",VLOOKUP(L254,classifications!C:K,9,FALSE))</f>
        <v/>
      </c>
      <c r="U254" s="224" t="str">
        <f t="shared" si="77"/>
        <v/>
      </c>
      <c r="V254" s="225" t="str">
        <f>IF(U254="","",IF($I$8="A",(RANK(U254,U$11:U$355)+COUNTIF(U$11:U254,U254)-1),(RANK(U254,U$11:U$355,1)+COUNTIF(U$11:U254,U254)-1)))</f>
        <v/>
      </c>
      <c r="W254" s="226"/>
      <c r="X254" s="61" t="str">
        <f>IF(L254="","",VLOOKUP($L254,classifications!$C:$J,6,FALSE))</f>
        <v/>
      </c>
      <c r="Y254" s="49" t="b">
        <f t="shared" si="78"/>
        <v>0</v>
      </c>
      <c r="Z254" s="57" t="e">
        <f>IF(Y254="","",IF(I$8="A",(RANK(Y254,Y$11:Y$355,1)+COUNTIF(Y$11:Y254,Y254)-1),(RANK(Y254,Y$11:Y$355)+COUNTIF(Y$11:Y254,Y254)-1)))</f>
        <v>#N/A</v>
      </c>
      <c r="AA254" s="231" t="str">
        <f>IF(L254="","",VLOOKUP($L254,classifications!C:I,7,FALSE))</f>
        <v/>
      </c>
      <c r="AB254" s="225" t="str">
        <f t="shared" si="87"/>
        <v/>
      </c>
      <c r="AC254" s="225" t="str">
        <f>IF(AB254="","",IF($I$8="A",(RANK(AB254,AB$11:AB$355)+COUNTIF(AB$11:AB254,AB254)-1),(RANK(AB254,AB$11:AB$355,1)+COUNTIF(AB$11:AB254,AB254)-1)))</f>
        <v/>
      </c>
      <c r="AD254" s="225"/>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HLOOKUP($AX$9&amp;$AX$10,Data!$A$1:$ZZ$1992,(MATCH($C254,Data!$A$1:$A$1992,0)),FALSE)</f>
        <v>1.4E-2</v>
      </c>
      <c r="AY254" s="156"/>
      <c r="AZ254" s="44"/>
    </row>
    <row r="255" spans="1:52">
      <c r="A255" s="84" t="str">
        <f>$D$1&amp;245</f>
        <v>SC245</v>
      </c>
      <c r="B255" s="85">
        <f>IF(ISERROR(VLOOKUP(A255,classifications!A:C,3,FALSE)),0,VLOOKUP(A255,classifications!A:C,3,FALSE))</f>
        <v>0</v>
      </c>
      <c r="C255" s="31" t="s">
        <v>920</v>
      </c>
      <c r="D255" s="49" t="str">
        <f>VLOOKUP($C255,classifications!$C:$J,4,FALSE)</f>
        <v>SD</v>
      </c>
      <c r="E255" s="49">
        <f>VLOOKUP(C255,classifications!C:K,9,FALSE)</f>
        <v>0</v>
      </c>
      <c r="F255" s="59">
        <f t="shared" si="72"/>
        <v>0</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17" t="str">
        <f>IF(L255="","",VLOOKUP(L255,classifications!C:K,9,FALSE))</f>
        <v/>
      </c>
      <c r="U255" s="224" t="str">
        <f t="shared" si="77"/>
        <v/>
      </c>
      <c r="V255" s="225" t="str">
        <f>IF(U255="","",IF($I$8="A",(RANK(U255,U$11:U$355)+COUNTIF(U$11:U255,U255)-1),(RANK(U255,U$11:U$355,1)+COUNTIF(U$11:U255,U255)-1)))</f>
        <v/>
      </c>
      <c r="W255" s="226"/>
      <c r="X255" s="61" t="str">
        <f>IF(L255="","",VLOOKUP($L255,classifications!$C:$J,6,FALSE))</f>
        <v/>
      </c>
      <c r="Y255" s="49" t="b">
        <f t="shared" si="78"/>
        <v>0</v>
      </c>
      <c r="Z255" s="57" t="e">
        <f>IF(Y255="","",IF(I$8="A",(RANK(Y255,Y$11:Y$355,1)+COUNTIF(Y$11:Y255,Y255)-1),(RANK(Y255,Y$11:Y$355)+COUNTIF(Y$11:Y255,Y255)-1)))</f>
        <v>#N/A</v>
      </c>
      <c r="AA255" s="231" t="str">
        <f>IF(L255="","",VLOOKUP($L255,classifications!C:I,7,FALSE))</f>
        <v/>
      </c>
      <c r="AB255" s="225" t="str">
        <f t="shared" si="87"/>
        <v/>
      </c>
      <c r="AC255" s="225" t="str">
        <f>IF(AB255="","",IF($I$8="A",(RANK(AB255,AB$11:AB$355)+COUNTIF(AB$11:AB255,AB255)-1),(RANK(AB255,AB$11:AB$355,1)+COUNTIF(AB$11:AB255,AB255)-1)))</f>
        <v/>
      </c>
      <c r="AD255" s="225"/>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HLOOKUP($AX$9&amp;$AX$10,Data!$A$1:$ZZ$1992,(MATCH($C255,Data!$A$1:$A$1992,0)),FALSE)</f>
        <v>0</v>
      </c>
      <c r="AY255" s="156"/>
      <c r="AZ255" s="44"/>
    </row>
    <row r="256" spans="1:52">
      <c r="A256" s="84" t="str">
        <f>$D$1&amp;246</f>
        <v>SC246</v>
      </c>
      <c r="B256" s="85">
        <f>IF(ISERROR(VLOOKUP(A256,classifications!A:C,3,FALSE)),0,VLOOKUP(A256,classifications!A:C,3,FALSE))</f>
        <v>0</v>
      </c>
      <c r="C256" s="31" t="s">
        <v>326</v>
      </c>
      <c r="D256" s="49" t="str">
        <f>VLOOKUP($C256,classifications!$C:$J,4,FALSE)</f>
        <v>UA</v>
      </c>
      <c r="E256" s="49" t="str">
        <f>VLOOKUP(C256,classifications!C:K,9,FALSE)</f>
        <v>Sparse</v>
      </c>
      <c r="F256" s="59">
        <f t="shared" si="72"/>
        <v>1.7999999999999999E-2</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17" t="str">
        <f>IF(L256="","",VLOOKUP(L256,classifications!C:K,9,FALSE))</f>
        <v/>
      </c>
      <c r="U256" s="224" t="str">
        <f t="shared" si="77"/>
        <v/>
      </c>
      <c r="V256" s="225" t="str">
        <f>IF(U256="","",IF($I$8="A",(RANK(U256,U$11:U$355)+COUNTIF(U$11:U256,U256)-1),(RANK(U256,U$11:U$355,1)+COUNTIF(U$11:U256,U256)-1)))</f>
        <v/>
      </c>
      <c r="W256" s="226"/>
      <c r="X256" s="61" t="str">
        <f>IF(L256="","",VLOOKUP($L256,classifications!$C:$J,6,FALSE))</f>
        <v/>
      </c>
      <c r="Y256" s="49" t="b">
        <f t="shared" si="78"/>
        <v>0</v>
      </c>
      <c r="Z256" s="57" t="e">
        <f>IF(Y256="","",IF(I$8="A",(RANK(Y256,Y$11:Y$355,1)+COUNTIF(Y$11:Y256,Y256)-1),(RANK(Y256,Y$11:Y$355)+COUNTIF(Y$11:Y256,Y256)-1)))</f>
        <v>#N/A</v>
      </c>
      <c r="AA256" s="231" t="str">
        <f>IF(L256="","",VLOOKUP($L256,classifications!C:I,7,FALSE))</f>
        <v/>
      </c>
      <c r="AB256" s="225" t="str">
        <f t="shared" si="87"/>
        <v/>
      </c>
      <c r="AC256" s="225" t="str">
        <f>IF(AB256="","",IF($I$8="A",(RANK(AB256,AB$11:AB$355)+COUNTIF(AB$11:AB256,AB256)-1),(RANK(AB256,AB$11:AB$355,1)+COUNTIF(AB$11:AB256,AB256)-1)))</f>
        <v/>
      </c>
      <c r="AD256" s="225"/>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HLOOKUP($AX$9&amp;$AX$10,Data!$A$1:$ZZ$1992,(MATCH($C256,Data!$A$1:$A$1992,0)),FALSE)</f>
        <v>1.7999999999999999E-2</v>
      </c>
      <c r="AY256" s="156"/>
      <c r="AZ256" s="44"/>
    </row>
    <row r="257" spans="1:52">
      <c r="A257" s="84" t="str">
        <f>$D$1&amp;247</f>
        <v>SC247</v>
      </c>
      <c r="B257" s="85">
        <f>IF(ISERROR(VLOOKUP(A257,classifications!A:C,3,FALSE)),0,VLOOKUP(A257,classifications!A:C,3,FALSE))</f>
        <v>0</v>
      </c>
      <c r="C257" s="31" t="s">
        <v>287</v>
      </c>
      <c r="D257" s="49" t="str">
        <f>VLOOKUP($C257,classifications!$C:$J,4,FALSE)</f>
        <v>UA</v>
      </c>
      <c r="E257" s="49">
        <f>VLOOKUP(C257,classifications!C:K,9,FALSE)</f>
        <v>0</v>
      </c>
      <c r="F257" s="59">
        <f t="shared" si="72"/>
        <v>8.9999999999999993E-3</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17" t="str">
        <f>IF(L257="","",VLOOKUP(L257,classifications!C:K,9,FALSE))</f>
        <v/>
      </c>
      <c r="U257" s="224" t="str">
        <f t="shared" si="77"/>
        <v/>
      </c>
      <c r="V257" s="225" t="str">
        <f>IF(U257="","",IF($I$8="A",(RANK(U257,U$11:U$355)+COUNTIF(U$11:U257,U257)-1),(RANK(U257,U$11:U$355,1)+COUNTIF(U$11:U257,U257)-1)))</f>
        <v/>
      </c>
      <c r="W257" s="226"/>
      <c r="X257" s="61" t="str">
        <f>IF(L257="","",VLOOKUP($L257,classifications!$C:$J,6,FALSE))</f>
        <v/>
      </c>
      <c r="Y257" s="49" t="b">
        <f t="shared" si="78"/>
        <v>0</v>
      </c>
      <c r="Z257" s="57" t="e">
        <f>IF(Y257="","",IF(I$8="A",(RANK(Y257,Y$11:Y$355,1)+COUNTIF(Y$11:Y257,Y257)-1),(RANK(Y257,Y$11:Y$355)+COUNTIF(Y$11:Y257,Y257)-1)))</f>
        <v>#N/A</v>
      </c>
      <c r="AA257" s="231" t="str">
        <f>IF(L257="","",VLOOKUP($L257,classifications!C:I,7,FALSE))</f>
        <v/>
      </c>
      <c r="AB257" s="225" t="str">
        <f t="shared" si="87"/>
        <v/>
      </c>
      <c r="AC257" s="225" t="str">
        <f>IF(AB257="","",IF($I$8="A",(RANK(AB257,AB$11:AB$355)+COUNTIF(AB$11:AB257,AB257)-1),(RANK(AB257,AB$11:AB$355,1)+COUNTIF(AB$11:AB257,AB257)-1)))</f>
        <v/>
      </c>
      <c r="AD257" s="225"/>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HLOOKUP($AX$9&amp;$AX$10,Data!$A$1:$ZZ$1992,(MATCH($C257,Data!$A$1:$A$1992,0)),FALSE)</f>
        <v>8.9999999999999993E-3</v>
      </c>
      <c r="AY257" s="156"/>
      <c r="AZ257" s="44"/>
    </row>
    <row r="258" spans="1:52">
      <c r="A258" s="84" t="str">
        <f>$D$1&amp;248</f>
        <v>SC248</v>
      </c>
      <c r="B258" s="85">
        <f>IF(ISERROR(VLOOKUP(A258,classifications!A:C,3,FALSE)),0,VLOOKUP(A258,classifications!A:C,3,FALSE))</f>
        <v>0</v>
      </c>
      <c r="C258" s="31" t="s">
        <v>247</v>
      </c>
      <c r="D258" s="49" t="str">
        <f>VLOOKUP($C258,classifications!$C:$J,4,FALSE)</f>
        <v>MD</v>
      </c>
      <c r="E258" s="49">
        <f>VLOOKUP(C258,classifications!C:K,9,FALSE)</f>
        <v>0</v>
      </c>
      <c r="F258" s="59">
        <f t="shared" si="72"/>
        <v>9.4E-2</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17" t="str">
        <f>IF(L258="","",VLOOKUP(L258,classifications!C:K,9,FALSE))</f>
        <v/>
      </c>
      <c r="U258" s="224" t="str">
        <f t="shared" si="77"/>
        <v/>
      </c>
      <c r="V258" s="225" t="str">
        <f>IF(U258="","",IF($I$8="A",(RANK(U258,U$11:U$355)+COUNTIF(U$11:U258,U258)-1),(RANK(U258,U$11:U$355,1)+COUNTIF(U$11:U258,U258)-1)))</f>
        <v/>
      </c>
      <c r="W258" s="226"/>
      <c r="X258" s="61" t="str">
        <f>IF(L258="","",VLOOKUP($L258,classifications!$C:$J,6,FALSE))</f>
        <v/>
      </c>
      <c r="Y258" s="49" t="b">
        <f t="shared" si="78"/>
        <v>0</v>
      </c>
      <c r="Z258" s="57" t="e">
        <f>IF(Y258="","",IF(I$8="A",(RANK(Y258,Y$11:Y$355,1)+COUNTIF(Y$11:Y258,Y258)-1),(RANK(Y258,Y$11:Y$355)+COUNTIF(Y$11:Y258,Y258)-1)))</f>
        <v>#N/A</v>
      </c>
      <c r="AA258" s="231" t="str">
        <f>IF(L258="","",VLOOKUP($L258,classifications!C:I,7,FALSE))</f>
        <v/>
      </c>
      <c r="AB258" s="225" t="str">
        <f t="shared" si="87"/>
        <v/>
      </c>
      <c r="AC258" s="225" t="str">
        <f>IF(AB258="","",IF($I$8="A",(RANK(AB258,AB$11:AB$355)+COUNTIF(AB$11:AB258,AB258)-1),(RANK(AB258,AB$11:AB$355,1)+COUNTIF(AB$11:AB258,AB258)-1)))</f>
        <v/>
      </c>
      <c r="AD258" s="225"/>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HLOOKUP($AX$9&amp;$AX$10,Data!$A$1:$ZZ$1992,(MATCH($C258,Data!$A$1:$A$1992,0)),FALSE)</f>
        <v>9.4E-2</v>
      </c>
      <c r="AY258" s="156"/>
      <c r="AZ258" s="44"/>
    </row>
    <row r="259" spans="1:52">
      <c r="A259" s="84" t="str">
        <f>$D$1&amp;249</f>
        <v>SC249</v>
      </c>
      <c r="B259" s="85">
        <f>IF(ISERROR(VLOOKUP(A259,classifications!A:C,3,FALSE)),0,VLOOKUP(A259,classifications!A:C,3,FALSE))</f>
        <v>0</v>
      </c>
      <c r="C259" s="31" t="s">
        <v>327</v>
      </c>
      <c r="D259" s="49" t="str">
        <f>VLOOKUP($C259,classifications!$C:$J,4,FALSE)</f>
        <v>SC</v>
      </c>
      <c r="E259" s="49">
        <f>VLOOKUP(C259,classifications!C:K,9,FALSE)</f>
        <v>0</v>
      </c>
      <c r="F259" s="59" t="str">
        <f t="shared" si="72"/>
        <v>-</v>
      </c>
      <c r="G259" s="105"/>
      <c r="H259" s="60" t="str">
        <f t="shared" si="73"/>
        <v>-</v>
      </c>
      <c r="I259" s="112" t="e">
        <f>IF(H259="","",IF($I$8="A",(RANK(H259,H$11:H$355,1)+COUNTIF(H$11:H259,H259)-1),(RANK(H259,H$11:H$355)+COUNTIF(H$11:H259,H259)-1)))</f>
        <v>#VALUE!</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17" t="str">
        <f>IF(L259="","",VLOOKUP(L259,classifications!C:K,9,FALSE))</f>
        <v/>
      </c>
      <c r="U259" s="224" t="str">
        <f t="shared" si="77"/>
        <v/>
      </c>
      <c r="V259" s="225" t="str">
        <f>IF(U259="","",IF($I$8="A",(RANK(U259,U$11:U$355)+COUNTIF(U$11:U259,U259)-1),(RANK(U259,U$11:U$355,1)+COUNTIF(U$11:U259,U259)-1)))</f>
        <v/>
      </c>
      <c r="W259" s="226"/>
      <c r="X259" s="61" t="str">
        <f>IF(L259="","",VLOOKUP($L259,classifications!$C:$J,6,FALSE))</f>
        <v/>
      </c>
      <c r="Y259" s="49" t="b">
        <f t="shared" si="78"/>
        <v>0</v>
      </c>
      <c r="Z259" s="57" t="e">
        <f>IF(Y259="","",IF(I$8="A",(RANK(Y259,Y$11:Y$355,1)+COUNTIF(Y$11:Y259,Y259)-1),(RANK(Y259,Y$11:Y$355)+COUNTIF(Y$11:Y259,Y259)-1)))</f>
        <v>#N/A</v>
      </c>
      <c r="AA259" s="231" t="str">
        <f>IF(L259="","",VLOOKUP($L259,classifications!C:I,7,FALSE))</f>
        <v/>
      </c>
      <c r="AB259" s="225" t="str">
        <f t="shared" si="87"/>
        <v/>
      </c>
      <c r="AC259" s="225" t="str">
        <f>IF(AB259="","",IF($I$8="A",(RANK(AB259,AB$11:AB$355)+COUNTIF(AB$11:AB259,AB259)-1),(RANK(AB259,AB$11:AB$355,1)+COUNTIF(AB$11:AB259,AB259)-1)))</f>
        <v/>
      </c>
      <c r="AD259" s="225"/>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HLOOKUP($AX$9&amp;$AX$10,Data!$A$1:$ZZ$1992,(MATCH($C259,Data!$A$1:$A$1992,0)),FALSE)</f>
        <v>-</v>
      </c>
      <c r="AY259" s="156"/>
      <c r="AZ259" s="44"/>
    </row>
    <row r="260" spans="1:52">
      <c r="A260" s="84" t="str">
        <f>$D$1&amp;250</f>
        <v>SC250</v>
      </c>
      <c r="B260" s="85">
        <f>IF(ISERROR(VLOOKUP(A260,classifications!A:C,3,FALSE)),0,VLOOKUP(A260,classifications!A:C,3,FALSE))</f>
        <v>0</v>
      </c>
      <c r="C260" s="31" t="s">
        <v>138</v>
      </c>
      <c r="D260" s="49" t="str">
        <f>VLOOKUP($C260,classifications!$C:$J,4,FALSE)</f>
        <v>SD</v>
      </c>
      <c r="E260" s="49">
        <f>VLOOKUP(C260,classifications!C:K,9,FALSE)</f>
        <v>0</v>
      </c>
      <c r="F260" s="59">
        <f t="shared" si="72"/>
        <v>0</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17" t="str">
        <f>IF(L260="","",VLOOKUP(L260,classifications!C:K,9,FALSE))</f>
        <v/>
      </c>
      <c r="U260" s="224" t="str">
        <f t="shared" si="77"/>
        <v/>
      </c>
      <c r="V260" s="225" t="str">
        <f>IF(U260="","",IF($I$8="A",(RANK(U260,U$11:U$355)+COUNTIF(U$11:U260,U260)-1),(RANK(U260,U$11:U$355,1)+COUNTIF(U$11:U260,U260)-1)))</f>
        <v/>
      </c>
      <c r="W260" s="226"/>
      <c r="X260" s="61" t="str">
        <f>IF(L260="","",VLOOKUP($L260,classifications!$C:$J,6,FALSE))</f>
        <v/>
      </c>
      <c r="Y260" s="49" t="b">
        <f t="shared" si="78"/>
        <v>0</v>
      </c>
      <c r="Z260" s="57" t="e">
        <f>IF(Y260="","",IF(I$8="A",(RANK(Y260,Y$11:Y$355,1)+COUNTIF(Y$11:Y260,Y260)-1),(RANK(Y260,Y$11:Y$355)+COUNTIF(Y$11:Y260,Y260)-1)))</f>
        <v>#N/A</v>
      </c>
      <c r="AA260" s="231" t="str">
        <f>IF(L260="","",VLOOKUP($L260,classifications!C:I,7,FALSE))</f>
        <v/>
      </c>
      <c r="AB260" s="225" t="str">
        <f t="shared" si="87"/>
        <v/>
      </c>
      <c r="AC260" s="225" t="str">
        <f>IF(AB260="","",IF($I$8="A",(RANK(AB260,AB$11:AB$355)+COUNTIF(AB$11:AB260,AB260)-1),(RANK(AB260,AB$11:AB$355,1)+COUNTIF(AB$11:AB260,AB260)-1)))</f>
        <v/>
      </c>
      <c r="AD260" s="225"/>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HLOOKUP($AX$9&amp;$AX$10,Data!$A$1:$ZZ$1992,(MATCH($C260,Data!$A$1:$A$1992,0)),FALSE)</f>
        <v>0</v>
      </c>
      <c r="AY260" s="156"/>
      <c r="AZ260" s="44"/>
    </row>
    <row r="261" spans="1:52">
      <c r="A261" s="84" t="str">
        <f>$D$1&amp;251</f>
        <v>SC251</v>
      </c>
      <c r="B261" s="85">
        <f>IF(ISERROR(VLOOKUP(A261,classifications!A:C,3,FALSE)),0,VLOOKUP(A261,classifications!A:C,3,FALSE))</f>
        <v>0</v>
      </c>
      <c r="C261" s="31" t="s">
        <v>139</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17" t="str">
        <f>IF(L261="","",VLOOKUP(L261,classifications!C:K,9,FALSE))</f>
        <v/>
      </c>
      <c r="U261" s="224" t="str">
        <f t="shared" si="77"/>
        <v/>
      </c>
      <c r="V261" s="225" t="str">
        <f>IF(U261="","",IF($I$8="A",(RANK(U261,U$11:U$355)+COUNTIF(U$11:U261,U261)-1),(RANK(U261,U$11:U$355,1)+COUNTIF(U$11:U261,U261)-1)))</f>
        <v/>
      </c>
      <c r="W261" s="226"/>
      <c r="X261" s="61" t="str">
        <f>IF(L261="","",VLOOKUP($L261,classifications!$C:$J,6,FALSE))</f>
        <v/>
      </c>
      <c r="Y261" s="49" t="b">
        <f t="shared" si="78"/>
        <v>0</v>
      </c>
      <c r="Z261" s="57" t="e">
        <f>IF(Y261="","",IF(I$8="A",(RANK(Y261,Y$11:Y$355,1)+COUNTIF(Y$11:Y261,Y261)-1),(RANK(Y261,Y$11:Y$355)+COUNTIF(Y$11:Y261,Y261)-1)))</f>
        <v>#N/A</v>
      </c>
      <c r="AA261" s="231" t="str">
        <f>IF(L261="","",VLOOKUP($L261,classifications!C:I,7,FALSE))</f>
        <v/>
      </c>
      <c r="AB261" s="225" t="str">
        <f t="shared" si="87"/>
        <v/>
      </c>
      <c r="AC261" s="225" t="str">
        <f>IF(AB261="","",IF($I$8="A",(RANK(AB261,AB$11:AB$355)+COUNTIF(AB$11:AB261,AB261)-1),(RANK(AB261,AB$11:AB$355,1)+COUNTIF(AB$11:AB261,AB261)-1)))</f>
        <v/>
      </c>
      <c r="AD261" s="225"/>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HLOOKUP($AX$9&amp;$AX$10,Data!$A$1:$ZZ$1992,(MATCH($C261,Data!$A$1:$A$1992,0)),FALSE)</f>
        <v>-</v>
      </c>
      <c r="AY261" s="156"/>
      <c r="AZ261" s="44"/>
    </row>
    <row r="262" spans="1:52">
      <c r="A262" s="84" t="str">
        <f>$D$1&amp;252</f>
        <v>SC252</v>
      </c>
      <c r="B262" s="85">
        <f>IF(ISERROR(VLOOKUP(A262,classifications!A:C,3,FALSE)),0,VLOOKUP(A262,classifications!A:C,3,FALSE))</f>
        <v>0</v>
      </c>
      <c r="C262" s="31" t="s">
        <v>140</v>
      </c>
      <c r="D262" s="49" t="str">
        <f>VLOOKUP($C262,classifications!$C:$J,4,FALSE)</f>
        <v>SD</v>
      </c>
      <c r="E262" s="49" t="str">
        <f>VLOOKUP(C262,classifications!C:K,9,FALSE)</f>
        <v>Sparse</v>
      </c>
      <c r="F262" s="59">
        <f t="shared" si="72"/>
        <v>0</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17" t="str">
        <f>IF(L262="","",VLOOKUP(L262,classifications!C:K,9,FALSE))</f>
        <v/>
      </c>
      <c r="U262" s="224" t="str">
        <f t="shared" si="77"/>
        <v/>
      </c>
      <c r="V262" s="225" t="str">
        <f>IF(U262="","",IF($I$8="A",(RANK(U262,U$11:U$355)+COUNTIF(U$11:U262,U262)-1),(RANK(U262,U$11:U$355,1)+COUNTIF(U$11:U262,U262)-1)))</f>
        <v/>
      </c>
      <c r="W262" s="226"/>
      <c r="X262" s="61" t="str">
        <f>IF(L262="","",VLOOKUP($L262,classifications!$C:$J,6,FALSE))</f>
        <v/>
      </c>
      <c r="Y262" s="49" t="b">
        <f t="shared" si="78"/>
        <v>0</v>
      </c>
      <c r="Z262" s="57" t="e">
        <f>IF(Y262="","",IF(I$8="A",(RANK(Y262,Y$11:Y$355,1)+COUNTIF(Y$11:Y262,Y262)-1),(RANK(Y262,Y$11:Y$355)+COUNTIF(Y$11:Y262,Y262)-1)))</f>
        <v>#N/A</v>
      </c>
      <c r="AA262" s="231" t="str">
        <f>IF(L262="","",VLOOKUP($L262,classifications!C:I,7,FALSE))</f>
        <v/>
      </c>
      <c r="AB262" s="225" t="str">
        <f t="shared" si="87"/>
        <v/>
      </c>
      <c r="AC262" s="225" t="str">
        <f>IF(AB262="","",IF($I$8="A",(RANK(AB262,AB$11:AB$355)+COUNTIF(AB$11:AB262,AB262)-1),(RANK(AB262,AB$11:AB$355,1)+COUNTIF(AB$11:AB262,AB262)-1)))</f>
        <v/>
      </c>
      <c r="AD262" s="225"/>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HLOOKUP($AX$9&amp;$AX$10,Data!$A$1:$ZZ$1992,(MATCH($C262,Data!$A$1:$A$1992,0)),FALSE)</f>
        <v>0</v>
      </c>
      <c r="AY262" s="156"/>
      <c r="AZ262" s="44"/>
    </row>
    <row r="263" spans="1:52">
      <c r="A263" s="84" t="str">
        <f>$D$1&amp;253</f>
        <v>SC253</v>
      </c>
      <c r="B263" s="85">
        <f>IF(ISERROR(VLOOKUP(A263,classifications!A:C,3,FALSE)),0,VLOOKUP(A263,classifications!A:C,3,FALSE))</f>
        <v>0</v>
      </c>
      <c r="C263" s="31" t="s">
        <v>288</v>
      </c>
      <c r="D263" s="49" t="str">
        <f>VLOOKUP($C263,classifications!$C:$J,4,FALSE)</f>
        <v>UA</v>
      </c>
      <c r="E263" s="49">
        <f>VLOOKUP(C263,classifications!C:K,9,FALSE)</f>
        <v>0</v>
      </c>
      <c r="F263" s="59">
        <f t="shared" si="72"/>
        <v>0.11899999999999999</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17" t="str">
        <f>IF(L263="","",VLOOKUP(L263,classifications!C:K,9,FALSE))</f>
        <v/>
      </c>
      <c r="U263" s="224" t="str">
        <f t="shared" si="77"/>
        <v/>
      </c>
      <c r="V263" s="225" t="str">
        <f>IF(U263="","",IF($I$8="A",(RANK(U263,U$11:U$355)+COUNTIF(U$11:U263,U263)-1),(RANK(U263,U$11:U$355,1)+COUNTIF(U$11:U263,U263)-1)))</f>
        <v/>
      </c>
      <c r="W263" s="226"/>
      <c r="X263" s="61" t="str">
        <f>IF(L263="","",VLOOKUP($L263,classifications!$C:$J,6,FALSE))</f>
        <v/>
      </c>
      <c r="Y263" s="49" t="b">
        <f t="shared" si="78"/>
        <v>0</v>
      </c>
      <c r="Z263" s="57" t="e">
        <f>IF(Y263="","",IF(I$8="A",(RANK(Y263,Y$11:Y$355,1)+COUNTIF(Y$11:Y263,Y263)-1),(RANK(Y263,Y$11:Y$355)+COUNTIF(Y$11:Y263,Y263)-1)))</f>
        <v>#N/A</v>
      </c>
      <c r="AA263" s="231" t="str">
        <f>IF(L263="","",VLOOKUP($L263,classifications!C:I,7,FALSE))</f>
        <v/>
      </c>
      <c r="AB263" s="225" t="str">
        <f t="shared" si="87"/>
        <v/>
      </c>
      <c r="AC263" s="225" t="str">
        <f>IF(AB263="","",IF($I$8="A",(RANK(AB263,AB$11:AB$355)+COUNTIF(AB$11:AB263,AB263)-1),(RANK(AB263,AB$11:AB$355,1)+COUNTIF(AB$11:AB263,AB263)-1)))</f>
        <v/>
      </c>
      <c r="AD263" s="225"/>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HLOOKUP($AX$9&amp;$AX$10,Data!$A$1:$ZZ$1992,(MATCH($C263,Data!$A$1:$A$1992,0)),FALSE)</f>
        <v>0.11899999999999999</v>
      </c>
      <c r="AY263" s="156"/>
      <c r="AZ263" s="44"/>
    </row>
    <row r="264" spans="1:52">
      <c r="A264" s="84" t="str">
        <f>$D$1&amp;254</f>
        <v>SC254</v>
      </c>
      <c r="B264" s="85">
        <f>IF(ISERROR(VLOOKUP(A264,classifications!A:C,3,FALSE)),0,VLOOKUP(A264,classifications!A:C,3,FALSE))</f>
        <v>0</v>
      </c>
      <c r="C264" s="31" t="s">
        <v>141</v>
      </c>
      <c r="D264" s="49" t="str">
        <f>VLOOKUP($C264,classifications!$C:$J,4,FALSE)</f>
        <v>SD</v>
      </c>
      <c r="E264" s="49" t="str">
        <f>VLOOKUP(C264,classifications!C:K,9,FALSE)</f>
        <v>Sparse</v>
      </c>
      <c r="F264" s="59">
        <f t="shared" si="72"/>
        <v>0</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17" t="str">
        <f>IF(L264="","",VLOOKUP(L264,classifications!C:K,9,FALSE))</f>
        <v/>
      </c>
      <c r="U264" s="224" t="str">
        <f t="shared" si="77"/>
        <v/>
      </c>
      <c r="V264" s="225" t="str">
        <f>IF(U264="","",IF($I$8="A",(RANK(U264,U$11:U$355)+COUNTIF(U$11:U264,U264)-1),(RANK(U264,U$11:U$355,1)+COUNTIF(U$11:U264,U264)-1)))</f>
        <v/>
      </c>
      <c r="W264" s="226"/>
      <c r="X264" s="61" t="str">
        <f>IF(L264="","",VLOOKUP($L264,classifications!$C:$J,6,FALSE))</f>
        <v/>
      </c>
      <c r="Y264" s="49" t="b">
        <f t="shared" si="78"/>
        <v>0</v>
      </c>
      <c r="Z264" s="57" t="e">
        <f>IF(Y264="","",IF(I$8="A",(RANK(Y264,Y$11:Y$355,1)+COUNTIF(Y$11:Y264,Y264)-1),(RANK(Y264,Y$11:Y$355)+COUNTIF(Y$11:Y264,Y264)-1)))</f>
        <v>#N/A</v>
      </c>
      <c r="AA264" s="231" t="str">
        <f>IF(L264="","",VLOOKUP($L264,classifications!C:I,7,FALSE))</f>
        <v/>
      </c>
      <c r="AB264" s="225" t="str">
        <f t="shared" si="87"/>
        <v/>
      </c>
      <c r="AC264" s="225" t="str">
        <f>IF(AB264="","",IF($I$8="A",(RANK(AB264,AB$11:AB$355)+COUNTIF(AB$11:AB264,AB264)-1),(RANK(AB264,AB$11:AB$355,1)+COUNTIF(AB$11:AB264,AB264)-1)))</f>
        <v/>
      </c>
      <c r="AD264" s="225"/>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HLOOKUP($AX$9&amp;$AX$10,Data!$A$1:$ZZ$1992,(MATCH($C264,Data!$A$1:$A$1992,0)),FALSE)</f>
        <v>0</v>
      </c>
      <c r="AY264" s="156"/>
      <c r="AZ264" s="44"/>
    </row>
    <row r="265" spans="1:52">
      <c r="A265" s="84" t="str">
        <f>$D$1&amp;255</f>
        <v>SC255</v>
      </c>
      <c r="B265" s="85">
        <f>IF(ISERROR(VLOOKUP(A265,classifications!A:C,3,FALSE)),0,VLOOKUP(A265,classifications!A:C,3,FALSE))</f>
        <v>0</v>
      </c>
      <c r="C265" s="31" t="s">
        <v>142</v>
      </c>
      <c r="D265" s="49" t="str">
        <f>VLOOKUP($C265,classifications!$C:$J,4,FALSE)</f>
        <v>SD</v>
      </c>
      <c r="E265" s="49" t="str">
        <f>VLOOKUP(C265,classifications!C:K,9,FALSE)</f>
        <v>Sparse</v>
      </c>
      <c r="F265" s="59">
        <f t="shared" si="72"/>
        <v>0</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17" t="str">
        <f>IF(L265="","",VLOOKUP(L265,classifications!C:K,9,FALSE))</f>
        <v/>
      </c>
      <c r="U265" s="224" t="str">
        <f t="shared" si="77"/>
        <v/>
      </c>
      <c r="V265" s="225" t="str">
        <f>IF(U265="","",IF($I$8="A",(RANK(U265,U$11:U$355)+COUNTIF(U$11:U265,U265)-1),(RANK(U265,U$11:U$355,1)+COUNTIF(U$11:U265,U265)-1)))</f>
        <v/>
      </c>
      <c r="W265" s="226"/>
      <c r="X265" s="61" t="str">
        <f>IF(L265="","",VLOOKUP($L265,classifications!$C:$J,6,FALSE))</f>
        <v/>
      </c>
      <c r="Y265" s="49" t="b">
        <f t="shared" si="78"/>
        <v>0</v>
      </c>
      <c r="Z265" s="57" t="e">
        <f>IF(Y265="","",IF(I$8="A",(RANK(Y265,Y$11:Y$355,1)+COUNTIF(Y$11:Y265,Y265)-1),(RANK(Y265,Y$11:Y$355)+COUNTIF(Y$11:Y265,Y265)-1)))</f>
        <v>#N/A</v>
      </c>
      <c r="AA265" s="231" t="str">
        <f>IF(L265="","",VLOOKUP($L265,classifications!C:I,7,FALSE))</f>
        <v/>
      </c>
      <c r="AB265" s="225" t="str">
        <f t="shared" si="87"/>
        <v/>
      </c>
      <c r="AC265" s="225" t="str">
        <f>IF(AB265="","",IF($I$8="A",(RANK(AB265,AB$11:AB$355)+COUNTIF(AB$11:AB265,AB265)-1),(RANK(AB265,AB$11:AB$355,1)+COUNTIF(AB$11:AB265,AB265)-1)))</f>
        <v/>
      </c>
      <c r="AD265" s="225"/>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HLOOKUP($AX$9&amp;$AX$10,Data!$A$1:$ZZ$1992,(MATCH($C265,Data!$A$1:$A$1992,0)),FALSE)</f>
        <v>0</v>
      </c>
      <c r="AY265" s="156"/>
      <c r="AZ265" s="44"/>
    </row>
    <row r="266" spans="1:52">
      <c r="A266" s="84" t="str">
        <f>$D$1&amp;256</f>
        <v>SC256</v>
      </c>
      <c r="B266" s="85">
        <f>IF(ISERROR(VLOOKUP(A266,classifications!A:C,3,FALSE)),0,VLOOKUP(A266,classifications!A:C,3,FALSE))</f>
        <v>0</v>
      </c>
      <c r="C266" s="31" t="s">
        <v>143</v>
      </c>
      <c r="D266" s="49" t="str">
        <f>VLOOKUP($C266,classifications!$C:$J,4,FALSE)</f>
        <v>SD</v>
      </c>
      <c r="E266" s="49" t="str">
        <f>VLOOKUP(C266,classifications!C:K,9,FALSE)</f>
        <v>Sparse</v>
      </c>
      <c r="F266" s="59">
        <f t="shared" si="72"/>
        <v>0</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17" t="str">
        <f>IF(L266="","",VLOOKUP(L266,classifications!C:K,9,FALSE))</f>
        <v/>
      </c>
      <c r="U266" s="224" t="str">
        <f t="shared" si="77"/>
        <v/>
      </c>
      <c r="V266" s="225" t="str">
        <f>IF(U266="","",IF($I$8="A",(RANK(U266,U$11:U$355)+COUNTIF(U$11:U266,U266)-1),(RANK(U266,U$11:U$355,1)+COUNTIF(U$11:U266,U266)-1)))</f>
        <v/>
      </c>
      <c r="W266" s="226"/>
      <c r="X266" s="61" t="str">
        <f>IF(L266="","",VLOOKUP($L266,classifications!$C:$J,6,FALSE))</f>
        <v/>
      </c>
      <c r="Y266" s="49" t="b">
        <f t="shared" si="78"/>
        <v>0</v>
      </c>
      <c r="Z266" s="57" t="e">
        <f>IF(Y266="","",IF(I$8="A",(RANK(Y266,Y$11:Y$355,1)+COUNTIF(Y$11:Y266,Y266)-1),(RANK(Y266,Y$11:Y$355)+COUNTIF(Y$11:Y266,Y266)-1)))</f>
        <v>#N/A</v>
      </c>
      <c r="AA266" s="231" t="str">
        <f>IF(L266="","",VLOOKUP($L266,classifications!C:I,7,FALSE))</f>
        <v/>
      </c>
      <c r="AB266" s="225" t="str">
        <f t="shared" si="87"/>
        <v/>
      </c>
      <c r="AC266" s="225" t="str">
        <f>IF(AB266="","",IF($I$8="A",(RANK(AB266,AB$11:AB$355)+COUNTIF(AB$11:AB266,AB266)-1),(RANK(AB266,AB$11:AB$355,1)+COUNTIF(AB$11:AB266,AB266)-1)))</f>
        <v/>
      </c>
      <c r="AD266" s="225"/>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HLOOKUP($AX$9&amp;$AX$10,Data!$A$1:$ZZ$1992,(MATCH($C266,Data!$A$1:$A$1992,0)),FALSE)</f>
        <v>0</v>
      </c>
      <c r="AY266" s="156"/>
      <c r="AZ266" s="44"/>
    </row>
    <row r="267" spans="1:52">
      <c r="A267" s="84" t="str">
        <f>$D$1&amp;257</f>
        <v>SC257</v>
      </c>
      <c r="B267" s="85">
        <f>IF(ISERROR(VLOOKUP(A267,classifications!A:C,3,FALSE)),0,VLOOKUP(A267,classifications!A:C,3,FALSE))</f>
        <v>0</v>
      </c>
      <c r="C267" s="31" t="s">
        <v>144</v>
      </c>
      <c r="D267" s="49" t="str">
        <f>VLOOKUP($C267,classifications!$C:$J,4,FALSE)</f>
        <v>SD</v>
      </c>
      <c r="E267" s="49" t="str">
        <f>VLOOKUP(C267,classifications!C:K,9,FALSE)</f>
        <v>Sparse</v>
      </c>
      <c r="F267" s="59">
        <f t="shared" ref="F267:F330" si="96">HLOOKUP($D$6,AX$10:ZX$355,ROW()-9,FALSE)</f>
        <v>0</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17" t="str">
        <f>IF(L267="","",VLOOKUP(L267,classifications!C:K,9,FALSE))</f>
        <v/>
      </c>
      <c r="U267" s="224" t="str">
        <f t="shared" ref="U267:U330" si="101">IF(T267="Sparse",M267,"")</f>
        <v/>
      </c>
      <c r="V267" s="225" t="str">
        <f>IF(U267="","",IF($I$8="A",(RANK(U267,U$11:U$355)+COUNTIF(U$11:U267,U267)-1),(RANK(U267,U$11:U$355,1)+COUNTIF(U$11:U267,U267)-1)))</f>
        <v/>
      </c>
      <c r="W267" s="226"/>
      <c r="X267" s="61" t="str">
        <f>IF(L267="","",VLOOKUP($L267,classifications!$C:$J,6,FALSE))</f>
        <v/>
      </c>
      <c r="Y267" s="49" t="b">
        <f t="shared" ref="Y267:Y330" si="102">IF($D$1="UA",IF(X267="Largely Rural (rural including hub towns 50-79%) ",M267,IF(X267="Mainly Rural (rural including hub towns &gt;=80%) ",M267,IF(X267="Urban with Significant Rural (rural including hub towns 26-49%)",M267,""))),IF($D$1="SD",IF(X267=$H$3,M267,"")))</f>
        <v>0</v>
      </c>
      <c r="Z267" s="57" t="e">
        <f>IF(Y267="","",IF(I$8="A",(RANK(Y267,Y$11:Y$355,1)+COUNTIF(Y$11:Y267,Y267)-1),(RANK(Y267,Y$11:Y$355)+COUNTIF(Y$11:Y267,Y267)-1)))</f>
        <v>#N/A</v>
      </c>
      <c r="AA267" s="231" t="str">
        <f>IF(L267="","",VLOOKUP($L267,classifications!C:I,7,FALSE))</f>
        <v/>
      </c>
      <c r="AB267" s="225" t="str">
        <f t="shared" si="87"/>
        <v/>
      </c>
      <c r="AC267" s="225" t="str">
        <f>IF(AB267="","",IF($I$8="A",(RANK(AB267,AB$11:AB$355)+COUNTIF(AB$11:AB267,AB267)-1),(RANK(AB267,AB$11:AB$355,1)+COUNTIF(AB$11:AB267,AB267)-1)))</f>
        <v/>
      </c>
      <c r="AD267" s="225"/>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HLOOKUP($AX$9&amp;$AX$10,Data!$A$1:$ZZ$1992,(MATCH($C267,Data!$A$1:$A$1992,0)),FALSE)</f>
        <v>0</v>
      </c>
      <c r="AY267" s="156"/>
      <c r="AZ267" s="44"/>
    </row>
    <row r="268" spans="1:52">
      <c r="A268" s="84" t="str">
        <f>$D$1&amp;258</f>
        <v>SC258</v>
      </c>
      <c r="B268" s="85">
        <f>IF(ISERROR(VLOOKUP(A268,classifications!A:C,3,FALSE)),0,VLOOKUP(A268,classifications!A:C,3,FALSE))</f>
        <v>0</v>
      </c>
      <c r="C268" s="31" t="s">
        <v>145</v>
      </c>
      <c r="D268" s="49" t="str">
        <f>VLOOKUP($C268,classifications!$C:$J,4,FALSE)</f>
        <v>SD</v>
      </c>
      <c r="E268" s="49" t="str">
        <f>VLOOKUP(C268,classifications!C:K,9,FALSE)</f>
        <v>Sparse</v>
      </c>
      <c r="F268" s="59">
        <f t="shared" si="96"/>
        <v>0</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17" t="str">
        <f>IF(L268="","",VLOOKUP(L268,classifications!C:K,9,FALSE))</f>
        <v/>
      </c>
      <c r="U268" s="224" t="str">
        <f t="shared" si="101"/>
        <v/>
      </c>
      <c r="V268" s="225" t="str">
        <f>IF(U268="","",IF($I$8="A",(RANK(U268,U$11:U$355)+COUNTIF(U$11:U268,U268)-1),(RANK(U268,U$11:U$355,1)+COUNTIF(U$11:U268,U268)-1)))</f>
        <v/>
      </c>
      <c r="W268" s="226"/>
      <c r="X268" s="61" t="str">
        <f>IF(L268="","",VLOOKUP($L268,classifications!$C:$J,6,FALSE))</f>
        <v/>
      </c>
      <c r="Y268" s="49" t="b">
        <f t="shared" si="102"/>
        <v>0</v>
      </c>
      <c r="Z268" s="57" t="e">
        <f>IF(Y268="","",IF(I$8="A",(RANK(Y268,Y$11:Y$355,1)+COUNTIF(Y$11:Y268,Y268)-1),(RANK(Y268,Y$11:Y$355)+COUNTIF(Y$11:Y268,Y268)-1)))</f>
        <v>#N/A</v>
      </c>
      <c r="AA268" s="231" t="str">
        <f>IF(L268="","",VLOOKUP($L268,classifications!C:I,7,FALSE))</f>
        <v/>
      </c>
      <c r="AB268" s="225" t="str">
        <f t="shared" ref="AB268:AB331" si="111">IF(AA268=$J$3,M268,"")</f>
        <v/>
      </c>
      <c r="AC268" s="225" t="str">
        <f>IF(AB268="","",IF($I$8="A",(RANK(AB268,AB$11:AB$355)+COUNTIF(AB$11:AB268,AB268)-1),(RANK(AB268,AB$11:AB$355,1)+COUNTIF(AB$11:AB268,AB268)-1)))</f>
        <v/>
      </c>
      <c r="AD268" s="225"/>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HLOOKUP($AX$9&amp;$AX$10,Data!$A$1:$ZZ$1992,(MATCH($C268,Data!$A$1:$A$1992,0)),FALSE)</f>
        <v>0</v>
      </c>
      <c r="AY268" s="156"/>
      <c r="AZ268" s="44"/>
    </row>
    <row r="269" spans="1:52">
      <c r="A269" s="84" t="str">
        <f>$D$1&amp;259</f>
        <v>SC259</v>
      </c>
      <c r="B269" s="85">
        <f>IF(ISERROR(VLOOKUP(A269,classifications!A:C,3,FALSE)),0,VLOOKUP(A269,classifications!A:C,3,FALSE))</f>
        <v>0</v>
      </c>
      <c r="C269" s="31" t="s">
        <v>146</v>
      </c>
      <c r="D269" s="49" t="str">
        <f>VLOOKUP($C269,classifications!$C:$J,4,FALSE)</f>
        <v>SD</v>
      </c>
      <c r="E269" s="49" t="str">
        <f>VLOOKUP(C269,classifications!C:K,9,FALSE)</f>
        <v>Sparse</v>
      </c>
      <c r="F269" s="59">
        <f t="shared" si="96"/>
        <v>0</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17" t="str">
        <f>IF(L269="","",VLOOKUP(L269,classifications!C:K,9,FALSE))</f>
        <v/>
      </c>
      <c r="U269" s="224" t="str">
        <f t="shared" si="101"/>
        <v/>
      </c>
      <c r="V269" s="225" t="str">
        <f>IF(U269="","",IF($I$8="A",(RANK(U269,U$11:U$355)+COUNTIF(U$11:U269,U269)-1),(RANK(U269,U$11:U$355,1)+COUNTIF(U$11:U269,U269)-1)))</f>
        <v/>
      </c>
      <c r="W269" s="226"/>
      <c r="X269" s="61" t="str">
        <f>IF(L269="","",VLOOKUP($L269,classifications!$C:$J,6,FALSE))</f>
        <v/>
      </c>
      <c r="Y269" s="49" t="b">
        <f t="shared" si="102"/>
        <v>0</v>
      </c>
      <c r="Z269" s="57" t="e">
        <f>IF(Y269="","",IF(I$8="A",(RANK(Y269,Y$11:Y$355,1)+COUNTIF(Y$11:Y269,Y269)-1),(RANK(Y269,Y$11:Y$355)+COUNTIF(Y$11:Y269,Y269)-1)))</f>
        <v>#N/A</v>
      </c>
      <c r="AA269" s="231" t="str">
        <f>IF(L269="","",VLOOKUP($L269,classifications!C:I,7,FALSE))</f>
        <v/>
      </c>
      <c r="AB269" s="225" t="str">
        <f t="shared" si="111"/>
        <v/>
      </c>
      <c r="AC269" s="225" t="str">
        <f>IF(AB269="","",IF($I$8="A",(RANK(AB269,AB$11:AB$355)+COUNTIF(AB$11:AB269,AB269)-1),(RANK(AB269,AB$11:AB$355,1)+COUNTIF(AB$11:AB269,AB269)-1)))</f>
        <v/>
      </c>
      <c r="AD269" s="225"/>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HLOOKUP($AX$9&amp;$AX$10,Data!$A$1:$ZZ$1992,(MATCH($C269,Data!$A$1:$A$1992,0)),FALSE)</f>
        <v>0</v>
      </c>
      <c r="AY269" s="156"/>
      <c r="AZ269" s="44"/>
    </row>
    <row r="270" spans="1:52">
      <c r="A270" s="84" t="str">
        <f>$D$1&amp;260</f>
        <v>SC260</v>
      </c>
      <c r="B270" s="85">
        <f>IF(ISERROR(VLOOKUP(A270,classifications!A:C,3,FALSE)),0,VLOOKUP(A270,classifications!A:C,3,FALSE))</f>
        <v>0</v>
      </c>
      <c r="C270" s="31" t="s">
        <v>147</v>
      </c>
      <c r="D270" s="49" t="str">
        <f>VLOOKUP($C270,classifications!$C:$J,4,FALSE)</f>
        <v>SD</v>
      </c>
      <c r="E270" s="49" t="str">
        <f>VLOOKUP(C270,classifications!C:K,9,FALSE)</f>
        <v>Sparse</v>
      </c>
      <c r="F270" s="59">
        <f t="shared" si="96"/>
        <v>0</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17" t="str">
        <f>IF(L270="","",VLOOKUP(L270,classifications!C:K,9,FALSE))</f>
        <v/>
      </c>
      <c r="U270" s="224" t="str">
        <f t="shared" si="101"/>
        <v/>
      </c>
      <c r="V270" s="225" t="str">
        <f>IF(U270="","",IF($I$8="A",(RANK(U270,U$11:U$355)+COUNTIF(U$11:U270,U270)-1),(RANK(U270,U$11:U$355,1)+COUNTIF(U$11:U270,U270)-1)))</f>
        <v/>
      </c>
      <c r="W270" s="226"/>
      <c r="X270" s="61" t="str">
        <f>IF(L270="","",VLOOKUP($L270,classifications!$C:$J,6,FALSE))</f>
        <v/>
      </c>
      <c r="Y270" s="49" t="b">
        <f t="shared" si="102"/>
        <v>0</v>
      </c>
      <c r="Z270" s="57" t="e">
        <f>IF(Y270="","",IF(I$8="A",(RANK(Y270,Y$11:Y$355,1)+COUNTIF(Y$11:Y270,Y270)-1),(RANK(Y270,Y$11:Y$355)+COUNTIF(Y$11:Y270,Y270)-1)))</f>
        <v>#N/A</v>
      </c>
      <c r="AA270" s="231" t="str">
        <f>IF(L270="","",VLOOKUP($L270,classifications!C:I,7,FALSE))</f>
        <v/>
      </c>
      <c r="AB270" s="225" t="str">
        <f t="shared" si="111"/>
        <v/>
      </c>
      <c r="AC270" s="225" t="str">
        <f>IF(AB270="","",IF($I$8="A",(RANK(AB270,AB$11:AB$355)+COUNTIF(AB$11:AB270,AB270)-1),(RANK(AB270,AB$11:AB$355,1)+COUNTIF(AB$11:AB270,AB270)-1)))</f>
        <v/>
      </c>
      <c r="AD270" s="225"/>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HLOOKUP($AX$9&amp;$AX$10,Data!$A$1:$ZZ$1992,(MATCH($C270,Data!$A$1:$A$1992,0)),FALSE)</f>
        <v>0</v>
      </c>
      <c r="AY270" s="156"/>
      <c r="AZ270" s="44"/>
    </row>
    <row r="271" spans="1:52">
      <c r="A271" s="84" t="str">
        <f>$D$1&amp;261</f>
        <v>SC261</v>
      </c>
      <c r="B271" s="85">
        <f>IF(ISERROR(VLOOKUP(A271,classifications!A:C,3,FALSE)),0,VLOOKUP(A271,classifications!A:C,3,FALSE))</f>
        <v>0</v>
      </c>
      <c r="C271" s="31" t="s">
        <v>148</v>
      </c>
      <c r="D271" s="49" t="str">
        <f>VLOOKUP($C271,classifications!$C:$J,4,FALSE)</f>
        <v>SD</v>
      </c>
      <c r="E271" s="49">
        <f>VLOOKUP(C271,classifications!C:K,9,FALSE)</f>
        <v>0</v>
      </c>
      <c r="F271" s="59">
        <f t="shared" si="96"/>
        <v>0</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17" t="str">
        <f>IF(L271="","",VLOOKUP(L271,classifications!C:K,9,FALSE))</f>
        <v/>
      </c>
      <c r="U271" s="224" t="str">
        <f t="shared" si="101"/>
        <v/>
      </c>
      <c r="V271" s="225" t="str">
        <f>IF(U271="","",IF($I$8="A",(RANK(U271,U$11:U$355)+COUNTIF(U$11:U271,U271)-1),(RANK(U271,U$11:U$355,1)+COUNTIF(U$11:U271,U271)-1)))</f>
        <v/>
      </c>
      <c r="W271" s="226"/>
      <c r="X271" s="61" t="str">
        <f>IF(L271="","",VLOOKUP($L271,classifications!$C:$J,6,FALSE))</f>
        <v/>
      </c>
      <c r="Y271" s="49" t="b">
        <f t="shared" si="102"/>
        <v>0</v>
      </c>
      <c r="Z271" s="57" t="e">
        <f>IF(Y271="","",IF(I$8="A",(RANK(Y271,Y$11:Y$355,1)+COUNTIF(Y$11:Y271,Y271)-1),(RANK(Y271,Y$11:Y$355)+COUNTIF(Y$11:Y271,Y271)-1)))</f>
        <v>#N/A</v>
      </c>
      <c r="AA271" s="231" t="str">
        <f>IF(L271="","",VLOOKUP($L271,classifications!C:I,7,FALSE))</f>
        <v/>
      </c>
      <c r="AB271" s="225" t="str">
        <f t="shared" si="111"/>
        <v/>
      </c>
      <c r="AC271" s="225" t="str">
        <f>IF(AB271="","",IF($I$8="A",(RANK(AB271,AB$11:AB$355)+COUNTIF(AB$11:AB271,AB271)-1),(RANK(AB271,AB$11:AB$355,1)+COUNTIF(AB$11:AB271,AB271)-1)))</f>
        <v/>
      </c>
      <c r="AD271" s="225"/>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HLOOKUP($AX$9&amp;$AX$10,Data!$A$1:$ZZ$1992,(MATCH($C271,Data!$A$1:$A$1992,0)),FALSE)</f>
        <v>0</v>
      </c>
      <c r="AY271" s="156"/>
      <c r="AZ271" s="44"/>
    </row>
    <row r="272" spans="1:52">
      <c r="A272" s="84" t="str">
        <f>$D$1&amp;262</f>
        <v>SC262</v>
      </c>
      <c r="B272" s="85">
        <f>IF(ISERROR(VLOOKUP(A272,classifications!A:C,3,FALSE)),0,VLOOKUP(A272,classifications!A:C,3,FALSE))</f>
        <v>0</v>
      </c>
      <c r="C272" s="31" t="s">
        <v>149</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17" t="str">
        <f>IF(L272="","",VLOOKUP(L272,classifications!C:K,9,FALSE))</f>
        <v/>
      </c>
      <c r="U272" s="224" t="str">
        <f t="shared" si="101"/>
        <v/>
      </c>
      <c r="V272" s="225" t="str">
        <f>IF(U272="","",IF($I$8="A",(RANK(U272,U$11:U$355)+COUNTIF(U$11:U272,U272)-1),(RANK(U272,U$11:U$355,1)+COUNTIF(U$11:U272,U272)-1)))</f>
        <v/>
      </c>
      <c r="W272" s="226"/>
      <c r="X272" s="61" t="str">
        <f>IF(L272="","",VLOOKUP($L272,classifications!$C:$J,6,FALSE))</f>
        <v/>
      </c>
      <c r="Y272" s="49" t="b">
        <f t="shared" si="102"/>
        <v>0</v>
      </c>
      <c r="Z272" s="57" t="e">
        <f>IF(Y272="","",IF(I$8="A",(RANK(Y272,Y$11:Y$355,1)+COUNTIF(Y$11:Y272,Y272)-1),(RANK(Y272,Y$11:Y$355)+COUNTIF(Y$11:Y272,Y272)-1)))</f>
        <v>#N/A</v>
      </c>
      <c r="AA272" s="231" t="str">
        <f>IF(L272="","",VLOOKUP($L272,classifications!C:I,7,FALSE))</f>
        <v/>
      </c>
      <c r="AB272" s="225" t="str">
        <f t="shared" si="111"/>
        <v/>
      </c>
      <c r="AC272" s="225" t="str">
        <f>IF(AB272="","",IF($I$8="A",(RANK(AB272,AB$11:AB$355)+COUNTIF(AB$11:AB272,AB272)-1),(RANK(AB272,AB$11:AB$355,1)+COUNTIF(AB$11:AB272,AB272)-1)))</f>
        <v/>
      </c>
      <c r="AD272" s="225"/>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HLOOKUP($AX$9&amp;$AX$10,Data!$A$1:$ZZ$1992,(MATCH($C272,Data!$A$1:$A$1992,0)),FALSE)</f>
        <v>-</v>
      </c>
      <c r="AY272" s="156"/>
      <c r="AZ272" s="44"/>
    </row>
    <row r="273" spans="1:52">
      <c r="A273" s="84" t="str">
        <f>$D$1&amp;263</f>
        <v>SC263</v>
      </c>
      <c r="B273" s="85">
        <f>IF(ISERROR(VLOOKUP(A273,classifications!A:C,3,FALSE)),0,VLOOKUP(A273,classifications!A:C,3,FALSE))</f>
        <v>0</v>
      </c>
      <c r="C273" s="31" t="s">
        <v>150</v>
      </c>
      <c r="D273" s="49" t="str">
        <f>VLOOKUP($C273,classifications!$C:$J,4,FALSE)</f>
        <v>SD</v>
      </c>
      <c r="E273" s="49" t="str">
        <f>VLOOKUP(C273,classifications!C:K,9,FALSE)</f>
        <v>Sparse</v>
      </c>
      <c r="F273" s="59">
        <f t="shared" si="96"/>
        <v>0</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17" t="str">
        <f>IF(L273="","",VLOOKUP(L273,classifications!C:K,9,FALSE))</f>
        <v/>
      </c>
      <c r="U273" s="224" t="str">
        <f t="shared" si="101"/>
        <v/>
      </c>
      <c r="V273" s="225" t="str">
        <f>IF(U273="","",IF($I$8="A",(RANK(U273,U$11:U$355)+COUNTIF(U$11:U273,U273)-1),(RANK(U273,U$11:U$355,1)+COUNTIF(U$11:U273,U273)-1)))</f>
        <v/>
      </c>
      <c r="W273" s="226"/>
      <c r="X273" s="61" t="str">
        <f>IF(L273="","",VLOOKUP($L273,classifications!$C:$J,6,FALSE))</f>
        <v/>
      </c>
      <c r="Y273" s="49" t="b">
        <f t="shared" si="102"/>
        <v>0</v>
      </c>
      <c r="Z273" s="57" t="e">
        <f>IF(Y273="","",IF(I$8="A",(RANK(Y273,Y$11:Y$355,1)+COUNTIF(Y$11:Y273,Y273)-1),(RANK(Y273,Y$11:Y$355)+COUNTIF(Y$11:Y273,Y273)-1)))</f>
        <v>#N/A</v>
      </c>
      <c r="AA273" s="231" t="str">
        <f>IF(L273="","",VLOOKUP($L273,classifications!C:I,7,FALSE))</f>
        <v/>
      </c>
      <c r="AB273" s="225" t="str">
        <f t="shared" si="111"/>
        <v/>
      </c>
      <c r="AC273" s="225" t="str">
        <f>IF(AB273="","",IF($I$8="A",(RANK(AB273,AB$11:AB$355)+COUNTIF(AB$11:AB273,AB273)-1),(RANK(AB273,AB$11:AB$355,1)+COUNTIF(AB$11:AB273,AB273)-1)))</f>
        <v/>
      </c>
      <c r="AD273" s="225"/>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HLOOKUP($AX$9&amp;$AX$10,Data!$A$1:$ZZ$1992,(MATCH($C273,Data!$A$1:$A$1992,0)),FALSE)</f>
        <v>0</v>
      </c>
      <c r="AY273" s="156"/>
      <c r="AZ273" s="44"/>
    </row>
    <row r="274" spans="1:52">
      <c r="A274" s="84" t="str">
        <f>$D$1&amp;264</f>
        <v>SC264</v>
      </c>
      <c r="B274" s="85">
        <f>IF(ISERROR(VLOOKUP(A274,classifications!A:C,3,FALSE)),0,VLOOKUP(A274,classifications!A:C,3,FALSE))</f>
        <v>0</v>
      </c>
      <c r="C274" s="31" t="s">
        <v>248</v>
      </c>
      <c r="D274" s="49" t="str">
        <f>VLOOKUP($C274,classifications!$C:$J,4,FALSE)</f>
        <v>MD</v>
      </c>
      <c r="E274" s="49">
        <f>VLOOKUP(C274,classifications!C:K,9,FALSE)</f>
        <v>0</v>
      </c>
      <c r="F274" s="59">
        <f t="shared" si="96"/>
        <v>6.0000000000000001E-3</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17" t="str">
        <f>IF(L274="","",VLOOKUP(L274,classifications!C:K,9,FALSE))</f>
        <v/>
      </c>
      <c r="U274" s="224" t="str">
        <f t="shared" si="101"/>
        <v/>
      </c>
      <c r="V274" s="225" t="str">
        <f>IF(U274="","",IF($I$8="A",(RANK(U274,U$11:U$355)+COUNTIF(U$11:U274,U274)-1),(RANK(U274,U$11:U$355,1)+COUNTIF(U$11:U274,U274)-1)))</f>
        <v/>
      </c>
      <c r="W274" s="226"/>
      <c r="X274" s="61" t="str">
        <f>IF(L274="","",VLOOKUP($L274,classifications!$C:$J,6,FALSE))</f>
        <v/>
      </c>
      <c r="Y274" s="49" t="b">
        <f t="shared" si="102"/>
        <v>0</v>
      </c>
      <c r="Z274" s="57" t="e">
        <f>IF(Y274="","",IF(I$8="A",(RANK(Y274,Y$11:Y$355,1)+COUNTIF(Y$11:Y274,Y274)-1),(RANK(Y274,Y$11:Y$355)+COUNTIF(Y$11:Y274,Y274)-1)))</f>
        <v>#N/A</v>
      </c>
      <c r="AA274" s="231" t="str">
        <f>IF(L274="","",VLOOKUP($L274,classifications!C:I,7,FALSE))</f>
        <v/>
      </c>
      <c r="AB274" s="225" t="str">
        <f t="shared" si="111"/>
        <v/>
      </c>
      <c r="AC274" s="225" t="str">
        <f>IF(AB274="","",IF($I$8="A",(RANK(AB274,AB$11:AB$355)+COUNTIF(AB$11:AB274,AB274)-1),(RANK(AB274,AB$11:AB$355,1)+COUNTIF(AB$11:AB274,AB274)-1)))</f>
        <v/>
      </c>
      <c r="AD274" s="225"/>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HLOOKUP($AX$9&amp;$AX$10,Data!$A$1:$ZZ$1992,(MATCH($C274,Data!$A$1:$A$1992,0)),FALSE)</f>
        <v>6.0000000000000001E-3</v>
      </c>
      <c r="AY274" s="156"/>
      <c r="AZ274" s="44"/>
    </row>
    <row r="275" spans="1:52">
      <c r="A275" s="84" t="str">
        <f>$D$1&amp;265</f>
        <v>SC265</v>
      </c>
      <c r="B275" s="85">
        <f>IF(ISERROR(VLOOKUP(A275,classifications!A:C,3,FALSE)),0,VLOOKUP(A275,classifications!A:C,3,FALSE))</f>
        <v>0</v>
      </c>
      <c r="C275" s="31" t="s">
        <v>289</v>
      </c>
      <c r="D275" s="49" t="str">
        <f>VLOOKUP($C275,classifications!$C:$J,4,FALSE)</f>
        <v>UA</v>
      </c>
      <c r="E275" s="49">
        <f>VLOOKUP(C275,classifications!C:K,9,FALSE)</f>
        <v>0</v>
      </c>
      <c r="F275" s="59">
        <f t="shared" si="96"/>
        <v>5.0999999999999997E-2</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17" t="str">
        <f>IF(L275="","",VLOOKUP(L275,classifications!C:K,9,FALSE))</f>
        <v/>
      </c>
      <c r="U275" s="224" t="str">
        <f t="shared" si="101"/>
        <v/>
      </c>
      <c r="V275" s="225" t="str">
        <f>IF(U275="","",IF($I$8="A",(RANK(U275,U$11:U$355)+COUNTIF(U$11:U275,U275)-1),(RANK(U275,U$11:U$355,1)+COUNTIF(U$11:U275,U275)-1)))</f>
        <v/>
      </c>
      <c r="W275" s="226"/>
      <c r="X275" s="61" t="str">
        <f>IF(L275="","",VLOOKUP($L275,classifications!$C:$J,6,FALSE))</f>
        <v/>
      </c>
      <c r="Y275" s="49" t="b">
        <f t="shared" si="102"/>
        <v>0</v>
      </c>
      <c r="Z275" s="57" t="e">
        <f>IF(Y275="","",IF(I$8="A",(RANK(Y275,Y$11:Y$355,1)+COUNTIF(Y$11:Y275,Y275)-1),(RANK(Y275,Y$11:Y$355)+COUNTIF(Y$11:Y275,Y275)-1)))</f>
        <v>#N/A</v>
      </c>
      <c r="AA275" s="231" t="str">
        <f>IF(L275="","",VLOOKUP($L275,classifications!C:I,7,FALSE))</f>
        <v/>
      </c>
      <c r="AB275" s="225" t="str">
        <f t="shared" si="111"/>
        <v/>
      </c>
      <c r="AC275" s="225" t="str">
        <f>IF(AB275="","",IF($I$8="A",(RANK(AB275,AB$11:AB$355)+COUNTIF(AB$11:AB275,AB275)-1),(RANK(AB275,AB$11:AB$355,1)+COUNTIF(AB$11:AB275,AB275)-1)))</f>
        <v/>
      </c>
      <c r="AD275" s="225"/>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HLOOKUP($AX$9&amp;$AX$10,Data!$A$1:$ZZ$1992,(MATCH($C275,Data!$A$1:$A$1992,0)),FALSE)</f>
        <v>5.0999999999999997E-2</v>
      </c>
      <c r="AY275" s="156"/>
      <c r="AZ275" s="44"/>
    </row>
    <row r="276" spans="1:52">
      <c r="A276" s="84" t="str">
        <f>$D$1&amp;266</f>
        <v>SC266</v>
      </c>
      <c r="B276" s="85">
        <f>IF(ISERROR(VLOOKUP(A276,classifications!A:C,3,FALSE)),0,VLOOKUP(A276,classifications!A:C,3,FALSE))</f>
        <v>0</v>
      </c>
      <c r="C276" s="31" t="s">
        <v>290</v>
      </c>
      <c r="D276" s="49" t="str">
        <f>VLOOKUP($C276,classifications!$C:$J,4,FALSE)</f>
        <v>UA</v>
      </c>
      <c r="E276" s="49">
        <f>VLOOKUP(C276,classifications!C:K,9,FALSE)</f>
        <v>0</v>
      </c>
      <c r="F276" s="59">
        <f t="shared" si="96"/>
        <v>0.25700000000000001</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17" t="str">
        <f>IF(L276="","",VLOOKUP(L276,classifications!C:K,9,FALSE))</f>
        <v/>
      </c>
      <c r="U276" s="224" t="str">
        <f t="shared" si="101"/>
        <v/>
      </c>
      <c r="V276" s="225" t="str">
        <f>IF(U276="","",IF($I$8="A",(RANK(U276,U$11:U$355)+COUNTIF(U$11:U276,U276)-1),(RANK(U276,U$11:U$355,1)+COUNTIF(U$11:U276,U276)-1)))</f>
        <v/>
      </c>
      <c r="W276" s="226"/>
      <c r="X276" s="61" t="str">
        <f>IF(L276="","",VLOOKUP($L276,classifications!$C:$J,6,FALSE))</f>
        <v/>
      </c>
      <c r="Y276" s="49" t="b">
        <f t="shared" si="102"/>
        <v>0</v>
      </c>
      <c r="Z276" s="57" t="e">
        <f>IF(Y276="","",IF(I$8="A",(RANK(Y276,Y$11:Y$355,1)+COUNTIF(Y$11:Y276,Y276)-1),(RANK(Y276,Y$11:Y$355)+COUNTIF(Y$11:Y276,Y276)-1)))</f>
        <v>#N/A</v>
      </c>
      <c r="AA276" s="231" t="str">
        <f>IF(L276="","",VLOOKUP($L276,classifications!C:I,7,FALSE))</f>
        <v/>
      </c>
      <c r="AB276" s="225" t="str">
        <f t="shared" si="111"/>
        <v/>
      </c>
      <c r="AC276" s="225" t="str">
        <f>IF(AB276="","",IF($I$8="A",(RANK(AB276,AB$11:AB$355)+COUNTIF(AB$11:AB276,AB276)-1),(RANK(AB276,AB$11:AB$355,1)+COUNTIF(AB$11:AB276,AB276)-1)))</f>
        <v/>
      </c>
      <c r="AD276" s="225"/>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HLOOKUP($AX$9&amp;$AX$10,Data!$A$1:$ZZ$1992,(MATCH($C276,Data!$A$1:$A$1992,0)),FALSE)</f>
        <v>0.25700000000000001</v>
      </c>
      <c r="AY276" s="156"/>
      <c r="AZ276" s="44"/>
    </row>
    <row r="277" spans="1:52">
      <c r="A277" s="84" t="str">
        <f>$D$1&amp;267</f>
        <v>SC267</v>
      </c>
      <c r="B277" s="85">
        <f>IF(ISERROR(VLOOKUP(A277,classifications!A:C,3,FALSE)),0,VLOOKUP(A277,classifications!A:C,3,FALSE))</f>
        <v>0</v>
      </c>
      <c r="C277" s="31" t="s">
        <v>218</v>
      </c>
      <c r="D277" s="49" t="str">
        <f>VLOOKUP($C277,classifications!$C:$J,4,FALSE)</f>
        <v>L</v>
      </c>
      <c r="E277" s="49">
        <f>VLOOKUP(C277,classifications!C:K,9,FALSE)</f>
        <v>0</v>
      </c>
      <c r="F277" s="59">
        <f t="shared" si="96"/>
        <v>1.6E-2</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17" t="str">
        <f>IF(L277="","",VLOOKUP(L277,classifications!C:K,9,FALSE))</f>
        <v/>
      </c>
      <c r="U277" s="224" t="str">
        <f t="shared" si="101"/>
        <v/>
      </c>
      <c r="V277" s="225" t="str">
        <f>IF(U277="","",IF($I$8="A",(RANK(U277,U$11:U$355)+COUNTIF(U$11:U277,U277)-1),(RANK(U277,U$11:U$355,1)+COUNTIF(U$11:U277,U277)-1)))</f>
        <v/>
      </c>
      <c r="W277" s="226"/>
      <c r="X277" s="61" t="str">
        <f>IF(L277="","",VLOOKUP($L277,classifications!$C:$J,6,FALSE))</f>
        <v/>
      </c>
      <c r="Y277" s="49" t="b">
        <f t="shared" si="102"/>
        <v>0</v>
      </c>
      <c r="Z277" s="57" t="e">
        <f>IF(Y277="","",IF(I$8="A",(RANK(Y277,Y$11:Y$355,1)+COUNTIF(Y$11:Y277,Y277)-1),(RANK(Y277,Y$11:Y$355)+COUNTIF(Y$11:Y277,Y277)-1)))</f>
        <v>#N/A</v>
      </c>
      <c r="AA277" s="231" t="str">
        <f>IF(L277="","",VLOOKUP($L277,classifications!C:I,7,FALSE))</f>
        <v/>
      </c>
      <c r="AB277" s="225" t="str">
        <f t="shared" si="111"/>
        <v/>
      </c>
      <c r="AC277" s="225" t="str">
        <f>IF(AB277="","",IF($I$8="A",(RANK(AB277,AB$11:AB$355)+COUNTIF(AB$11:AB277,AB277)-1),(RANK(AB277,AB$11:AB$355,1)+COUNTIF(AB$11:AB277,AB277)-1)))</f>
        <v/>
      </c>
      <c r="AD277" s="225"/>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HLOOKUP($AX$9&amp;$AX$10,Data!$A$1:$ZZ$1992,(MATCH($C277,Data!$A$1:$A$1992,0)),FALSE)</f>
        <v>1.6E-2</v>
      </c>
      <c r="AY277" s="156"/>
      <c r="AZ277" s="44"/>
    </row>
    <row r="278" spans="1:52">
      <c r="A278" s="84" t="str">
        <f>$D$1&amp;268</f>
        <v>SC268</v>
      </c>
      <c r="B278" s="85">
        <f>IF(ISERROR(VLOOKUP(A278,classifications!A:C,3,FALSE)),0,VLOOKUP(A278,classifications!A:C,3,FALSE))</f>
        <v>0</v>
      </c>
      <c r="C278" s="31" t="s">
        <v>151</v>
      </c>
      <c r="D278" s="49" t="str">
        <f>VLOOKUP($C278,classifications!$C:$J,4,FALSE)</f>
        <v>SD</v>
      </c>
      <c r="E278" s="49">
        <f>VLOOKUP(C278,classifications!C:K,9,FALSE)</f>
        <v>0</v>
      </c>
      <c r="F278" s="59">
        <f t="shared" si="96"/>
        <v>0</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17" t="str">
        <f>IF(L278="","",VLOOKUP(L278,classifications!C:K,9,FALSE))</f>
        <v/>
      </c>
      <c r="U278" s="224" t="str">
        <f t="shared" si="101"/>
        <v/>
      </c>
      <c r="V278" s="225" t="str">
        <f>IF(U278="","",IF($I$8="A",(RANK(U278,U$11:U$355)+COUNTIF(U$11:U278,U278)-1),(RANK(U278,U$11:U$355,1)+COUNTIF(U$11:U278,U278)-1)))</f>
        <v/>
      </c>
      <c r="W278" s="226"/>
      <c r="X278" s="61" t="str">
        <f>IF(L278="","",VLOOKUP($L278,classifications!$C:$J,6,FALSE))</f>
        <v/>
      </c>
      <c r="Y278" s="49" t="b">
        <f t="shared" si="102"/>
        <v>0</v>
      </c>
      <c r="Z278" s="57" t="e">
        <f>IF(Y278="","",IF(I$8="A",(RANK(Y278,Y$11:Y$355,1)+COUNTIF(Y$11:Y278,Y278)-1),(RANK(Y278,Y$11:Y$355)+COUNTIF(Y$11:Y278,Y278)-1)))</f>
        <v>#N/A</v>
      </c>
      <c r="AA278" s="231" t="str">
        <f>IF(L278="","",VLOOKUP($L278,classifications!C:I,7,FALSE))</f>
        <v/>
      </c>
      <c r="AB278" s="225" t="str">
        <f t="shared" si="111"/>
        <v/>
      </c>
      <c r="AC278" s="225" t="str">
        <f>IF(AB278="","",IF($I$8="A",(RANK(AB278,AB$11:AB$355)+COUNTIF(AB$11:AB278,AB278)-1),(RANK(AB278,AB$11:AB$355,1)+COUNTIF(AB$11:AB278,AB278)-1)))</f>
        <v/>
      </c>
      <c r="AD278" s="225"/>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HLOOKUP($AX$9&amp;$AX$10,Data!$A$1:$ZZ$1992,(MATCH($C278,Data!$A$1:$A$1992,0)),FALSE)</f>
        <v>0</v>
      </c>
      <c r="AY278" s="156"/>
      <c r="AZ278" s="44"/>
    </row>
    <row r="279" spans="1:52">
      <c r="A279" s="84" t="str">
        <f>$D$1&amp;269</f>
        <v>SC269</v>
      </c>
      <c r="B279" s="85">
        <f>IF(ISERROR(VLOOKUP(A279,classifications!A:C,3,FALSE)),0,VLOOKUP(A279,classifications!A:C,3,FALSE))</f>
        <v>0</v>
      </c>
      <c r="C279" s="31" t="s">
        <v>152</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17" t="str">
        <f>IF(L279="","",VLOOKUP(L279,classifications!C:K,9,FALSE))</f>
        <v/>
      </c>
      <c r="U279" s="224" t="str">
        <f t="shared" si="101"/>
        <v/>
      </c>
      <c r="V279" s="225" t="str">
        <f>IF(U279="","",IF($I$8="A",(RANK(U279,U$11:U$355)+COUNTIF(U$11:U279,U279)-1),(RANK(U279,U$11:U$355,1)+COUNTIF(U$11:U279,U279)-1)))</f>
        <v/>
      </c>
      <c r="W279" s="226"/>
      <c r="X279" s="61" t="str">
        <f>IF(L279="","",VLOOKUP($L279,classifications!$C:$J,6,FALSE))</f>
        <v/>
      </c>
      <c r="Y279" s="49" t="b">
        <f t="shared" si="102"/>
        <v>0</v>
      </c>
      <c r="Z279" s="57" t="e">
        <f>IF(Y279="","",IF(I$8="A",(RANK(Y279,Y$11:Y$355,1)+COUNTIF(Y$11:Y279,Y279)-1),(RANK(Y279,Y$11:Y$355)+COUNTIF(Y$11:Y279,Y279)-1)))</f>
        <v>#N/A</v>
      </c>
      <c r="AA279" s="231" t="str">
        <f>IF(L279="","",VLOOKUP($L279,classifications!C:I,7,FALSE))</f>
        <v/>
      </c>
      <c r="AB279" s="225" t="str">
        <f t="shared" si="111"/>
        <v/>
      </c>
      <c r="AC279" s="225" t="str">
        <f>IF(AB279="","",IF($I$8="A",(RANK(AB279,AB$11:AB$355)+COUNTIF(AB$11:AB279,AB279)-1),(RANK(AB279,AB$11:AB$355,1)+COUNTIF(AB$11:AB279,AB279)-1)))</f>
        <v/>
      </c>
      <c r="AD279" s="225"/>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HLOOKUP($AX$9&amp;$AX$10,Data!$A$1:$ZZ$1992,(MATCH($C279,Data!$A$1:$A$1992,0)),FALSE)</f>
        <v>-</v>
      </c>
      <c r="AY279" s="156"/>
      <c r="AZ279" s="44"/>
    </row>
    <row r="280" spans="1:52">
      <c r="A280" s="84" t="str">
        <f>$D$1&amp;270</f>
        <v>SC270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17" t="str">
        <f>IF(L280="","",VLOOKUP(L280,classifications!C:K,9,FALSE))</f>
        <v/>
      </c>
      <c r="U280" s="224" t="str">
        <f t="shared" si="101"/>
        <v/>
      </c>
      <c r="V280" s="225" t="str">
        <f>IF(U280="","",IF($I$8="A",(RANK(U280,U$11:U$355)+COUNTIF(U$11:U280,U280)-1),(RANK(U280,U$11:U$355,1)+COUNTIF(U$11:U280,U280)-1)))</f>
        <v/>
      </c>
      <c r="W280" s="226"/>
      <c r="X280" s="61" t="str">
        <f>IF(L280="","",VLOOKUP($L280,classifications!$C:$J,6,FALSE))</f>
        <v/>
      </c>
      <c r="Y280" s="49" t="b">
        <f t="shared" si="102"/>
        <v>0</v>
      </c>
      <c r="Z280" s="57" t="e">
        <f>IF(Y280="","",IF(I$8="A",(RANK(Y280,Y$11:Y$355,1)+COUNTIF(Y$11:Y280,Y280)-1),(RANK(Y280,Y$11:Y$355)+COUNTIF(Y$11:Y280,Y280)-1)))</f>
        <v>#N/A</v>
      </c>
      <c r="AA280" s="231" t="str">
        <f>IF(L280="","",VLOOKUP($L280,classifications!C:I,7,FALSE))</f>
        <v/>
      </c>
      <c r="AB280" s="225" t="str">
        <f t="shared" si="111"/>
        <v/>
      </c>
      <c r="AC280" s="225" t="str">
        <f>IF(AB280="","",IF($I$8="A",(RANK(AB280,AB$11:AB$355)+COUNTIF(AB$11:AB280,AB280)-1),(RANK(AB280,AB$11:AB$355,1)+COUNTIF(AB$11:AB280,AB280)-1)))</f>
        <v/>
      </c>
      <c r="AD280" s="225"/>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HLOOKUP($AX$9&amp;$AX$10,Data!$A$1:$ZZ$1992,(MATCH($C280,Data!$A$1:$A$1992,0)),FALSE)</f>
        <v>0</v>
      </c>
      <c r="AY280" s="156"/>
      <c r="AZ280" s="44"/>
    </row>
    <row r="281" spans="1:52">
      <c r="A281" s="84" t="str">
        <f>$D$1&amp;271</f>
        <v>SC271</v>
      </c>
      <c r="B281" s="85">
        <f>IF(ISERROR(VLOOKUP(A281,classifications!A:C,3,FALSE)),0,VLOOKUP(A281,classifications!A:C,3,FALSE))</f>
        <v>0</v>
      </c>
      <c r="C281" s="31" t="s">
        <v>249</v>
      </c>
      <c r="D281" s="49" t="str">
        <f>VLOOKUP($C281,classifications!$C:$J,4,FALSE)</f>
        <v>MD</v>
      </c>
      <c r="E281" s="49">
        <f>VLOOKUP(C281,classifications!C:K,9,FALSE)</f>
        <v>0</v>
      </c>
      <c r="F281" s="59">
        <f t="shared" si="96"/>
        <v>0</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17" t="str">
        <f>IF(L281="","",VLOOKUP(L281,classifications!C:K,9,FALSE))</f>
        <v/>
      </c>
      <c r="U281" s="224" t="str">
        <f t="shared" si="101"/>
        <v/>
      </c>
      <c r="V281" s="225" t="str">
        <f>IF(U281="","",IF($I$8="A",(RANK(U281,U$11:U$355)+COUNTIF(U$11:U281,U281)-1),(RANK(U281,U$11:U$355,1)+COUNTIF(U$11:U281,U281)-1)))</f>
        <v/>
      </c>
      <c r="W281" s="226"/>
      <c r="X281" s="61" t="str">
        <f>IF(L281="","",VLOOKUP($L281,classifications!$C:$J,6,FALSE))</f>
        <v/>
      </c>
      <c r="Y281" s="49" t="b">
        <f t="shared" si="102"/>
        <v>0</v>
      </c>
      <c r="Z281" s="57" t="e">
        <f>IF(Y281="","",IF(I$8="A",(RANK(Y281,Y$11:Y$355,1)+COUNTIF(Y$11:Y281,Y281)-1),(RANK(Y281,Y$11:Y$355)+COUNTIF(Y$11:Y281,Y281)-1)))</f>
        <v>#N/A</v>
      </c>
      <c r="AA281" s="231" t="str">
        <f>IF(L281="","",VLOOKUP($L281,classifications!C:I,7,FALSE))</f>
        <v/>
      </c>
      <c r="AB281" s="225" t="str">
        <f t="shared" si="111"/>
        <v/>
      </c>
      <c r="AC281" s="225" t="str">
        <f>IF(AB281="","",IF($I$8="A",(RANK(AB281,AB$11:AB$355)+COUNTIF(AB$11:AB281,AB281)-1),(RANK(AB281,AB$11:AB$355,1)+COUNTIF(AB$11:AB281,AB281)-1)))</f>
        <v/>
      </c>
      <c r="AD281" s="225"/>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HLOOKUP($AX$9&amp;$AX$10,Data!$A$1:$ZZ$1992,(MATCH($C281,Data!$A$1:$A$1992,0)),FALSE)</f>
        <v>0</v>
      </c>
      <c r="AY281" s="156"/>
      <c r="AZ281" s="44"/>
    </row>
    <row r="282" spans="1:52">
      <c r="A282" s="84" t="str">
        <f>$D$1&amp;272</f>
        <v>SC272</v>
      </c>
      <c r="B282" s="85">
        <f>IF(ISERROR(VLOOKUP(A282,classifications!A:C,3,FALSE)),0,VLOOKUP(A282,classifications!A:C,3,FALSE))</f>
        <v>0</v>
      </c>
      <c r="C282" s="31" t="s">
        <v>154</v>
      </c>
      <c r="D282" s="49" t="str">
        <f>VLOOKUP($C282,classifications!$C:$J,4,FALSE)</f>
        <v>SD</v>
      </c>
      <c r="E282" s="49" t="str">
        <f>VLOOKUP(C282,classifications!C:K,9,FALSE)</f>
        <v>Sparse</v>
      </c>
      <c r="F282" s="59">
        <f t="shared" si="96"/>
        <v>0</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17" t="str">
        <f>IF(L282="","",VLOOKUP(L282,classifications!C:K,9,FALSE))</f>
        <v/>
      </c>
      <c r="U282" s="224" t="str">
        <f t="shared" si="101"/>
        <v/>
      </c>
      <c r="V282" s="225" t="str">
        <f>IF(U282="","",IF($I$8="A",(RANK(U282,U$11:U$355)+COUNTIF(U$11:U282,U282)-1),(RANK(U282,U$11:U$355,1)+COUNTIF(U$11:U282,U282)-1)))</f>
        <v/>
      </c>
      <c r="W282" s="226"/>
      <c r="X282" s="61" t="str">
        <f>IF(L282="","",VLOOKUP($L282,classifications!$C:$J,6,FALSE))</f>
        <v/>
      </c>
      <c r="Y282" s="49" t="b">
        <f t="shared" si="102"/>
        <v>0</v>
      </c>
      <c r="Z282" s="57" t="e">
        <f>IF(Y282="","",IF(I$8="A",(RANK(Y282,Y$11:Y$355,1)+COUNTIF(Y$11:Y282,Y282)-1),(RANK(Y282,Y$11:Y$355)+COUNTIF(Y$11:Y282,Y282)-1)))</f>
        <v>#N/A</v>
      </c>
      <c r="AA282" s="231" t="str">
        <f>IF(L282="","",VLOOKUP($L282,classifications!C:I,7,FALSE))</f>
        <v/>
      </c>
      <c r="AB282" s="225" t="str">
        <f t="shared" si="111"/>
        <v/>
      </c>
      <c r="AC282" s="225" t="str">
        <f>IF(AB282="","",IF($I$8="A",(RANK(AB282,AB$11:AB$355)+COUNTIF(AB$11:AB282,AB282)-1),(RANK(AB282,AB$11:AB$355,1)+COUNTIF(AB$11:AB282,AB282)-1)))</f>
        <v/>
      </c>
      <c r="AD282" s="225"/>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HLOOKUP($AX$9&amp;$AX$10,Data!$A$1:$ZZ$1992,(MATCH($C282,Data!$A$1:$A$1992,0)),FALSE)</f>
        <v>0</v>
      </c>
      <c r="AY282" s="156"/>
      <c r="AZ282" s="44"/>
    </row>
    <row r="283" spans="1:52">
      <c r="A283" s="84" t="str">
        <f>$D$1&amp;273</f>
        <v>SC273</v>
      </c>
      <c r="B283" s="85">
        <f>IF(ISERROR(VLOOKUP(A283,classifications!A:C,3,FALSE)),0,VLOOKUP(A283,classifications!A:C,3,FALSE))</f>
        <v>0</v>
      </c>
      <c r="C283" s="31" t="s">
        <v>328</v>
      </c>
      <c r="D283" s="49" t="str">
        <f>VLOOKUP($C283,classifications!$C:$J,4,FALSE)</f>
        <v>SC</v>
      </c>
      <c r="E283" s="49" t="str">
        <f>VLOOKUP(C283,classifications!C:K,9,FALSE)</f>
        <v>Sparse</v>
      </c>
      <c r="F283" s="59">
        <f t="shared" si="96"/>
        <v>1.2999999999999999E-2</v>
      </c>
      <c r="G283" s="105"/>
      <c r="H283" s="60">
        <f t="shared" si="97"/>
        <v>1.2999999999999999E-2</v>
      </c>
      <c r="I283" s="112">
        <f>IF(H283="","",IF($I$8="A",(RANK(H283,H$11:H$355,1)+COUNTIF(H$11:H283,H283)-1),(RANK(H283,H$11:H$355)+COUNTIF(H$11:H283,H283)-1)))</f>
        <v>2</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17" t="str">
        <f>IF(L283="","",VLOOKUP(L283,classifications!C:K,9,FALSE))</f>
        <v/>
      </c>
      <c r="U283" s="224" t="str">
        <f t="shared" si="101"/>
        <v/>
      </c>
      <c r="V283" s="225" t="str">
        <f>IF(U283="","",IF($I$8="A",(RANK(U283,U$11:U$355)+COUNTIF(U$11:U283,U283)-1),(RANK(U283,U$11:U$355,1)+COUNTIF(U$11:U283,U283)-1)))</f>
        <v/>
      </c>
      <c r="W283" s="226"/>
      <c r="X283" s="61" t="str">
        <f>IF(L283="","",VLOOKUP($L283,classifications!$C:$J,6,FALSE))</f>
        <v/>
      </c>
      <c r="Y283" s="49" t="b">
        <f t="shared" si="102"/>
        <v>0</v>
      </c>
      <c r="Z283" s="57" t="e">
        <f>IF(Y283="","",IF(I$8="A",(RANK(Y283,Y$11:Y$355,1)+COUNTIF(Y$11:Y283,Y283)-1),(RANK(Y283,Y$11:Y$355)+COUNTIF(Y$11:Y283,Y283)-1)))</f>
        <v>#N/A</v>
      </c>
      <c r="AA283" s="231" t="str">
        <f>IF(L283="","",VLOOKUP($L283,classifications!C:I,7,FALSE))</f>
        <v/>
      </c>
      <c r="AB283" s="225" t="str">
        <f t="shared" si="111"/>
        <v/>
      </c>
      <c r="AC283" s="225" t="str">
        <f>IF(AB283="","",IF($I$8="A",(RANK(AB283,AB$11:AB$355)+COUNTIF(AB$11:AB283,AB283)-1),(RANK(AB283,AB$11:AB$355,1)+COUNTIF(AB$11:AB283,AB283)-1)))</f>
        <v/>
      </c>
      <c r="AD283" s="225"/>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HLOOKUP($AX$9&amp;$AX$10,Data!$A$1:$ZZ$1992,(MATCH($C283,Data!$A$1:$A$1992,0)),FALSE)</f>
        <v>1.2999999999999999E-2</v>
      </c>
      <c r="AY283" s="156"/>
      <c r="AZ283" s="44"/>
    </row>
    <row r="284" spans="1:52">
      <c r="A284" s="84" t="str">
        <f>$D$1&amp;274</f>
        <v>SC274</v>
      </c>
      <c r="B284" s="85">
        <f>IF(ISERROR(VLOOKUP(A284,classifications!A:C,3,FALSE)),0,VLOOKUP(A284,classifications!A:C,3,FALSE))</f>
        <v>0</v>
      </c>
      <c r="C284" s="31" t="s">
        <v>155</v>
      </c>
      <c r="D284" s="49" t="str">
        <f>VLOOKUP($C284,classifications!$C:$J,4,FALSE)</f>
        <v>SD</v>
      </c>
      <c r="E284" s="49">
        <f>VLOOKUP(C284,classifications!C:K,9,FALSE)</f>
        <v>0</v>
      </c>
      <c r="F284" s="59">
        <f t="shared" si="96"/>
        <v>0</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17" t="str">
        <f>IF(L284="","",VLOOKUP(L284,classifications!C:K,9,FALSE))</f>
        <v/>
      </c>
      <c r="U284" s="224" t="str">
        <f t="shared" si="101"/>
        <v/>
      </c>
      <c r="V284" s="225" t="str">
        <f>IF(U284="","",IF($I$8="A",(RANK(U284,U$11:U$355)+COUNTIF(U$11:U284,U284)-1),(RANK(U284,U$11:U$355,1)+COUNTIF(U$11:U284,U284)-1)))</f>
        <v/>
      </c>
      <c r="W284" s="226"/>
      <c r="X284" s="61" t="str">
        <f>IF(L284="","",VLOOKUP($L284,classifications!$C:$J,6,FALSE))</f>
        <v/>
      </c>
      <c r="Y284" s="49" t="b">
        <f t="shared" si="102"/>
        <v>0</v>
      </c>
      <c r="Z284" s="57" t="e">
        <f>IF(Y284="","",IF(I$8="A",(RANK(Y284,Y$11:Y$355,1)+COUNTIF(Y$11:Y284,Y284)-1),(RANK(Y284,Y$11:Y$355)+COUNTIF(Y$11:Y284,Y284)-1)))</f>
        <v>#N/A</v>
      </c>
      <c r="AA284" s="231" t="str">
        <f>IF(L284="","",VLOOKUP($L284,classifications!C:I,7,FALSE))</f>
        <v/>
      </c>
      <c r="AB284" s="225" t="str">
        <f t="shared" si="111"/>
        <v/>
      </c>
      <c r="AC284" s="225" t="str">
        <f>IF(AB284="","",IF($I$8="A",(RANK(AB284,AB$11:AB$355)+COUNTIF(AB$11:AB284,AB284)-1),(RANK(AB284,AB$11:AB$355,1)+COUNTIF(AB$11:AB284,AB284)-1)))</f>
        <v/>
      </c>
      <c r="AD284" s="225"/>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HLOOKUP($AX$9&amp;$AX$10,Data!$A$1:$ZZ$1992,(MATCH($C284,Data!$A$1:$A$1992,0)),FALSE)</f>
        <v>0</v>
      </c>
      <c r="AY284" s="156"/>
      <c r="AZ284" s="44"/>
    </row>
    <row r="285" spans="1:52">
      <c r="A285" s="84" t="str">
        <f>$D$1&amp;275</f>
        <v>SC275</v>
      </c>
      <c r="B285" s="85">
        <f>IF(ISERROR(VLOOKUP(A285,classifications!A:C,3,FALSE)),0,VLOOKUP(A285,classifications!A:C,3,FALSE))</f>
        <v>0</v>
      </c>
      <c r="C285" s="31" t="s">
        <v>156</v>
      </c>
      <c r="D285" s="49" t="str">
        <f>VLOOKUP($C285,classifications!$C:$J,4,FALSE)</f>
        <v>SD</v>
      </c>
      <c r="E285" s="49">
        <f>VLOOKUP(C285,classifications!C:K,9,FALSE)</f>
        <v>0</v>
      </c>
      <c r="F285" s="59">
        <f t="shared" si="96"/>
        <v>0</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17" t="str">
        <f>IF(L285="","",VLOOKUP(L285,classifications!C:K,9,FALSE))</f>
        <v/>
      </c>
      <c r="U285" s="224" t="str">
        <f t="shared" si="101"/>
        <v/>
      </c>
      <c r="V285" s="225" t="str">
        <f>IF(U285="","",IF($I$8="A",(RANK(U285,U$11:U$355)+COUNTIF(U$11:U285,U285)-1),(RANK(U285,U$11:U$355,1)+COUNTIF(U$11:U285,U285)-1)))</f>
        <v/>
      </c>
      <c r="W285" s="226"/>
      <c r="X285" s="61" t="str">
        <f>IF(L285="","",VLOOKUP($L285,classifications!$C:$J,6,FALSE))</f>
        <v/>
      </c>
      <c r="Y285" s="49" t="b">
        <f t="shared" si="102"/>
        <v>0</v>
      </c>
      <c r="Z285" s="57" t="e">
        <f>IF(Y285="","",IF(I$8="A",(RANK(Y285,Y$11:Y$355,1)+COUNTIF(Y$11:Y285,Y285)-1),(RANK(Y285,Y$11:Y$355)+COUNTIF(Y$11:Y285,Y285)-1)))</f>
        <v>#N/A</v>
      </c>
      <c r="AA285" s="231" t="str">
        <f>IF(L285="","",VLOOKUP($L285,classifications!C:I,7,FALSE))</f>
        <v/>
      </c>
      <c r="AB285" s="225" t="str">
        <f t="shared" si="111"/>
        <v/>
      </c>
      <c r="AC285" s="225" t="str">
        <f>IF(AB285="","",IF($I$8="A",(RANK(AB285,AB$11:AB$355)+COUNTIF(AB$11:AB285,AB285)-1),(RANK(AB285,AB$11:AB$355,1)+COUNTIF(AB$11:AB285,AB285)-1)))</f>
        <v/>
      </c>
      <c r="AD285" s="225"/>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HLOOKUP($AX$9&amp;$AX$10,Data!$A$1:$ZZ$1992,(MATCH($C285,Data!$A$1:$A$1992,0)),FALSE)</f>
        <v>0</v>
      </c>
      <c r="AY285" s="156"/>
      <c r="AZ285" s="44"/>
    </row>
    <row r="286" spans="1:52">
      <c r="A286" s="84" t="str">
        <f>$D$1&amp;276</f>
        <v>SC276</v>
      </c>
      <c r="B286" s="85">
        <f>IF(ISERROR(VLOOKUP(A286,classifications!A:C,3,FALSE)),0,VLOOKUP(A286,classifications!A:C,3,FALSE))</f>
        <v>0</v>
      </c>
      <c r="C286" s="31" t="s">
        <v>250</v>
      </c>
      <c r="D286" s="49" t="str">
        <f>VLOOKUP($C286,classifications!$C:$J,4,FALSE)</f>
        <v>MD</v>
      </c>
      <c r="E286" s="49">
        <f>VLOOKUP(C286,classifications!C:K,9,FALSE)</f>
        <v>0</v>
      </c>
      <c r="F286" s="59">
        <f t="shared" si="96"/>
        <v>0</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17" t="str">
        <f>IF(L286="","",VLOOKUP(L286,classifications!C:K,9,FALSE))</f>
        <v/>
      </c>
      <c r="U286" s="224" t="str">
        <f t="shared" si="101"/>
        <v/>
      </c>
      <c r="V286" s="225" t="str">
        <f>IF(U286="","",IF($I$8="A",(RANK(U286,U$11:U$355)+COUNTIF(U$11:U286,U286)-1),(RANK(U286,U$11:U$355,1)+COUNTIF(U$11:U286,U286)-1)))</f>
        <v/>
      </c>
      <c r="W286" s="226"/>
      <c r="X286" s="61" t="str">
        <f>IF(L286="","",VLOOKUP($L286,classifications!$C:$J,6,FALSE))</f>
        <v/>
      </c>
      <c r="Y286" s="49" t="b">
        <f t="shared" si="102"/>
        <v>0</v>
      </c>
      <c r="Z286" s="57" t="e">
        <f>IF(Y286="","",IF(I$8="A",(RANK(Y286,Y$11:Y$355,1)+COUNTIF(Y$11:Y286,Y286)-1),(RANK(Y286,Y$11:Y$355)+COUNTIF(Y$11:Y286,Y286)-1)))</f>
        <v>#N/A</v>
      </c>
      <c r="AA286" s="231" t="str">
        <f>IF(L286="","",VLOOKUP($L286,classifications!C:I,7,FALSE))</f>
        <v/>
      </c>
      <c r="AB286" s="225" t="str">
        <f t="shared" si="111"/>
        <v/>
      </c>
      <c r="AC286" s="225" t="str">
        <f>IF(AB286="","",IF($I$8="A",(RANK(AB286,AB$11:AB$355)+COUNTIF(AB$11:AB286,AB286)-1),(RANK(AB286,AB$11:AB$355,1)+COUNTIF(AB$11:AB286,AB286)-1)))</f>
        <v/>
      </c>
      <c r="AD286" s="225"/>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HLOOKUP($AX$9&amp;$AX$10,Data!$A$1:$ZZ$1992,(MATCH($C286,Data!$A$1:$A$1992,0)),FALSE)</f>
        <v>0</v>
      </c>
      <c r="AY286" s="156"/>
      <c r="AZ286" s="44"/>
    </row>
    <row r="287" spans="1:52">
      <c r="A287" s="84" t="str">
        <f>$D$1&amp;277</f>
        <v>SC277</v>
      </c>
      <c r="B287" s="85">
        <f>IF(ISERROR(VLOOKUP(A287,classifications!A:C,3,FALSE)),0,VLOOKUP(A287,classifications!A:C,3,FALSE))</f>
        <v>0</v>
      </c>
      <c r="C287" s="31" t="s">
        <v>291</v>
      </c>
      <c r="D287" s="49" t="str">
        <f>VLOOKUP($C287,classifications!$C:$J,4,FALSE)</f>
        <v>UA</v>
      </c>
      <c r="E287" s="49">
        <f>VLOOKUP(C287,classifications!C:K,9,FALSE)</f>
        <v>0</v>
      </c>
      <c r="F287" s="59">
        <f t="shared" si="96"/>
        <v>4.0000000000000001E-3</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17" t="str">
        <f>IF(L287="","",VLOOKUP(L287,classifications!C:K,9,FALSE))</f>
        <v/>
      </c>
      <c r="U287" s="224" t="str">
        <f t="shared" si="101"/>
        <v/>
      </c>
      <c r="V287" s="225" t="str">
        <f>IF(U287="","",IF($I$8="A",(RANK(U287,U$11:U$355)+COUNTIF(U$11:U287,U287)-1),(RANK(U287,U$11:U$355,1)+COUNTIF(U$11:U287,U287)-1)))</f>
        <v/>
      </c>
      <c r="W287" s="226"/>
      <c r="X287" s="61" t="str">
        <f>IF(L287="","",VLOOKUP($L287,classifications!$C:$J,6,FALSE))</f>
        <v/>
      </c>
      <c r="Y287" s="49" t="b">
        <f t="shared" si="102"/>
        <v>0</v>
      </c>
      <c r="Z287" s="57" t="e">
        <f>IF(Y287="","",IF(I$8="A",(RANK(Y287,Y$11:Y$355,1)+COUNTIF(Y$11:Y287,Y287)-1),(RANK(Y287,Y$11:Y$355)+COUNTIF(Y$11:Y287,Y287)-1)))</f>
        <v>#N/A</v>
      </c>
      <c r="AA287" s="231" t="str">
        <f>IF(L287="","",VLOOKUP($L287,classifications!C:I,7,FALSE))</f>
        <v/>
      </c>
      <c r="AB287" s="225" t="str">
        <f t="shared" si="111"/>
        <v/>
      </c>
      <c r="AC287" s="225" t="str">
        <f>IF(AB287="","",IF($I$8="A",(RANK(AB287,AB$11:AB$355)+COUNTIF(AB$11:AB287,AB287)-1),(RANK(AB287,AB$11:AB$355,1)+COUNTIF(AB$11:AB287,AB287)-1)))</f>
        <v/>
      </c>
      <c r="AD287" s="225"/>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HLOOKUP($AX$9&amp;$AX$10,Data!$A$1:$ZZ$1992,(MATCH($C287,Data!$A$1:$A$1992,0)),FALSE)</f>
        <v>4.0000000000000001E-3</v>
      </c>
      <c r="AY287" s="156"/>
      <c r="AZ287" s="44"/>
    </row>
    <row r="288" spans="1:52">
      <c r="A288" s="84" t="str">
        <f>$D$1&amp;278</f>
        <v>SC278</v>
      </c>
      <c r="B288" s="85">
        <f>IF(ISERROR(VLOOKUP(A288,classifications!A:C,3,FALSE)),0,VLOOKUP(A288,classifications!A:C,3,FALSE))</f>
        <v>0</v>
      </c>
      <c r="C288" s="31" t="s">
        <v>292</v>
      </c>
      <c r="D288" s="49" t="str">
        <f>VLOOKUP($C288,classifications!$C:$J,4,FALSE)</f>
        <v>UA</v>
      </c>
      <c r="E288" s="49">
        <f>VLOOKUP(C288,classifications!C:K,9,FALSE)</f>
        <v>0</v>
      </c>
      <c r="F288" s="59">
        <f t="shared" si="96"/>
        <v>5.1999999999999998E-2</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17" t="str">
        <f>IF(L288="","",VLOOKUP(L288,classifications!C:K,9,FALSE))</f>
        <v/>
      </c>
      <c r="U288" s="224" t="str">
        <f t="shared" si="101"/>
        <v/>
      </c>
      <c r="V288" s="225" t="str">
        <f>IF(U288="","",IF($I$8="A",(RANK(U288,U$11:U$355)+COUNTIF(U$11:U288,U288)-1),(RANK(U288,U$11:U$355,1)+COUNTIF(U$11:U288,U288)-1)))</f>
        <v/>
      </c>
      <c r="W288" s="226"/>
      <c r="X288" s="61" t="str">
        <f>IF(L288="","",VLOOKUP($L288,classifications!$C:$J,6,FALSE))</f>
        <v/>
      </c>
      <c r="Y288" s="49" t="b">
        <f t="shared" si="102"/>
        <v>0</v>
      </c>
      <c r="Z288" s="57" t="e">
        <f>IF(Y288="","",IF(I$8="A",(RANK(Y288,Y$11:Y$355,1)+COUNTIF(Y$11:Y288,Y288)-1),(RANK(Y288,Y$11:Y$355)+COUNTIF(Y$11:Y288,Y288)-1)))</f>
        <v>#N/A</v>
      </c>
      <c r="AA288" s="231" t="str">
        <f>IF(L288="","",VLOOKUP($L288,classifications!C:I,7,FALSE))</f>
        <v/>
      </c>
      <c r="AB288" s="225" t="str">
        <f t="shared" si="111"/>
        <v/>
      </c>
      <c r="AC288" s="225" t="str">
        <f>IF(AB288="","",IF($I$8="A",(RANK(AB288,AB$11:AB$355)+COUNTIF(AB$11:AB288,AB288)-1),(RANK(AB288,AB$11:AB$355,1)+COUNTIF(AB$11:AB288,AB288)-1)))</f>
        <v/>
      </c>
      <c r="AD288" s="225"/>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HLOOKUP($AX$9&amp;$AX$10,Data!$A$1:$ZZ$1992,(MATCH($C288,Data!$A$1:$A$1992,0)),FALSE)</f>
        <v>5.1999999999999998E-2</v>
      </c>
      <c r="AY288" s="156"/>
      <c r="AZ288" s="44"/>
    </row>
    <row r="289" spans="1:52">
      <c r="A289" s="84" t="str">
        <f>$D$1&amp;279</f>
        <v>SC279</v>
      </c>
      <c r="B289" s="85">
        <f>IF(ISERROR(VLOOKUP(A289,classifications!A:C,3,FALSE)),0,VLOOKUP(A289,classifications!A:C,3,FALSE))</f>
        <v>0</v>
      </c>
      <c r="C289" s="31" t="s">
        <v>157</v>
      </c>
      <c r="D289" s="49" t="str">
        <f>VLOOKUP($C289,classifications!$C:$J,4,FALSE)</f>
        <v>SD</v>
      </c>
      <c r="E289" s="49" t="str">
        <f>VLOOKUP(C289,classifications!C:K,9,FALSE)</f>
        <v>Sparse</v>
      </c>
      <c r="F289" s="59">
        <f t="shared" si="96"/>
        <v>0</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17" t="str">
        <f>IF(L289="","",VLOOKUP(L289,classifications!C:K,9,FALSE))</f>
        <v/>
      </c>
      <c r="U289" s="224" t="str">
        <f t="shared" si="101"/>
        <v/>
      </c>
      <c r="V289" s="225" t="str">
        <f>IF(U289="","",IF($I$8="A",(RANK(U289,U$11:U$355)+COUNTIF(U$11:U289,U289)-1),(RANK(U289,U$11:U$355,1)+COUNTIF(U$11:U289,U289)-1)))</f>
        <v/>
      </c>
      <c r="W289" s="226"/>
      <c r="X289" s="61" t="str">
        <f>IF(L289="","",VLOOKUP($L289,classifications!$C:$J,6,FALSE))</f>
        <v/>
      </c>
      <c r="Y289" s="49" t="b">
        <f t="shared" si="102"/>
        <v>0</v>
      </c>
      <c r="Z289" s="57" t="e">
        <f>IF(Y289="","",IF(I$8="A",(RANK(Y289,Y$11:Y$355,1)+COUNTIF(Y$11:Y289,Y289)-1),(RANK(Y289,Y$11:Y$355)+COUNTIF(Y$11:Y289,Y289)-1)))</f>
        <v>#N/A</v>
      </c>
      <c r="AA289" s="231" t="str">
        <f>IF(L289="","",VLOOKUP($L289,classifications!C:I,7,FALSE))</f>
        <v/>
      </c>
      <c r="AB289" s="225" t="str">
        <f t="shared" si="111"/>
        <v/>
      </c>
      <c r="AC289" s="225" t="str">
        <f>IF(AB289="","",IF($I$8="A",(RANK(AB289,AB$11:AB$355)+COUNTIF(AB$11:AB289,AB289)-1),(RANK(AB289,AB$11:AB$355,1)+COUNTIF(AB$11:AB289,AB289)-1)))</f>
        <v/>
      </c>
      <c r="AD289" s="225"/>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HLOOKUP($AX$9&amp;$AX$10,Data!$A$1:$ZZ$1992,(MATCH($C289,Data!$A$1:$A$1992,0)),FALSE)</f>
        <v>0</v>
      </c>
      <c r="AY289" s="156"/>
      <c r="AZ289" s="44"/>
    </row>
    <row r="290" spans="1:52">
      <c r="A290" s="84" t="str">
        <f>$D$1&amp;280</f>
        <v>SC280</v>
      </c>
      <c r="B290" s="85">
        <f>IF(ISERROR(VLOOKUP(A290,classifications!A:C,3,FALSE)),0,VLOOKUP(A290,classifications!A:C,3,FALSE))</f>
        <v>0</v>
      </c>
      <c r="C290" s="31" t="s">
        <v>158</v>
      </c>
      <c r="D290" s="49" t="str">
        <f>VLOOKUP($C290,classifications!$C:$J,4,FALSE)</f>
        <v>SD</v>
      </c>
      <c r="E290" s="49" t="str">
        <f>VLOOKUP(C290,classifications!C:K,9,FALSE)</f>
        <v>Sparse</v>
      </c>
      <c r="F290" s="59">
        <f t="shared" si="96"/>
        <v>0</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17" t="str">
        <f>IF(L290="","",VLOOKUP(L290,classifications!C:K,9,FALSE))</f>
        <v/>
      </c>
      <c r="U290" s="224" t="str">
        <f t="shared" si="101"/>
        <v/>
      </c>
      <c r="V290" s="225" t="str">
        <f>IF(U290="","",IF($I$8="A",(RANK(U290,U$11:U$355)+COUNTIF(U$11:U290,U290)-1),(RANK(U290,U$11:U$355,1)+COUNTIF(U$11:U290,U290)-1)))</f>
        <v/>
      </c>
      <c r="W290" s="226"/>
      <c r="X290" s="61" t="str">
        <f>IF(L290="","",VLOOKUP($L290,classifications!$C:$J,6,FALSE))</f>
        <v/>
      </c>
      <c r="Y290" s="49" t="b">
        <f t="shared" si="102"/>
        <v>0</v>
      </c>
      <c r="Z290" s="57" t="e">
        <f>IF(Y290="","",IF(I$8="A",(RANK(Y290,Y$11:Y$355,1)+COUNTIF(Y$11:Y290,Y290)-1),(RANK(Y290,Y$11:Y$355)+COUNTIF(Y$11:Y290,Y290)-1)))</f>
        <v>#N/A</v>
      </c>
      <c r="AA290" s="231" t="str">
        <f>IF(L290="","",VLOOKUP($L290,classifications!C:I,7,FALSE))</f>
        <v/>
      </c>
      <c r="AB290" s="225" t="str">
        <f t="shared" si="111"/>
        <v/>
      </c>
      <c r="AC290" s="225" t="str">
        <f>IF(AB290="","",IF($I$8="A",(RANK(AB290,AB$11:AB$355)+COUNTIF(AB$11:AB290,AB290)-1),(RANK(AB290,AB$11:AB$355,1)+COUNTIF(AB$11:AB290,AB290)-1)))</f>
        <v/>
      </c>
      <c r="AD290" s="225"/>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HLOOKUP($AX$9&amp;$AX$10,Data!$A$1:$ZZ$1992,(MATCH($C290,Data!$A$1:$A$1992,0)),FALSE)</f>
        <v>0</v>
      </c>
      <c r="AY290" s="156"/>
      <c r="AZ290" s="44"/>
    </row>
    <row r="291" spans="1:52">
      <c r="A291" s="84" t="str">
        <f>$D$1&amp;281</f>
        <v>SC281</v>
      </c>
      <c r="B291" s="85">
        <f>IF(ISERROR(VLOOKUP(A291,classifications!A:C,3,FALSE)),0,VLOOKUP(A291,classifications!A:C,3,FALSE))</f>
        <v>0</v>
      </c>
      <c r="C291" s="31" t="s">
        <v>329</v>
      </c>
      <c r="D291" s="49" t="str">
        <f>VLOOKUP($C291,classifications!$C:$J,4,FALSE)</f>
        <v>SC</v>
      </c>
      <c r="E291" s="49" t="str">
        <f>VLOOKUP(C291,classifications!C:K,9,FALSE)</f>
        <v>Sparse</v>
      </c>
      <c r="F291" s="59">
        <f t="shared" si="96"/>
        <v>3.1E-2</v>
      </c>
      <c r="G291" s="105"/>
      <c r="H291" s="60">
        <f t="shared" si="97"/>
        <v>3.1E-2</v>
      </c>
      <c r="I291" s="112">
        <f>IF(H291="","",IF($I$8="A",(RANK(H291,H$11:H$355,1)+COUNTIF(H$11:H291,H291)-1),(RANK(H291,H$11:H$355)+COUNTIF(H$11:H291,H291)-1)))</f>
        <v>4</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17" t="str">
        <f>IF(L291="","",VLOOKUP(L291,classifications!C:K,9,FALSE))</f>
        <v/>
      </c>
      <c r="U291" s="224" t="str">
        <f t="shared" si="101"/>
        <v/>
      </c>
      <c r="V291" s="225" t="str">
        <f>IF(U291="","",IF($I$8="A",(RANK(U291,U$11:U$355)+COUNTIF(U$11:U291,U291)-1),(RANK(U291,U$11:U$355,1)+COUNTIF(U$11:U291,U291)-1)))</f>
        <v/>
      </c>
      <c r="W291" s="226"/>
      <c r="X291" s="61" t="str">
        <f>IF(L291="","",VLOOKUP($L291,classifications!$C:$J,6,FALSE))</f>
        <v/>
      </c>
      <c r="Y291" s="49" t="b">
        <f t="shared" si="102"/>
        <v>0</v>
      </c>
      <c r="Z291" s="57" t="e">
        <f>IF(Y291="","",IF(I$8="A",(RANK(Y291,Y$11:Y$355,1)+COUNTIF(Y$11:Y291,Y291)-1),(RANK(Y291,Y$11:Y$355)+COUNTIF(Y$11:Y291,Y291)-1)))</f>
        <v>#N/A</v>
      </c>
      <c r="AA291" s="231" t="str">
        <f>IF(L291="","",VLOOKUP($L291,classifications!C:I,7,FALSE))</f>
        <v/>
      </c>
      <c r="AB291" s="225" t="str">
        <f t="shared" si="111"/>
        <v/>
      </c>
      <c r="AC291" s="225" t="str">
        <f>IF(AB291="","",IF($I$8="A",(RANK(AB291,AB$11:AB$355)+COUNTIF(AB$11:AB291,AB291)-1),(RANK(AB291,AB$11:AB$355,1)+COUNTIF(AB$11:AB291,AB291)-1)))</f>
        <v/>
      </c>
      <c r="AD291" s="225"/>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HLOOKUP($AX$9&amp;$AX$10,Data!$A$1:$ZZ$1992,(MATCH($C291,Data!$A$1:$A$1992,0)),FALSE)</f>
        <v>3.1E-2</v>
      </c>
      <c r="AY291" s="156"/>
      <c r="AZ291" s="44"/>
    </row>
    <row r="292" spans="1:52">
      <c r="A292" s="84" t="str">
        <f>$D$1&amp;282</f>
        <v>SC282</v>
      </c>
      <c r="B292" s="85">
        <f>IF(ISERROR(VLOOKUP(A292,classifications!A:C,3,FALSE)),0,VLOOKUP(A292,classifications!A:C,3,FALSE))</f>
        <v>0</v>
      </c>
      <c r="C292" s="31" t="s">
        <v>911</v>
      </c>
      <c r="D292" s="49" t="str">
        <f>VLOOKUP($C292,classifications!$C:$J,4,FALSE)</f>
        <v>SD</v>
      </c>
      <c r="E292" s="49" t="str">
        <f>VLOOKUP(C292,classifications!C:K,9,FALSE)</f>
        <v>Sparse</v>
      </c>
      <c r="F292" s="59">
        <f t="shared" si="96"/>
        <v>0</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17" t="str">
        <f>IF(L292="","",VLOOKUP(L292,classifications!C:K,9,FALSE))</f>
        <v/>
      </c>
      <c r="U292" s="224" t="str">
        <f t="shared" si="101"/>
        <v/>
      </c>
      <c r="V292" s="225" t="str">
        <f>IF(U292="","",IF($I$8="A",(RANK(U292,U$11:U$355)+COUNTIF(U$11:U292,U292)-1),(RANK(U292,U$11:U$355,1)+COUNTIF(U$11:U292,U292)-1)))</f>
        <v/>
      </c>
      <c r="W292" s="226"/>
      <c r="X292" s="61" t="str">
        <f>IF(L292="","",VLOOKUP($L292,classifications!$C:$J,6,FALSE))</f>
        <v/>
      </c>
      <c r="Y292" s="49" t="b">
        <f t="shared" si="102"/>
        <v>0</v>
      </c>
      <c r="Z292" s="57" t="e">
        <f>IF(Y292="","",IF(I$8="A",(RANK(Y292,Y$11:Y$355,1)+COUNTIF(Y$11:Y292,Y292)-1),(RANK(Y292,Y$11:Y$355)+COUNTIF(Y$11:Y292,Y292)-1)))</f>
        <v>#N/A</v>
      </c>
      <c r="AA292" s="231" t="str">
        <f>IF(L292="","",VLOOKUP($L292,classifications!C:I,7,FALSE))</f>
        <v/>
      </c>
      <c r="AB292" s="225" t="str">
        <f t="shared" si="111"/>
        <v/>
      </c>
      <c r="AC292" s="225" t="str">
        <f>IF(AB292="","",IF($I$8="A",(RANK(AB292,AB$11:AB$355)+COUNTIF(AB$11:AB292,AB292)-1),(RANK(AB292,AB$11:AB$355,1)+COUNTIF(AB$11:AB292,AB292)-1)))</f>
        <v/>
      </c>
      <c r="AD292" s="225"/>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HLOOKUP($AX$9&amp;$AX$10,Data!$A$1:$ZZ$1992,(MATCH($C292,Data!$A$1:$A$1992,0)),FALSE)</f>
        <v>0</v>
      </c>
      <c r="AY292" s="156"/>
      <c r="AZ292" s="44"/>
    </row>
    <row r="293" spans="1:52">
      <c r="A293" s="84" t="str">
        <f>$D$1&amp;283</f>
        <v>SC283</v>
      </c>
      <c r="B293" s="85">
        <f>IF(ISERROR(VLOOKUP(A293,classifications!A:C,3,FALSE)),0,VLOOKUP(A293,classifications!A:C,3,FALSE))</f>
        <v>0</v>
      </c>
      <c r="C293" s="31" t="s">
        <v>251</v>
      </c>
      <c r="D293" s="49" t="str">
        <f>VLOOKUP($C293,classifications!$C:$J,4,FALSE)</f>
        <v>MD</v>
      </c>
      <c r="E293" s="49">
        <f>VLOOKUP(C293,classifications!C:K,9,FALSE)</f>
        <v>0</v>
      </c>
      <c r="F293" s="59">
        <f t="shared" si="96"/>
        <v>5.0000000000000001E-3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17" t="str">
        <f>IF(L293="","",VLOOKUP(L293,classifications!C:K,9,FALSE))</f>
        <v/>
      </c>
      <c r="U293" s="224" t="str">
        <f t="shared" si="101"/>
        <v/>
      </c>
      <c r="V293" s="225" t="str">
        <f>IF(U293="","",IF($I$8="A",(RANK(U293,U$11:U$355)+COUNTIF(U$11:U293,U293)-1),(RANK(U293,U$11:U$355,1)+COUNTIF(U$11:U293,U293)-1)))</f>
        <v/>
      </c>
      <c r="W293" s="226"/>
      <c r="X293" s="61" t="str">
        <f>IF(L293="","",VLOOKUP($L293,classifications!$C:$J,6,FALSE))</f>
        <v/>
      </c>
      <c r="Y293" s="49" t="b">
        <f t="shared" si="102"/>
        <v>0</v>
      </c>
      <c r="Z293" s="57" t="e">
        <f>IF(Y293="","",IF(I$8="A",(RANK(Y293,Y$11:Y$355,1)+COUNTIF(Y$11:Y293,Y293)-1),(RANK(Y293,Y$11:Y$355)+COUNTIF(Y$11:Y293,Y293)-1)))</f>
        <v>#N/A</v>
      </c>
      <c r="AA293" s="231" t="str">
        <f>IF(L293="","",VLOOKUP($L293,classifications!C:I,7,FALSE))</f>
        <v/>
      </c>
      <c r="AB293" s="225" t="str">
        <f t="shared" si="111"/>
        <v/>
      </c>
      <c r="AC293" s="225" t="str">
        <f>IF(AB293="","",IF($I$8="A",(RANK(AB293,AB$11:AB$355)+COUNTIF(AB$11:AB293,AB293)-1),(RANK(AB293,AB$11:AB$355,1)+COUNTIF(AB$11:AB293,AB293)-1)))</f>
        <v/>
      </c>
      <c r="AD293" s="225"/>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HLOOKUP($AX$9&amp;$AX$10,Data!$A$1:$ZZ$1992,(MATCH($C293,Data!$A$1:$A$1992,0)),FALSE)</f>
        <v>5.0000000000000001E-3</v>
      </c>
      <c r="AY293" s="156"/>
      <c r="AZ293" s="44"/>
    </row>
    <row r="294" spans="1:52">
      <c r="A294" s="84" t="str">
        <f>$D$1&amp;284</f>
        <v>SC284</v>
      </c>
      <c r="B294" s="85">
        <f>IF(ISERROR(VLOOKUP(A294,classifications!A:C,3,FALSE)),0,VLOOKUP(A294,classifications!A:C,3,FALSE))</f>
        <v>0</v>
      </c>
      <c r="C294" s="31" t="s">
        <v>330</v>
      </c>
      <c r="D294" s="49" t="str">
        <f>VLOOKUP($C294,classifications!$C:$J,4,FALSE)</f>
        <v>SC</v>
      </c>
      <c r="E294" s="49">
        <f>VLOOKUP(C294,classifications!C:K,9,FALSE)</f>
        <v>0</v>
      </c>
      <c r="F294" s="59">
        <f t="shared" si="96"/>
        <v>6.4000000000000001E-2</v>
      </c>
      <c r="G294" s="105"/>
      <c r="H294" s="60">
        <f t="shared" si="97"/>
        <v>6.4000000000000001E-2</v>
      </c>
      <c r="I294" s="112">
        <f>IF(H294="","",IF($I$8="A",(RANK(H294,H$11:H$355,1)+COUNTIF(H$11:H294,H294)-1),(RANK(H294,H$11:H$355)+COUNTIF(H$11:H294,H294)-1)))</f>
        <v>11</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17" t="str">
        <f>IF(L294="","",VLOOKUP(L294,classifications!C:K,9,FALSE))</f>
        <v/>
      </c>
      <c r="U294" s="224" t="str">
        <f t="shared" si="101"/>
        <v/>
      </c>
      <c r="V294" s="225" t="str">
        <f>IF(U294="","",IF($I$8="A",(RANK(U294,U$11:U$355)+COUNTIF(U$11:U294,U294)-1),(RANK(U294,U$11:U$355,1)+COUNTIF(U$11:U294,U294)-1)))</f>
        <v/>
      </c>
      <c r="W294" s="226"/>
      <c r="X294" s="61" t="str">
        <f>IF(L294="","",VLOOKUP($L294,classifications!$C:$J,6,FALSE))</f>
        <v/>
      </c>
      <c r="Y294" s="49" t="b">
        <f t="shared" si="102"/>
        <v>0</v>
      </c>
      <c r="Z294" s="57" t="e">
        <f>IF(Y294="","",IF(I$8="A",(RANK(Y294,Y$11:Y$355,1)+COUNTIF(Y$11:Y294,Y294)-1),(RANK(Y294,Y$11:Y$355)+COUNTIF(Y$11:Y294,Y294)-1)))</f>
        <v>#N/A</v>
      </c>
      <c r="AA294" s="231" t="str">
        <f>IF(L294="","",VLOOKUP($L294,classifications!C:I,7,FALSE))</f>
        <v/>
      </c>
      <c r="AB294" s="225" t="str">
        <f t="shared" si="111"/>
        <v/>
      </c>
      <c r="AC294" s="225" t="str">
        <f>IF(AB294="","",IF($I$8="A",(RANK(AB294,AB$11:AB$355)+COUNTIF(AB$11:AB294,AB294)-1),(RANK(AB294,AB$11:AB$355,1)+COUNTIF(AB$11:AB294,AB294)-1)))</f>
        <v/>
      </c>
      <c r="AD294" s="225"/>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HLOOKUP($AX$9&amp;$AX$10,Data!$A$1:$ZZ$1992,(MATCH($C294,Data!$A$1:$A$1992,0)),FALSE)</f>
        <v>6.4000000000000001E-2</v>
      </c>
      <c r="AY294" s="156"/>
      <c r="AZ294" s="44"/>
    </row>
    <row r="295" spans="1:52">
      <c r="A295" s="84" t="str">
        <f>$D$1&amp;285</f>
        <v>SC285</v>
      </c>
      <c r="B295" s="85">
        <f>IF(ISERROR(VLOOKUP(A295,classifications!A:C,3,FALSE)),0,VLOOKUP(A295,classifications!A:C,3,FALSE))</f>
        <v>0</v>
      </c>
      <c r="C295" s="31" t="s">
        <v>160</v>
      </c>
      <c r="D295" s="49" t="str">
        <f>VLOOKUP($C295,classifications!$C:$J,4,FALSE)</f>
        <v>SD</v>
      </c>
      <c r="E295" s="49">
        <f>VLOOKUP(C295,classifications!C:K,9,FALSE)</f>
        <v>0</v>
      </c>
      <c r="F295" s="59">
        <f t="shared" si="96"/>
        <v>0</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17" t="str">
        <f>IF(L295="","",VLOOKUP(L295,classifications!C:K,9,FALSE))</f>
        <v/>
      </c>
      <c r="U295" s="224" t="str">
        <f t="shared" si="101"/>
        <v/>
      </c>
      <c r="V295" s="225" t="str">
        <f>IF(U295="","",IF($I$8="A",(RANK(U295,U$11:U$355)+COUNTIF(U$11:U295,U295)-1),(RANK(U295,U$11:U$355,1)+COUNTIF(U$11:U295,U295)-1)))</f>
        <v/>
      </c>
      <c r="W295" s="226"/>
      <c r="X295" s="61" t="str">
        <f>IF(L295="","",VLOOKUP($L295,classifications!$C:$J,6,FALSE))</f>
        <v/>
      </c>
      <c r="Y295" s="49" t="b">
        <f t="shared" si="102"/>
        <v>0</v>
      </c>
      <c r="Z295" s="57" t="e">
        <f>IF(Y295="","",IF(I$8="A",(RANK(Y295,Y$11:Y$355,1)+COUNTIF(Y$11:Y295,Y295)-1),(RANK(Y295,Y$11:Y$355)+COUNTIF(Y$11:Y295,Y295)-1)))</f>
        <v>#N/A</v>
      </c>
      <c r="AA295" s="231" t="str">
        <f>IF(L295="","",VLOOKUP($L295,classifications!C:I,7,FALSE))</f>
        <v/>
      </c>
      <c r="AB295" s="225" t="str">
        <f t="shared" si="111"/>
        <v/>
      </c>
      <c r="AC295" s="225" t="str">
        <f>IF(AB295="","",IF($I$8="A",(RANK(AB295,AB$11:AB$355)+COUNTIF(AB$11:AB295,AB295)-1),(RANK(AB295,AB$11:AB$355,1)+COUNTIF(AB$11:AB295,AB295)-1)))</f>
        <v/>
      </c>
      <c r="AD295" s="225"/>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HLOOKUP($AX$9&amp;$AX$10,Data!$A$1:$ZZ$1992,(MATCH($C295,Data!$A$1:$A$1992,0)),FALSE)</f>
        <v>0</v>
      </c>
      <c r="AY295" s="156"/>
      <c r="AZ295" s="44"/>
    </row>
    <row r="296" spans="1:52">
      <c r="A296" s="84" t="str">
        <f>$D$1&amp;286</f>
        <v>SC286</v>
      </c>
      <c r="B296" s="85">
        <f>IF(ISERROR(VLOOKUP(A296,classifications!A:C,3,FALSE)),0,VLOOKUP(A296,classifications!A:C,3,FALSE))</f>
        <v>0</v>
      </c>
      <c r="C296" s="31" t="s">
        <v>219</v>
      </c>
      <c r="D296" s="49" t="str">
        <f>VLOOKUP($C296,classifications!$C:$J,4,FALSE)</f>
        <v>L</v>
      </c>
      <c r="E296" s="49">
        <f>VLOOKUP(C296,classifications!C:K,9,FALSE)</f>
        <v>0</v>
      </c>
      <c r="F296" s="59">
        <f t="shared" si="96"/>
        <v>3.7999999999999999E-2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17" t="str">
        <f>IF(L296="","",VLOOKUP(L296,classifications!C:K,9,FALSE))</f>
        <v/>
      </c>
      <c r="U296" s="224" t="str">
        <f t="shared" si="101"/>
        <v/>
      </c>
      <c r="V296" s="225" t="str">
        <f>IF(U296="","",IF($I$8="A",(RANK(U296,U$11:U$355)+COUNTIF(U$11:U296,U296)-1),(RANK(U296,U$11:U$355,1)+COUNTIF(U$11:U296,U296)-1)))</f>
        <v/>
      </c>
      <c r="W296" s="226"/>
      <c r="X296" s="61" t="str">
        <f>IF(L296="","",VLOOKUP($L296,classifications!$C:$J,6,FALSE))</f>
        <v/>
      </c>
      <c r="Y296" s="49" t="b">
        <f t="shared" si="102"/>
        <v>0</v>
      </c>
      <c r="Z296" s="57" t="e">
        <f>IF(Y296="","",IF(I$8="A",(RANK(Y296,Y$11:Y$355,1)+COUNTIF(Y$11:Y296,Y296)-1),(RANK(Y296,Y$11:Y$355)+COUNTIF(Y$11:Y296,Y296)-1)))</f>
        <v>#N/A</v>
      </c>
      <c r="AA296" s="231" t="str">
        <f>IF(L296="","",VLOOKUP($L296,classifications!C:I,7,FALSE))</f>
        <v/>
      </c>
      <c r="AB296" s="225" t="str">
        <f t="shared" si="111"/>
        <v/>
      </c>
      <c r="AC296" s="225" t="str">
        <f>IF(AB296="","",IF($I$8="A",(RANK(AB296,AB$11:AB$355)+COUNTIF(AB$11:AB296,AB296)-1),(RANK(AB296,AB$11:AB$355,1)+COUNTIF(AB$11:AB296,AB296)-1)))</f>
        <v/>
      </c>
      <c r="AD296" s="225"/>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HLOOKUP($AX$9&amp;$AX$10,Data!$A$1:$ZZ$1992,(MATCH($C296,Data!$A$1:$A$1992,0)),FALSE)</f>
        <v>3.7999999999999999E-2</v>
      </c>
      <c r="AY296" s="156"/>
      <c r="AZ296" s="44"/>
    </row>
    <row r="297" spans="1:52">
      <c r="A297" s="84" t="str">
        <f>$D$1&amp;287</f>
        <v>SC287</v>
      </c>
      <c r="B297" s="85">
        <f>IF(ISERROR(VLOOKUP(A297,classifications!A:C,3,FALSE)),0,VLOOKUP(A297,classifications!A:C,3,FALSE))</f>
        <v>0</v>
      </c>
      <c r="C297" s="31" t="s">
        <v>161</v>
      </c>
      <c r="D297" s="49" t="str">
        <f>VLOOKUP($C297,classifications!$C:$J,4,FALSE)</f>
        <v>SD</v>
      </c>
      <c r="E297" s="49">
        <f>VLOOKUP(C297,classifications!C:K,9,FALSE)</f>
        <v>0</v>
      </c>
      <c r="F297" s="59">
        <f t="shared" si="96"/>
        <v>0</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17" t="str">
        <f>IF(L297="","",VLOOKUP(L297,classifications!C:K,9,FALSE))</f>
        <v/>
      </c>
      <c r="U297" s="224" t="str">
        <f t="shared" si="101"/>
        <v/>
      </c>
      <c r="V297" s="225" t="str">
        <f>IF(U297="","",IF($I$8="A",(RANK(U297,U$11:U$355)+COUNTIF(U$11:U297,U297)-1),(RANK(U297,U$11:U$355,1)+COUNTIF(U$11:U297,U297)-1)))</f>
        <v/>
      </c>
      <c r="W297" s="226"/>
      <c r="X297" s="61" t="str">
        <f>IF(L297="","",VLOOKUP($L297,classifications!$C:$J,6,FALSE))</f>
        <v/>
      </c>
      <c r="Y297" s="49" t="b">
        <f t="shared" si="102"/>
        <v>0</v>
      </c>
      <c r="Z297" s="57" t="e">
        <f>IF(Y297="","",IF(I$8="A",(RANK(Y297,Y$11:Y$355,1)+COUNTIF(Y$11:Y297,Y297)-1),(RANK(Y297,Y$11:Y$355)+COUNTIF(Y$11:Y297,Y297)-1)))</f>
        <v>#N/A</v>
      </c>
      <c r="AA297" s="231" t="str">
        <f>IF(L297="","",VLOOKUP($L297,classifications!C:I,7,FALSE))</f>
        <v/>
      </c>
      <c r="AB297" s="225" t="str">
        <f t="shared" si="111"/>
        <v/>
      </c>
      <c r="AC297" s="225" t="str">
        <f>IF(AB297="","",IF($I$8="A",(RANK(AB297,AB$11:AB$355)+COUNTIF(AB$11:AB297,AB297)-1),(RANK(AB297,AB$11:AB$355,1)+COUNTIF(AB$11:AB297,AB297)-1)))</f>
        <v/>
      </c>
      <c r="AD297" s="225"/>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HLOOKUP($AX$9&amp;$AX$10,Data!$A$1:$ZZ$1992,(MATCH($C297,Data!$A$1:$A$1992,0)),FALSE)</f>
        <v>0</v>
      </c>
      <c r="AY297" s="156"/>
      <c r="AZ297" s="44"/>
    </row>
    <row r="298" spans="1:52">
      <c r="A298" s="84" t="str">
        <f>$D$1&amp;288</f>
        <v>SC288</v>
      </c>
      <c r="B298" s="85">
        <f>IF(ISERROR(VLOOKUP(A298,classifications!A:C,3,FALSE)),0,VLOOKUP(A298,classifications!A:C,3,FALSE))</f>
        <v>0</v>
      </c>
      <c r="C298" s="31" t="s">
        <v>293</v>
      </c>
      <c r="D298" s="49" t="str">
        <f>VLOOKUP($C298,classifications!$C:$J,4,FALSE)</f>
        <v>UA</v>
      </c>
      <c r="E298" s="49">
        <f>VLOOKUP(C298,classifications!C:K,9,FALSE)</f>
        <v>0</v>
      </c>
      <c r="F298" s="59">
        <f t="shared" si="96"/>
        <v>9.0999999999999998E-2</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17" t="str">
        <f>IF(L298="","",VLOOKUP(L298,classifications!C:K,9,FALSE))</f>
        <v/>
      </c>
      <c r="U298" s="224" t="str">
        <f t="shared" si="101"/>
        <v/>
      </c>
      <c r="V298" s="225" t="str">
        <f>IF(U298="","",IF($I$8="A",(RANK(U298,U$11:U$355)+COUNTIF(U$11:U298,U298)-1),(RANK(U298,U$11:U$355,1)+COUNTIF(U$11:U298,U298)-1)))</f>
        <v/>
      </c>
      <c r="W298" s="226"/>
      <c r="X298" s="61" t="str">
        <f>IF(L298="","",VLOOKUP($L298,classifications!$C:$J,6,FALSE))</f>
        <v/>
      </c>
      <c r="Y298" s="49" t="b">
        <f t="shared" si="102"/>
        <v>0</v>
      </c>
      <c r="Z298" s="57" t="e">
        <f>IF(Y298="","",IF(I$8="A",(RANK(Y298,Y$11:Y$355,1)+COUNTIF(Y$11:Y298,Y298)-1),(RANK(Y298,Y$11:Y$355)+COUNTIF(Y$11:Y298,Y298)-1)))</f>
        <v>#N/A</v>
      </c>
      <c r="AA298" s="231" t="str">
        <f>IF(L298="","",VLOOKUP($L298,classifications!C:I,7,FALSE))</f>
        <v/>
      </c>
      <c r="AB298" s="225" t="str">
        <f t="shared" si="111"/>
        <v/>
      </c>
      <c r="AC298" s="225" t="str">
        <f>IF(AB298="","",IF($I$8="A",(RANK(AB298,AB$11:AB$355)+COUNTIF(AB$11:AB298,AB298)-1),(RANK(AB298,AB$11:AB$355,1)+COUNTIF(AB$11:AB298,AB298)-1)))</f>
        <v/>
      </c>
      <c r="AD298" s="225"/>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HLOOKUP($AX$9&amp;$AX$10,Data!$A$1:$ZZ$1992,(MATCH($C298,Data!$A$1:$A$1992,0)),FALSE)</f>
        <v>9.0999999999999998E-2</v>
      </c>
      <c r="AY298" s="156"/>
      <c r="AZ298" s="44"/>
    </row>
    <row r="299" spans="1:52">
      <c r="A299" s="84" t="str">
        <f>$D$1&amp;289</f>
        <v>SC289</v>
      </c>
      <c r="B299" s="85">
        <f>IF(ISERROR(VLOOKUP(A299,classifications!A:C,3,FALSE)),0,VLOOKUP(A299,classifications!A:C,3,FALSE))</f>
        <v>0</v>
      </c>
      <c r="C299" s="31" t="s">
        <v>252</v>
      </c>
      <c r="D299" s="49" t="str">
        <f>VLOOKUP($C299,classifications!$C:$J,4,FALSE)</f>
        <v>MD</v>
      </c>
      <c r="E299" s="49">
        <f>VLOOKUP(C299,classifications!C:K,9,FALSE)</f>
        <v>0</v>
      </c>
      <c r="F299" s="59">
        <f t="shared" si="96"/>
        <v>0</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17" t="str">
        <f>IF(L299="","",VLOOKUP(L299,classifications!C:K,9,FALSE))</f>
        <v/>
      </c>
      <c r="U299" s="224" t="str">
        <f t="shared" si="101"/>
        <v/>
      </c>
      <c r="V299" s="225" t="str">
        <f>IF(U299="","",IF($I$8="A",(RANK(U299,U$11:U$355)+COUNTIF(U$11:U299,U299)-1),(RANK(U299,U$11:U$355,1)+COUNTIF(U$11:U299,U299)-1)))</f>
        <v/>
      </c>
      <c r="W299" s="226"/>
      <c r="X299" s="61" t="str">
        <f>IF(L299="","",VLOOKUP($L299,classifications!$C:$J,6,FALSE))</f>
        <v/>
      </c>
      <c r="Y299" s="49" t="b">
        <f t="shared" si="102"/>
        <v>0</v>
      </c>
      <c r="Z299" s="57" t="e">
        <f>IF(Y299="","",IF(I$8="A",(RANK(Y299,Y$11:Y$355,1)+COUNTIF(Y$11:Y299,Y299)-1),(RANK(Y299,Y$11:Y$355)+COUNTIF(Y$11:Y299,Y299)-1)))</f>
        <v>#N/A</v>
      </c>
      <c r="AA299" s="231" t="str">
        <f>IF(L299="","",VLOOKUP($L299,classifications!C:I,7,FALSE))</f>
        <v/>
      </c>
      <c r="AB299" s="225" t="str">
        <f t="shared" si="111"/>
        <v/>
      </c>
      <c r="AC299" s="225" t="str">
        <f>IF(AB299="","",IF($I$8="A",(RANK(AB299,AB$11:AB$355)+COUNTIF(AB$11:AB299,AB299)-1),(RANK(AB299,AB$11:AB$355,1)+COUNTIF(AB$11:AB299,AB299)-1)))</f>
        <v/>
      </c>
      <c r="AD299" s="225"/>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HLOOKUP($AX$9&amp;$AX$10,Data!$A$1:$ZZ$1992,(MATCH($C299,Data!$A$1:$A$1992,0)),FALSE)</f>
        <v>0</v>
      </c>
      <c r="AY299" s="156"/>
      <c r="AZ299" s="44"/>
    </row>
    <row r="300" spans="1:52">
      <c r="A300" s="84" t="str">
        <f>$D$1&amp;290</f>
        <v>SC290</v>
      </c>
      <c r="B300" s="85">
        <f>IF(ISERROR(VLOOKUP(A300,classifications!A:C,3,FALSE)),0,VLOOKUP(A300,classifications!A:C,3,FALSE))</f>
        <v>0</v>
      </c>
      <c r="C300" s="31" t="s">
        <v>162</v>
      </c>
      <c r="D300" s="49" t="str">
        <f>VLOOKUP($C300,classifications!$C:$J,4,FALSE)</f>
        <v>SD</v>
      </c>
      <c r="E300" s="49">
        <f>VLOOKUP(C300,classifications!C:K,9,FALSE)</f>
        <v>0</v>
      </c>
      <c r="F300" s="59">
        <f t="shared" si="96"/>
        <v>0</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17" t="str">
        <f>IF(L300="","",VLOOKUP(L300,classifications!C:K,9,FALSE))</f>
        <v/>
      </c>
      <c r="U300" s="224" t="str">
        <f t="shared" si="101"/>
        <v/>
      </c>
      <c r="V300" s="225" t="str">
        <f>IF(U300="","",IF($I$8="A",(RANK(U300,U$11:U$355)+COUNTIF(U$11:U300,U300)-1),(RANK(U300,U$11:U$355,1)+COUNTIF(U$11:U300,U300)-1)))</f>
        <v/>
      </c>
      <c r="W300" s="226"/>
      <c r="X300" s="61" t="str">
        <f>IF(L300="","",VLOOKUP($L300,classifications!$C:$J,6,FALSE))</f>
        <v/>
      </c>
      <c r="Y300" s="49" t="b">
        <f t="shared" si="102"/>
        <v>0</v>
      </c>
      <c r="Z300" s="57" t="e">
        <f>IF(Y300="","",IF(I$8="A",(RANK(Y300,Y$11:Y$355,1)+COUNTIF(Y$11:Y300,Y300)-1),(RANK(Y300,Y$11:Y$355)+COUNTIF(Y$11:Y300,Y300)-1)))</f>
        <v>#N/A</v>
      </c>
      <c r="AA300" s="231" t="str">
        <f>IF(L300="","",VLOOKUP($L300,classifications!C:I,7,FALSE))</f>
        <v/>
      </c>
      <c r="AB300" s="225" t="str">
        <f t="shared" si="111"/>
        <v/>
      </c>
      <c r="AC300" s="225" t="str">
        <f>IF(AB300="","",IF($I$8="A",(RANK(AB300,AB$11:AB$355)+COUNTIF(AB$11:AB300,AB300)-1),(RANK(AB300,AB$11:AB$355,1)+COUNTIF(AB$11:AB300,AB300)-1)))</f>
        <v/>
      </c>
      <c r="AD300" s="225"/>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HLOOKUP($AX$9&amp;$AX$10,Data!$A$1:$ZZ$1992,(MATCH($C300,Data!$A$1:$A$1992,0)),FALSE)</f>
        <v>0</v>
      </c>
      <c r="AY300" s="156"/>
      <c r="AZ300" s="44"/>
    </row>
    <row r="301" spans="1:52">
      <c r="A301" s="84" t="str">
        <f>$D$1&amp;291</f>
        <v>SC291</v>
      </c>
      <c r="B301" s="85">
        <f>IF(ISERROR(VLOOKUP(A301,classifications!A:C,3,FALSE)),0,VLOOKUP(A301,classifications!A:C,3,FALSE))</f>
        <v>0</v>
      </c>
      <c r="C301" s="31" t="s">
        <v>163</v>
      </c>
      <c r="D301" s="49" t="str">
        <f>VLOOKUP($C301,classifications!$C:$J,4,FALSE)</f>
        <v>SD</v>
      </c>
      <c r="E301" s="49" t="str">
        <f>VLOOKUP(C301,classifications!C:K,9,FALSE)</f>
        <v>Sparse</v>
      </c>
      <c r="F301" s="59">
        <f t="shared" si="96"/>
        <v>0</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17" t="str">
        <f>IF(L301="","",VLOOKUP(L301,classifications!C:K,9,FALSE))</f>
        <v/>
      </c>
      <c r="U301" s="224" t="str">
        <f t="shared" si="101"/>
        <v/>
      </c>
      <c r="V301" s="225" t="str">
        <f>IF(U301="","",IF($I$8="A",(RANK(U301,U$11:U$355)+COUNTIF(U$11:U301,U301)-1),(RANK(U301,U$11:U$355,1)+COUNTIF(U$11:U301,U301)-1)))</f>
        <v/>
      </c>
      <c r="W301" s="226"/>
      <c r="X301" s="61" t="str">
        <f>IF(L301="","",VLOOKUP($L301,classifications!$C:$J,6,FALSE))</f>
        <v/>
      </c>
      <c r="Y301" s="49" t="b">
        <f t="shared" si="102"/>
        <v>0</v>
      </c>
      <c r="Z301" s="57" t="e">
        <f>IF(Y301="","",IF(I$8="A",(RANK(Y301,Y$11:Y$355,1)+COUNTIF(Y$11:Y301,Y301)-1),(RANK(Y301,Y$11:Y$355)+COUNTIF(Y$11:Y301,Y301)-1)))</f>
        <v>#N/A</v>
      </c>
      <c r="AA301" s="231" t="str">
        <f>IF(L301="","",VLOOKUP($L301,classifications!C:I,7,FALSE))</f>
        <v/>
      </c>
      <c r="AB301" s="225" t="str">
        <f t="shared" si="111"/>
        <v/>
      </c>
      <c r="AC301" s="225" t="str">
        <f>IF(AB301="","",IF($I$8="A",(RANK(AB301,AB$11:AB$355)+COUNTIF(AB$11:AB301,AB301)-1),(RANK(AB301,AB$11:AB$355,1)+COUNTIF(AB$11:AB301,AB301)-1)))</f>
        <v/>
      </c>
      <c r="AD301" s="225"/>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HLOOKUP($AX$9&amp;$AX$10,Data!$A$1:$ZZ$1992,(MATCH($C301,Data!$A$1:$A$1992,0)),FALSE)</f>
        <v>0</v>
      </c>
      <c r="AY301" s="156"/>
      <c r="AZ301" s="44"/>
    </row>
    <row r="302" spans="1:52">
      <c r="A302" s="84" t="str">
        <f>$D$1&amp;292</f>
        <v>SC292</v>
      </c>
      <c r="B302" s="85">
        <f>IF(ISERROR(VLOOKUP(A302,classifications!A:C,3,FALSE)),0,VLOOKUP(A302,classifications!A:C,3,FALSE))</f>
        <v>0</v>
      </c>
      <c r="C302" s="31" t="s">
        <v>164</v>
      </c>
      <c r="D302" s="49" t="str">
        <f>VLOOKUP($C302,classifications!$C:$J,4,FALSE)</f>
        <v>SD</v>
      </c>
      <c r="E302" s="49" t="str">
        <f>VLOOKUP(C302,classifications!C:K,9,FALSE)</f>
        <v>Sparse</v>
      </c>
      <c r="F302" s="59" t="e">
        <f t="shared" si="96"/>
        <v>#N/A</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17" t="str">
        <f>IF(L302="","",VLOOKUP(L302,classifications!C:K,9,FALSE))</f>
        <v/>
      </c>
      <c r="U302" s="224" t="str">
        <f t="shared" si="101"/>
        <v/>
      </c>
      <c r="V302" s="225" t="str">
        <f>IF(U302="","",IF($I$8="A",(RANK(U302,U$11:U$355)+COUNTIF(U$11:U302,U302)-1),(RANK(U302,U$11:U$355,1)+COUNTIF(U$11:U302,U302)-1)))</f>
        <v/>
      </c>
      <c r="W302" s="226"/>
      <c r="X302" s="61" t="str">
        <f>IF(L302="","",VLOOKUP($L302,classifications!$C:$J,6,FALSE))</f>
        <v/>
      </c>
      <c r="Y302" s="49" t="b">
        <f t="shared" si="102"/>
        <v>0</v>
      </c>
      <c r="Z302" s="57" t="e">
        <f>IF(Y302="","",IF(I$8="A",(RANK(Y302,Y$11:Y$355,1)+COUNTIF(Y$11:Y302,Y302)-1),(RANK(Y302,Y$11:Y$355)+COUNTIF(Y$11:Y302,Y302)-1)))</f>
        <v>#N/A</v>
      </c>
      <c r="AA302" s="231" t="str">
        <f>IF(L302="","",VLOOKUP($L302,classifications!C:I,7,FALSE))</f>
        <v/>
      </c>
      <c r="AB302" s="225" t="str">
        <f t="shared" si="111"/>
        <v/>
      </c>
      <c r="AC302" s="225" t="str">
        <f>IF(AB302="","",IF($I$8="A",(RANK(AB302,AB$11:AB$355)+COUNTIF(AB$11:AB302,AB302)-1),(RANK(AB302,AB$11:AB$355,1)+COUNTIF(AB$11:AB302,AB302)-1)))</f>
        <v/>
      </c>
      <c r="AD302" s="225"/>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e">
        <f>HLOOKUP($AX$9&amp;$AX$10,Data!$A$1:$ZZ$1992,(MATCH($C302,Data!$A$1:$A$1992,0)),FALSE)</f>
        <v>#N/A</v>
      </c>
      <c r="AY302" s="156"/>
      <c r="AZ302" s="44"/>
    </row>
    <row r="303" spans="1:52">
      <c r="A303" s="84" t="str">
        <f>$D$1&amp;293</f>
        <v>SC293</v>
      </c>
      <c r="B303" s="85">
        <f>IF(ISERROR(VLOOKUP(A303,classifications!A:C,3,FALSE)),0,VLOOKUP(A303,classifications!A:C,3,FALSE))</f>
        <v>0</v>
      </c>
      <c r="C303" s="31" t="s">
        <v>165</v>
      </c>
      <c r="D303" s="49" t="str">
        <f>VLOOKUP($C303,classifications!$C:$J,4,FALSE)</f>
        <v>SD</v>
      </c>
      <c r="E303" s="49" t="str">
        <f>VLOOKUP(C303,classifications!C:K,9,FALSE)</f>
        <v>Sparse</v>
      </c>
      <c r="F303" s="59">
        <f t="shared" si="96"/>
        <v>0</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17" t="str">
        <f>IF(L303="","",VLOOKUP(L303,classifications!C:K,9,FALSE))</f>
        <v/>
      </c>
      <c r="U303" s="224" t="str">
        <f t="shared" si="101"/>
        <v/>
      </c>
      <c r="V303" s="225" t="str">
        <f>IF(U303="","",IF($I$8="A",(RANK(U303,U$11:U$355)+COUNTIF(U$11:U303,U303)-1),(RANK(U303,U$11:U$355,1)+COUNTIF(U$11:U303,U303)-1)))</f>
        <v/>
      </c>
      <c r="W303" s="226"/>
      <c r="X303" s="61" t="str">
        <f>IF(L303="","",VLOOKUP($L303,classifications!$C:$J,6,FALSE))</f>
        <v/>
      </c>
      <c r="Y303" s="49" t="b">
        <f t="shared" si="102"/>
        <v>0</v>
      </c>
      <c r="Z303" s="57" t="e">
        <f>IF(Y303="","",IF(I$8="A",(RANK(Y303,Y$11:Y$355,1)+COUNTIF(Y$11:Y303,Y303)-1),(RANK(Y303,Y$11:Y$355)+COUNTIF(Y$11:Y303,Y303)-1)))</f>
        <v>#N/A</v>
      </c>
      <c r="AA303" s="231" t="str">
        <f>IF(L303="","",VLOOKUP($L303,classifications!C:I,7,FALSE))</f>
        <v/>
      </c>
      <c r="AB303" s="225" t="str">
        <f t="shared" si="111"/>
        <v/>
      </c>
      <c r="AC303" s="225" t="str">
        <f>IF(AB303="","",IF($I$8="A",(RANK(AB303,AB$11:AB$355)+COUNTIF(AB$11:AB303,AB303)-1),(RANK(AB303,AB$11:AB$355,1)+COUNTIF(AB$11:AB303,AB303)-1)))</f>
        <v/>
      </c>
      <c r="AD303" s="225"/>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HLOOKUP($AX$9&amp;$AX$10,Data!$A$1:$ZZ$1992,(MATCH($C303,Data!$A$1:$A$1992,0)),FALSE)</f>
        <v>0</v>
      </c>
      <c r="AY303" s="156"/>
      <c r="AZ303" s="44"/>
    </row>
    <row r="304" spans="1:52">
      <c r="A304" s="84" t="str">
        <f>$D$1&amp;294</f>
        <v>SC294</v>
      </c>
      <c r="B304" s="85">
        <f>IF(ISERROR(VLOOKUP(A304,classifications!A:C,3,FALSE)),0,VLOOKUP(A304,classifications!A:C,3,FALSE))</f>
        <v>0</v>
      </c>
      <c r="C304" s="31" t="s">
        <v>815</v>
      </c>
      <c r="D304" s="49" t="str">
        <f>VLOOKUP($C304,classifications!$C:$J,4,FALSE)</f>
        <v>UA</v>
      </c>
      <c r="E304" s="49">
        <f>VLOOKUP(C304,classifications!C:K,9,FALSE)</f>
        <v>0</v>
      </c>
      <c r="F304" s="59" t="e">
        <f t="shared" si="96"/>
        <v>#N/A</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17" t="str">
        <f>IF(L304="","",VLOOKUP(L304,classifications!C:K,9,FALSE))</f>
        <v/>
      </c>
      <c r="U304" s="224" t="str">
        <f t="shared" si="101"/>
        <v/>
      </c>
      <c r="V304" s="225" t="str">
        <f>IF(U304="","",IF($I$8="A",(RANK(U304,U$11:U$355)+COUNTIF(U$11:U304,U304)-1),(RANK(U304,U$11:U$355,1)+COUNTIF(U$11:U304,U304)-1)))</f>
        <v/>
      </c>
      <c r="W304" s="226"/>
      <c r="X304" s="61" t="str">
        <f>IF(L304="","",VLOOKUP($L304,classifications!$C:$J,6,FALSE))</f>
        <v/>
      </c>
      <c r="Y304" s="49" t="b">
        <f t="shared" si="102"/>
        <v>0</v>
      </c>
      <c r="Z304" s="57" t="e">
        <f>IF(Y304="","",IF(I$8="A",(RANK(Y304,Y$11:Y$355,1)+COUNTIF(Y$11:Y304,Y304)-1),(RANK(Y304,Y$11:Y$355)+COUNTIF(Y$11:Y304,Y304)-1)))</f>
        <v>#N/A</v>
      </c>
      <c r="AA304" s="231" t="str">
        <f>IF(L304="","",VLOOKUP($L304,classifications!C:I,7,FALSE))</f>
        <v/>
      </c>
      <c r="AB304" s="225" t="str">
        <f t="shared" si="111"/>
        <v/>
      </c>
      <c r="AC304" s="225" t="str">
        <f>IF(AB304="","",IF($I$8="A",(RANK(AB304,AB$11:AB$355)+COUNTIF(AB$11:AB304,AB304)-1),(RANK(AB304,AB$11:AB$355,1)+COUNTIF(AB$11:AB304,AB304)-1)))</f>
        <v/>
      </c>
      <c r="AD304" s="225"/>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t="e">
        <f>HLOOKUP($AX$9&amp;$AX$10,Data!$A$1:$ZZ$1992,(MATCH($C304,Data!$A$1:$A$1992,0)),FALSE)</f>
        <v>#N/A</v>
      </c>
      <c r="AY304" s="156"/>
      <c r="AZ304" s="44"/>
    </row>
    <row r="305" spans="1:52">
      <c r="A305" s="84" t="str">
        <f>$D$1&amp;295</f>
        <v>SC295</v>
      </c>
      <c r="B305" s="85">
        <f>IF(ISERROR(VLOOKUP(A305,classifications!A:C,3,FALSE)),0,VLOOKUP(A305,classifications!A:C,3,FALSE))</f>
        <v>0</v>
      </c>
      <c r="C305" s="31" t="s">
        <v>166</v>
      </c>
      <c r="D305" s="49" t="str">
        <f>VLOOKUP($C305,classifications!$C:$J,4,FALSE)</f>
        <v>SD</v>
      </c>
      <c r="E305" s="49">
        <f>VLOOKUP(C305,classifications!C:K,9,FALSE)</f>
        <v>0</v>
      </c>
      <c r="F305" s="59">
        <f t="shared" si="96"/>
        <v>0</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17" t="str">
        <f>IF(L305="","",VLOOKUP(L305,classifications!C:K,9,FALSE))</f>
        <v/>
      </c>
      <c r="U305" s="224" t="str">
        <f t="shared" si="101"/>
        <v/>
      </c>
      <c r="V305" s="225" t="str">
        <f>IF(U305="","",IF($I$8="A",(RANK(U305,U$11:U$355)+COUNTIF(U$11:U305,U305)-1),(RANK(U305,U$11:U$355,1)+COUNTIF(U$11:U305,U305)-1)))</f>
        <v/>
      </c>
      <c r="W305" s="226"/>
      <c r="X305" s="61" t="str">
        <f>IF(L305="","",VLOOKUP($L305,classifications!$C:$J,6,FALSE))</f>
        <v/>
      </c>
      <c r="Y305" s="49" t="b">
        <f t="shared" si="102"/>
        <v>0</v>
      </c>
      <c r="Z305" s="57" t="e">
        <f>IF(Y305="","",IF(I$8="A",(RANK(Y305,Y$11:Y$355,1)+COUNTIF(Y$11:Y305,Y305)-1),(RANK(Y305,Y$11:Y$355)+COUNTIF(Y$11:Y305,Y305)-1)))</f>
        <v>#N/A</v>
      </c>
      <c r="AA305" s="231" t="str">
        <f>IF(L305="","",VLOOKUP($L305,classifications!C:I,7,FALSE))</f>
        <v/>
      </c>
      <c r="AB305" s="225" t="str">
        <f t="shared" si="111"/>
        <v/>
      </c>
      <c r="AC305" s="225" t="str">
        <f>IF(AB305="","",IF($I$8="A",(RANK(AB305,AB$11:AB$355)+COUNTIF(AB$11:AB305,AB305)-1),(RANK(AB305,AB$11:AB$355,1)+COUNTIF(AB$11:AB305,AB305)-1)))</f>
        <v/>
      </c>
      <c r="AD305" s="225"/>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HLOOKUP($AX$9&amp;$AX$10,Data!$A$1:$ZZ$1992,(MATCH($C305,Data!$A$1:$A$1992,0)),FALSE)</f>
        <v>0</v>
      </c>
      <c r="AY305" s="156"/>
      <c r="AZ305" s="44"/>
    </row>
    <row r="306" spans="1:52">
      <c r="A306" s="84" t="str">
        <f>$D$1&amp;296</f>
        <v>SC296</v>
      </c>
      <c r="B306" s="85">
        <f>IF(ISERROR(VLOOKUP(A306,classifications!A:C,3,FALSE)),0,VLOOKUP(A306,classifications!A:C,3,FALSE))</f>
        <v>0</v>
      </c>
      <c r="C306" s="31" t="s">
        <v>167</v>
      </c>
      <c r="D306" s="49" t="str">
        <f>VLOOKUP($C306,classifications!$C:$J,4,FALSE)</f>
        <v>SD</v>
      </c>
      <c r="E306" s="49">
        <f>VLOOKUP(C306,classifications!C:K,9,FALSE)</f>
        <v>0</v>
      </c>
      <c r="F306" s="59">
        <f t="shared" si="96"/>
        <v>0</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17" t="str">
        <f>IF(L306="","",VLOOKUP(L306,classifications!C:K,9,FALSE))</f>
        <v/>
      </c>
      <c r="U306" s="224" t="str">
        <f t="shared" si="101"/>
        <v/>
      </c>
      <c r="V306" s="225" t="str">
        <f>IF(U306="","",IF($I$8="A",(RANK(U306,U$11:U$355)+COUNTIF(U$11:U306,U306)-1),(RANK(U306,U$11:U$355,1)+COUNTIF(U$11:U306,U306)-1)))</f>
        <v/>
      </c>
      <c r="W306" s="226"/>
      <c r="X306" s="61" t="str">
        <f>IF(L306="","",VLOOKUP($L306,classifications!$C:$J,6,FALSE))</f>
        <v/>
      </c>
      <c r="Y306" s="49" t="b">
        <f t="shared" si="102"/>
        <v>0</v>
      </c>
      <c r="Z306" s="57" t="e">
        <f>IF(Y306="","",IF(I$8="A",(RANK(Y306,Y$11:Y$355,1)+COUNTIF(Y$11:Y306,Y306)-1),(RANK(Y306,Y$11:Y$355)+COUNTIF(Y$11:Y306,Y306)-1)))</f>
        <v>#N/A</v>
      </c>
      <c r="AA306" s="231" t="str">
        <f>IF(L306="","",VLOOKUP($L306,classifications!C:I,7,FALSE))</f>
        <v/>
      </c>
      <c r="AB306" s="225" t="str">
        <f t="shared" si="111"/>
        <v/>
      </c>
      <c r="AC306" s="225" t="str">
        <f>IF(AB306="","",IF($I$8="A",(RANK(AB306,AB$11:AB$355)+COUNTIF(AB$11:AB306,AB306)-1),(RANK(AB306,AB$11:AB$355,1)+COUNTIF(AB$11:AB306,AB306)-1)))</f>
        <v/>
      </c>
      <c r="AD306" s="225"/>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HLOOKUP($AX$9&amp;$AX$10,Data!$A$1:$ZZ$1992,(MATCH($C306,Data!$A$1:$A$1992,0)),FALSE)</f>
        <v>0</v>
      </c>
      <c r="AY306" s="156"/>
      <c r="AZ306" s="44"/>
    </row>
    <row r="307" spans="1:52">
      <c r="A307" s="84" t="str">
        <f>$D$1&amp;297</f>
        <v>SC297</v>
      </c>
      <c r="B307" s="85">
        <f>IF(ISERROR(VLOOKUP(A307,classifications!A:C,3,FALSE)),0,VLOOKUP(A307,classifications!A:C,3,FALSE))</f>
        <v>0</v>
      </c>
      <c r="C307" s="31" t="s">
        <v>168</v>
      </c>
      <c r="D307" s="49" t="str">
        <f>VLOOKUP($C307,classifications!$C:$J,4,FALSE)</f>
        <v>SD</v>
      </c>
      <c r="E307" s="49" t="str">
        <f>VLOOKUP(C307,classifications!C:K,9,FALSE)</f>
        <v>Sparse</v>
      </c>
      <c r="F307" s="59">
        <f t="shared" si="96"/>
        <v>0</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17" t="str">
        <f>IF(L307="","",VLOOKUP(L307,classifications!C:K,9,FALSE))</f>
        <v/>
      </c>
      <c r="U307" s="224" t="str">
        <f t="shared" si="101"/>
        <v/>
      </c>
      <c r="V307" s="225" t="str">
        <f>IF(U307="","",IF($I$8="A",(RANK(U307,U$11:U$355)+COUNTIF(U$11:U307,U307)-1),(RANK(U307,U$11:U$355,1)+COUNTIF(U$11:U307,U307)-1)))</f>
        <v/>
      </c>
      <c r="W307" s="226"/>
      <c r="X307" s="61" t="str">
        <f>IF(L307="","",VLOOKUP($L307,classifications!$C:$J,6,FALSE))</f>
        <v/>
      </c>
      <c r="Y307" s="49" t="b">
        <f t="shared" si="102"/>
        <v>0</v>
      </c>
      <c r="Z307" s="57" t="e">
        <f>IF(Y307="","",IF(I$8="A",(RANK(Y307,Y$11:Y$355,1)+COUNTIF(Y$11:Y307,Y307)-1),(RANK(Y307,Y$11:Y$355)+COUNTIF(Y$11:Y307,Y307)-1)))</f>
        <v>#N/A</v>
      </c>
      <c r="AA307" s="231" t="str">
        <f>IF(L307="","",VLOOKUP($L307,classifications!C:I,7,FALSE))</f>
        <v/>
      </c>
      <c r="AB307" s="225" t="str">
        <f t="shared" si="111"/>
        <v/>
      </c>
      <c r="AC307" s="225" t="str">
        <f>IF(AB307="","",IF($I$8="A",(RANK(AB307,AB$11:AB$355)+COUNTIF(AB$11:AB307,AB307)-1),(RANK(AB307,AB$11:AB$355,1)+COUNTIF(AB$11:AB307,AB307)-1)))</f>
        <v/>
      </c>
      <c r="AD307" s="225"/>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HLOOKUP($AX$9&amp;$AX$10,Data!$A$1:$ZZ$1992,(MATCH($C307,Data!$A$1:$A$1992,0)),FALSE)</f>
        <v>0</v>
      </c>
      <c r="AY307" s="156"/>
      <c r="AZ307" s="44"/>
    </row>
    <row r="308" spans="1:52">
      <c r="A308" s="84" t="str">
        <f>$D$1&amp;298</f>
        <v>SC298</v>
      </c>
      <c r="B308" s="85">
        <f>IF(ISERROR(VLOOKUP(A308,classifications!A:C,3,FALSE)),0,VLOOKUP(A308,classifications!A:C,3,FALSE))</f>
        <v>0</v>
      </c>
      <c r="C308" s="31" t="s">
        <v>169</v>
      </c>
      <c r="D308" s="49" t="str">
        <f>VLOOKUP($C308,classifications!$C:$J,4,FALSE)</f>
        <v>SD</v>
      </c>
      <c r="E308" s="49">
        <f>VLOOKUP(C308,classifications!C:K,9,FALSE)</f>
        <v>0</v>
      </c>
      <c r="F308" s="59">
        <f t="shared" si="96"/>
        <v>0</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17" t="str">
        <f>IF(L308="","",VLOOKUP(L308,classifications!C:K,9,FALSE))</f>
        <v/>
      </c>
      <c r="U308" s="224" t="str">
        <f t="shared" si="101"/>
        <v/>
      </c>
      <c r="V308" s="225" t="str">
        <f>IF(U308="","",IF($I$8="A",(RANK(U308,U$11:U$355)+COUNTIF(U$11:U308,U308)-1),(RANK(U308,U$11:U$355,1)+COUNTIF(U$11:U308,U308)-1)))</f>
        <v/>
      </c>
      <c r="W308" s="226"/>
      <c r="X308" s="61" t="str">
        <f>IF(L308="","",VLOOKUP($L308,classifications!$C:$J,6,FALSE))</f>
        <v/>
      </c>
      <c r="Y308" s="49" t="b">
        <f t="shared" si="102"/>
        <v>0</v>
      </c>
      <c r="Z308" s="57" t="e">
        <f>IF(Y308="","",IF(I$8="A",(RANK(Y308,Y$11:Y$355,1)+COUNTIF(Y$11:Y308,Y308)-1),(RANK(Y308,Y$11:Y$355)+COUNTIF(Y$11:Y308,Y308)-1)))</f>
        <v>#N/A</v>
      </c>
      <c r="AA308" s="231" t="str">
        <f>IF(L308="","",VLOOKUP($L308,classifications!C:I,7,FALSE))</f>
        <v/>
      </c>
      <c r="AB308" s="225" t="str">
        <f t="shared" si="111"/>
        <v/>
      </c>
      <c r="AC308" s="225" t="str">
        <f>IF(AB308="","",IF($I$8="A",(RANK(AB308,AB$11:AB$355)+COUNTIF(AB$11:AB308,AB308)-1),(RANK(AB308,AB$11:AB$355,1)+COUNTIF(AB$11:AB308,AB308)-1)))</f>
        <v/>
      </c>
      <c r="AD308" s="225"/>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HLOOKUP($AX$9&amp;$AX$10,Data!$A$1:$ZZ$1992,(MATCH($C308,Data!$A$1:$A$1992,0)),FALSE)</f>
        <v>0</v>
      </c>
      <c r="AY308" s="156"/>
      <c r="AZ308" s="44"/>
    </row>
    <row r="309" spans="1:52">
      <c r="A309" s="84" t="str">
        <f>$D$1&amp;299</f>
        <v>SC299</v>
      </c>
      <c r="B309" s="85">
        <f>IF(ISERROR(VLOOKUP(A309,classifications!A:C,3,FALSE)),0,VLOOKUP(A309,classifications!A:C,3,FALSE))</f>
        <v>0</v>
      </c>
      <c r="C309" s="31" t="s">
        <v>170</v>
      </c>
      <c r="D309" s="49" t="str">
        <f>VLOOKUP($C309,classifications!$C:$J,4,FALSE)</f>
        <v>SD</v>
      </c>
      <c r="E309" s="49">
        <f>VLOOKUP(C309,classifications!C:K,9,FALSE)</f>
        <v>0</v>
      </c>
      <c r="F309" s="59">
        <f t="shared" si="96"/>
        <v>0</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17" t="str">
        <f>IF(L309="","",VLOOKUP(L309,classifications!C:K,9,FALSE))</f>
        <v/>
      </c>
      <c r="U309" s="224" t="str">
        <f t="shared" si="101"/>
        <v/>
      </c>
      <c r="V309" s="225" t="str">
        <f>IF(U309="","",IF($I$8="A",(RANK(U309,U$11:U$355)+COUNTIF(U$11:U309,U309)-1),(RANK(U309,U$11:U$355,1)+COUNTIF(U$11:U309,U309)-1)))</f>
        <v/>
      </c>
      <c r="W309" s="226"/>
      <c r="X309" s="61" t="str">
        <f>IF(L309="","",VLOOKUP($L309,classifications!$C:$J,6,FALSE))</f>
        <v/>
      </c>
      <c r="Y309" s="49" t="b">
        <f t="shared" si="102"/>
        <v>0</v>
      </c>
      <c r="Z309" s="57" t="e">
        <f>IF(Y309="","",IF(I$8="A",(RANK(Y309,Y$11:Y$355,1)+COUNTIF(Y$11:Y309,Y309)-1),(RANK(Y309,Y$11:Y$355)+COUNTIF(Y$11:Y309,Y309)-1)))</f>
        <v>#N/A</v>
      </c>
      <c r="AA309" s="231" t="str">
        <f>IF(L309="","",VLOOKUP($L309,classifications!C:I,7,FALSE))</f>
        <v/>
      </c>
      <c r="AB309" s="225" t="str">
        <f t="shared" si="111"/>
        <v/>
      </c>
      <c r="AC309" s="225" t="str">
        <f>IF(AB309="","",IF($I$8="A",(RANK(AB309,AB$11:AB$355)+COUNTIF(AB$11:AB309,AB309)-1),(RANK(AB309,AB$11:AB$355,1)+COUNTIF(AB$11:AB309,AB309)-1)))</f>
        <v/>
      </c>
      <c r="AD309" s="225"/>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HLOOKUP($AX$9&amp;$AX$10,Data!$A$1:$ZZ$1992,(MATCH($C309,Data!$A$1:$A$1992,0)),FALSE)</f>
        <v>0</v>
      </c>
      <c r="AY309" s="156"/>
      <c r="AZ309" s="44"/>
    </row>
    <row r="310" spans="1:52">
      <c r="A310" s="84" t="str">
        <f>$D$1&amp;300</f>
        <v>SC300</v>
      </c>
      <c r="B310" s="85">
        <f>IF(ISERROR(VLOOKUP(A310,classifications!A:C,3,FALSE)),0,VLOOKUP(A310,classifications!A:C,3,FALSE))</f>
        <v>0</v>
      </c>
      <c r="C310" s="31" t="s">
        <v>294</v>
      </c>
      <c r="D310" s="49" t="str">
        <f>VLOOKUP($C310,classifications!$C:$J,4,FALSE)</f>
        <v>UA</v>
      </c>
      <c r="E310" s="49">
        <f>VLOOKUP(C310,classifications!C:K,9,FALSE)</f>
        <v>0</v>
      </c>
      <c r="F310" s="59">
        <f t="shared" si="96"/>
        <v>7.6999999999999999E-2</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17" t="str">
        <f>IF(L310="","",VLOOKUP(L310,classifications!C:K,9,FALSE))</f>
        <v/>
      </c>
      <c r="U310" s="224" t="str">
        <f t="shared" si="101"/>
        <v/>
      </c>
      <c r="V310" s="225" t="str">
        <f>IF(U310="","",IF($I$8="A",(RANK(U310,U$11:U$355)+COUNTIF(U$11:U310,U310)-1),(RANK(U310,U$11:U$355,1)+COUNTIF(U$11:U310,U310)-1)))</f>
        <v/>
      </c>
      <c r="W310" s="226"/>
      <c r="X310" s="61" t="str">
        <f>IF(L310="","",VLOOKUP($L310,classifications!$C:$J,6,FALSE))</f>
        <v/>
      </c>
      <c r="Y310" s="49" t="b">
        <f t="shared" si="102"/>
        <v>0</v>
      </c>
      <c r="Z310" s="57" t="e">
        <f>IF(Y310="","",IF(I$8="A",(RANK(Y310,Y$11:Y$355,1)+COUNTIF(Y$11:Y310,Y310)-1),(RANK(Y310,Y$11:Y$355)+COUNTIF(Y$11:Y310,Y310)-1)))</f>
        <v>#N/A</v>
      </c>
      <c r="AA310" s="231" t="str">
        <f>IF(L310="","",VLOOKUP($L310,classifications!C:I,7,FALSE))</f>
        <v/>
      </c>
      <c r="AB310" s="225" t="str">
        <f t="shared" si="111"/>
        <v/>
      </c>
      <c r="AC310" s="225" t="str">
        <f>IF(AB310="","",IF($I$8="A",(RANK(AB310,AB$11:AB$355)+COUNTIF(AB$11:AB310,AB310)-1),(RANK(AB310,AB$11:AB$355,1)+COUNTIF(AB$11:AB310,AB310)-1)))</f>
        <v/>
      </c>
      <c r="AD310" s="225"/>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HLOOKUP($AX$9&amp;$AX$10,Data!$A$1:$ZZ$1992,(MATCH($C310,Data!$A$1:$A$1992,0)),FALSE)</f>
        <v>7.6999999999999999E-2</v>
      </c>
      <c r="AY310" s="156"/>
      <c r="AZ310" s="44"/>
    </row>
    <row r="311" spans="1:52">
      <c r="A311" s="84" t="str">
        <f>$D$1&amp;301</f>
        <v>SC301</v>
      </c>
      <c r="B311" s="85">
        <f>IF(ISERROR(VLOOKUP(A311,classifications!A:C,3,FALSE)),0,VLOOKUP(A311,classifications!A:C,3,FALSE))</f>
        <v>0</v>
      </c>
      <c r="C311" s="31" t="s">
        <v>351</v>
      </c>
      <c r="D311" s="49" t="str">
        <f>VLOOKUP($C311,classifications!$C:$J,4,FALSE)</f>
        <v>SD</v>
      </c>
      <c r="E311" s="49">
        <f>VLOOKUP(C311,classifications!C:K,9,FALSE)</f>
        <v>0</v>
      </c>
      <c r="F311" s="59" t="e">
        <f t="shared" si="96"/>
        <v>#N/A</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17" t="str">
        <f>IF(L311="","",VLOOKUP(L311,classifications!C:K,9,FALSE))</f>
        <v/>
      </c>
      <c r="U311" s="224" t="str">
        <f t="shared" si="101"/>
        <v/>
      </c>
      <c r="V311" s="225" t="str">
        <f>IF(U311="","",IF($I$8="A",(RANK(U311,U$11:U$355)+COUNTIF(U$11:U311,U311)-1),(RANK(U311,U$11:U$355,1)+COUNTIF(U$11:U311,U311)-1)))</f>
        <v/>
      </c>
      <c r="W311" s="226"/>
      <c r="X311" s="61" t="str">
        <f>IF(L311="","",VLOOKUP($L311,classifications!$C:$J,6,FALSE))</f>
        <v/>
      </c>
      <c r="Y311" s="49" t="b">
        <f t="shared" si="102"/>
        <v>0</v>
      </c>
      <c r="Z311" s="57" t="e">
        <f>IF(Y311="","",IF(I$8="A",(RANK(Y311,Y$11:Y$355,1)+COUNTIF(Y$11:Y311,Y311)-1),(RANK(Y311,Y$11:Y$355)+COUNTIF(Y$11:Y311,Y311)-1)))</f>
        <v>#N/A</v>
      </c>
      <c r="AA311" s="231" t="str">
        <f>IF(L311="","",VLOOKUP($L311,classifications!C:I,7,FALSE))</f>
        <v/>
      </c>
      <c r="AB311" s="225" t="str">
        <f t="shared" si="111"/>
        <v/>
      </c>
      <c r="AC311" s="225" t="str">
        <f>IF(AB311="","",IF($I$8="A",(RANK(AB311,AB$11:AB$355)+COUNTIF(AB$11:AB311,AB311)-1),(RANK(AB311,AB$11:AB$355,1)+COUNTIF(AB$11:AB311,AB311)-1)))</f>
        <v/>
      </c>
      <c r="AD311" s="225"/>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t="e">
        <f>HLOOKUP($AX$9&amp;$AX$10,Data!$A$1:$ZZ$1992,(MATCH($C311,Data!$A$1:$A$1992,0)),FALSE)</f>
        <v>#N/A</v>
      </c>
      <c r="AY311" s="156"/>
      <c r="AZ311" s="44"/>
    </row>
    <row r="312" spans="1:52">
      <c r="A312" s="84" t="str">
        <f>$D$1&amp;302</f>
        <v>SC302</v>
      </c>
      <c r="B312" s="85">
        <f>IF(ISERROR(VLOOKUP(A312,classifications!A:C,3,FALSE)),0,VLOOKUP(A312,classifications!A:C,3,FALSE))</f>
        <v>0</v>
      </c>
      <c r="C312" s="31" t="s">
        <v>295</v>
      </c>
      <c r="D312" s="49" t="str">
        <f>VLOOKUP($C312,classifications!$C:$J,4,FALSE)</f>
        <v>UA</v>
      </c>
      <c r="E312" s="49">
        <f>VLOOKUP(C312,classifications!C:K,9,FALSE)</f>
        <v>0</v>
      </c>
      <c r="F312" s="59">
        <f t="shared" si="96"/>
        <v>8.9999999999999993E-3</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17" t="str">
        <f>IF(L312="","",VLOOKUP(L312,classifications!C:K,9,FALSE))</f>
        <v/>
      </c>
      <c r="U312" s="224" t="str">
        <f t="shared" si="101"/>
        <v/>
      </c>
      <c r="V312" s="225" t="str">
        <f>IF(U312="","",IF($I$8="A",(RANK(U312,U$11:U$355)+COUNTIF(U$11:U312,U312)-1),(RANK(U312,U$11:U$355,1)+COUNTIF(U$11:U312,U312)-1)))</f>
        <v/>
      </c>
      <c r="W312" s="226"/>
      <c r="X312" s="61" t="str">
        <f>IF(L312="","",VLOOKUP($L312,classifications!$C:$J,6,FALSE))</f>
        <v/>
      </c>
      <c r="Y312" s="49" t="b">
        <f t="shared" si="102"/>
        <v>0</v>
      </c>
      <c r="Z312" s="57" t="e">
        <f>IF(Y312="","",IF(I$8="A",(RANK(Y312,Y$11:Y$355,1)+COUNTIF(Y$11:Y312,Y312)-1),(RANK(Y312,Y$11:Y$355)+COUNTIF(Y$11:Y312,Y312)-1)))</f>
        <v>#N/A</v>
      </c>
      <c r="AA312" s="231" t="str">
        <f>IF(L312="","",VLOOKUP($L312,classifications!C:I,7,FALSE))</f>
        <v/>
      </c>
      <c r="AB312" s="225" t="str">
        <f t="shared" si="111"/>
        <v/>
      </c>
      <c r="AC312" s="225" t="str">
        <f>IF(AB312="","",IF($I$8="A",(RANK(AB312,AB$11:AB$355)+COUNTIF(AB$11:AB312,AB312)-1),(RANK(AB312,AB$11:AB$355,1)+COUNTIF(AB$11:AB312,AB312)-1)))</f>
        <v/>
      </c>
      <c r="AD312" s="225"/>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HLOOKUP($AX$9&amp;$AX$10,Data!$A$1:$ZZ$1992,(MATCH($C312,Data!$A$1:$A$1992,0)),FALSE)</f>
        <v>8.9999999999999993E-3</v>
      </c>
      <c r="AY312" s="156"/>
      <c r="AZ312" s="44"/>
    </row>
    <row r="313" spans="1:52">
      <c r="A313" s="84" t="str">
        <f>$D$1&amp;303</f>
        <v>SC303</v>
      </c>
      <c r="B313" s="85">
        <f>IF(ISERROR(VLOOKUP(A313,classifications!A:C,3,FALSE)),0,VLOOKUP(A313,classifications!A:C,3,FALSE))</f>
        <v>0</v>
      </c>
      <c r="C313" s="31" t="s">
        <v>171</v>
      </c>
      <c r="D313" s="49" t="str">
        <f>VLOOKUP($C313,classifications!$C:$J,4,FALSE)</f>
        <v>SD</v>
      </c>
      <c r="E313" s="49" t="str">
        <f>VLOOKUP(C313,classifications!C:K,9,FALSE)</f>
        <v>Sparse</v>
      </c>
      <c r="F313" s="59">
        <f t="shared" si="96"/>
        <v>0</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17" t="str">
        <f>IF(L313="","",VLOOKUP(L313,classifications!C:K,9,FALSE))</f>
        <v/>
      </c>
      <c r="U313" s="224" t="str">
        <f t="shared" si="101"/>
        <v/>
      </c>
      <c r="V313" s="225" t="str">
        <f>IF(U313="","",IF($I$8="A",(RANK(U313,U$11:U$355)+COUNTIF(U$11:U313,U313)-1),(RANK(U313,U$11:U$355,1)+COUNTIF(U$11:U313,U313)-1)))</f>
        <v/>
      </c>
      <c r="W313" s="226"/>
      <c r="X313" s="61" t="str">
        <f>IF(L313="","",VLOOKUP($L313,classifications!$C:$J,6,FALSE))</f>
        <v/>
      </c>
      <c r="Y313" s="49" t="b">
        <f t="shared" si="102"/>
        <v>0</v>
      </c>
      <c r="Z313" s="57" t="e">
        <f>IF(Y313="","",IF(I$8="A",(RANK(Y313,Y$11:Y$355,1)+COUNTIF(Y$11:Y313,Y313)-1),(RANK(Y313,Y$11:Y$355)+COUNTIF(Y$11:Y313,Y313)-1)))</f>
        <v>#N/A</v>
      </c>
      <c r="AA313" s="231" t="str">
        <f>IF(L313="","",VLOOKUP($L313,classifications!C:I,7,FALSE))</f>
        <v/>
      </c>
      <c r="AB313" s="225" t="str">
        <f t="shared" si="111"/>
        <v/>
      </c>
      <c r="AC313" s="225" t="str">
        <f>IF(AB313="","",IF($I$8="A",(RANK(AB313,AB$11:AB$355)+COUNTIF(AB$11:AB313,AB313)-1),(RANK(AB313,AB$11:AB$355,1)+COUNTIF(AB$11:AB313,AB313)-1)))</f>
        <v/>
      </c>
      <c r="AD313" s="225"/>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HLOOKUP($AX$9&amp;$AX$10,Data!$A$1:$ZZ$1992,(MATCH($C313,Data!$A$1:$A$1992,0)),FALSE)</f>
        <v>0</v>
      </c>
      <c r="AY313" s="156"/>
      <c r="AZ313" s="44"/>
    </row>
    <row r="314" spans="1:52">
      <c r="A314" s="84" t="str">
        <f>$D$1&amp;304</f>
        <v>SC304</v>
      </c>
      <c r="B314" s="85">
        <f>IF(ISERROR(VLOOKUP(A314,classifications!A:C,3,FALSE)),0,VLOOKUP(A314,classifications!A:C,3,FALSE))</f>
        <v>0</v>
      </c>
      <c r="C314" s="31" t="s">
        <v>220</v>
      </c>
      <c r="D314" s="49" t="str">
        <f>VLOOKUP($C314,classifications!$C:$J,4,FALSE)</f>
        <v>L</v>
      </c>
      <c r="E314" s="49">
        <f>VLOOKUP(C314,classifications!C:K,9,FALSE)</f>
        <v>0</v>
      </c>
      <c r="F314" s="59">
        <f t="shared" si="96"/>
        <v>0</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17" t="str">
        <f>IF(L314="","",VLOOKUP(L314,classifications!C:K,9,FALSE))</f>
        <v/>
      </c>
      <c r="U314" s="224" t="str">
        <f t="shared" si="101"/>
        <v/>
      </c>
      <c r="V314" s="225" t="str">
        <f>IF(U314="","",IF($I$8="A",(RANK(U314,U$11:U$355)+COUNTIF(U$11:U314,U314)-1),(RANK(U314,U$11:U$355,1)+COUNTIF(U$11:U314,U314)-1)))</f>
        <v/>
      </c>
      <c r="W314" s="226"/>
      <c r="X314" s="61" t="str">
        <f>IF(L314="","",VLOOKUP($L314,classifications!$C:$J,6,FALSE))</f>
        <v/>
      </c>
      <c r="Y314" s="49" t="b">
        <f t="shared" si="102"/>
        <v>0</v>
      </c>
      <c r="Z314" s="57" t="e">
        <f>IF(Y314="","",IF(I$8="A",(RANK(Y314,Y$11:Y$355,1)+COUNTIF(Y$11:Y314,Y314)-1),(RANK(Y314,Y$11:Y$355)+COUNTIF(Y$11:Y314,Y314)-1)))</f>
        <v>#N/A</v>
      </c>
      <c r="AA314" s="231" t="str">
        <f>IF(L314="","",VLOOKUP($L314,classifications!C:I,7,FALSE))</f>
        <v/>
      </c>
      <c r="AB314" s="225" t="str">
        <f t="shared" si="111"/>
        <v/>
      </c>
      <c r="AC314" s="225" t="str">
        <f>IF(AB314="","",IF($I$8="A",(RANK(AB314,AB$11:AB$355)+COUNTIF(AB$11:AB314,AB314)-1),(RANK(AB314,AB$11:AB$355,1)+COUNTIF(AB$11:AB314,AB314)-1)))</f>
        <v/>
      </c>
      <c r="AD314" s="225"/>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HLOOKUP($AX$9&amp;$AX$10,Data!$A$1:$ZZ$1992,(MATCH($C314,Data!$A$1:$A$1992,0)),FALSE)</f>
        <v>0</v>
      </c>
      <c r="AY314" s="156"/>
      <c r="AZ314" s="44"/>
    </row>
    <row r="315" spans="1:52">
      <c r="A315" s="84" t="str">
        <f>$D$1&amp;305</f>
        <v>SC305</v>
      </c>
      <c r="B315" s="85">
        <f>IF(ISERROR(VLOOKUP(A315,classifications!A:C,3,FALSE)),0,VLOOKUP(A315,classifications!A:C,3,FALSE))</f>
        <v>0</v>
      </c>
      <c r="C315" s="31" t="s">
        <v>253</v>
      </c>
      <c r="D315" s="49" t="str">
        <f>VLOOKUP($C315,classifications!$C:$J,4,FALSE)</f>
        <v>MD</v>
      </c>
      <c r="E315" s="49">
        <f>VLOOKUP(C315,classifications!C:K,9,FALSE)</f>
        <v>0</v>
      </c>
      <c r="F315" s="59">
        <f t="shared" si="96"/>
        <v>0</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17" t="str">
        <f>IF(L315="","",VLOOKUP(L315,classifications!C:K,9,FALSE))</f>
        <v/>
      </c>
      <c r="U315" s="224" t="str">
        <f t="shared" si="101"/>
        <v/>
      </c>
      <c r="V315" s="225" t="str">
        <f>IF(U315="","",IF($I$8="A",(RANK(U315,U$11:U$355)+COUNTIF(U$11:U315,U315)-1),(RANK(U315,U$11:U$355,1)+COUNTIF(U$11:U315,U315)-1)))</f>
        <v/>
      </c>
      <c r="W315" s="226"/>
      <c r="X315" s="61" t="str">
        <f>IF(L315="","",VLOOKUP($L315,classifications!$C:$J,6,FALSE))</f>
        <v/>
      </c>
      <c r="Y315" s="49" t="b">
        <f t="shared" si="102"/>
        <v>0</v>
      </c>
      <c r="Z315" s="57" t="e">
        <f>IF(Y315="","",IF(I$8="A",(RANK(Y315,Y$11:Y$355,1)+COUNTIF(Y$11:Y315,Y315)-1),(RANK(Y315,Y$11:Y$355)+COUNTIF(Y$11:Y315,Y315)-1)))</f>
        <v>#N/A</v>
      </c>
      <c r="AA315" s="231" t="str">
        <f>IF(L315="","",VLOOKUP($L315,classifications!C:I,7,FALSE))</f>
        <v/>
      </c>
      <c r="AB315" s="225" t="str">
        <f t="shared" si="111"/>
        <v/>
      </c>
      <c r="AC315" s="225" t="str">
        <f>IF(AB315="","",IF($I$8="A",(RANK(AB315,AB$11:AB$355)+COUNTIF(AB$11:AB315,AB315)-1),(RANK(AB315,AB$11:AB$355,1)+COUNTIF(AB$11:AB315,AB315)-1)))</f>
        <v/>
      </c>
      <c r="AD315" s="225"/>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HLOOKUP($AX$9&amp;$AX$10,Data!$A$1:$ZZ$1992,(MATCH($C315,Data!$A$1:$A$1992,0)),FALSE)</f>
        <v>0</v>
      </c>
      <c r="AY315" s="156"/>
      <c r="AZ315" s="44"/>
    </row>
    <row r="316" spans="1:52">
      <c r="A316" s="84" t="str">
        <f>$D$1&amp;306</f>
        <v>SC306</v>
      </c>
      <c r="B316" s="85">
        <f>IF(ISERROR(VLOOKUP(A316,classifications!A:C,3,FALSE)),0,VLOOKUP(A316,classifications!A:C,3,FALSE))</f>
        <v>0</v>
      </c>
      <c r="C316" s="31" t="s">
        <v>172</v>
      </c>
      <c r="D316" s="49" t="str">
        <f>VLOOKUP($C316,classifications!$C:$J,4,FALSE)</f>
        <v>SD</v>
      </c>
      <c r="E316" s="49" t="str">
        <f>VLOOKUP(C316,classifications!C:K,9,FALSE)</f>
        <v>Sparse</v>
      </c>
      <c r="F316" s="59">
        <f t="shared" si="96"/>
        <v>0</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17" t="str">
        <f>IF(L316="","",VLOOKUP(L316,classifications!C:K,9,FALSE))</f>
        <v/>
      </c>
      <c r="U316" s="224" t="str">
        <f t="shared" si="101"/>
        <v/>
      </c>
      <c r="V316" s="225" t="str">
        <f>IF(U316="","",IF($I$8="A",(RANK(U316,U$11:U$355)+COUNTIF(U$11:U316,U316)-1),(RANK(U316,U$11:U$355,1)+COUNTIF(U$11:U316,U316)-1)))</f>
        <v/>
      </c>
      <c r="W316" s="226"/>
      <c r="X316" s="61" t="str">
        <f>IF(L316="","",VLOOKUP($L316,classifications!$C:$J,6,FALSE))</f>
        <v/>
      </c>
      <c r="Y316" s="49" t="b">
        <f t="shared" si="102"/>
        <v>0</v>
      </c>
      <c r="Z316" s="57" t="e">
        <f>IF(Y316="","",IF(I$8="A",(RANK(Y316,Y$11:Y$355,1)+COUNTIF(Y$11:Y316,Y316)-1),(RANK(Y316,Y$11:Y$355)+COUNTIF(Y$11:Y316,Y316)-1)))</f>
        <v>#N/A</v>
      </c>
      <c r="AA316" s="231" t="str">
        <f>IF(L316="","",VLOOKUP($L316,classifications!C:I,7,FALSE))</f>
        <v/>
      </c>
      <c r="AB316" s="225" t="str">
        <f t="shared" si="111"/>
        <v/>
      </c>
      <c r="AC316" s="225" t="str">
        <f>IF(AB316="","",IF($I$8="A",(RANK(AB316,AB$11:AB$355)+COUNTIF(AB$11:AB316,AB316)-1),(RANK(AB316,AB$11:AB$355,1)+COUNTIF(AB$11:AB316,AB316)-1)))</f>
        <v/>
      </c>
      <c r="AD316" s="225"/>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HLOOKUP($AX$9&amp;$AX$10,Data!$A$1:$ZZ$1992,(MATCH($C316,Data!$A$1:$A$1992,0)),FALSE)</f>
        <v>0</v>
      </c>
      <c r="AY316" s="156"/>
      <c r="AZ316" s="44"/>
    </row>
    <row r="317" spans="1:52">
      <c r="A317" s="84" t="str">
        <f>$D$1&amp;307</f>
        <v>SC307</v>
      </c>
      <c r="B317" s="85">
        <f>IF(ISERROR(VLOOKUP(A317,classifications!A:C,3,FALSE)),0,VLOOKUP(A317,classifications!A:C,3,FALSE))</f>
        <v>0</v>
      </c>
      <c r="C317" s="31" t="s">
        <v>173</v>
      </c>
      <c r="D317" s="49" t="str">
        <f>VLOOKUP($C317,classifications!$C:$J,4,FALSE)</f>
        <v>SD</v>
      </c>
      <c r="E317" s="49" t="str">
        <f>VLOOKUP(C317,classifications!C:K,9,FALSE)</f>
        <v>Sparse</v>
      </c>
      <c r="F317" s="59">
        <f t="shared" si="96"/>
        <v>0</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17" t="str">
        <f>IF(L317="","",VLOOKUP(L317,classifications!C:K,9,FALSE))</f>
        <v/>
      </c>
      <c r="U317" s="224" t="str">
        <f t="shared" si="101"/>
        <v/>
      </c>
      <c r="V317" s="225" t="str">
        <f>IF(U317="","",IF($I$8="A",(RANK(U317,U$11:U$355)+COUNTIF(U$11:U317,U317)-1),(RANK(U317,U$11:U$355,1)+COUNTIF(U$11:U317,U317)-1)))</f>
        <v/>
      </c>
      <c r="W317" s="226"/>
      <c r="X317" s="61" t="str">
        <f>IF(L317="","",VLOOKUP($L317,classifications!$C:$J,6,FALSE))</f>
        <v/>
      </c>
      <c r="Y317" s="49" t="b">
        <f t="shared" si="102"/>
        <v>0</v>
      </c>
      <c r="Z317" s="57" t="e">
        <f>IF(Y317="","",IF(I$8="A",(RANK(Y317,Y$11:Y$355,1)+COUNTIF(Y$11:Y317,Y317)-1),(RANK(Y317,Y$11:Y$355)+COUNTIF(Y$11:Y317,Y317)-1)))</f>
        <v>#N/A</v>
      </c>
      <c r="AA317" s="231" t="str">
        <f>IF(L317="","",VLOOKUP($L317,classifications!C:I,7,FALSE))</f>
        <v/>
      </c>
      <c r="AB317" s="225" t="str">
        <f t="shared" si="111"/>
        <v/>
      </c>
      <c r="AC317" s="225" t="str">
        <f>IF(AB317="","",IF($I$8="A",(RANK(AB317,AB$11:AB$355)+COUNTIF(AB$11:AB317,AB317)-1),(RANK(AB317,AB$11:AB$355,1)+COUNTIF(AB$11:AB317,AB317)-1)))</f>
        <v/>
      </c>
      <c r="AD317" s="225"/>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HLOOKUP($AX$9&amp;$AX$10,Data!$A$1:$ZZ$1992,(MATCH($C317,Data!$A$1:$A$1992,0)),FALSE)</f>
        <v>0</v>
      </c>
      <c r="AY317" s="156"/>
      <c r="AZ317" s="44"/>
    </row>
    <row r="318" spans="1:52">
      <c r="A318" s="84" t="str">
        <f>$D$1&amp;308</f>
        <v>SC308</v>
      </c>
      <c r="B318" s="85">
        <f>IF(ISERROR(VLOOKUP(A318,classifications!A:C,3,FALSE)),0,VLOOKUP(A318,classifications!A:C,3,FALSE))</f>
        <v>0</v>
      </c>
      <c r="C318" s="31" t="s">
        <v>174</v>
      </c>
      <c r="D318" s="49" t="str">
        <f>VLOOKUP($C318,classifications!$C:$J,4,FALSE)</f>
        <v>SD</v>
      </c>
      <c r="E318" s="49" t="str">
        <f>VLOOKUP(C318,classifications!C:K,9,FALSE)</f>
        <v>Sparse</v>
      </c>
      <c r="F318" s="59">
        <f t="shared" si="96"/>
        <v>0</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17" t="str">
        <f>IF(L318="","",VLOOKUP(L318,classifications!C:K,9,FALSE))</f>
        <v/>
      </c>
      <c r="U318" s="224" t="str">
        <f t="shared" si="101"/>
        <v/>
      </c>
      <c r="V318" s="225" t="str">
        <f>IF(U318="","",IF($I$8="A",(RANK(U318,U$11:U$355)+COUNTIF(U$11:U318,U318)-1),(RANK(U318,U$11:U$355,1)+COUNTIF(U$11:U318,U318)-1)))</f>
        <v/>
      </c>
      <c r="W318" s="226"/>
      <c r="X318" s="61" t="str">
        <f>IF(L318="","",VLOOKUP($L318,classifications!$C:$J,6,FALSE))</f>
        <v/>
      </c>
      <c r="Y318" s="49" t="b">
        <f t="shared" si="102"/>
        <v>0</v>
      </c>
      <c r="Z318" s="57" t="e">
        <f>IF(Y318="","",IF(I$8="A",(RANK(Y318,Y$11:Y$355,1)+COUNTIF(Y$11:Y318,Y318)-1),(RANK(Y318,Y$11:Y$355)+COUNTIF(Y$11:Y318,Y318)-1)))</f>
        <v>#N/A</v>
      </c>
      <c r="AA318" s="231" t="str">
        <f>IF(L318="","",VLOOKUP($L318,classifications!C:I,7,FALSE))</f>
        <v/>
      </c>
      <c r="AB318" s="225" t="str">
        <f t="shared" si="111"/>
        <v/>
      </c>
      <c r="AC318" s="225" t="str">
        <f>IF(AB318="","",IF($I$8="A",(RANK(AB318,AB$11:AB$355)+COUNTIF(AB$11:AB318,AB318)-1),(RANK(AB318,AB$11:AB$355,1)+COUNTIF(AB$11:AB318,AB318)-1)))</f>
        <v/>
      </c>
      <c r="AD318" s="225"/>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HLOOKUP($AX$9&amp;$AX$10,Data!$A$1:$ZZ$1992,(MATCH($C318,Data!$A$1:$A$1992,0)),FALSE)</f>
        <v>0</v>
      </c>
      <c r="AY318" s="156"/>
      <c r="AZ318" s="44"/>
    </row>
    <row r="319" spans="1:52">
      <c r="A319" s="84" t="str">
        <f>$D$1&amp;309</f>
        <v>SC309</v>
      </c>
      <c r="B319" s="85">
        <f>IF(ISERROR(VLOOKUP(A319,classifications!A:C,3,FALSE)),0,VLOOKUP(A319,classifications!A:C,3,FALSE))</f>
        <v>0</v>
      </c>
      <c r="C319" s="31" t="s">
        <v>254</v>
      </c>
      <c r="D319" s="49" t="str">
        <f>VLOOKUP($C319,classifications!$C:$J,4,FALSE)</f>
        <v>MD</v>
      </c>
      <c r="E319" s="49">
        <f>VLOOKUP(C319,classifications!C:K,9,FALSE)</f>
        <v>0</v>
      </c>
      <c r="F319" s="59">
        <f t="shared" si="96"/>
        <v>0.14399999999999999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17" t="str">
        <f>IF(L319="","",VLOOKUP(L319,classifications!C:K,9,FALSE))</f>
        <v/>
      </c>
      <c r="U319" s="224" t="str">
        <f t="shared" si="101"/>
        <v/>
      </c>
      <c r="V319" s="225" t="str">
        <f>IF(U319="","",IF($I$8="A",(RANK(U319,U$11:U$355)+COUNTIF(U$11:U319,U319)-1),(RANK(U319,U$11:U$355,1)+COUNTIF(U$11:U319,U319)-1)))</f>
        <v/>
      </c>
      <c r="W319" s="226"/>
      <c r="X319" s="61" t="str">
        <f>IF(L319="","",VLOOKUP($L319,classifications!$C:$J,6,FALSE))</f>
        <v/>
      </c>
      <c r="Y319" s="49" t="b">
        <f t="shared" si="102"/>
        <v>0</v>
      </c>
      <c r="Z319" s="57" t="e">
        <f>IF(Y319="","",IF(I$8="A",(RANK(Y319,Y$11:Y$355,1)+COUNTIF(Y$11:Y319,Y319)-1),(RANK(Y319,Y$11:Y$355)+COUNTIF(Y$11:Y319,Y319)-1)))</f>
        <v>#N/A</v>
      </c>
      <c r="AA319" s="231" t="str">
        <f>IF(L319="","",VLOOKUP($L319,classifications!C:I,7,FALSE))</f>
        <v/>
      </c>
      <c r="AB319" s="225" t="str">
        <f t="shared" si="111"/>
        <v/>
      </c>
      <c r="AC319" s="225" t="str">
        <f>IF(AB319="","",IF($I$8="A",(RANK(AB319,AB$11:AB$355)+COUNTIF(AB$11:AB319,AB319)-1),(RANK(AB319,AB$11:AB$355,1)+COUNTIF(AB$11:AB319,AB319)-1)))</f>
        <v/>
      </c>
      <c r="AD319" s="225"/>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HLOOKUP($AX$9&amp;$AX$10,Data!$A$1:$ZZ$1992,(MATCH($C319,Data!$A$1:$A$1992,0)),FALSE)</f>
        <v>0.14399999999999999</v>
      </c>
      <c r="AY319" s="156"/>
      <c r="AZ319" s="44"/>
    </row>
    <row r="320" spans="1:52">
      <c r="A320" s="84" t="str">
        <f>$D$1&amp;310</f>
        <v>SC310</v>
      </c>
      <c r="B320" s="85">
        <f>IF(ISERROR(VLOOKUP(A320,classifications!A:C,3,FALSE)),0,VLOOKUP(A320,classifications!A:C,3,FALSE))</f>
        <v>0</v>
      </c>
      <c r="C320" s="31" t="s">
        <v>255</v>
      </c>
      <c r="D320" s="49" t="str">
        <f>VLOOKUP($C320,classifications!$C:$J,4,FALSE)</f>
        <v>MD</v>
      </c>
      <c r="E320" s="49">
        <f>VLOOKUP(C320,classifications!C:K,9,FALSE)</f>
        <v>0</v>
      </c>
      <c r="F320" s="59">
        <f t="shared" si="96"/>
        <v>4.1000000000000002E-2</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17" t="str">
        <f>IF(L320="","",VLOOKUP(L320,classifications!C:K,9,FALSE))</f>
        <v/>
      </c>
      <c r="U320" s="224" t="str">
        <f t="shared" si="101"/>
        <v/>
      </c>
      <c r="V320" s="225" t="str">
        <f>IF(U320="","",IF($I$8="A",(RANK(U320,U$11:U$355)+COUNTIF(U$11:U320,U320)-1),(RANK(U320,U$11:U$355,1)+COUNTIF(U$11:U320,U320)-1)))</f>
        <v/>
      </c>
      <c r="W320" s="226"/>
      <c r="X320" s="61" t="str">
        <f>IF(L320="","",VLOOKUP($L320,classifications!$C:$J,6,FALSE))</f>
        <v/>
      </c>
      <c r="Y320" s="49" t="b">
        <f t="shared" si="102"/>
        <v>0</v>
      </c>
      <c r="Z320" s="57" t="e">
        <f>IF(Y320="","",IF(I$8="A",(RANK(Y320,Y$11:Y$355,1)+COUNTIF(Y$11:Y320,Y320)-1),(RANK(Y320,Y$11:Y$355)+COUNTIF(Y$11:Y320,Y320)-1)))</f>
        <v>#N/A</v>
      </c>
      <c r="AA320" s="231" t="str">
        <f>IF(L320="","",VLOOKUP($L320,classifications!C:I,7,FALSE))</f>
        <v/>
      </c>
      <c r="AB320" s="225" t="str">
        <f t="shared" si="111"/>
        <v/>
      </c>
      <c r="AC320" s="225" t="str">
        <f>IF(AB320="","",IF($I$8="A",(RANK(AB320,AB$11:AB$355)+COUNTIF(AB$11:AB320,AB320)-1),(RANK(AB320,AB$11:AB$355,1)+COUNTIF(AB$11:AB320,AB320)-1)))</f>
        <v/>
      </c>
      <c r="AD320" s="225"/>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HLOOKUP($AX$9&amp;$AX$10,Data!$A$1:$ZZ$1992,(MATCH($C320,Data!$A$1:$A$1992,0)),FALSE)</f>
        <v>4.1000000000000002E-2</v>
      </c>
      <c r="AY320" s="156"/>
      <c r="AZ320" s="44"/>
    </row>
    <row r="321" spans="1:52">
      <c r="A321" s="84" t="str">
        <f>$D$1&amp;311</f>
        <v>SC311</v>
      </c>
      <c r="B321" s="85">
        <f>IF(ISERROR(VLOOKUP(A321,classifications!A:C,3,FALSE)),0,VLOOKUP(A321,classifications!A:C,3,FALSE))</f>
        <v>0</v>
      </c>
      <c r="C321" s="31" t="s">
        <v>221</v>
      </c>
      <c r="D321" s="49" t="str">
        <f>VLOOKUP($C321,classifications!$C:$J,4,FALSE)</f>
        <v>L</v>
      </c>
      <c r="E321" s="49">
        <f>VLOOKUP(C321,classifications!C:K,9,FALSE)</f>
        <v>0</v>
      </c>
      <c r="F321" s="59">
        <f t="shared" si="96"/>
        <v>0</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17" t="str">
        <f>IF(L321="","",VLOOKUP(L321,classifications!C:K,9,FALSE))</f>
        <v/>
      </c>
      <c r="U321" s="224" t="str">
        <f t="shared" si="101"/>
        <v/>
      </c>
      <c r="V321" s="225" t="str">
        <f>IF(U321="","",IF($I$8="A",(RANK(U321,U$11:U$355)+COUNTIF(U$11:U321,U321)-1),(RANK(U321,U$11:U$355,1)+COUNTIF(U$11:U321,U321)-1)))</f>
        <v/>
      </c>
      <c r="W321" s="226"/>
      <c r="X321" s="61" t="str">
        <f>IF(L321="","",VLOOKUP($L321,classifications!$C:$J,6,FALSE))</f>
        <v/>
      </c>
      <c r="Y321" s="49" t="b">
        <f t="shared" si="102"/>
        <v>0</v>
      </c>
      <c r="Z321" s="57" t="e">
        <f>IF(Y321="","",IF(I$8="A",(RANK(Y321,Y$11:Y$355,1)+COUNTIF(Y$11:Y321,Y321)-1),(RANK(Y321,Y$11:Y$355)+COUNTIF(Y$11:Y321,Y321)-1)))</f>
        <v>#N/A</v>
      </c>
      <c r="AA321" s="231" t="str">
        <f>IF(L321="","",VLOOKUP($L321,classifications!C:I,7,FALSE))</f>
        <v/>
      </c>
      <c r="AB321" s="225" t="str">
        <f t="shared" si="111"/>
        <v/>
      </c>
      <c r="AC321" s="225" t="str">
        <f>IF(AB321="","",IF($I$8="A",(RANK(AB321,AB$11:AB$355)+COUNTIF(AB$11:AB321,AB321)-1),(RANK(AB321,AB$11:AB$355,1)+COUNTIF(AB$11:AB321,AB321)-1)))</f>
        <v/>
      </c>
      <c r="AD321" s="225"/>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HLOOKUP($AX$9&amp;$AX$10,Data!$A$1:$ZZ$1992,(MATCH($C321,Data!$A$1:$A$1992,0)),FALSE)</f>
        <v>0</v>
      </c>
      <c r="AY321" s="156"/>
      <c r="AZ321" s="44"/>
    </row>
    <row r="322" spans="1:52">
      <c r="A322" s="84" t="str">
        <f>$D$1&amp;312</f>
        <v>SC312</v>
      </c>
      <c r="B322" s="85">
        <f>IF(ISERROR(VLOOKUP(A322,classifications!A:C,3,FALSE)),0,VLOOKUP(A322,classifications!A:C,3,FALSE))</f>
        <v>0</v>
      </c>
      <c r="C322" s="31" t="s">
        <v>222</v>
      </c>
      <c r="D322" s="49" t="str">
        <f>VLOOKUP($C322,classifications!$C:$J,4,FALSE)</f>
        <v>L</v>
      </c>
      <c r="E322" s="49">
        <f>VLOOKUP(C322,classifications!C:K,9,FALSE)</f>
        <v>0</v>
      </c>
      <c r="F322" s="59">
        <f t="shared" si="96"/>
        <v>0</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17" t="str">
        <f>IF(L322="","",VLOOKUP(L322,classifications!C:K,9,FALSE))</f>
        <v/>
      </c>
      <c r="U322" s="224" t="str">
        <f t="shared" si="101"/>
        <v/>
      </c>
      <c r="V322" s="225" t="str">
        <f>IF(U322="","",IF($I$8="A",(RANK(U322,U$11:U$355)+COUNTIF(U$11:U322,U322)-1),(RANK(U322,U$11:U$355,1)+COUNTIF(U$11:U322,U322)-1)))</f>
        <v/>
      </c>
      <c r="W322" s="226"/>
      <c r="X322" s="61" t="str">
        <f>IF(L322="","",VLOOKUP($L322,classifications!$C:$J,6,FALSE))</f>
        <v/>
      </c>
      <c r="Y322" s="49" t="b">
        <f t="shared" si="102"/>
        <v>0</v>
      </c>
      <c r="Z322" s="57" t="e">
        <f>IF(Y322="","",IF(I$8="A",(RANK(Y322,Y$11:Y$355,1)+COUNTIF(Y$11:Y322,Y322)-1),(RANK(Y322,Y$11:Y$355)+COUNTIF(Y$11:Y322,Y322)-1)))</f>
        <v>#N/A</v>
      </c>
      <c r="AA322" s="231" t="str">
        <f>IF(L322="","",VLOOKUP($L322,classifications!C:I,7,FALSE))</f>
        <v/>
      </c>
      <c r="AB322" s="225" t="str">
        <f t="shared" si="111"/>
        <v/>
      </c>
      <c r="AC322" s="225" t="str">
        <f>IF(AB322="","",IF($I$8="A",(RANK(AB322,AB$11:AB$355)+COUNTIF(AB$11:AB322,AB322)-1),(RANK(AB322,AB$11:AB$355,1)+COUNTIF(AB$11:AB322,AB322)-1)))</f>
        <v/>
      </c>
      <c r="AD322" s="225"/>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HLOOKUP($AX$9&amp;$AX$10,Data!$A$1:$ZZ$1992,(MATCH($C322,Data!$A$1:$A$1992,0)),FALSE)</f>
        <v>0</v>
      </c>
      <c r="AY322" s="156"/>
      <c r="AZ322" s="44"/>
    </row>
    <row r="323" spans="1:52">
      <c r="A323" s="84" t="str">
        <f>$D$1&amp;313</f>
        <v>SC313</v>
      </c>
      <c r="B323" s="85">
        <f>IF(ISERROR(VLOOKUP(A323,classifications!A:C,3,FALSE)),0,VLOOKUP(A323,classifications!A:C,3,FALSE))</f>
        <v>0</v>
      </c>
      <c r="C323" s="31" t="s">
        <v>296</v>
      </c>
      <c r="D323" s="49" t="str">
        <f>VLOOKUP($C323,classifications!$C:$J,4,FALSE)</f>
        <v>UA</v>
      </c>
      <c r="E323" s="49">
        <f>VLOOKUP(C323,classifications!C:K,9,FALSE)</f>
        <v>0</v>
      </c>
      <c r="F323" s="59">
        <f t="shared" si="96"/>
        <v>5.0000000000000001E-3</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17" t="str">
        <f>IF(L323="","",VLOOKUP(L323,classifications!C:K,9,FALSE))</f>
        <v/>
      </c>
      <c r="U323" s="224" t="str">
        <f t="shared" si="101"/>
        <v/>
      </c>
      <c r="V323" s="225" t="str">
        <f>IF(U323="","",IF($I$8="A",(RANK(U323,U$11:U$355)+COUNTIF(U$11:U323,U323)-1),(RANK(U323,U$11:U$355,1)+COUNTIF(U$11:U323,U323)-1)))</f>
        <v/>
      </c>
      <c r="W323" s="226"/>
      <c r="X323" s="61" t="str">
        <f>IF(L323="","",VLOOKUP($L323,classifications!$C:$J,6,FALSE))</f>
        <v/>
      </c>
      <c r="Y323" s="49" t="b">
        <f t="shared" si="102"/>
        <v>0</v>
      </c>
      <c r="Z323" s="57" t="e">
        <f>IF(Y323="","",IF(I$8="A",(RANK(Y323,Y$11:Y$355,1)+COUNTIF(Y$11:Y323,Y323)-1),(RANK(Y323,Y$11:Y$355)+COUNTIF(Y$11:Y323,Y323)-1)))</f>
        <v>#N/A</v>
      </c>
      <c r="AA323" s="231" t="str">
        <f>IF(L323="","",VLOOKUP($L323,classifications!C:I,7,FALSE))</f>
        <v/>
      </c>
      <c r="AB323" s="225" t="str">
        <f t="shared" si="111"/>
        <v/>
      </c>
      <c r="AC323" s="225" t="str">
        <f>IF(AB323="","",IF($I$8="A",(RANK(AB323,AB$11:AB$355)+COUNTIF(AB$11:AB323,AB323)-1),(RANK(AB323,AB$11:AB$355,1)+COUNTIF(AB$11:AB323,AB323)-1)))</f>
        <v/>
      </c>
      <c r="AD323" s="225"/>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HLOOKUP($AX$9&amp;$AX$10,Data!$A$1:$ZZ$1992,(MATCH($C323,Data!$A$1:$A$1992,0)),FALSE)</f>
        <v>5.0000000000000001E-3</v>
      </c>
      <c r="AY323" s="156"/>
      <c r="AZ323" s="44"/>
    </row>
    <row r="324" spans="1:52">
      <c r="A324" s="84" t="str">
        <f>$D$1&amp;314</f>
        <v>SC314</v>
      </c>
      <c r="B324" s="85">
        <f>IF(ISERROR(VLOOKUP(A324,classifications!A:C,3,FALSE)),0,VLOOKUP(A324,classifications!A:C,3,FALSE))</f>
        <v>0</v>
      </c>
      <c r="C324" s="31" t="s">
        <v>175</v>
      </c>
      <c r="D324" s="49" t="str">
        <f>VLOOKUP($C324,classifications!$C:$J,4,FALSE)</f>
        <v>SD</v>
      </c>
      <c r="E324" s="49">
        <f>VLOOKUP(C324,classifications!C:K,9,FALSE)</f>
        <v>0</v>
      </c>
      <c r="F324" s="59">
        <f t="shared" si="96"/>
        <v>0</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17" t="str">
        <f>IF(L324="","",VLOOKUP(L324,classifications!C:K,9,FALSE))</f>
        <v/>
      </c>
      <c r="U324" s="224" t="str">
        <f t="shared" si="101"/>
        <v/>
      </c>
      <c r="V324" s="225" t="str">
        <f>IF(U324="","",IF($I$8="A",(RANK(U324,U$11:U$355)+COUNTIF(U$11:U324,U324)-1),(RANK(U324,U$11:U$355,1)+COUNTIF(U$11:U324,U324)-1)))</f>
        <v/>
      </c>
      <c r="W324" s="226"/>
      <c r="X324" s="61" t="str">
        <f>IF(L324="","",VLOOKUP($L324,classifications!$C:$J,6,FALSE))</f>
        <v/>
      </c>
      <c r="Y324" s="49" t="b">
        <f t="shared" si="102"/>
        <v>0</v>
      </c>
      <c r="Z324" s="57" t="e">
        <f>IF(Y324="","",IF(I$8="A",(RANK(Y324,Y$11:Y$355,1)+COUNTIF(Y$11:Y324,Y324)-1),(RANK(Y324,Y$11:Y$355)+COUNTIF(Y$11:Y324,Y324)-1)))</f>
        <v>#N/A</v>
      </c>
      <c r="AA324" s="231" t="str">
        <f>IF(L324="","",VLOOKUP($L324,classifications!C:I,7,FALSE))</f>
        <v/>
      </c>
      <c r="AB324" s="225" t="str">
        <f t="shared" si="111"/>
        <v/>
      </c>
      <c r="AC324" s="225" t="str">
        <f>IF(AB324="","",IF($I$8="A",(RANK(AB324,AB$11:AB$355)+COUNTIF(AB$11:AB324,AB324)-1),(RANK(AB324,AB$11:AB$355,1)+COUNTIF(AB$11:AB324,AB324)-1)))</f>
        <v/>
      </c>
      <c r="AD324" s="225"/>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HLOOKUP($AX$9&amp;$AX$10,Data!$A$1:$ZZ$1992,(MATCH($C324,Data!$A$1:$A$1992,0)),FALSE)</f>
        <v>0</v>
      </c>
      <c r="AY324" s="156"/>
      <c r="AZ324" s="44"/>
    </row>
    <row r="325" spans="1:52">
      <c r="A325" s="84" t="str">
        <f>$D$1&amp;315</f>
        <v>SC315</v>
      </c>
      <c r="B325" s="85">
        <f>IF(ISERROR(VLOOKUP(A325,classifications!A:C,3,FALSE)),0,VLOOKUP(A325,classifications!A:C,3,FALSE))</f>
        <v>0</v>
      </c>
      <c r="C325" s="31" t="s">
        <v>331</v>
      </c>
      <c r="D325" s="49" t="str">
        <f>VLOOKUP($C325,classifications!$C:$J,4,FALSE)</f>
        <v>SC</v>
      </c>
      <c r="E325" s="49" t="str">
        <f>VLOOKUP(C325,classifications!C:K,9,FALSE)</f>
        <v>Sparse</v>
      </c>
      <c r="F325" s="59">
        <f t="shared" si="96"/>
        <v>0.123</v>
      </c>
      <c r="G325" s="105"/>
      <c r="H325" s="60">
        <f t="shared" si="97"/>
        <v>0.123</v>
      </c>
      <c r="I325" s="112">
        <f>IF(H325="","",IF($I$8="A",(RANK(H325,H$11:H$355,1)+COUNTIF(H$11:H325,H325)-1),(RANK(H325,H$11:H$355)+COUNTIF(H$11:H325,H325)-1)))</f>
        <v>16</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17" t="str">
        <f>IF(L325="","",VLOOKUP(L325,classifications!C:K,9,FALSE))</f>
        <v/>
      </c>
      <c r="U325" s="224" t="str">
        <f t="shared" si="101"/>
        <v/>
      </c>
      <c r="V325" s="225" t="str">
        <f>IF(U325="","",IF($I$8="A",(RANK(U325,U$11:U$355)+COUNTIF(U$11:U325,U325)-1),(RANK(U325,U$11:U$355,1)+COUNTIF(U$11:U325,U325)-1)))</f>
        <v/>
      </c>
      <c r="W325" s="226"/>
      <c r="X325" s="61" t="str">
        <f>IF(L325="","",VLOOKUP($L325,classifications!$C:$J,6,FALSE))</f>
        <v/>
      </c>
      <c r="Y325" s="49" t="b">
        <f t="shared" si="102"/>
        <v>0</v>
      </c>
      <c r="Z325" s="57" t="e">
        <f>IF(Y325="","",IF(I$8="A",(RANK(Y325,Y$11:Y$355,1)+COUNTIF(Y$11:Y325,Y325)-1),(RANK(Y325,Y$11:Y$355)+COUNTIF(Y$11:Y325,Y325)-1)))</f>
        <v>#N/A</v>
      </c>
      <c r="AA325" s="231" t="str">
        <f>IF(L325="","",VLOOKUP($L325,classifications!C:I,7,FALSE))</f>
        <v/>
      </c>
      <c r="AB325" s="225" t="str">
        <f t="shared" si="111"/>
        <v/>
      </c>
      <c r="AC325" s="225" t="str">
        <f>IF(AB325="","",IF($I$8="A",(RANK(AB325,AB$11:AB$355)+COUNTIF(AB$11:AB325,AB325)-1),(RANK(AB325,AB$11:AB$355,1)+COUNTIF(AB$11:AB325,AB325)-1)))</f>
        <v/>
      </c>
      <c r="AD325" s="225"/>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HLOOKUP($AX$9&amp;$AX$10,Data!$A$1:$ZZ$1992,(MATCH($C325,Data!$A$1:$A$1992,0)),FALSE)</f>
        <v>0.123</v>
      </c>
      <c r="AY325" s="156"/>
      <c r="AZ325" s="44"/>
    </row>
    <row r="326" spans="1:52">
      <c r="A326" s="84" t="str">
        <f>$D$1&amp;316</f>
        <v>SC316</v>
      </c>
      <c r="B326" s="85">
        <f>IF(ISERROR(VLOOKUP(A326,classifications!A:C,3,FALSE)),0,VLOOKUP(A326,classifications!A:C,3,FALSE))</f>
        <v>0</v>
      </c>
      <c r="C326" s="31" t="s">
        <v>176</v>
      </c>
      <c r="D326" s="49" t="str">
        <f>VLOOKUP($C326,classifications!$C:$J,4,FALSE)</f>
        <v>SD</v>
      </c>
      <c r="E326" s="49">
        <f>VLOOKUP(C326,classifications!C:K,9,FALSE)</f>
        <v>0</v>
      </c>
      <c r="F326" s="59">
        <f t="shared" si="96"/>
        <v>0</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17" t="str">
        <f>IF(L326="","",VLOOKUP(L326,classifications!C:K,9,FALSE))</f>
        <v/>
      </c>
      <c r="U326" s="224" t="str">
        <f t="shared" si="101"/>
        <v/>
      </c>
      <c r="V326" s="225" t="str">
        <f>IF(U326="","",IF($I$8="A",(RANK(U326,U$11:U$355)+COUNTIF(U$11:U326,U326)-1),(RANK(U326,U$11:U$355,1)+COUNTIF(U$11:U326,U326)-1)))</f>
        <v/>
      </c>
      <c r="W326" s="226"/>
      <c r="X326" s="61" t="str">
        <f>IF(L326="","",VLOOKUP($L326,classifications!$C:$J,6,FALSE))</f>
        <v/>
      </c>
      <c r="Y326" s="49" t="b">
        <f t="shared" si="102"/>
        <v>0</v>
      </c>
      <c r="Z326" s="57" t="e">
        <f>IF(Y326="","",IF(I$8="A",(RANK(Y326,Y$11:Y$355,1)+COUNTIF(Y$11:Y326,Y326)-1),(RANK(Y326,Y$11:Y$355)+COUNTIF(Y$11:Y326,Y326)-1)))</f>
        <v>#N/A</v>
      </c>
      <c r="AA326" s="231" t="str">
        <f>IF(L326="","",VLOOKUP($L326,classifications!C:I,7,FALSE))</f>
        <v/>
      </c>
      <c r="AB326" s="225" t="str">
        <f t="shared" si="111"/>
        <v/>
      </c>
      <c r="AC326" s="225" t="str">
        <f>IF(AB326="","",IF($I$8="A",(RANK(AB326,AB$11:AB$355)+COUNTIF(AB$11:AB326,AB326)-1),(RANK(AB326,AB$11:AB$355,1)+COUNTIF(AB$11:AB326,AB326)-1)))</f>
        <v/>
      </c>
      <c r="AD326" s="225"/>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HLOOKUP($AX$9&amp;$AX$10,Data!$A$1:$ZZ$1992,(MATCH($C326,Data!$A$1:$A$1992,0)),FALSE)</f>
        <v>0</v>
      </c>
      <c r="AY326" s="156"/>
      <c r="AZ326" s="44"/>
    </row>
    <row r="327" spans="1:52">
      <c r="A327" s="84" t="str">
        <f>$D$1&amp;317</f>
        <v>SC317</v>
      </c>
      <c r="B327" s="85">
        <f>IF(ISERROR(VLOOKUP(A327,classifications!A:C,3,FALSE)),0,VLOOKUP(A327,classifications!A:C,3,FALSE))</f>
        <v>0</v>
      </c>
      <c r="C327" s="31" t="s">
        <v>178</v>
      </c>
      <c r="D327" s="49" t="str">
        <f>VLOOKUP($C327,classifications!$C:$J,4,FALSE)</f>
        <v>SD</v>
      </c>
      <c r="E327" s="49">
        <f>VLOOKUP(C327,classifications!C:K,9,FALSE)</f>
        <v>0</v>
      </c>
      <c r="F327" s="59">
        <f t="shared" si="96"/>
        <v>0</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17" t="str">
        <f>IF(L327="","",VLOOKUP(L327,classifications!C:K,9,FALSE))</f>
        <v/>
      </c>
      <c r="U327" s="224" t="str">
        <f t="shared" si="101"/>
        <v/>
      </c>
      <c r="V327" s="225" t="str">
        <f>IF(U327="","",IF($I$8="A",(RANK(U327,U$11:U$355)+COUNTIF(U$11:U327,U327)-1),(RANK(U327,U$11:U$355,1)+COUNTIF(U$11:U327,U327)-1)))</f>
        <v/>
      </c>
      <c r="W327" s="226"/>
      <c r="X327" s="61" t="str">
        <f>IF(L327="","",VLOOKUP($L327,classifications!$C:$J,6,FALSE))</f>
        <v/>
      </c>
      <c r="Y327" s="49" t="b">
        <f t="shared" si="102"/>
        <v>0</v>
      </c>
      <c r="Z327" s="57" t="e">
        <f>IF(Y327="","",IF(I$8="A",(RANK(Y327,Y$11:Y$355,1)+COUNTIF(Y$11:Y327,Y327)-1),(RANK(Y327,Y$11:Y$355)+COUNTIF(Y$11:Y327,Y327)-1)))</f>
        <v>#N/A</v>
      </c>
      <c r="AA327" s="231" t="str">
        <f>IF(L327="","",VLOOKUP($L327,classifications!C:I,7,FALSE))</f>
        <v/>
      </c>
      <c r="AB327" s="225" t="str">
        <f t="shared" si="111"/>
        <v/>
      </c>
      <c r="AC327" s="225" t="str">
        <f>IF(AB327="","",IF($I$8="A",(RANK(AB327,AB$11:AB$355)+COUNTIF(AB$11:AB327,AB327)-1),(RANK(AB327,AB$11:AB$355,1)+COUNTIF(AB$11:AB327,AB327)-1)))</f>
        <v/>
      </c>
      <c r="AD327" s="225"/>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HLOOKUP($AX$9&amp;$AX$10,Data!$A$1:$ZZ$1992,(MATCH($C327,Data!$A$1:$A$1992,0)),FALSE)</f>
        <v>0</v>
      </c>
      <c r="AY327" s="156"/>
      <c r="AZ327" s="44"/>
    </row>
    <row r="328" spans="1:52">
      <c r="A328" s="84" t="str">
        <f>$D$1&amp;318</f>
        <v>SC318</v>
      </c>
      <c r="B328" s="85">
        <f>IF(ISERROR(VLOOKUP(A328,classifications!A:C,3,FALSE)),0,VLOOKUP(A328,classifications!A:C,3,FALSE))</f>
        <v>0</v>
      </c>
      <c r="C328" s="31" t="s">
        <v>179</v>
      </c>
      <c r="D328" s="49" t="str">
        <f>VLOOKUP($C328,classifications!$C:$J,4,FALSE)</f>
        <v>SD</v>
      </c>
      <c r="E328" s="49" t="str">
        <f>VLOOKUP(C328,classifications!C:K,9,FALSE)</f>
        <v>Sparse</v>
      </c>
      <c r="F328" s="59">
        <f t="shared" si="96"/>
        <v>0</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17" t="str">
        <f>IF(L328="","",VLOOKUP(L328,classifications!C:K,9,FALSE))</f>
        <v/>
      </c>
      <c r="U328" s="224" t="str">
        <f t="shared" si="101"/>
        <v/>
      </c>
      <c r="V328" s="225" t="str">
        <f>IF(U328="","",IF($I$8="A",(RANK(U328,U$11:U$355)+COUNTIF(U$11:U328,U328)-1),(RANK(U328,U$11:U$355,1)+COUNTIF(U$11:U328,U328)-1)))</f>
        <v/>
      </c>
      <c r="W328" s="226"/>
      <c r="X328" s="61" t="str">
        <f>IF(L328="","",VLOOKUP($L328,classifications!$C:$J,6,FALSE))</f>
        <v/>
      </c>
      <c r="Y328" s="49" t="b">
        <f t="shared" si="102"/>
        <v>0</v>
      </c>
      <c r="Z328" s="57" t="e">
        <f>IF(Y328="","",IF(I$8="A",(RANK(Y328,Y$11:Y$355,1)+COUNTIF(Y$11:Y328,Y328)-1),(RANK(Y328,Y$11:Y$355)+COUNTIF(Y$11:Y328,Y328)-1)))</f>
        <v>#N/A</v>
      </c>
      <c r="AA328" s="231" t="str">
        <f>IF(L328="","",VLOOKUP($L328,classifications!C:I,7,FALSE))</f>
        <v/>
      </c>
      <c r="AB328" s="225" t="str">
        <f t="shared" si="111"/>
        <v/>
      </c>
      <c r="AC328" s="225" t="str">
        <f>IF(AB328="","",IF($I$8="A",(RANK(AB328,AB$11:AB$355)+COUNTIF(AB$11:AB328,AB328)-1),(RANK(AB328,AB$11:AB$355,1)+COUNTIF(AB$11:AB328,AB328)-1)))</f>
        <v/>
      </c>
      <c r="AD328" s="225"/>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HLOOKUP($AX$9&amp;$AX$10,Data!$A$1:$ZZ$1992,(MATCH($C328,Data!$A$1:$A$1992,0)),FALSE)</f>
        <v>0</v>
      </c>
      <c r="AY328" s="156"/>
      <c r="AZ328" s="44"/>
    </row>
    <row r="329" spans="1:52">
      <c r="A329" s="84" t="str">
        <f>$D$1&amp;319</f>
        <v>SC319</v>
      </c>
      <c r="B329" s="85">
        <f>IF(ISERROR(VLOOKUP(A329,classifications!A:C,3,FALSE)),0,VLOOKUP(A329,classifications!A:C,3,FALSE))</f>
        <v>0</v>
      </c>
      <c r="C329" s="31" t="s">
        <v>180</v>
      </c>
      <c r="D329" s="49" t="str">
        <f>VLOOKUP($C329,classifications!$C:$J,4,FALSE)</f>
        <v>SD</v>
      </c>
      <c r="E329" s="49">
        <f>VLOOKUP(C329,classifications!C:K,9,FALSE)</f>
        <v>0</v>
      </c>
      <c r="F329" s="59">
        <f t="shared" si="96"/>
        <v>0</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17" t="str">
        <f>IF(L329="","",VLOOKUP(L329,classifications!C:K,9,FALSE))</f>
        <v/>
      </c>
      <c r="U329" s="224" t="str">
        <f t="shared" si="101"/>
        <v/>
      </c>
      <c r="V329" s="225" t="str">
        <f>IF(U329="","",IF($I$8="A",(RANK(U329,U$11:U$355)+COUNTIF(U$11:U329,U329)-1),(RANK(U329,U$11:U$355,1)+COUNTIF(U$11:U329,U329)-1)))</f>
        <v/>
      </c>
      <c r="W329" s="226"/>
      <c r="X329" s="61" t="str">
        <f>IF(L329="","",VLOOKUP($L329,classifications!$C:$J,6,FALSE))</f>
        <v/>
      </c>
      <c r="Y329" s="49" t="b">
        <f t="shared" si="102"/>
        <v>0</v>
      </c>
      <c r="Z329" s="57" t="e">
        <f>IF(Y329="","",IF(I$8="A",(RANK(Y329,Y$11:Y$355,1)+COUNTIF(Y$11:Y329,Y329)-1),(RANK(Y329,Y$11:Y$355)+COUNTIF(Y$11:Y329,Y329)-1)))</f>
        <v>#N/A</v>
      </c>
      <c r="AA329" s="231" t="str">
        <f>IF(L329="","",VLOOKUP($L329,classifications!C:I,7,FALSE))</f>
        <v/>
      </c>
      <c r="AB329" s="225" t="str">
        <f t="shared" si="111"/>
        <v/>
      </c>
      <c r="AC329" s="225" t="str">
        <f>IF(AB329="","",IF($I$8="A",(RANK(AB329,AB$11:AB$355)+COUNTIF(AB$11:AB329,AB329)-1),(RANK(AB329,AB$11:AB$355,1)+COUNTIF(AB$11:AB329,AB329)-1)))</f>
        <v/>
      </c>
      <c r="AD329" s="225"/>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HLOOKUP($AX$9&amp;$AX$10,Data!$A$1:$ZZ$1992,(MATCH($C329,Data!$A$1:$A$1992,0)),FALSE)</f>
        <v>0</v>
      </c>
      <c r="AY329" s="156"/>
      <c r="AZ329" s="44"/>
    </row>
    <row r="330" spans="1:52">
      <c r="A330" s="84" t="str">
        <f>$D$1&amp;320</f>
        <v>SC320</v>
      </c>
      <c r="B330" s="85">
        <f>IF(ISERROR(VLOOKUP(A330,classifications!A:C,3,FALSE)),0,VLOOKUP(A330,classifications!A:C,3,FALSE))</f>
        <v>0</v>
      </c>
      <c r="C330" s="31" t="s">
        <v>181</v>
      </c>
      <c r="D330" s="49" t="str">
        <f>VLOOKUP($C330,classifications!$C:$J,4,FALSE)</f>
        <v>SD</v>
      </c>
      <c r="E330" s="49">
        <f>VLOOKUP(C330,classifications!C:K,9,FALSE)</f>
        <v>0</v>
      </c>
      <c r="F330" s="59">
        <f t="shared" si="96"/>
        <v>0</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17" t="str">
        <f>IF(L330="","",VLOOKUP(L330,classifications!C:K,9,FALSE))</f>
        <v/>
      </c>
      <c r="U330" s="224" t="str">
        <f t="shared" si="101"/>
        <v/>
      </c>
      <c r="V330" s="225" t="str">
        <f>IF(U330="","",IF($I$8="A",(RANK(U330,U$11:U$355)+COUNTIF(U$11:U330,U330)-1),(RANK(U330,U$11:U$355,1)+COUNTIF(U$11:U330,U330)-1)))</f>
        <v/>
      </c>
      <c r="W330" s="226"/>
      <c r="X330" s="61" t="str">
        <f>IF(L330="","",VLOOKUP($L330,classifications!$C:$J,6,FALSE))</f>
        <v/>
      </c>
      <c r="Y330" s="49" t="b">
        <f t="shared" si="102"/>
        <v>0</v>
      </c>
      <c r="Z330" s="57" t="e">
        <f>IF(Y330="","",IF(I$8="A",(RANK(Y330,Y$11:Y$355,1)+COUNTIF(Y$11:Y330,Y330)-1),(RANK(Y330,Y$11:Y$355)+COUNTIF(Y$11:Y330,Y330)-1)))</f>
        <v>#N/A</v>
      </c>
      <c r="AA330" s="231" t="str">
        <f>IF(L330="","",VLOOKUP($L330,classifications!C:I,7,FALSE))</f>
        <v/>
      </c>
      <c r="AB330" s="225" t="str">
        <f t="shared" si="111"/>
        <v/>
      </c>
      <c r="AC330" s="225" t="str">
        <f>IF(AB330="","",IF($I$8="A",(RANK(AB330,AB$11:AB$355)+COUNTIF(AB$11:AB330,AB330)-1),(RANK(AB330,AB$11:AB$355,1)+COUNTIF(AB$11:AB330,AB330)-1)))</f>
        <v/>
      </c>
      <c r="AD330" s="225"/>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HLOOKUP($AX$9&amp;$AX$10,Data!$A$1:$ZZ$1992,(MATCH($C330,Data!$A$1:$A$1992,0)),FALSE)</f>
        <v>0</v>
      </c>
      <c r="AY330" s="156"/>
      <c r="AZ330" s="44"/>
    </row>
    <row r="331" spans="1:52">
      <c r="A331" s="84" t="str">
        <f>$D$1&amp;321</f>
        <v>SC321</v>
      </c>
      <c r="B331" s="85">
        <f>IF(ISERROR(VLOOKUP(A331,classifications!A:C,3,FALSE)),0,VLOOKUP(A331,classifications!A:C,3,FALSE))</f>
        <v>0</v>
      </c>
      <c r="C331" s="31" t="s">
        <v>297</v>
      </c>
      <c r="D331" s="49" t="str">
        <f>VLOOKUP($C331,classifications!$C:$J,4,FALSE)</f>
        <v>UA</v>
      </c>
      <c r="E331" s="49">
        <f>VLOOKUP(C331,classifications!C:K,9,FALSE)</f>
        <v>0</v>
      </c>
      <c r="F331" s="59">
        <f t="shared" ref="F331:F355" si="119">HLOOKUP($D$6,AX$10:ZX$355,ROW()-9,FALSE)</f>
        <v>0.14899999999999999</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17" t="str">
        <f>IF(L331="","",VLOOKUP(L331,classifications!C:K,9,FALSE))</f>
        <v/>
      </c>
      <c r="U331" s="224" t="str">
        <f t="shared" ref="U331:U355" si="124">IF(T331="Sparse",M331,"")</f>
        <v/>
      </c>
      <c r="V331" s="225" t="str">
        <f>IF(U331="","",IF($I$8="A",(RANK(U331,U$11:U$355)+COUNTIF(U$11:U331,U331)-1),(RANK(U331,U$11:U$355,1)+COUNTIF(U$11:U331,U331)-1)))</f>
        <v/>
      </c>
      <c r="W331" s="226"/>
      <c r="X331" s="61" t="str">
        <f>IF(L331="","",VLOOKUP($L331,classifications!$C:$J,6,FALSE))</f>
        <v/>
      </c>
      <c r="Y331" s="49" t="b">
        <f t="shared" ref="Y331:Y355" si="125">IF($D$1="UA",IF(X331="Largely Rural (rural including hub towns 50-79%) ",M331,IF(X331="Mainly Rural (rural including hub towns &gt;=80%) ",M331,IF(X331="Urban with Significant Rural (rural including hub towns 26-49%)",M331,""))),IF($D$1="SD",IF(X331=$H$3,M331,"")))</f>
        <v>0</v>
      </c>
      <c r="Z331" s="57" t="e">
        <f>IF(Y331="","",IF(I$8="A",(RANK(Y331,Y$11:Y$355,1)+COUNTIF(Y$11:Y331,Y331)-1),(RANK(Y331,Y$11:Y$355)+COUNTIF(Y$11:Y331,Y331)-1)))</f>
        <v>#N/A</v>
      </c>
      <c r="AA331" s="231" t="str">
        <f>IF(L331="","",VLOOKUP($L331,classifications!C:I,7,FALSE))</f>
        <v/>
      </c>
      <c r="AB331" s="225" t="str">
        <f t="shared" si="111"/>
        <v/>
      </c>
      <c r="AC331" s="225" t="str">
        <f>IF(AB331="","",IF($I$8="A",(RANK(AB331,AB$11:AB$355)+COUNTIF(AB$11:AB331,AB331)-1),(RANK(AB331,AB$11:AB$355,1)+COUNTIF(AB$11:AB331,AB331)-1)))</f>
        <v/>
      </c>
      <c r="AD331" s="225"/>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HLOOKUP($AX$9&amp;$AX$10,Data!$A$1:$ZZ$1992,(MATCH($C331,Data!$A$1:$A$1992,0)),FALSE)</f>
        <v>0.14899999999999999</v>
      </c>
      <c r="AY331" s="156"/>
      <c r="AZ331" s="44"/>
    </row>
    <row r="332" spans="1:52">
      <c r="A332" s="84" t="str">
        <f>$D$1&amp;322</f>
        <v>SC322</v>
      </c>
      <c r="B332" s="85">
        <f>IF(ISERROR(VLOOKUP(A332,classifications!A:C,3,FALSE)),0,VLOOKUP(A332,classifications!A:C,3,FALSE))</f>
        <v>0</v>
      </c>
      <c r="C332" s="31" t="s">
        <v>182</v>
      </c>
      <c r="D332" s="49" t="str">
        <f>VLOOKUP($C332,classifications!$C:$J,4,FALSE)</f>
        <v>SD</v>
      </c>
      <c r="E332" s="49" t="str">
        <f>VLOOKUP(C332,classifications!C:K,9,FALSE)</f>
        <v>Sparse</v>
      </c>
      <c r="F332" s="59">
        <f t="shared" si="119"/>
        <v>0</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17" t="str">
        <f>IF(L332="","",VLOOKUP(L332,classifications!C:K,9,FALSE))</f>
        <v/>
      </c>
      <c r="U332" s="224" t="str">
        <f t="shared" si="124"/>
        <v/>
      </c>
      <c r="V332" s="225" t="str">
        <f>IF(U332="","",IF($I$8="A",(RANK(U332,U$11:U$355)+COUNTIF(U$11:U332,U332)-1),(RANK(U332,U$11:U$355,1)+COUNTIF(U$11:U332,U332)-1)))</f>
        <v/>
      </c>
      <c r="W332" s="226"/>
      <c r="X332" s="61" t="str">
        <f>IF(L332="","",VLOOKUP($L332,classifications!$C:$J,6,FALSE))</f>
        <v/>
      </c>
      <c r="Y332" s="49" t="b">
        <f t="shared" si="125"/>
        <v>0</v>
      </c>
      <c r="Z332" s="57" t="e">
        <f>IF(Y332="","",IF(I$8="A",(RANK(Y332,Y$11:Y$355,1)+COUNTIF(Y$11:Y332,Y332)-1),(RANK(Y332,Y$11:Y$355)+COUNTIF(Y$11:Y332,Y332)-1)))</f>
        <v>#N/A</v>
      </c>
      <c r="AA332" s="231" t="str">
        <f>IF(L332="","",VLOOKUP($L332,classifications!C:I,7,FALSE))</f>
        <v/>
      </c>
      <c r="AB332" s="225" t="str">
        <f t="shared" ref="AB332:AB355" si="134">IF(AA332=$J$3,M332,"")</f>
        <v/>
      </c>
      <c r="AC332" s="225" t="str">
        <f>IF(AB332="","",IF($I$8="A",(RANK(AB332,AB$11:AB$355)+COUNTIF(AB$11:AB332,AB332)-1),(RANK(AB332,AB$11:AB$355,1)+COUNTIF(AB$11:AB332,AB332)-1)))</f>
        <v/>
      </c>
      <c r="AD332" s="225"/>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HLOOKUP($AX$9&amp;$AX$10,Data!$A$1:$ZZ$1992,(MATCH($C332,Data!$A$1:$A$1992,0)),FALSE)</f>
        <v>0</v>
      </c>
      <c r="AY332" s="156"/>
      <c r="AZ332" s="44"/>
    </row>
    <row r="333" spans="1:52">
      <c r="A333" s="84" t="str">
        <f>$D$1&amp;323</f>
        <v>SC323</v>
      </c>
      <c r="B333" s="85">
        <f>IF(ISERROR(VLOOKUP(A333,classifications!A:C,3,FALSE)),0,VLOOKUP(A333,classifications!A:C,3,FALSE))</f>
        <v>0</v>
      </c>
      <c r="C333" s="31" t="s">
        <v>184</v>
      </c>
      <c r="D333" s="49" t="str">
        <f>VLOOKUP($C333,classifications!$C:$J,4,FALSE)</f>
        <v>SD</v>
      </c>
      <c r="E333" s="49">
        <f>VLOOKUP(C333,classifications!C:K,9,FALSE)</f>
        <v>0</v>
      </c>
      <c r="F333" s="59">
        <f t="shared" si="119"/>
        <v>0</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17" t="str">
        <f>IF(L333="","",VLOOKUP(L333,classifications!C:K,9,FALSE))</f>
        <v/>
      </c>
      <c r="U333" s="224" t="str">
        <f t="shared" si="124"/>
        <v/>
      </c>
      <c r="V333" s="225" t="str">
        <f>IF(U333="","",IF($I$8="A",(RANK(U333,U$11:U$355)+COUNTIF(U$11:U333,U333)-1),(RANK(U333,U$11:U$355,1)+COUNTIF(U$11:U333,U333)-1)))</f>
        <v/>
      </c>
      <c r="W333" s="226"/>
      <c r="X333" s="61" t="str">
        <f>IF(L333="","",VLOOKUP($L333,classifications!$C:$J,6,FALSE))</f>
        <v/>
      </c>
      <c r="Y333" s="49" t="b">
        <f t="shared" si="125"/>
        <v>0</v>
      </c>
      <c r="Z333" s="57" t="e">
        <f>IF(Y333="","",IF(I$8="A",(RANK(Y333,Y$11:Y$355,1)+COUNTIF(Y$11:Y333,Y333)-1),(RANK(Y333,Y$11:Y$355)+COUNTIF(Y$11:Y333,Y333)-1)))</f>
        <v>#N/A</v>
      </c>
      <c r="AA333" s="231" t="str">
        <f>IF(L333="","",VLOOKUP($L333,classifications!C:I,7,FALSE))</f>
        <v/>
      </c>
      <c r="AB333" s="225" t="str">
        <f t="shared" si="134"/>
        <v/>
      </c>
      <c r="AC333" s="225" t="str">
        <f>IF(AB333="","",IF($I$8="A",(RANK(AB333,AB$11:AB$355)+COUNTIF(AB$11:AB333,AB333)-1),(RANK(AB333,AB$11:AB$355,1)+COUNTIF(AB$11:AB333,AB333)-1)))</f>
        <v/>
      </c>
      <c r="AD333" s="225"/>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HLOOKUP($AX$9&amp;$AX$10,Data!$A$1:$ZZ$1992,(MATCH($C333,Data!$A$1:$A$1992,0)),FALSE)</f>
        <v>0</v>
      </c>
      <c r="AY333" s="156"/>
      <c r="AZ333" s="44"/>
    </row>
    <row r="334" spans="1:52">
      <c r="A334" s="84" t="str">
        <f>$D$1&amp;324</f>
        <v>SC324</v>
      </c>
      <c r="B334" s="85">
        <f>IF(ISERROR(VLOOKUP(A334,classifications!A:C,3,FALSE)),0,VLOOKUP(A334,classifications!A:C,3,FALSE))</f>
        <v>0</v>
      </c>
      <c r="C334" s="31" t="s">
        <v>185</v>
      </c>
      <c r="D334" s="49" t="str">
        <f>VLOOKUP($C334,classifications!$C:$J,4,FALSE)</f>
        <v>SD</v>
      </c>
      <c r="E334" s="49" t="str">
        <f>VLOOKUP(C334,classifications!C:K,9,FALSE)</f>
        <v>Sparse</v>
      </c>
      <c r="F334" s="59">
        <f t="shared" si="119"/>
        <v>0</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17" t="str">
        <f>IF(L334="","",VLOOKUP(L334,classifications!C:K,9,FALSE))</f>
        <v/>
      </c>
      <c r="U334" s="224" t="str">
        <f t="shared" si="124"/>
        <v/>
      </c>
      <c r="V334" s="225" t="str">
        <f>IF(U334="","",IF($I$8="A",(RANK(U334,U$11:U$355)+COUNTIF(U$11:U334,U334)-1),(RANK(U334,U$11:U$355,1)+COUNTIF(U$11:U334,U334)-1)))</f>
        <v/>
      </c>
      <c r="W334" s="226"/>
      <c r="X334" s="61" t="str">
        <f>IF(L334="","",VLOOKUP($L334,classifications!$C:$J,6,FALSE))</f>
        <v/>
      </c>
      <c r="Y334" s="49" t="b">
        <f t="shared" si="125"/>
        <v>0</v>
      </c>
      <c r="Z334" s="57" t="e">
        <f>IF(Y334="","",IF(I$8="A",(RANK(Y334,Y$11:Y$355,1)+COUNTIF(Y$11:Y334,Y334)-1),(RANK(Y334,Y$11:Y$355)+COUNTIF(Y$11:Y334,Y334)-1)))</f>
        <v>#N/A</v>
      </c>
      <c r="AA334" s="231" t="str">
        <f>IF(L334="","",VLOOKUP($L334,classifications!C:I,7,FALSE))</f>
        <v/>
      </c>
      <c r="AB334" s="225" t="str">
        <f t="shared" si="134"/>
        <v/>
      </c>
      <c r="AC334" s="225" t="str">
        <f>IF(AB334="","",IF($I$8="A",(RANK(AB334,AB$11:AB$355)+COUNTIF(AB$11:AB334,AB334)-1),(RANK(AB334,AB$11:AB$355,1)+COUNTIF(AB$11:AB334,AB334)-1)))</f>
        <v/>
      </c>
      <c r="AD334" s="225"/>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HLOOKUP($AX$9&amp;$AX$10,Data!$A$1:$ZZ$1992,(MATCH($C334,Data!$A$1:$A$1992,0)),FALSE)</f>
        <v>0</v>
      </c>
      <c r="AY334" s="156"/>
      <c r="AZ334" s="44"/>
    </row>
    <row r="335" spans="1:52">
      <c r="A335" s="84" t="str">
        <f>$D$1&amp;325</f>
        <v>SC325</v>
      </c>
      <c r="B335" s="85">
        <f>IF(ISERROR(VLOOKUP(A335,classifications!A:C,3,FALSE)),0,VLOOKUP(A335,classifications!A:C,3,FALSE))</f>
        <v>0</v>
      </c>
      <c r="C335" s="31" t="s">
        <v>186</v>
      </c>
      <c r="D335" s="49" t="str">
        <f>VLOOKUP($C335,classifications!$C:$J,4,FALSE)</f>
        <v>SD</v>
      </c>
      <c r="E335" s="49" t="str">
        <f>VLOOKUP(C335,classifications!C:K,9,FALSE)</f>
        <v>Sparse</v>
      </c>
      <c r="F335" s="59">
        <f t="shared" si="119"/>
        <v>0</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17" t="str">
        <f>IF(L335="","",VLOOKUP(L335,classifications!C:K,9,FALSE))</f>
        <v/>
      </c>
      <c r="U335" s="224" t="str">
        <f t="shared" si="124"/>
        <v/>
      </c>
      <c r="V335" s="225" t="str">
        <f>IF(U335="","",IF($I$8="A",(RANK(U335,U$11:U$355)+COUNTIF(U$11:U335,U335)-1),(RANK(U335,U$11:U$355,1)+COUNTIF(U$11:U335,U335)-1)))</f>
        <v/>
      </c>
      <c r="W335" s="226"/>
      <c r="X335" s="61" t="str">
        <f>IF(L335="","",VLOOKUP($L335,classifications!$C:$J,6,FALSE))</f>
        <v/>
      </c>
      <c r="Y335" s="49" t="b">
        <f t="shared" si="125"/>
        <v>0</v>
      </c>
      <c r="Z335" s="57" t="e">
        <f>IF(Y335="","",IF(I$8="A",(RANK(Y335,Y$11:Y$355,1)+COUNTIF(Y$11:Y335,Y335)-1),(RANK(Y335,Y$11:Y$355)+COUNTIF(Y$11:Y335,Y335)-1)))</f>
        <v>#N/A</v>
      </c>
      <c r="AA335" s="231" t="str">
        <f>IF(L335="","",VLOOKUP($L335,classifications!C:I,7,FALSE))</f>
        <v/>
      </c>
      <c r="AB335" s="225" t="str">
        <f t="shared" si="134"/>
        <v/>
      </c>
      <c r="AC335" s="225" t="str">
        <f>IF(AB335="","",IF($I$8="A",(RANK(AB335,AB$11:AB$355)+COUNTIF(AB$11:AB335,AB335)-1),(RANK(AB335,AB$11:AB$355,1)+COUNTIF(AB$11:AB335,AB335)-1)))</f>
        <v/>
      </c>
      <c r="AD335" s="225"/>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HLOOKUP($AX$9&amp;$AX$10,Data!$A$1:$ZZ$1992,(MATCH($C335,Data!$A$1:$A$1992,0)),FALSE)</f>
        <v>0</v>
      </c>
      <c r="AY335" s="156"/>
      <c r="AZ335" s="44"/>
    </row>
    <row r="336" spans="1:52">
      <c r="A336" s="84" t="str">
        <f>$D$1&amp;326</f>
        <v>SC326</v>
      </c>
      <c r="B336" s="85">
        <f>IF(ISERROR(VLOOKUP(A336,classifications!A:C,3,FALSE)),0,VLOOKUP(A336,classifications!A:C,3,FALSE))</f>
        <v>0</v>
      </c>
      <c r="C336" s="31" t="s">
        <v>187</v>
      </c>
      <c r="D336" s="49" t="str">
        <f>VLOOKUP($C336,classifications!$C:$J,4,FALSE)</f>
        <v>SD</v>
      </c>
      <c r="E336" s="49" t="str">
        <f>VLOOKUP(C336,classifications!C:K,9,FALSE)</f>
        <v>Sparse</v>
      </c>
      <c r="F336" s="59" t="e">
        <f t="shared" si="119"/>
        <v>#N/A</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17" t="str">
        <f>IF(L336="","",VLOOKUP(L336,classifications!C:K,9,FALSE))</f>
        <v/>
      </c>
      <c r="U336" s="224" t="str">
        <f t="shared" si="124"/>
        <v/>
      </c>
      <c r="V336" s="225" t="str">
        <f>IF(U336="","",IF($I$8="A",(RANK(U336,U$11:U$355)+COUNTIF(U$11:U336,U336)-1),(RANK(U336,U$11:U$355,1)+COUNTIF(U$11:U336,U336)-1)))</f>
        <v/>
      </c>
      <c r="W336" s="226"/>
      <c r="X336" s="61" t="str">
        <f>IF(L336="","",VLOOKUP($L336,classifications!$C:$J,6,FALSE))</f>
        <v/>
      </c>
      <c r="Y336" s="49" t="b">
        <f t="shared" si="125"/>
        <v>0</v>
      </c>
      <c r="Z336" s="57" t="e">
        <f>IF(Y336="","",IF(I$8="A",(RANK(Y336,Y$11:Y$355,1)+COUNTIF(Y$11:Y336,Y336)-1),(RANK(Y336,Y$11:Y$355)+COUNTIF(Y$11:Y336,Y336)-1)))</f>
        <v>#N/A</v>
      </c>
      <c r="AA336" s="231" t="str">
        <f>IF(L336="","",VLOOKUP($L336,classifications!C:I,7,FALSE))</f>
        <v/>
      </c>
      <c r="AB336" s="225" t="str">
        <f t="shared" si="134"/>
        <v/>
      </c>
      <c r="AC336" s="225" t="str">
        <f>IF(AB336="","",IF($I$8="A",(RANK(AB336,AB$11:AB$355)+COUNTIF(AB$11:AB336,AB336)-1),(RANK(AB336,AB$11:AB$355,1)+COUNTIF(AB$11:AB336,AB336)-1)))</f>
        <v/>
      </c>
      <c r="AD336" s="225"/>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t="e">
        <f>HLOOKUP($AX$9&amp;$AX$10,Data!$A$1:$ZZ$1992,(MATCH($C336,Data!$A$1:$A$1992,0)),FALSE)</f>
        <v>#N/A</v>
      </c>
      <c r="AY336" s="156"/>
      <c r="AZ336" s="44"/>
    </row>
    <row r="337" spans="1:52">
      <c r="A337" s="84" t="str">
        <f>$D$1&amp;327</f>
        <v>SC327</v>
      </c>
      <c r="B337" s="85">
        <f>IF(ISERROR(VLOOKUP(A337,classifications!A:C,3,FALSE)),0,VLOOKUP(A337,classifications!A:C,3,FALSE))</f>
        <v>0</v>
      </c>
      <c r="C337" s="31" t="s">
        <v>332</v>
      </c>
      <c r="D337" s="49" t="str">
        <f>VLOOKUP($C337,classifications!$C:$J,4,FALSE)</f>
        <v>SC</v>
      </c>
      <c r="E337" s="49">
        <f>VLOOKUP(C337,classifications!C:K,9,FALSE)</f>
        <v>0</v>
      </c>
      <c r="F337" s="59">
        <f t="shared" si="119"/>
        <v>0.17899999999999999</v>
      </c>
      <c r="G337" s="105"/>
      <c r="H337" s="60">
        <f t="shared" si="120"/>
        <v>0.17899999999999999</v>
      </c>
      <c r="I337" s="112">
        <f>IF(H337="","",IF($I$8="A",(RANK(H337,H$11:H$355,1)+COUNTIF(H$11:H337,H337)-1),(RANK(H337,H$11:H$355)+COUNTIF(H$11:H337,H337)-1)))</f>
        <v>20</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17" t="str">
        <f>IF(L337="","",VLOOKUP(L337,classifications!C:K,9,FALSE))</f>
        <v/>
      </c>
      <c r="U337" s="224" t="str">
        <f t="shared" si="124"/>
        <v/>
      </c>
      <c r="V337" s="225" t="str">
        <f>IF(U337="","",IF($I$8="A",(RANK(U337,U$11:U$355)+COUNTIF(U$11:U337,U337)-1),(RANK(U337,U$11:U$355,1)+COUNTIF(U$11:U337,U337)-1)))</f>
        <v/>
      </c>
      <c r="W337" s="226"/>
      <c r="X337" s="61" t="str">
        <f>IF(L337="","",VLOOKUP($L337,classifications!$C:$J,6,FALSE))</f>
        <v/>
      </c>
      <c r="Y337" s="49" t="b">
        <f t="shared" si="125"/>
        <v>0</v>
      </c>
      <c r="Z337" s="57" t="e">
        <f>IF(Y337="","",IF(I$8="A",(RANK(Y337,Y$11:Y$355,1)+COUNTIF(Y$11:Y337,Y337)-1),(RANK(Y337,Y$11:Y$355)+COUNTIF(Y$11:Y337,Y337)-1)))</f>
        <v>#N/A</v>
      </c>
      <c r="AA337" s="231" t="str">
        <f>IF(L337="","",VLOOKUP($L337,classifications!C:I,7,FALSE))</f>
        <v/>
      </c>
      <c r="AB337" s="225" t="str">
        <f t="shared" si="134"/>
        <v/>
      </c>
      <c r="AC337" s="225" t="str">
        <f>IF(AB337="","",IF($I$8="A",(RANK(AB337,AB$11:AB$355)+COUNTIF(AB$11:AB337,AB337)-1),(RANK(AB337,AB$11:AB$355,1)+COUNTIF(AB$11:AB337,AB337)-1)))</f>
        <v/>
      </c>
      <c r="AD337" s="225"/>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HLOOKUP($AX$9&amp;$AX$10,Data!$A$1:$ZZ$1992,(MATCH($C337,Data!$A$1:$A$1992,0)),FALSE)</f>
        <v>0.17899999999999999</v>
      </c>
      <c r="AY337" s="156"/>
      <c r="AZ337" s="44"/>
    </row>
    <row r="338" spans="1:52">
      <c r="A338" s="84" t="str">
        <f>$D$1&amp;328</f>
        <v>SC328</v>
      </c>
      <c r="B338" s="85">
        <f>IF(ISERROR(VLOOKUP(A338,classifications!A:C,3,FALSE)),0,VLOOKUP(A338,classifications!A:C,3,FALSE))</f>
        <v>0</v>
      </c>
      <c r="C338" s="31" t="s">
        <v>188</v>
      </c>
      <c r="D338" s="49" t="str">
        <f>VLOOKUP($C338,classifications!$C:$J,4,FALSE)</f>
        <v>L</v>
      </c>
      <c r="E338" s="49">
        <f>VLOOKUP(C338,classifications!C:K,9,FALSE)</f>
        <v>0</v>
      </c>
      <c r="F338" s="59">
        <f t="shared" si="119"/>
        <v>0</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17" t="str">
        <f>IF(L338="","",VLOOKUP(L338,classifications!C:K,9,FALSE))</f>
        <v/>
      </c>
      <c r="U338" s="224" t="str">
        <f t="shared" si="124"/>
        <v/>
      </c>
      <c r="V338" s="225" t="str">
        <f>IF(U338="","",IF($I$8="A",(RANK(U338,U$11:U$355)+COUNTIF(U$11:U338,U338)-1),(RANK(U338,U$11:U$355,1)+COUNTIF(U$11:U338,U338)-1)))</f>
        <v/>
      </c>
      <c r="W338" s="226"/>
      <c r="X338" s="61" t="str">
        <f>IF(L338="","",VLOOKUP($L338,classifications!$C:$J,6,FALSE))</f>
        <v/>
      </c>
      <c r="Y338" s="49" t="b">
        <f t="shared" si="125"/>
        <v>0</v>
      </c>
      <c r="Z338" s="57" t="e">
        <f>IF(Y338="","",IF(I$8="A",(RANK(Y338,Y$11:Y$355,1)+COUNTIF(Y$11:Y338,Y338)-1),(RANK(Y338,Y$11:Y$355)+COUNTIF(Y$11:Y338,Y338)-1)))</f>
        <v>#N/A</v>
      </c>
      <c r="AA338" s="231" t="str">
        <f>IF(L338="","",VLOOKUP($L338,classifications!C:I,7,FALSE))</f>
        <v/>
      </c>
      <c r="AB338" s="225" t="str">
        <f t="shared" si="134"/>
        <v/>
      </c>
      <c r="AC338" s="225" t="str">
        <f>IF(AB338="","",IF($I$8="A",(RANK(AB338,AB$11:AB$355)+COUNTIF(AB$11:AB338,AB338)-1),(RANK(AB338,AB$11:AB$355,1)+COUNTIF(AB$11:AB338,AB338)-1)))</f>
        <v/>
      </c>
      <c r="AD338" s="225"/>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HLOOKUP($AX$9&amp;$AX$10,Data!$A$1:$ZZ$1992,(MATCH($C338,Data!$A$1:$A$1992,0)),FALSE)</f>
        <v>0</v>
      </c>
      <c r="AY338" s="156"/>
      <c r="AZ338" s="44"/>
    </row>
    <row r="339" spans="1:52">
      <c r="A339" s="84" t="str">
        <f>$D$1&amp;329</f>
        <v>SC329</v>
      </c>
      <c r="B339" s="85">
        <f>IF(ISERROR(VLOOKUP(A339,classifications!A:C,3,FALSE)),0,VLOOKUP(A339,classifications!A:C,3,FALSE))</f>
        <v>0</v>
      </c>
      <c r="C339" s="31" t="s">
        <v>352</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17" t="str">
        <f>IF(L339="","",VLOOKUP(L339,classifications!C:K,9,FALSE))</f>
        <v/>
      </c>
      <c r="U339" s="224" t="str">
        <f t="shared" si="124"/>
        <v/>
      </c>
      <c r="V339" s="225" t="str">
        <f>IF(U339="","",IF($I$8="A",(RANK(U339,U$11:U$355)+COUNTIF(U$11:U339,U339)-1),(RANK(U339,U$11:U$355,1)+COUNTIF(U$11:U339,U339)-1)))</f>
        <v/>
      </c>
      <c r="W339" s="226"/>
      <c r="X339" s="61" t="str">
        <f>IF(L339="","",VLOOKUP($L339,classifications!$C:$J,6,FALSE))</f>
        <v/>
      </c>
      <c r="Y339" s="49" t="b">
        <f t="shared" si="125"/>
        <v>0</v>
      </c>
      <c r="Z339" s="57" t="e">
        <f>IF(Y339="","",IF(I$8="A",(RANK(Y339,Y$11:Y$355,1)+COUNTIF(Y$11:Y339,Y339)-1),(RANK(Y339,Y$11:Y$355)+COUNTIF(Y$11:Y339,Y339)-1)))</f>
        <v>#N/A</v>
      </c>
      <c r="AA339" s="231" t="str">
        <f>IF(L339="","",VLOOKUP($L339,classifications!C:I,7,FALSE))</f>
        <v/>
      </c>
      <c r="AB339" s="225" t="str">
        <f t="shared" si="134"/>
        <v/>
      </c>
      <c r="AC339" s="225" t="str">
        <f>IF(AB339="","",IF($I$8="A",(RANK(AB339,AB$11:AB$355)+COUNTIF(AB$11:AB339,AB339)-1),(RANK(AB339,AB$11:AB$355,1)+COUNTIF(AB$11:AB339,AB339)-1)))</f>
        <v/>
      </c>
      <c r="AD339" s="225"/>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HLOOKUP($AX$9&amp;$AX$10,Data!$A$1:$ZZ$1992,(MATCH($C339,Data!$A$1:$A$1992,0)),FALSE)</f>
        <v>-</v>
      </c>
      <c r="AY339" s="156"/>
      <c r="AZ339" s="44"/>
    </row>
    <row r="340" spans="1:52">
      <c r="A340" s="84" t="str">
        <f>$D$1&amp;330</f>
        <v>SC330</v>
      </c>
      <c r="B340" s="85">
        <f>IF(ISERROR(VLOOKUP(A340,classifications!A:C,3,FALSE)),0,VLOOKUP(A340,classifications!A:C,3,FALSE))</f>
        <v>0</v>
      </c>
      <c r="C340" s="31" t="s">
        <v>256</v>
      </c>
      <c r="D340" s="49" t="str">
        <f>VLOOKUP($C340,classifications!$C:$J,4,FALSE)</f>
        <v>MD</v>
      </c>
      <c r="E340" s="49">
        <f>VLOOKUP(C340,classifications!C:K,9,FALSE)</f>
        <v>0</v>
      </c>
      <c r="F340" s="59">
        <f t="shared" si="119"/>
        <v>5.0000000000000001E-3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17" t="str">
        <f>IF(L340="","",VLOOKUP(L340,classifications!C:K,9,FALSE))</f>
        <v/>
      </c>
      <c r="U340" s="224" t="str">
        <f t="shared" si="124"/>
        <v/>
      </c>
      <c r="V340" s="225" t="str">
        <f>IF(U340="","",IF($I$8="A",(RANK(U340,U$11:U$355)+COUNTIF(U$11:U340,U340)-1),(RANK(U340,U$11:U$355,1)+COUNTIF(U$11:U340,U340)-1)))</f>
        <v/>
      </c>
      <c r="W340" s="226"/>
      <c r="X340" s="61" t="str">
        <f>IF(L340="","",VLOOKUP($L340,classifications!$C:$J,6,FALSE))</f>
        <v/>
      </c>
      <c r="Y340" s="49" t="b">
        <f t="shared" si="125"/>
        <v>0</v>
      </c>
      <c r="Z340" s="57" t="e">
        <f>IF(Y340="","",IF(I$8="A",(RANK(Y340,Y$11:Y$355,1)+COUNTIF(Y$11:Y340,Y340)-1),(RANK(Y340,Y$11:Y$355)+COUNTIF(Y$11:Y340,Y340)-1)))</f>
        <v>#N/A</v>
      </c>
      <c r="AA340" s="231" t="str">
        <f>IF(L340="","",VLOOKUP($L340,classifications!C:I,7,FALSE))</f>
        <v/>
      </c>
      <c r="AB340" s="225" t="str">
        <f t="shared" si="134"/>
        <v/>
      </c>
      <c r="AC340" s="225" t="str">
        <f>IF(AB340="","",IF($I$8="A",(RANK(AB340,AB$11:AB$355)+COUNTIF(AB$11:AB340,AB340)-1),(RANK(AB340,AB$11:AB$355,1)+COUNTIF(AB$11:AB340,AB340)-1)))</f>
        <v/>
      </c>
      <c r="AD340" s="225"/>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HLOOKUP($AX$9&amp;$AX$10,Data!$A$1:$ZZ$1992,(MATCH($C340,Data!$A$1:$A$1992,0)),FALSE)</f>
        <v>5.0000000000000001E-3</v>
      </c>
      <c r="AY340" s="156"/>
      <c r="AZ340" s="44"/>
    </row>
    <row r="341" spans="1:52">
      <c r="A341" s="84" t="str">
        <f>$D$1&amp;331</f>
        <v>SC331</v>
      </c>
      <c r="B341" s="85">
        <f>IF(ISERROR(VLOOKUP(A341,classifications!A:C,3,FALSE)),0,VLOOKUP(A341,classifications!A:C,3,FALSE))</f>
        <v>0</v>
      </c>
      <c r="C341" s="31" t="s">
        <v>298</v>
      </c>
      <c r="D341" s="49" t="str">
        <f>VLOOKUP($C341,classifications!$C:$J,4,FALSE)</f>
        <v>UA</v>
      </c>
      <c r="E341" s="49">
        <f>VLOOKUP(C341,classifications!C:K,9,FALSE)</f>
        <v>0</v>
      </c>
      <c r="F341" s="59">
        <f t="shared" si="119"/>
        <v>0.14399999999999999</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17" t="str">
        <f>IF(L341="","",VLOOKUP(L341,classifications!C:K,9,FALSE))</f>
        <v/>
      </c>
      <c r="U341" s="224" t="str">
        <f t="shared" si="124"/>
        <v/>
      </c>
      <c r="V341" s="225" t="str">
        <f>IF(U341="","",IF($I$8="A",(RANK(U341,U$11:U$355)+COUNTIF(U$11:U341,U341)-1),(RANK(U341,U$11:U$355,1)+COUNTIF(U$11:U341,U341)-1)))</f>
        <v/>
      </c>
      <c r="W341" s="226"/>
      <c r="X341" s="61" t="str">
        <f>IF(L341="","",VLOOKUP($L341,classifications!$C:$J,6,FALSE))</f>
        <v/>
      </c>
      <c r="Y341" s="49" t="b">
        <f t="shared" si="125"/>
        <v>0</v>
      </c>
      <c r="Z341" s="57" t="e">
        <f>IF(Y341="","",IF(I$8="A",(RANK(Y341,Y$11:Y$355,1)+COUNTIF(Y$11:Y341,Y341)-1),(RANK(Y341,Y$11:Y$355)+COUNTIF(Y$11:Y341,Y341)-1)))</f>
        <v>#N/A</v>
      </c>
      <c r="AA341" s="231" t="str">
        <f>IF(L341="","",VLOOKUP($L341,classifications!C:I,7,FALSE))</f>
        <v/>
      </c>
      <c r="AB341" s="225" t="str">
        <f t="shared" si="134"/>
        <v/>
      </c>
      <c r="AC341" s="225" t="str">
        <f>IF(AB341="","",IF($I$8="A",(RANK(AB341,AB$11:AB$355)+COUNTIF(AB$11:AB341,AB341)-1),(RANK(AB341,AB$11:AB$355,1)+COUNTIF(AB$11:AB341,AB341)-1)))</f>
        <v/>
      </c>
      <c r="AD341" s="225"/>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HLOOKUP($AX$9&amp;$AX$10,Data!$A$1:$ZZ$1992,(MATCH($C341,Data!$A$1:$A$1992,0)),FALSE)</f>
        <v>0.14399999999999999</v>
      </c>
      <c r="AY341" s="156"/>
      <c r="AZ341" s="44"/>
    </row>
    <row r="342" spans="1:52">
      <c r="A342" s="84" t="str">
        <f>$D$1&amp;332</f>
        <v>SC332</v>
      </c>
      <c r="B342" s="85">
        <f>IF(ISERROR(VLOOKUP(A342,classifications!A:C,3,FALSE)),0,VLOOKUP(A342,classifications!A:C,3,FALSE))</f>
        <v>0</v>
      </c>
      <c r="C342" s="31" t="s">
        <v>189</v>
      </c>
      <c r="D342" s="49" t="str">
        <f>VLOOKUP($C342,classifications!$C:$J,4,FALSE)</f>
        <v>SD</v>
      </c>
      <c r="E342" s="49">
        <f>VLOOKUP(C342,classifications!C:K,9,FALSE)</f>
        <v>0</v>
      </c>
      <c r="F342" s="59">
        <f t="shared" si="119"/>
        <v>0</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17" t="str">
        <f>IF(L342="","",VLOOKUP(L342,classifications!C:K,9,FALSE))</f>
        <v/>
      </c>
      <c r="U342" s="224" t="str">
        <f t="shared" si="124"/>
        <v/>
      </c>
      <c r="V342" s="225" t="str">
        <f>IF(U342="","",IF($I$8="A",(RANK(U342,U$11:U$355)+COUNTIF(U$11:U342,U342)-1),(RANK(U342,U$11:U$355,1)+COUNTIF(U$11:U342,U342)-1)))</f>
        <v/>
      </c>
      <c r="W342" s="226"/>
      <c r="X342" s="61" t="str">
        <f>IF(L342="","",VLOOKUP($L342,classifications!$C:$J,6,FALSE))</f>
        <v/>
      </c>
      <c r="Y342" s="49" t="b">
        <f t="shared" si="125"/>
        <v>0</v>
      </c>
      <c r="Z342" s="57" t="e">
        <f>IF(Y342="","",IF(I$8="A",(RANK(Y342,Y$11:Y$355,1)+COUNTIF(Y$11:Y342,Y342)-1),(RANK(Y342,Y$11:Y$355)+COUNTIF(Y$11:Y342,Y342)-1)))</f>
        <v>#N/A</v>
      </c>
      <c r="AA342" s="231" t="str">
        <f>IF(L342="","",VLOOKUP($L342,classifications!C:I,7,FALSE))</f>
        <v/>
      </c>
      <c r="AB342" s="225" t="str">
        <f t="shared" si="134"/>
        <v/>
      </c>
      <c r="AC342" s="225" t="str">
        <f>IF(AB342="","",IF($I$8="A",(RANK(AB342,AB$11:AB$355)+COUNTIF(AB$11:AB342,AB342)-1),(RANK(AB342,AB$11:AB$355,1)+COUNTIF(AB$11:AB342,AB342)-1)))</f>
        <v/>
      </c>
      <c r="AD342" s="225"/>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HLOOKUP($AX$9&amp;$AX$10,Data!$A$1:$ZZ$1992,(MATCH($C342,Data!$A$1:$A$1992,0)),FALSE)</f>
        <v>0</v>
      </c>
      <c r="AY342" s="156"/>
      <c r="AZ342" s="44"/>
    </row>
    <row r="343" spans="1:52">
      <c r="A343" s="84" t="str">
        <f>$D$1&amp;333</f>
        <v>SC333</v>
      </c>
      <c r="B343" s="85">
        <f>IF(ISERROR(VLOOKUP(A343,classifications!A:C,3,FALSE)),0,VLOOKUP(A343,classifications!A:C,3,FALSE))</f>
        <v>0</v>
      </c>
      <c r="C343" s="31" t="s">
        <v>816</v>
      </c>
      <c r="D343" s="49" t="str">
        <f>VLOOKUP($C343,classifications!$C:$J,4,FALSE)</f>
        <v>UA</v>
      </c>
      <c r="E343" s="49">
        <f>VLOOKUP(C343,classifications!C:K,9,FALSE)</f>
        <v>0</v>
      </c>
      <c r="F343" s="59" t="e">
        <f t="shared" si="119"/>
        <v>#N/A</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17" t="str">
        <f>IF(L343="","",VLOOKUP(L343,classifications!C:K,9,FALSE))</f>
        <v/>
      </c>
      <c r="U343" s="224" t="str">
        <f t="shared" si="124"/>
        <v/>
      </c>
      <c r="V343" s="225" t="str">
        <f>IF(U343="","",IF($I$8="A",(RANK(U343,U$11:U$355)+COUNTIF(U$11:U343,U343)-1),(RANK(U343,U$11:U$355,1)+COUNTIF(U$11:U343,U343)-1)))</f>
        <v/>
      </c>
      <c r="W343" s="226"/>
      <c r="X343" s="61" t="str">
        <f>IF(L343="","",VLOOKUP($L343,classifications!$C:$J,6,FALSE))</f>
        <v/>
      </c>
      <c r="Y343" s="49" t="b">
        <f t="shared" si="125"/>
        <v>0</v>
      </c>
      <c r="Z343" s="57" t="e">
        <f>IF(Y343="","",IF(I$8="A",(RANK(Y343,Y$11:Y$355,1)+COUNTIF(Y$11:Y343,Y343)-1),(RANK(Y343,Y$11:Y$355)+COUNTIF(Y$11:Y343,Y343)-1)))</f>
        <v>#N/A</v>
      </c>
      <c r="AA343" s="231" t="str">
        <f>IF(L343="","",VLOOKUP($L343,classifications!C:I,7,FALSE))</f>
        <v/>
      </c>
      <c r="AB343" s="225" t="str">
        <f t="shared" si="134"/>
        <v/>
      </c>
      <c r="AC343" s="225" t="str">
        <f>IF(AB343="","",IF($I$8="A",(RANK(AB343,AB$11:AB$355)+COUNTIF(AB$11:AB343,AB343)-1),(RANK(AB343,AB$11:AB$355,1)+COUNTIF(AB$11:AB343,AB343)-1)))</f>
        <v/>
      </c>
      <c r="AD343" s="225"/>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t="e">
        <f>HLOOKUP($AX$9&amp;$AX$10,Data!$A$1:$ZZ$1992,(MATCH($C343,Data!$A$1:$A$1992,0)),FALSE)</f>
        <v>#N/A</v>
      </c>
      <c r="AY343" s="156"/>
      <c r="AZ343" s="44"/>
    </row>
    <row r="344" spans="1:52">
      <c r="A344" s="84" t="str">
        <f>$D$1&amp;334</f>
        <v>SC334</v>
      </c>
      <c r="B344" s="85">
        <f>IF(ISERROR(VLOOKUP(A344,classifications!A:C,3,FALSE)),0,VLOOKUP(A344,classifications!A:C,3,FALSE))</f>
        <v>0</v>
      </c>
      <c r="C344" s="31" t="s">
        <v>257</v>
      </c>
      <c r="D344" s="49" t="str">
        <f>VLOOKUP($C344,classifications!$C:$J,4,FALSE)</f>
        <v>MD</v>
      </c>
      <c r="E344" s="49">
        <f>VLOOKUP(C344,classifications!C:K,9,FALSE)</f>
        <v>0</v>
      </c>
      <c r="F344" s="59">
        <f t="shared" si="119"/>
        <v>0</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17" t="str">
        <f>IF(L344="","",VLOOKUP(L344,classifications!C:K,9,FALSE))</f>
        <v/>
      </c>
      <c r="U344" s="224" t="str">
        <f t="shared" si="124"/>
        <v/>
      </c>
      <c r="V344" s="225" t="str">
        <f>IF(U344="","",IF($I$8="A",(RANK(U344,U$11:U$355)+COUNTIF(U$11:U344,U344)-1),(RANK(U344,U$11:U$355,1)+COUNTIF(U$11:U344,U344)-1)))</f>
        <v/>
      </c>
      <c r="W344" s="226"/>
      <c r="X344" s="61" t="str">
        <f>IF(L344="","",VLOOKUP($L344,classifications!$C:$J,6,FALSE))</f>
        <v/>
      </c>
      <c r="Y344" s="49" t="b">
        <f t="shared" si="125"/>
        <v>0</v>
      </c>
      <c r="Z344" s="57" t="e">
        <f>IF(Y344="","",IF(I$8="A",(RANK(Y344,Y$11:Y$355,1)+COUNTIF(Y$11:Y344,Y344)-1),(RANK(Y344,Y$11:Y$355)+COUNTIF(Y$11:Y344,Y344)-1)))</f>
        <v>#N/A</v>
      </c>
      <c r="AA344" s="231" t="str">
        <f>IF(L344="","",VLOOKUP($L344,classifications!C:I,7,FALSE))</f>
        <v/>
      </c>
      <c r="AB344" s="225" t="str">
        <f t="shared" si="134"/>
        <v/>
      </c>
      <c r="AC344" s="225" t="str">
        <f>IF(AB344="","",IF($I$8="A",(RANK(AB344,AB$11:AB$355)+COUNTIF(AB$11:AB344,AB344)-1),(RANK(AB344,AB$11:AB$355,1)+COUNTIF(AB$11:AB344,AB344)-1)))</f>
        <v/>
      </c>
      <c r="AD344" s="225"/>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HLOOKUP($AX$9&amp;$AX$10,Data!$A$1:$ZZ$1992,(MATCH($C344,Data!$A$1:$A$1992,0)),FALSE)</f>
        <v>0</v>
      </c>
      <c r="AY344" s="156"/>
      <c r="AZ344" s="44"/>
    </row>
    <row r="345" spans="1:52">
      <c r="A345" s="84" t="str">
        <f>$D$1&amp;335</f>
        <v>SC335</v>
      </c>
      <c r="B345" s="85">
        <f>IF(ISERROR(VLOOKUP(A345,classifications!A:C,3,FALSE)),0,VLOOKUP(A345,classifications!A:C,3,FALSE))</f>
        <v>0</v>
      </c>
      <c r="C345" s="31" t="s">
        <v>190</v>
      </c>
      <c r="D345" s="49" t="str">
        <f>VLOOKUP($C345,classifications!$C:$J,4,FALSE)</f>
        <v>SD</v>
      </c>
      <c r="E345" s="49">
        <f>VLOOKUP(C345,classifications!C:K,9,FALSE)</f>
        <v>0</v>
      </c>
      <c r="F345" s="59">
        <f t="shared" si="119"/>
        <v>0</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17" t="str">
        <f>IF(L345="","",VLOOKUP(L345,classifications!C:K,9,FALSE))</f>
        <v/>
      </c>
      <c r="U345" s="224" t="str">
        <f t="shared" si="124"/>
        <v/>
      </c>
      <c r="V345" s="225" t="str">
        <f>IF(U345="","",IF($I$8="A",(RANK(U345,U$11:U$355)+COUNTIF(U$11:U345,U345)-1),(RANK(U345,U$11:U$355,1)+COUNTIF(U$11:U345,U345)-1)))</f>
        <v/>
      </c>
      <c r="W345" s="226"/>
      <c r="X345" s="61" t="str">
        <f>IF(L345="","",VLOOKUP($L345,classifications!$C:$J,6,FALSE))</f>
        <v/>
      </c>
      <c r="Y345" s="49" t="b">
        <f t="shared" si="125"/>
        <v>0</v>
      </c>
      <c r="Z345" s="57" t="e">
        <f>IF(Y345="","",IF(I$8="A",(RANK(Y345,Y$11:Y$355,1)+COUNTIF(Y$11:Y345,Y345)-1),(RANK(Y345,Y$11:Y$355)+COUNTIF(Y$11:Y345,Y345)-1)))</f>
        <v>#N/A</v>
      </c>
      <c r="AA345" s="231" t="str">
        <f>IF(L345="","",VLOOKUP($L345,classifications!C:I,7,FALSE))</f>
        <v/>
      </c>
      <c r="AB345" s="225" t="str">
        <f t="shared" si="134"/>
        <v/>
      </c>
      <c r="AC345" s="225" t="str">
        <f>IF(AB345="","",IF($I$8="A",(RANK(AB345,AB$11:AB$355)+COUNTIF(AB$11:AB345,AB345)-1),(RANK(AB345,AB$11:AB$355,1)+COUNTIF(AB$11:AB345,AB345)-1)))</f>
        <v/>
      </c>
      <c r="AD345" s="225"/>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HLOOKUP($AX$9&amp;$AX$10,Data!$A$1:$ZZ$1992,(MATCH($C345,Data!$A$1:$A$1992,0)),FALSE)</f>
        <v>0</v>
      </c>
      <c r="AY345" s="156"/>
      <c r="AZ345" s="44"/>
    </row>
    <row r="346" spans="1:52">
      <c r="A346" s="84" t="str">
        <f>$D$1&amp;336</f>
        <v>SC336</v>
      </c>
      <c r="B346" s="85">
        <f>IF(ISERROR(VLOOKUP(A346,classifications!A:C,3,FALSE)),0,VLOOKUP(A346,classifications!A:C,3,FALSE))</f>
        <v>0</v>
      </c>
      <c r="C346" s="31" t="s">
        <v>299</v>
      </c>
      <c r="D346" s="49" t="str">
        <f>VLOOKUP($C346,classifications!$C:$J,4,FALSE)</f>
        <v>UA</v>
      </c>
      <c r="E346" s="49">
        <f>VLOOKUP(C346,classifications!C:K,9,FALSE)</f>
        <v>0</v>
      </c>
      <c r="F346" s="59">
        <f t="shared" si="119"/>
        <v>5.0999999999999997E-2</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17" t="str">
        <f>IF(L346="","",VLOOKUP(L346,classifications!C:K,9,FALSE))</f>
        <v/>
      </c>
      <c r="U346" s="224" t="str">
        <f t="shared" si="124"/>
        <v/>
      </c>
      <c r="V346" s="225" t="str">
        <f>IF(U346="","",IF($I$8="A",(RANK(U346,U$11:U$355)+COUNTIF(U$11:U346,U346)-1),(RANK(U346,U$11:U$355,1)+COUNTIF(U$11:U346,U346)-1)))</f>
        <v/>
      </c>
      <c r="W346" s="226"/>
      <c r="X346" s="61" t="str">
        <f>IF(L346="","",VLOOKUP($L346,classifications!$C:$J,6,FALSE))</f>
        <v/>
      </c>
      <c r="Y346" s="49" t="b">
        <f t="shared" si="125"/>
        <v>0</v>
      </c>
      <c r="Z346" s="57" t="e">
        <f>IF(Y346="","",IF(I$8="A",(RANK(Y346,Y$11:Y$355,1)+COUNTIF(Y$11:Y346,Y346)-1),(RANK(Y346,Y$11:Y$355)+COUNTIF(Y$11:Y346,Y346)-1)))</f>
        <v>#N/A</v>
      </c>
      <c r="AA346" s="231" t="str">
        <f>IF(L346="","",VLOOKUP($L346,classifications!C:I,7,FALSE))</f>
        <v/>
      </c>
      <c r="AB346" s="225" t="str">
        <f t="shared" si="134"/>
        <v/>
      </c>
      <c r="AC346" s="225" t="str">
        <f>IF(AB346="","",IF($I$8="A",(RANK(AB346,AB$11:AB$355)+COUNTIF(AB$11:AB346,AB346)-1),(RANK(AB346,AB$11:AB$355,1)+COUNTIF(AB$11:AB346,AB346)-1)))</f>
        <v/>
      </c>
      <c r="AD346" s="225"/>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HLOOKUP($AX$9&amp;$AX$10,Data!$A$1:$ZZ$1992,(MATCH($C346,Data!$A$1:$A$1992,0)),FALSE)</f>
        <v>5.0999999999999997E-2</v>
      </c>
      <c r="AY346" s="156"/>
      <c r="AZ346" s="44"/>
    </row>
    <row r="347" spans="1:52">
      <c r="A347" s="84" t="str">
        <f>$D$1&amp;337</f>
        <v>SC337</v>
      </c>
      <c r="B347" s="85">
        <f>IF(ISERROR(VLOOKUP(A347,classifications!A:C,3,FALSE)),0,VLOOKUP(A347,classifications!A:C,3,FALSE))</f>
        <v>0</v>
      </c>
      <c r="C347" s="31" t="s">
        <v>258</v>
      </c>
      <c r="D347" s="49" t="str">
        <f>VLOOKUP($C347,classifications!$C:$J,4,FALSE)</f>
        <v>MD</v>
      </c>
      <c r="E347" s="49">
        <f>VLOOKUP(C347,classifications!C:K,9,FALSE)</f>
        <v>0</v>
      </c>
      <c r="F347" s="59">
        <f t="shared" si="119"/>
        <v>5.6000000000000001E-2</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17" t="str">
        <f>IF(L347="","",VLOOKUP(L347,classifications!C:K,9,FALSE))</f>
        <v/>
      </c>
      <c r="U347" s="224" t="str">
        <f t="shared" si="124"/>
        <v/>
      </c>
      <c r="V347" s="225" t="str">
        <f>IF(U347="","",IF($I$8="A",(RANK(U347,U$11:U$355)+COUNTIF(U$11:U347,U347)-1),(RANK(U347,U$11:U$355,1)+COUNTIF(U$11:U347,U347)-1)))</f>
        <v/>
      </c>
      <c r="W347" s="226"/>
      <c r="X347" s="61" t="str">
        <f>IF(L347="","",VLOOKUP($L347,classifications!$C:$J,6,FALSE))</f>
        <v/>
      </c>
      <c r="Y347" s="49" t="b">
        <f t="shared" si="125"/>
        <v>0</v>
      </c>
      <c r="Z347" s="57" t="e">
        <f>IF(Y347="","",IF(I$8="A",(RANK(Y347,Y$11:Y$355,1)+COUNTIF(Y$11:Y347,Y347)-1),(RANK(Y347,Y$11:Y$355)+COUNTIF(Y$11:Y347,Y347)-1)))</f>
        <v>#N/A</v>
      </c>
      <c r="AA347" s="231" t="str">
        <f>IF(L347="","",VLOOKUP($L347,classifications!C:I,7,FALSE))</f>
        <v/>
      </c>
      <c r="AB347" s="225" t="str">
        <f t="shared" si="134"/>
        <v/>
      </c>
      <c r="AC347" s="225" t="str">
        <f>IF(AB347="","",IF($I$8="A",(RANK(AB347,AB$11:AB$355)+COUNTIF(AB$11:AB347,AB347)-1),(RANK(AB347,AB$11:AB$355,1)+COUNTIF(AB$11:AB347,AB347)-1)))</f>
        <v/>
      </c>
      <c r="AD347" s="225"/>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HLOOKUP($AX$9&amp;$AX$10,Data!$A$1:$ZZ$1992,(MATCH($C347,Data!$A$1:$A$1992,0)),FALSE)</f>
        <v>5.6000000000000001E-2</v>
      </c>
      <c r="AY347" s="156"/>
      <c r="AZ347" s="44"/>
    </row>
    <row r="348" spans="1:52">
      <c r="A348" s="84" t="str">
        <f>$D$1&amp;338</f>
        <v>SC338</v>
      </c>
      <c r="B348" s="85">
        <f>IF(ISERROR(VLOOKUP(A348,classifications!A:C,3,FALSE)),0,VLOOKUP(A348,classifications!A:C,3,FALSE))</f>
        <v>0</v>
      </c>
      <c r="C348" s="31" t="s">
        <v>191</v>
      </c>
      <c r="D348" s="49" t="str">
        <f>VLOOKUP($C348,classifications!$C:$J,4,FALSE)</f>
        <v>SD</v>
      </c>
      <c r="E348" s="49">
        <f>VLOOKUP(C348,classifications!C:K,9,FALSE)</f>
        <v>0</v>
      </c>
      <c r="F348" s="59">
        <f t="shared" si="119"/>
        <v>0</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17" t="str">
        <f>IF(L348="","",VLOOKUP(L348,classifications!C:K,9,FALSE))</f>
        <v/>
      </c>
      <c r="U348" s="224" t="str">
        <f t="shared" si="124"/>
        <v/>
      </c>
      <c r="V348" s="225" t="str">
        <f>IF(U348="","",IF($I$8="A",(RANK(U348,U$11:U$355)+COUNTIF(U$11:U348,U348)-1),(RANK(U348,U$11:U$355,1)+COUNTIF(U$11:U348,U348)-1)))</f>
        <v/>
      </c>
      <c r="W348" s="226"/>
      <c r="X348" s="61" t="str">
        <f>IF(L348="","",VLOOKUP($L348,classifications!$C:$J,6,FALSE))</f>
        <v/>
      </c>
      <c r="Y348" s="49" t="b">
        <f t="shared" si="125"/>
        <v>0</v>
      </c>
      <c r="Z348" s="57" t="e">
        <f>IF(Y348="","",IF(I$8="A",(RANK(Y348,Y$11:Y$355,1)+COUNTIF(Y$11:Y348,Y348)-1),(RANK(Y348,Y$11:Y$355)+COUNTIF(Y$11:Y348,Y348)-1)))</f>
        <v>#N/A</v>
      </c>
      <c r="AA348" s="231" t="str">
        <f>IF(L348="","",VLOOKUP($L348,classifications!C:I,7,FALSE))</f>
        <v/>
      </c>
      <c r="AB348" s="225" t="str">
        <f t="shared" si="134"/>
        <v/>
      </c>
      <c r="AC348" s="225" t="str">
        <f>IF(AB348="","",IF($I$8="A",(RANK(AB348,AB$11:AB$355)+COUNTIF(AB$11:AB348,AB348)-1),(RANK(AB348,AB$11:AB$355,1)+COUNTIF(AB$11:AB348,AB348)-1)))</f>
        <v/>
      </c>
      <c r="AD348" s="225"/>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HLOOKUP($AX$9&amp;$AX$10,Data!$A$1:$ZZ$1992,(MATCH($C348,Data!$A$1:$A$1992,0)),FALSE)</f>
        <v>0</v>
      </c>
      <c r="AY348" s="156"/>
      <c r="AZ348" s="44"/>
    </row>
    <row r="349" spans="1:52">
      <c r="A349" s="84" t="str">
        <f>$D$1&amp;339</f>
        <v>SC339</v>
      </c>
      <c r="B349" s="85">
        <f>IF(ISERROR(VLOOKUP(A349,classifications!A:C,3,FALSE)),0,VLOOKUP(A349,classifications!A:C,3,FALSE))</f>
        <v>0</v>
      </c>
      <c r="C349" s="31" t="s">
        <v>333</v>
      </c>
      <c r="D349" s="49" t="str">
        <f>VLOOKUP($C349,classifications!$C:$J,4,FALSE)</f>
        <v>SC</v>
      </c>
      <c r="E349" s="49" t="str">
        <f>VLOOKUP(C349,classifications!C:K,9,FALSE)</f>
        <v>Sparse</v>
      </c>
      <c r="F349" s="59">
        <f t="shared" si="119"/>
        <v>9.9000000000000005E-2</v>
      </c>
      <c r="G349" s="105"/>
      <c r="H349" s="60">
        <f t="shared" si="120"/>
        <v>9.9000000000000005E-2</v>
      </c>
      <c r="I349" s="112">
        <f>IF(H349="","",IF($I$8="A",(RANK(H349,H$11:H$355,1)+COUNTIF(H$11:H349,H349)-1),(RANK(H349,H$11:H$355)+COUNTIF(H$11:H349,H349)-1)))</f>
        <v>13</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17" t="str">
        <f>IF(L349="","",VLOOKUP(L349,classifications!C:K,9,FALSE))</f>
        <v/>
      </c>
      <c r="U349" s="224" t="str">
        <f t="shared" si="124"/>
        <v/>
      </c>
      <c r="V349" s="225" t="str">
        <f>IF(U349="","",IF($I$8="A",(RANK(U349,U$11:U$355)+COUNTIF(U$11:U349,U349)-1),(RANK(U349,U$11:U$355,1)+COUNTIF(U$11:U349,U349)-1)))</f>
        <v/>
      </c>
      <c r="W349" s="226"/>
      <c r="X349" s="61" t="str">
        <f>IF(L349="","",VLOOKUP($L349,classifications!$C:$J,6,FALSE))</f>
        <v/>
      </c>
      <c r="Y349" s="49" t="b">
        <f t="shared" si="125"/>
        <v>0</v>
      </c>
      <c r="Z349" s="57" t="e">
        <f>IF(Y349="","",IF(I$8="A",(RANK(Y349,Y$11:Y$355,1)+COUNTIF(Y$11:Y349,Y349)-1),(RANK(Y349,Y$11:Y$355)+COUNTIF(Y$11:Y349,Y349)-1)))</f>
        <v>#N/A</v>
      </c>
      <c r="AA349" s="231" t="str">
        <f>IF(L349="","",VLOOKUP($L349,classifications!C:I,7,FALSE))</f>
        <v/>
      </c>
      <c r="AB349" s="225" t="str">
        <f t="shared" si="134"/>
        <v/>
      </c>
      <c r="AC349" s="225" t="str">
        <f>IF(AB349="","",IF($I$8="A",(RANK(AB349,AB$11:AB$355)+COUNTIF(AB$11:AB349,AB349)-1),(RANK(AB349,AB$11:AB$355,1)+COUNTIF(AB$11:AB349,AB349)-1)))</f>
        <v/>
      </c>
      <c r="AD349" s="225"/>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HLOOKUP($AX$9&amp;$AX$10,Data!$A$1:$ZZ$1992,(MATCH($C349,Data!$A$1:$A$1992,0)),FALSE)</f>
        <v>9.9000000000000005E-2</v>
      </c>
      <c r="AY349" s="156"/>
      <c r="AZ349" s="44"/>
    </row>
    <row r="350" spans="1:52">
      <c r="A350" s="84" t="str">
        <f>$D$1&amp;340</f>
        <v>SC340</v>
      </c>
      <c r="B350" s="85">
        <f>IF(ISERROR(VLOOKUP(A350,classifications!A:C,3,FALSE)),0,VLOOKUP(A350,classifications!A:C,3,FALSE))</f>
        <v>0</v>
      </c>
      <c r="C350" s="31" t="s">
        <v>192</v>
      </c>
      <c r="D350" s="49" t="str">
        <f>VLOOKUP($C350,classifications!$C:$J,4,FALSE)</f>
        <v>SD</v>
      </c>
      <c r="E350" s="49">
        <f>VLOOKUP(C350,classifications!C:K,9,FALSE)</f>
        <v>0</v>
      </c>
      <c r="F350" s="59">
        <f t="shared" si="119"/>
        <v>0</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17" t="str">
        <f>IF(L350="","",VLOOKUP(L350,classifications!C:K,9,FALSE))</f>
        <v/>
      </c>
      <c r="U350" s="224" t="str">
        <f t="shared" si="124"/>
        <v/>
      </c>
      <c r="V350" s="225" t="str">
        <f>IF(U350="","",IF($I$8="A",(RANK(U350,U$11:U$355)+COUNTIF(U$11:U350,U350)-1),(RANK(U350,U$11:U$355,1)+COUNTIF(U$11:U350,U350)-1)))</f>
        <v/>
      </c>
      <c r="W350" s="226"/>
      <c r="X350" s="61" t="str">
        <f>IF(L350="","",VLOOKUP($L350,classifications!$C:$J,6,FALSE))</f>
        <v/>
      </c>
      <c r="Y350" s="49" t="b">
        <f t="shared" si="125"/>
        <v>0</v>
      </c>
      <c r="Z350" s="57" t="e">
        <f>IF(Y350="","",IF(I$8="A",(RANK(Y350,Y$11:Y$355,1)+COUNTIF(Y$11:Y350,Y350)-1),(RANK(Y350,Y$11:Y$355)+COUNTIF(Y$11:Y350,Y350)-1)))</f>
        <v>#N/A</v>
      </c>
      <c r="AA350" s="231" t="str">
        <f>IF(L350="","",VLOOKUP($L350,classifications!C:I,7,FALSE))</f>
        <v/>
      </c>
      <c r="AB350" s="225" t="str">
        <f t="shared" si="134"/>
        <v/>
      </c>
      <c r="AC350" s="225" t="str">
        <f>IF(AB350="","",IF($I$8="A",(RANK(AB350,AB$11:AB$355)+COUNTIF(AB$11:AB350,AB350)-1),(RANK(AB350,AB$11:AB$355,1)+COUNTIF(AB$11:AB350,AB350)-1)))</f>
        <v/>
      </c>
      <c r="AD350" s="225"/>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HLOOKUP($AX$9&amp;$AX$10,Data!$A$1:$ZZ$1992,(MATCH($C350,Data!$A$1:$A$1992,0)),FALSE)</f>
        <v>0</v>
      </c>
      <c r="AY350" s="156"/>
      <c r="AZ350" s="44"/>
    </row>
    <row r="351" spans="1:52">
      <c r="A351" s="84" t="str">
        <f>$D$1&amp;341</f>
        <v>SC341</v>
      </c>
      <c r="B351" s="85">
        <f>IF(ISERROR(VLOOKUP(A351,classifications!A:C,3,FALSE)),0,VLOOKUP(A351,classifications!A:C,3,FALSE))</f>
        <v>0</v>
      </c>
      <c r="C351" s="31" t="s">
        <v>193</v>
      </c>
      <c r="D351" s="49" t="str">
        <f>VLOOKUP($C351,classifications!$C:$J,4,FALSE)</f>
        <v>SD</v>
      </c>
      <c r="E351" s="49" t="str">
        <f>VLOOKUP(C351,classifications!C:K,9,FALSE)</f>
        <v>Sparse</v>
      </c>
      <c r="F351" s="59">
        <f t="shared" si="119"/>
        <v>0</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17" t="str">
        <f>IF(L351="","",VLOOKUP(L351,classifications!C:K,9,FALSE))</f>
        <v/>
      </c>
      <c r="U351" s="224" t="str">
        <f t="shared" si="124"/>
        <v/>
      </c>
      <c r="V351" s="225" t="str">
        <f>IF(U351="","",IF($I$8="A",(RANK(U351,U$11:U$355)+COUNTIF(U$11:U351,U351)-1),(RANK(U351,U$11:U$355,1)+COUNTIF(U$11:U351,U351)-1)))</f>
        <v/>
      </c>
      <c r="W351" s="226"/>
      <c r="X351" s="61" t="str">
        <f>IF(L351="","",VLOOKUP($L351,classifications!$C:$J,6,FALSE))</f>
        <v/>
      </c>
      <c r="Y351" s="49" t="b">
        <f t="shared" si="125"/>
        <v>0</v>
      </c>
      <c r="Z351" s="57" t="e">
        <f>IF(Y351="","",IF(I$8="A",(RANK(Y351,Y$11:Y$355,1)+COUNTIF(Y$11:Y351,Y351)-1),(RANK(Y351,Y$11:Y$355)+COUNTIF(Y$11:Y351,Y351)-1)))</f>
        <v>#N/A</v>
      </c>
      <c r="AA351" s="231" t="str">
        <f>IF(L351="","",VLOOKUP($L351,classifications!C:I,7,FALSE))</f>
        <v/>
      </c>
      <c r="AB351" s="225" t="str">
        <f t="shared" si="134"/>
        <v/>
      </c>
      <c r="AC351" s="225" t="str">
        <f>IF(AB351="","",IF($I$8="A",(RANK(AB351,AB$11:AB$355)+COUNTIF(AB$11:AB351,AB351)-1),(RANK(AB351,AB$11:AB$355,1)+COUNTIF(AB$11:AB351,AB351)-1)))</f>
        <v/>
      </c>
      <c r="AD351" s="225"/>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HLOOKUP($AX$9&amp;$AX$10,Data!$A$1:$ZZ$1992,(MATCH($C351,Data!$A$1:$A$1992,0)),FALSE)</f>
        <v>0</v>
      </c>
      <c r="AY351" s="156"/>
      <c r="AZ351" s="44"/>
    </row>
    <row r="352" spans="1:52">
      <c r="A352" s="84" t="str">
        <f>$D$1&amp;342</f>
        <v>SC342</v>
      </c>
      <c r="B352" s="85">
        <f>IF(ISERROR(VLOOKUP(A352,classifications!A:C,3,FALSE)),0,VLOOKUP(A352,classifications!A:C,3,FALSE))</f>
        <v>0</v>
      </c>
      <c r="C352" s="31" t="s">
        <v>194</v>
      </c>
      <c r="D352" s="49" t="str">
        <f>VLOOKUP($C352,classifications!$C:$J,4,FALSE)</f>
        <v>SD</v>
      </c>
      <c r="E352" s="49">
        <f>VLOOKUP(C352,classifications!C:K,9,FALSE)</f>
        <v>0</v>
      </c>
      <c r="F352" s="59">
        <f t="shared" si="119"/>
        <v>0</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17" t="str">
        <f>IF(L352="","",VLOOKUP(L352,classifications!C:K,9,FALSE))</f>
        <v/>
      </c>
      <c r="U352" s="224" t="str">
        <f t="shared" si="124"/>
        <v/>
      </c>
      <c r="V352" s="225" t="str">
        <f>IF(U352="","",IF($I$8="A",(RANK(U352,U$11:U$355)+COUNTIF(U$11:U352,U352)-1),(RANK(U352,U$11:U$355,1)+COUNTIF(U$11:U352,U352)-1)))</f>
        <v/>
      </c>
      <c r="W352" s="226"/>
      <c r="X352" s="61" t="str">
        <f>IF(L352="","",VLOOKUP($L352,classifications!$C:$J,6,FALSE))</f>
        <v/>
      </c>
      <c r="Y352" s="49" t="b">
        <f t="shared" si="125"/>
        <v>0</v>
      </c>
      <c r="Z352" s="57" t="e">
        <f>IF(Y352="","",IF(I$8="A",(RANK(Y352,Y$11:Y$355,1)+COUNTIF(Y$11:Y352,Y352)-1),(RANK(Y352,Y$11:Y$355)+COUNTIF(Y$11:Y352,Y352)-1)))</f>
        <v>#N/A</v>
      </c>
      <c r="AA352" s="231" t="str">
        <f>IF(L352="","",VLOOKUP($L352,classifications!C:I,7,FALSE))</f>
        <v/>
      </c>
      <c r="AB352" s="225" t="str">
        <f t="shared" si="134"/>
        <v/>
      </c>
      <c r="AC352" s="225" t="str">
        <f>IF(AB352="","",IF($I$8="A",(RANK(AB352,AB$11:AB$355)+COUNTIF(AB$11:AB352,AB352)-1),(RANK(AB352,AB$11:AB$355,1)+COUNTIF(AB$11:AB352,AB352)-1)))</f>
        <v/>
      </c>
      <c r="AD352" s="225"/>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HLOOKUP($AX$9&amp;$AX$10,Data!$A$1:$ZZ$1992,(MATCH($C352,Data!$A$1:$A$1992,0)),FALSE)</f>
        <v>0</v>
      </c>
      <c r="AY352" s="156"/>
      <c r="AZ352" s="44"/>
    </row>
    <row r="353" spans="1:735">
      <c r="A353" s="84" t="str">
        <f>$D$1&amp;343</f>
        <v>SC343</v>
      </c>
      <c r="B353" s="85">
        <f>IF(ISERROR(VLOOKUP(A353,classifications!A:C,3,FALSE)),0,VLOOKUP(A353,classifications!A:C,3,FALSE))</f>
        <v>0</v>
      </c>
      <c r="C353" s="31" t="s">
        <v>195</v>
      </c>
      <c r="D353" s="49" t="str">
        <f>VLOOKUP($C353,classifications!$C:$J,4,FALSE)</f>
        <v>SD</v>
      </c>
      <c r="E353" s="49">
        <f>VLOOKUP(C353,classifications!C:K,9,FALSE)</f>
        <v>0</v>
      </c>
      <c r="F353" s="59">
        <f t="shared" si="119"/>
        <v>0</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17" t="str">
        <f>IF(L353="","",VLOOKUP(L353,classifications!C:K,9,FALSE))</f>
        <v/>
      </c>
      <c r="U353" s="224" t="str">
        <f t="shared" si="124"/>
        <v/>
      </c>
      <c r="V353" s="225" t="str">
        <f>IF(U353="","",IF($I$8="A",(RANK(U353,U$11:U$355)+COUNTIF(U$11:U353,U353)-1),(RANK(U353,U$11:U$355,1)+COUNTIF(U$11:U353,U353)-1)))</f>
        <v/>
      </c>
      <c r="W353" s="226"/>
      <c r="X353" s="61" t="str">
        <f>IF(L353="","",VLOOKUP($L353,classifications!$C:$J,6,FALSE))</f>
        <v/>
      </c>
      <c r="Y353" s="49" t="b">
        <f t="shared" si="125"/>
        <v>0</v>
      </c>
      <c r="Z353" s="57" t="e">
        <f>IF(Y353="","",IF(I$8="A",(RANK(Y353,Y$11:Y$355,1)+COUNTIF(Y$11:Y353,Y353)-1),(RANK(Y353,Y$11:Y$355)+COUNTIF(Y$11:Y353,Y353)-1)))</f>
        <v>#N/A</v>
      </c>
      <c r="AA353" s="231" t="str">
        <f>IF(L353="","",VLOOKUP($L353,classifications!C:I,7,FALSE))</f>
        <v/>
      </c>
      <c r="AB353" s="225" t="str">
        <f t="shared" si="134"/>
        <v/>
      </c>
      <c r="AC353" s="225" t="str">
        <f>IF(AB353="","",IF($I$8="A",(RANK(AB353,AB$11:AB$355)+COUNTIF(AB$11:AB353,AB353)-1),(RANK(AB353,AB$11:AB$355,1)+COUNTIF(AB$11:AB353,AB353)-1)))</f>
        <v/>
      </c>
      <c r="AD353" s="225"/>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HLOOKUP($AX$9&amp;$AX$10,Data!$A$1:$ZZ$1992,(MATCH($C353,Data!$A$1:$A$1992,0)),FALSE)</f>
        <v>0</v>
      </c>
      <c r="AY353" s="156"/>
      <c r="AZ353" s="44"/>
    </row>
    <row r="354" spans="1:735">
      <c r="A354" s="84" t="str">
        <f>$D$1&amp;344</f>
        <v>SC344</v>
      </c>
      <c r="B354" s="85">
        <f>IF(ISERROR(VLOOKUP(A354,classifications!A:C,3,FALSE)),0,VLOOKUP(A354,classifications!A:C,3,FALSE))</f>
        <v>0</v>
      </c>
      <c r="C354" s="31" t="s">
        <v>196</v>
      </c>
      <c r="D354" s="49" t="str">
        <f>VLOOKUP($C354,classifications!$C:$J,4,FALSE)</f>
        <v>SD</v>
      </c>
      <c r="E354" s="49">
        <f>VLOOKUP(C354,classifications!C:K,9,FALSE)</f>
        <v>0</v>
      </c>
      <c r="F354" s="59">
        <f t="shared" si="119"/>
        <v>0</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17" t="str">
        <f>IF(L354="","",VLOOKUP(L354,classifications!C:K,9,FALSE))</f>
        <v/>
      </c>
      <c r="U354" s="224" t="str">
        <f t="shared" si="124"/>
        <v/>
      </c>
      <c r="V354" s="225" t="str">
        <f>IF(U354="","",IF($I$8="A",(RANK(U354,U$11:U$355)+COUNTIF(U$11:U354,U354)-1),(RANK(U354,U$11:U$355,1)+COUNTIF(U$11:U354,U354)-1)))</f>
        <v/>
      </c>
      <c r="W354" s="226"/>
      <c r="X354" s="61" t="str">
        <f>IF(L354="","",VLOOKUP($L354,classifications!$C:$J,6,FALSE))</f>
        <v/>
      </c>
      <c r="Y354" s="49" t="b">
        <f t="shared" si="125"/>
        <v>0</v>
      </c>
      <c r="Z354" s="57" t="e">
        <f>IF(Y354="","",IF(I$8="A",(RANK(Y354,Y$11:Y$355,1)+COUNTIF(Y$11:Y354,Y354)-1),(RANK(Y354,Y$11:Y$355)+COUNTIF(Y$11:Y354,Y354)-1)))</f>
        <v>#N/A</v>
      </c>
      <c r="AA354" s="231" t="str">
        <f>IF(L354="","",VLOOKUP($L354,classifications!C:I,7,FALSE))</f>
        <v/>
      </c>
      <c r="AB354" s="225" t="str">
        <f t="shared" si="134"/>
        <v/>
      </c>
      <c r="AC354" s="225" t="str">
        <f>IF(AB354="","",IF($I$8="A",(RANK(AB354,AB$11:AB$355)+COUNTIF(AB$11:AB354,AB354)-1),(RANK(AB354,AB$11:AB$355,1)+COUNTIF(AB$11:AB354,AB354)-1)))</f>
        <v/>
      </c>
      <c r="AD354" s="225"/>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HLOOKUP($AX$9&amp;$AX$10,Data!$A$1:$ZZ$1992,(MATCH($C354,Data!$A$1:$A$1992,0)),FALSE)</f>
        <v>0</v>
      </c>
      <c r="AY354" s="156"/>
      <c r="AZ354" s="44"/>
    </row>
    <row r="355" spans="1:735">
      <c r="A355" s="84" t="str">
        <f>$D$1&amp;345</f>
        <v>SC345</v>
      </c>
      <c r="B355" s="85">
        <f>IF(ISERROR(VLOOKUP(A355,classifications!A:C,3,FALSE)),0,VLOOKUP(A355,classifications!A:C,3,FALSE))</f>
        <v>0</v>
      </c>
      <c r="C355" s="31" t="s">
        <v>300</v>
      </c>
      <c r="D355" s="49" t="str">
        <f>VLOOKUP($C355,classifications!$C:$J,4,FALSE)</f>
        <v>UA</v>
      </c>
      <c r="E355" s="49">
        <f>VLOOKUP(C355,classifications!C:K,9,FALSE)</f>
        <v>0</v>
      </c>
      <c r="F355" s="59">
        <f t="shared" si="119"/>
        <v>0.18099999999999999</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17" t="str">
        <f>IF(L355="","",VLOOKUP(L355,classifications!C:K,9,FALSE))</f>
        <v/>
      </c>
      <c r="U355" s="224" t="str">
        <f t="shared" si="124"/>
        <v/>
      </c>
      <c r="V355" s="225" t="str">
        <f>IF(U355="","",IF($I$8="A",(RANK(U355,U$11:U$355)+COUNTIF(U$11:U355,U355)-1),(RANK(U355,U$11:U$355,1)+COUNTIF(U$11:U355,U355)-1)))</f>
        <v/>
      </c>
      <c r="W355" s="226"/>
      <c r="X355" s="61" t="str">
        <f>IF(L355="","",VLOOKUP($L355,classifications!$C:$J,6,FALSE))</f>
        <v/>
      </c>
      <c r="Y355" s="49" t="b">
        <f t="shared" si="125"/>
        <v>0</v>
      </c>
      <c r="Z355" s="57" t="e">
        <f>IF(Y355="","",IF(I$8="A",(RANK(Y355,Y$11:Y$355,1)+COUNTIF(Y$11:Y355,Y355)-1),(RANK(Y355,Y$11:Y$355)+COUNTIF(Y$11:Y355,Y355)-1)))</f>
        <v>#N/A</v>
      </c>
      <c r="AA355" s="231" t="str">
        <f>IF(L355="","",VLOOKUP($L355,classifications!C:I,7,FALSE))</f>
        <v/>
      </c>
      <c r="AB355" s="225" t="str">
        <f t="shared" si="134"/>
        <v/>
      </c>
      <c r="AC355" s="225" t="str">
        <f>IF(AB355="","",IF($I$8="A",(RANK(AB355,AB$11:AB$355)+COUNTIF(AB$11:AB355,AB355)-1),(RANK(AB355,AB$11:AB$355,1)+COUNTIF(AB$11:AB355,AB355)-1)))</f>
        <v/>
      </c>
      <c r="AD355" s="225"/>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HLOOKUP($AX$9&amp;$AX$10,Data!$A$1:$ZZ$1992,(MATCH($C355,Data!$A$1:$A$1992,0)),FALSE)</f>
        <v>0.18099999999999999</v>
      </c>
      <c r="AY355" s="156"/>
      <c r="AZ355" s="44"/>
    </row>
    <row r="356" spans="1:735" s="50" customFormat="1" hidden="1">
      <c r="A356" s="86"/>
      <c r="B356" s="86"/>
      <c r="H356" s="113"/>
      <c r="I356" s="113"/>
      <c r="K356" s="63"/>
      <c r="L356" s="64"/>
      <c r="M356" s="132"/>
      <c r="N356" s="132"/>
      <c r="O356" s="132"/>
      <c r="P356" s="132"/>
      <c r="Q356" s="132"/>
      <c r="R356" s="132"/>
      <c r="S356" s="65"/>
      <c r="T356" s="227"/>
      <c r="U356" s="228"/>
      <c r="V356" s="228"/>
      <c r="W356" s="228"/>
      <c r="X356" s="66"/>
      <c r="AA356" s="227"/>
      <c r="AB356" s="228"/>
      <c r="AC356" s="228"/>
      <c r="AD356" s="228"/>
      <c r="AE356" s="66"/>
      <c r="AI356" s="66"/>
      <c r="AP356" s="66"/>
      <c r="AQ356" s="106"/>
      <c r="AW356" s="117"/>
      <c r="AX356" s="44"/>
      <c r="AY356" s="170"/>
      <c r="AZ356" s="42"/>
      <c r="ABG356" s="66"/>
    </row>
    <row r="357" spans="1:735" hidden="1">
      <c r="AX357" s="44"/>
      <c r="AY357" s="39"/>
      <c r="AZ357" s="162"/>
    </row>
    <row r="358" spans="1:735" hidden="1">
      <c r="AX358" s="162"/>
      <c r="AY358" s="39"/>
      <c r="AZ358" s="162"/>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808</v>
      </c>
      <c r="C1" s="92" t="s">
        <v>802</v>
      </c>
      <c r="D1" s="92" t="s">
        <v>794</v>
      </c>
      <c r="E1" s="92" t="s">
        <v>799</v>
      </c>
      <c r="F1" s="92" t="s">
        <v>809</v>
      </c>
    </row>
    <row r="2" spans="1:15" ht="28.8">
      <c r="A2" s="48">
        <f>COUNTA(F2:ZY2)</f>
        <v>10</v>
      </c>
      <c r="B2" s="255" t="s">
        <v>896</v>
      </c>
      <c r="C2" t="s">
        <v>812</v>
      </c>
      <c r="D2" t="s">
        <v>812</v>
      </c>
      <c r="E2" t="s">
        <v>890</v>
      </c>
      <c r="F2" t="s">
        <v>898</v>
      </c>
      <c r="G2" t="s">
        <v>887</v>
      </c>
      <c r="H2" t="s">
        <v>888</v>
      </c>
      <c r="I2" t="s">
        <v>889</v>
      </c>
      <c r="J2" t="s">
        <v>892</v>
      </c>
      <c r="K2" t="s">
        <v>899</v>
      </c>
      <c r="L2" t="s">
        <v>900</v>
      </c>
      <c r="M2" t="s">
        <v>908</v>
      </c>
      <c r="N2" t="s">
        <v>909</v>
      </c>
      <c r="O2" t="s">
        <v>934</v>
      </c>
    </row>
    <row r="3" spans="1:15" ht="14.4">
      <c r="A3" s="48">
        <f t="shared" ref="A3:A66" si="0">COUNTA(F3:ZY3)</f>
        <v>0</v>
      </c>
      <c r="B3" s="255"/>
    </row>
    <row r="4" spans="1:15" ht="14.4">
      <c r="A4" s="48">
        <f t="shared" si="0"/>
        <v>0</v>
      </c>
      <c r="B4" s="255"/>
    </row>
    <row r="5" spans="1:15" ht="14.4">
      <c r="A5" s="48">
        <f t="shared" si="0"/>
        <v>0</v>
      </c>
      <c r="B5" s="255"/>
    </row>
    <row r="6" spans="1:15" ht="14.4">
      <c r="A6" s="48">
        <f t="shared" si="0"/>
        <v>0</v>
      </c>
      <c r="B6" s="255"/>
      <c r="C6" s="49"/>
    </row>
    <row r="7" spans="1:15" ht="14.4">
      <c r="A7" s="48">
        <f t="shared" si="0"/>
        <v>0</v>
      </c>
      <c r="B7" s="265"/>
      <c r="C7" s="255"/>
      <c r="D7" s="261"/>
      <c r="E7" s="265"/>
      <c r="F7" s="6"/>
    </row>
    <row r="8" spans="1:15" ht="14.4">
      <c r="A8" s="48">
        <f t="shared" si="0"/>
        <v>0</v>
      </c>
      <c r="B8" s="255"/>
      <c r="C8" s="265"/>
      <c r="D8" s="255"/>
    </row>
    <row r="9" spans="1:15" ht="14.4">
      <c r="A9" s="48">
        <f t="shared" si="0"/>
        <v>0</v>
      </c>
      <c r="B9" s="266"/>
      <c r="C9" s="255"/>
      <c r="D9" s="163"/>
      <c r="E9" s="177"/>
    </row>
    <row r="10" spans="1:15">
      <c r="A10" s="48">
        <f t="shared" si="0"/>
        <v>0</v>
      </c>
      <c r="B10" s="263"/>
      <c r="C10" s="264"/>
      <c r="D10" s="163"/>
    </row>
    <row r="11" spans="1:15">
      <c r="A11" s="48">
        <f t="shared" si="0"/>
        <v>0</v>
      </c>
      <c r="B11" s="194"/>
    </row>
    <row r="12" spans="1:15">
      <c r="A12" s="48">
        <f t="shared" si="0"/>
        <v>0</v>
      </c>
      <c r="B12" s="194"/>
    </row>
    <row r="13" spans="1:15" ht="14.4">
      <c r="A13" s="48">
        <f t="shared" si="0"/>
        <v>0</v>
      </c>
      <c r="B13" s="266"/>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76" workbookViewId="0">
      <selection activeCell="A115" sqref="A115"/>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3" customFormat="1" ht="14.25" customHeight="1">
      <c r="A1" s="193" t="s">
        <v>805</v>
      </c>
      <c r="C1" s="210" t="str">
        <f>C4&amp;C5</f>
        <v>Residual household waste per household (kg/household) (Ex NI191)2010-11</v>
      </c>
      <c r="D1" s="183" t="str">
        <f t="shared" ref="D1:BO1" si="0">D4&amp;D5</f>
        <v>Residual household waste per household (kg/household) (Ex NI191)2011-12</v>
      </c>
      <c r="E1" s="183" t="str">
        <f t="shared" si="0"/>
        <v>Residual household waste per household (kg/household) (Ex NI191)2012-13</v>
      </c>
      <c r="F1" s="183" t="str">
        <f t="shared" si="0"/>
        <v>Residual household waste per household (kg/household) (Ex NI191)2013-14</v>
      </c>
      <c r="G1" s="183" t="str">
        <f t="shared" si="0"/>
        <v>Residual household waste per household (kg/household) (Ex NI191)2014-15</v>
      </c>
      <c r="H1" s="183" t="str">
        <f t="shared" si="0"/>
        <v>Residual household waste per household (kg/household) (Ex NI191)2015-16</v>
      </c>
      <c r="I1" s="183" t="str">
        <f t="shared" si="0"/>
        <v>Residual household waste per household (kg/household) (Ex NI191)2016-17</v>
      </c>
      <c r="J1" s="183" t="str">
        <f t="shared" si="0"/>
        <v>Residual household waste per household (kg/household) (Ex NI191)2017-18</v>
      </c>
      <c r="K1" s="183" t="str">
        <f t="shared" si="0"/>
        <v>Residual household waste per household (kg/household) (Ex NI191)2018-19</v>
      </c>
      <c r="L1" s="183" t="str">
        <f t="shared" si="0"/>
        <v>Residual household waste per household (kg/household) (Ex NI191)2019-20</v>
      </c>
      <c r="M1" s="183" t="str">
        <f t="shared" si="0"/>
        <v>Percentage of household waste sent for reuse, recycling or composting (Ex NI192)2010-11</v>
      </c>
      <c r="N1" s="183" t="str">
        <f t="shared" si="0"/>
        <v>Percentage of household waste sent for reuse, recycling or composting (Ex NI192)2011-12</v>
      </c>
      <c r="O1" s="183" t="str">
        <f t="shared" si="0"/>
        <v>Percentage of household waste sent for reuse, recycling or composting (Ex NI192)2012-13</v>
      </c>
      <c r="P1" s="183" t="str">
        <f t="shared" si="0"/>
        <v>Percentage of household waste sent for reuse, recycling or composting (Ex NI192)2013-14</v>
      </c>
      <c r="Q1" s="183" t="str">
        <f t="shared" si="0"/>
        <v>Percentage of household waste sent for reuse, recycling or composting (Ex NI192)2014-15</v>
      </c>
      <c r="R1" s="183" t="str">
        <f t="shared" si="0"/>
        <v>Percentage of household waste sent for reuse, recycling or composting (Ex NI192)2015-16</v>
      </c>
      <c r="S1" s="183" t="str">
        <f t="shared" si="0"/>
        <v>Percentage of household waste sent for reuse, recycling or composting (Ex NI192)2016-17</v>
      </c>
      <c r="T1" s="183" t="str">
        <f t="shared" si="0"/>
        <v>Percentage of household waste sent for reuse, recycling or composting (Ex NI192)2017-18</v>
      </c>
      <c r="U1" s="183" t="str">
        <f t="shared" si="0"/>
        <v>Percentage of household waste sent for reuse, recycling or composting (Ex NI192)2018-19</v>
      </c>
      <c r="V1" s="183" t="str">
        <f t="shared" si="0"/>
        <v>Percentage of household waste sent for reuse, recycling or composting (Ex NI192)2019-20</v>
      </c>
      <c r="W1" s="183" t="str">
        <f t="shared" si="0"/>
        <v>Percentage of municipal waste sent to landfill (Ex NI193)2010-11</v>
      </c>
      <c r="X1" s="183" t="str">
        <f t="shared" si="0"/>
        <v>Percentage of municipal waste sent to landfill (Ex NI193)2011-12</v>
      </c>
      <c r="Y1" s="183" t="str">
        <f t="shared" si="0"/>
        <v>Percentage of municipal waste sent to landfill (Ex NI193)2012-13</v>
      </c>
      <c r="Z1" s="183" t="str">
        <f t="shared" si="0"/>
        <v>Percentage of municipal waste sent to landfill (Ex NI193)2013-14</v>
      </c>
      <c r="AA1" s="183" t="str">
        <f t="shared" si="0"/>
        <v>Percentage of municipal waste sent to landfill (Ex NI193)2014-15</v>
      </c>
      <c r="AB1" s="183" t="str">
        <f t="shared" si="0"/>
        <v>Percentage of municipal waste sent to landfill (Ex NI193)2015-16</v>
      </c>
      <c r="AC1" s="183" t="str">
        <f t="shared" si="0"/>
        <v>Percentage of municipal waste sent to landfill (Ex NI193)2016-17</v>
      </c>
      <c r="AD1" s="183" t="str">
        <f t="shared" si="0"/>
        <v>Percentage of municipal waste sent to landfill (Ex NI193)2017-18</v>
      </c>
      <c r="AE1" s="183" t="str">
        <f t="shared" si="0"/>
        <v>Percentage of municipal waste sent to landfill (Ex NI193)2018-19</v>
      </c>
      <c r="AF1" s="183" t="str">
        <f t="shared" si="0"/>
        <v>Percentage of municipal waste sent to landfill (Ex NI193)2019-20</v>
      </c>
      <c r="AG1" s="183" t="str">
        <f t="shared" si="0"/>
        <v>Collected household waste per person (kg) (Ex BVPI 84a)2010-11</v>
      </c>
      <c r="AH1" s="183" t="str">
        <f t="shared" si="0"/>
        <v>Collected household waste per person (kg) (Ex BVPI 84a)2011-12</v>
      </c>
      <c r="AI1" s="183" t="str">
        <f t="shared" si="0"/>
        <v>Collected household waste per person (kg) (Ex BVPI 84a)2012-13</v>
      </c>
      <c r="AJ1" s="183" t="str">
        <f t="shared" si="0"/>
        <v>Collected household waste per person (kg) (Ex BVPI 84a)2013-14</v>
      </c>
      <c r="AK1" s="183" t="str">
        <f t="shared" si="0"/>
        <v>Collected household waste per person (kg) (Ex BVPI 84a)2014-15</v>
      </c>
      <c r="AL1" s="183" t="str">
        <f t="shared" si="0"/>
        <v>Collected household waste per person (kg) (Ex BVPI 84a)2015-16</v>
      </c>
      <c r="AM1" s="183" t="str">
        <f t="shared" si="0"/>
        <v>Collected household waste per person (kg) (Ex BVPI 84a)2016-17</v>
      </c>
      <c r="AN1" s="183" t="str">
        <f t="shared" si="0"/>
        <v>Collected household waste per person (kg) (Ex BVPI 84a)2017-18</v>
      </c>
      <c r="AO1" s="183" t="str">
        <f t="shared" si="0"/>
        <v>Collected household waste per person (kg) (Ex BVPI 84a)2018-19</v>
      </c>
      <c r="AP1" s="183" t="str">
        <f t="shared" si="0"/>
        <v>Collected household waste per person (kg) (Ex BVPI 84a)2019-20</v>
      </c>
      <c r="AQ1" s="183" t="str">
        <f t="shared" si="0"/>
        <v/>
      </c>
      <c r="AR1" s="183" t="str">
        <f t="shared" si="0"/>
        <v/>
      </c>
      <c r="AS1" s="183" t="str">
        <f t="shared" si="0"/>
        <v/>
      </c>
      <c r="AT1" s="183" t="str">
        <f t="shared" si="0"/>
        <v/>
      </c>
      <c r="AU1" s="183" t="str">
        <f t="shared" si="0"/>
        <v/>
      </c>
      <c r="AV1" s="183" t="str">
        <f t="shared" si="0"/>
        <v/>
      </c>
      <c r="AW1" s="183" t="str">
        <f t="shared" si="0"/>
        <v/>
      </c>
      <c r="AX1" s="183" t="str">
        <f t="shared" si="0"/>
        <v/>
      </c>
      <c r="AY1" s="183" t="str">
        <f t="shared" si="0"/>
        <v/>
      </c>
      <c r="AZ1" s="183" t="str">
        <f t="shared" si="0"/>
        <v/>
      </c>
      <c r="BA1" s="183" t="str">
        <f t="shared" si="0"/>
        <v/>
      </c>
      <c r="BB1" s="183" t="str">
        <f t="shared" si="0"/>
        <v/>
      </c>
      <c r="BC1" s="183" t="str">
        <f t="shared" si="0"/>
        <v/>
      </c>
      <c r="BD1" s="183" t="str">
        <f t="shared" si="0"/>
        <v/>
      </c>
      <c r="BE1" s="183" t="str">
        <f t="shared" si="0"/>
        <v/>
      </c>
      <c r="BF1" s="183" t="str">
        <f t="shared" si="0"/>
        <v/>
      </c>
      <c r="BG1" s="183" t="str">
        <f t="shared" si="0"/>
        <v/>
      </c>
      <c r="BH1" s="183" t="str">
        <f t="shared" si="0"/>
        <v/>
      </c>
      <c r="BI1" s="183" t="str">
        <f t="shared" si="0"/>
        <v/>
      </c>
      <c r="BJ1" s="183" t="str">
        <f t="shared" si="0"/>
        <v/>
      </c>
      <c r="BK1" s="183" t="str">
        <f t="shared" si="0"/>
        <v/>
      </c>
      <c r="BL1" s="183" t="str">
        <f t="shared" si="0"/>
        <v/>
      </c>
      <c r="BM1" s="183" t="str">
        <f t="shared" si="0"/>
        <v/>
      </c>
      <c r="BN1" s="183" t="str">
        <f t="shared" si="0"/>
        <v/>
      </c>
      <c r="BO1" s="183" t="str">
        <f t="shared" si="0"/>
        <v/>
      </c>
      <c r="BP1" s="183" t="str">
        <f t="shared" ref="BP1:BY1" si="1">BP4&amp;BP5</f>
        <v/>
      </c>
      <c r="BQ1" s="183" t="str">
        <f t="shared" si="1"/>
        <v/>
      </c>
      <c r="BR1" s="183" t="str">
        <f t="shared" si="1"/>
        <v/>
      </c>
      <c r="BS1" s="183" t="str">
        <f t="shared" si="1"/>
        <v/>
      </c>
      <c r="BT1" s="183" t="str">
        <f t="shared" si="1"/>
        <v/>
      </c>
      <c r="BU1" s="183" t="str">
        <f t="shared" si="1"/>
        <v/>
      </c>
      <c r="BV1" s="183" t="str">
        <f t="shared" si="1"/>
        <v/>
      </c>
      <c r="BW1" s="183" t="str">
        <f t="shared" si="1"/>
        <v/>
      </c>
      <c r="BX1" s="183" t="str">
        <f t="shared" si="1"/>
        <v/>
      </c>
      <c r="BY1" s="183" t="str">
        <f t="shared" si="1"/>
        <v/>
      </c>
    </row>
    <row r="2" spans="1:77" s="183" customFormat="1">
      <c r="A2" s="189" t="s">
        <v>821</v>
      </c>
      <c r="B2" s="184"/>
      <c r="C2" s="184"/>
      <c r="D2" s="184"/>
      <c r="E2" s="184"/>
      <c r="F2" s="184"/>
    </row>
    <row r="3" spans="1:77" ht="14.7" customHeight="1">
      <c r="A3" s="188" t="s">
        <v>803</v>
      </c>
      <c r="B3" s="262" t="s">
        <v>886</v>
      </c>
      <c r="D3" s="187"/>
      <c r="E3" s="187"/>
      <c r="L3" s="177"/>
      <c r="M3" s="160"/>
      <c r="N3" s="177"/>
      <c r="O3" s="190"/>
      <c r="P3" s="190"/>
      <c r="Q3" s="190"/>
      <c r="R3" s="160"/>
      <c r="S3" s="160"/>
      <c r="T3" s="160"/>
      <c r="U3" s="190"/>
      <c r="V3" s="361"/>
      <c r="W3" s="361"/>
      <c r="X3" s="177"/>
      <c r="Y3" s="177"/>
    </row>
    <row r="4" spans="1:77" ht="60" customHeight="1">
      <c r="A4" s="359" t="s">
        <v>822</v>
      </c>
      <c r="B4" s="185" t="s">
        <v>804</v>
      </c>
      <c r="C4" t="s">
        <v>894</v>
      </c>
      <c r="D4" t="s">
        <v>894</v>
      </c>
      <c r="E4" t="s">
        <v>894</v>
      </c>
      <c r="F4" t="s">
        <v>894</v>
      </c>
      <c r="G4" t="s">
        <v>894</v>
      </c>
      <c r="H4" t="s">
        <v>894</v>
      </c>
      <c r="I4" t="s">
        <v>894</v>
      </c>
      <c r="J4" t="s">
        <v>894</v>
      </c>
      <c r="K4" t="s">
        <v>894</v>
      </c>
      <c r="L4" t="s">
        <v>894</v>
      </c>
      <c r="M4" t="s">
        <v>895</v>
      </c>
      <c r="N4" t="s">
        <v>895</v>
      </c>
      <c r="O4" t="s">
        <v>895</v>
      </c>
      <c r="P4" t="s">
        <v>895</v>
      </c>
      <c r="Q4" t="s">
        <v>895</v>
      </c>
      <c r="R4" t="s">
        <v>895</v>
      </c>
      <c r="S4" t="s">
        <v>895</v>
      </c>
      <c r="T4" t="s">
        <v>895</v>
      </c>
      <c r="U4" t="s">
        <v>895</v>
      </c>
      <c r="V4" t="s">
        <v>895</v>
      </c>
      <c r="W4" t="s">
        <v>896</v>
      </c>
      <c r="X4" t="s">
        <v>896</v>
      </c>
      <c r="Y4" t="s">
        <v>896</v>
      </c>
      <c r="Z4" t="s">
        <v>896</v>
      </c>
      <c r="AA4" t="s">
        <v>896</v>
      </c>
      <c r="AB4" t="s">
        <v>896</v>
      </c>
      <c r="AC4" t="s">
        <v>896</v>
      </c>
      <c r="AD4" t="s">
        <v>896</v>
      </c>
      <c r="AE4" t="s">
        <v>896</v>
      </c>
      <c r="AF4" t="s">
        <v>896</v>
      </c>
      <c r="AG4" t="s">
        <v>897</v>
      </c>
      <c r="AH4" s="157" t="s">
        <v>897</v>
      </c>
      <c r="AI4" s="157" t="s">
        <v>897</v>
      </c>
      <c r="AJ4" s="157" t="s">
        <v>897</v>
      </c>
      <c r="AK4" s="157" t="s">
        <v>897</v>
      </c>
      <c r="AL4" s="157" t="s">
        <v>897</v>
      </c>
      <c r="AM4" s="157" t="s">
        <v>897</v>
      </c>
      <c r="AN4" s="157" t="s">
        <v>897</v>
      </c>
      <c r="AO4" s="157" t="s">
        <v>897</v>
      </c>
      <c r="AP4" s="157" t="s">
        <v>897</v>
      </c>
    </row>
    <row r="5" spans="1:77" ht="30" customHeight="1">
      <c r="A5" s="360"/>
      <c r="B5" s="186" t="s">
        <v>366</v>
      </c>
      <c r="C5" t="s">
        <v>898</v>
      </c>
      <c r="D5" t="s">
        <v>887</v>
      </c>
      <c r="E5" t="s">
        <v>888</v>
      </c>
      <c r="F5" t="s">
        <v>889</v>
      </c>
      <c r="G5" t="s">
        <v>892</v>
      </c>
      <c r="H5" t="s">
        <v>899</v>
      </c>
      <c r="I5" t="s">
        <v>900</v>
      </c>
      <c r="J5" t="s">
        <v>908</v>
      </c>
      <c r="K5" t="s">
        <v>909</v>
      </c>
      <c r="L5" t="s">
        <v>934</v>
      </c>
      <c r="M5" t="s">
        <v>898</v>
      </c>
      <c r="N5" t="s">
        <v>887</v>
      </c>
      <c r="O5" t="s">
        <v>888</v>
      </c>
      <c r="P5" t="s">
        <v>889</v>
      </c>
      <c r="Q5" t="s">
        <v>892</v>
      </c>
      <c r="R5" t="s">
        <v>899</v>
      </c>
      <c r="S5" t="s">
        <v>900</v>
      </c>
      <c r="T5" t="s">
        <v>908</v>
      </c>
      <c r="U5" t="s">
        <v>909</v>
      </c>
      <c r="V5" t="s">
        <v>934</v>
      </c>
      <c r="W5" t="s">
        <v>898</v>
      </c>
      <c r="X5" t="s">
        <v>887</v>
      </c>
      <c r="Y5" t="s">
        <v>888</v>
      </c>
      <c r="Z5" t="s">
        <v>889</v>
      </c>
      <c r="AA5" t="s">
        <v>892</v>
      </c>
      <c r="AB5" t="s">
        <v>899</v>
      </c>
      <c r="AC5" t="s">
        <v>900</v>
      </c>
      <c r="AD5" t="s">
        <v>908</v>
      </c>
      <c r="AE5" t="s">
        <v>909</v>
      </c>
      <c r="AF5" t="s">
        <v>934</v>
      </c>
      <c r="AG5" t="s">
        <v>898</v>
      </c>
      <c r="AH5" s="157" t="s">
        <v>887</v>
      </c>
      <c r="AI5" s="157" t="s">
        <v>888</v>
      </c>
      <c r="AJ5" s="157" t="s">
        <v>889</v>
      </c>
      <c r="AK5" s="157" t="s">
        <v>892</v>
      </c>
      <c r="AL5" s="157" t="s">
        <v>899</v>
      </c>
      <c r="AM5" s="157" t="s">
        <v>900</v>
      </c>
      <c r="AN5" s="157" t="s">
        <v>908</v>
      </c>
      <c r="AO5" s="157" t="s">
        <v>909</v>
      </c>
      <c r="AP5" s="162" t="s">
        <v>934</v>
      </c>
    </row>
    <row r="6" spans="1:77" ht="14.7" customHeight="1">
      <c r="A6" s="360"/>
      <c r="B6" s="186" t="s">
        <v>367</v>
      </c>
      <c r="C6" s="205" t="s">
        <v>893</v>
      </c>
      <c r="D6" s="205" t="s">
        <v>893</v>
      </c>
      <c r="E6" s="205" t="s">
        <v>893</v>
      </c>
      <c r="F6" s="205" t="s">
        <v>893</v>
      </c>
      <c r="G6" s="205" t="s">
        <v>893</v>
      </c>
      <c r="H6" s="205" t="s">
        <v>893</v>
      </c>
      <c r="I6" s="205" t="s">
        <v>893</v>
      </c>
      <c r="J6" s="205" t="s">
        <v>893</v>
      </c>
      <c r="K6" s="205" t="s">
        <v>893</v>
      </c>
      <c r="L6" s="205" t="s">
        <v>893</v>
      </c>
      <c r="M6" s="205" t="s">
        <v>893</v>
      </c>
      <c r="N6" s="205" t="s">
        <v>893</v>
      </c>
      <c r="O6" s="205" t="s">
        <v>893</v>
      </c>
      <c r="P6" s="205" t="s">
        <v>893</v>
      </c>
      <c r="Q6" s="205" t="s">
        <v>893</v>
      </c>
      <c r="R6" s="205" t="s">
        <v>893</v>
      </c>
      <c r="S6" s="205" t="s">
        <v>893</v>
      </c>
      <c r="T6" s="205" t="s">
        <v>893</v>
      </c>
      <c r="U6" s="205" t="s">
        <v>893</v>
      </c>
      <c r="V6" s="205" t="s">
        <v>893</v>
      </c>
      <c r="W6" s="205" t="s">
        <v>893</v>
      </c>
      <c r="X6" s="205" t="s">
        <v>893</v>
      </c>
      <c r="Y6" s="205" t="s">
        <v>893</v>
      </c>
      <c r="Z6" s="205" t="s">
        <v>893</v>
      </c>
      <c r="AA6" s="205" t="s">
        <v>893</v>
      </c>
      <c r="AB6" s="205" t="s">
        <v>893</v>
      </c>
      <c r="AC6" s="205" t="s">
        <v>893</v>
      </c>
      <c r="AD6" s="205" t="s">
        <v>893</v>
      </c>
      <c r="AE6" s="205" t="s">
        <v>893</v>
      </c>
      <c r="AF6" s="205" t="s">
        <v>893</v>
      </c>
      <c r="AG6" s="205" t="s">
        <v>893</v>
      </c>
      <c r="AH6" s="205" t="s">
        <v>893</v>
      </c>
      <c r="AI6" s="205" t="s">
        <v>893</v>
      </c>
      <c r="AJ6" s="205" t="s">
        <v>893</v>
      </c>
      <c r="AK6" s="205" t="s">
        <v>893</v>
      </c>
      <c r="AL6" s="157" t="s">
        <v>893</v>
      </c>
      <c r="AM6" s="157" t="s">
        <v>893</v>
      </c>
      <c r="AN6" s="157" t="s">
        <v>893</v>
      </c>
      <c r="AO6" s="157" t="s">
        <v>893</v>
      </c>
      <c r="AP6" s="157" t="s">
        <v>893</v>
      </c>
    </row>
    <row r="7" spans="1:77" ht="14.7" customHeight="1">
      <c r="A7" s="181" t="s">
        <v>4</v>
      </c>
      <c r="B7" s="181"/>
      <c r="C7">
        <v>454.3</v>
      </c>
      <c r="D7">
        <v>457.3</v>
      </c>
      <c r="E7">
        <v>480.4</v>
      </c>
      <c r="F7">
        <v>493.6</v>
      </c>
      <c r="G7">
        <v>524.20000000000005</v>
      </c>
      <c r="H7">
        <v>523.5</v>
      </c>
      <c r="I7">
        <v>522</v>
      </c>
      <c r="J7">
        <v>505</v>
      </c>
      <c r="K7">
        <v>479.3</v>
      </c>
      <c r="L7">
        <v>459</v>
      </c>
      <c r="M7">
        <v>0.36699999999999999</v>
      </c>
      <c r="N7">
        <v>0.35899999999999999</v>
      </c>
      <c r="O7">
        <v>0.33300000000000002</v>
      </c>
      <c r="P7">
        <v>0.32600000000000001</v>
      </c>
      <c r="Q7">
        <v>0.32</v>
      </c>
      <c r="R7">
        <v>0.32</v>
      </c>
      <c r="S7">
        <v>0.32700000000000001</v>
      </c>
      <c r="T7">
        <v>0.33800000000000002</v>
      </c>
      <c r="U7">
        <v>0.35899999999999999</v>
      </c>
      <c r="V7">
        <v>0.36599999999999999</v>
      </c>
      <c r="W7" t="s">
        <v>901</v>
      </c>
      <c r="X7" t="s">
        <v>901</v>
      </c>
      <c r="Y7" t="s">
        <v>901</v>
      </c>
      <c r="Z7" t="s">
        <v>901</v>
      </c>
      <c r="AA7" t="s">
        <v>901</v>
      </c>
      <c r="AB7" t="s">
        <v>901</v>
      </c>
      <c r="AC7" t="s">
        <v>901</v>
      </c>
      <c r="AD7" t="s">
        <v>901</v>
      </c>
      <c r="AE7" t="s">
        <v>910</v>
      </c>
      <c r="AF7">
        <v>0</v>
      </c>
      <c r="AG7">
        <v>325.3</v>
      </c>
      <c r="AH7">
        <v>321.3</v>
      </c>
      <c r="AI7">
        <v>326.5</v>
      </c>
      <c r="AJ7">
        <v>329.8</v>
      </c>
      <c r="AK7">
        <v>345.6</v>
      </c>
      <c r="AL7">
        <v>340.7</v>
      </c>
      <c r="AM7" s="157">
        <v>343.3</v>
      </c>
      <c r="AN7" s="157">
        <v>337.7</v>
      </c>
      <c r="AO7" s="157">
        <v>331.2</v>
      </c>
      <c r="AP7" s="157">
        <v>318.89999999999998</v>
      </c>
    </row>
    <row r="8" spans="1:77" ht="14.7" customHeight="1">
      <c r="A8" s="181" t="s">
        <v>6</v>
      </c>
      <c r="B8" s="181"/>
      <c r="C8">
        <v>529.4</v>
      </c>
      <c r="D8">
        <v>508.5</v>
      </c>
      <c r="E8">
        <v>525.20000000000005</v>
      </c>
      <c r="F8">
        <v>536.29999999999995</v>
      </c>
      <c r="G8">
        <v>516.9</v>
      </c>
      <c r="H8">
        <v>574</v>
      </c>
      <c r="I8">
        <v>529.70000000000005</v>
      </c>
      <c r="J8">
        <v>590.79999999999995</v>
      </c>
      <c r="K8">
        <v>584.29999999999995</v>
      </c>
      <c r="L8">
        <v>522.1</v>
      </c>
      <c r="M8">
        <v>0.47299999999999998</v>
      </c>
      <c r="N8">
        <v>0.46200000000000002</v>
      </c>
      <c r="O8">
        <v>0.433</v>
      </c>
      <c r="P8">
        <v>0.38100000000000001</v>
      </c>
      <c r="Q8">
        <v>0.39300000000000002</v>
      </c>
      <c r="R8">
        <v>0.36899999999999999</v>
      </c>
      <c r="S8">
        <v>0.379</v>
      </c>
      <c r="T8">
        <v>0.34200000000000003</v>
      </c>
      <c r="U8">
        <v>0.33400000000000002</v>
      </c>
      <c r="V8">
        <v>0.33700000000000002</v>
      </c>
      <c r="W8" t="s">
        <v>901</v>
      </c>
      <c r="X8" t="s">
        <v>901</v>
      </c>
      <c r="Y8" t="s">
        <v>901</v>
      </c>
      <c r="Z8" t="s">
        <v>901</v>
      </c>
      <c r="AA8" t="s">
        <v>901</v>
      </c>
      <c r="AB8" t="s">
        <v>901</v>
      </c>
      <c r="AC8" t="s">
        <v>901</v>
      </c>
      <c r="AD8" t="s">
        <v>901</v>
      </c>
      <c r="AE8" t="s">
        <v>910</v>
      </c>
      <c r="AF8">
        <v>0</v>
      </c>
      <c r="AG8">
        <v>480</v>
      </c>
      <c r="AH8">
        <v>455.2</v>
      </c>
      <c r="AI8">
        <v>436.1</v>
      </c>
      <c r="AJ8">
        <v>412.4</v>
      </c>
      <c r="AK8">
        <v>405.7</v>
      </c>
      <c r="AL8">
        <v>433.5</v>
      </c>
      <c r="AM8" s="157">
        <v>409.3</v>
      </c>
      <c r="AN8" s="157">
        <v>431.9</v>
      </c>
      <c r="AO8" s="157">
        <v>422.3</v>
      </c>
      <c r="AP8" s="157">
        <v>380.7</v>
      </c>
    </row>
    <row r="9" spans="1:77" ht="14.7" customHeight="1">
      <c r="A9" s="181" t="s">
        <v>7</v>
      </c>
      <c r="B9" s="181"/>
      <c r="C9">
        <v>571.4</v>
      </c>
      <c r="D9">
        <v>551.20000000000005</v>
      </c>
      <c r="E9">
        <v>551.70000000000005</v>
      </c>
      <c r="F9">
        <v>549.20000000000005</v>
      </c>
      <c r="G9">
        <v>550.70000000000005</v>
      </c>
      <c r="H9">
        <v>554</v>
      </c>
      <c r="I9">
        <v>561</v>
      </c>
      <c r="J9">
        <v>538.4</v>
      </c>
      <c r="K9">
        <v>537</v>
      </c>
      <c r="L9">
        <v>551.9</v>
      </c>
      <c r="M9">
        <v>0.26900000000000002</v>
      </c>
      <c r="N9">
        <v>0.26700000000000002</v>
      </c>
      <c r="O9">
        <v>0.28000000000000003</v>
      </c>
      <c r="P9">
        <v>0.33</v>
      </c>
      <c r="Q9">
        <v>0.32900000000000001</v>
      </c>
      <c r="R9">
        <v>0.32700000000000001</v>
      </c>
      <c r="S9">
        <v>0.32200000000000001</v>
      </c>
      <c r="T9">
        <v>0.32900000000000001</v>
      </c>
      <c r="U9">
        <v>0.32900000000000001</v>
      </c>
      <c r="V9">
        <v>0.313</v>
      </c>
      <c r="W9" t="s">
        <v>901</v>
      </c>
      <c r="X9" t="s">
        <v>901</v>
      </c>
      <c r="Y9" t="s">
        <v>901</v>
      </c>
      <c r="Z9" t="s">
        <v>901</v>
      </c>
      <c r="AA9" t="s">
        <v>901</v>
      </c>
      <c r="AB9" t="s">
        <v>901</v>
      </c>
      <c r="AC9" t="s">
        <v>901</v>
      </c>
      <c r="AD9" t="s">
        <v>901</v>
      </c>
      <c r="AE9" t="s">
        <v>910</v>
      </c>
      <c r="AF9">
        <v>0</v>
      </c>
      <c r="AG9">
        <v>352.4</v>
      </c>
      <c r="AH9">
        <v>337.5</v>
      </c>
      <c r="AI9">
        <v>343.9</v>
      </c>
      <c r="AJ9">
        <v>369.6</v>
      </c>
      <c r="AK9">
        <v>368.1</v>
      </c>
      <c r="AL9">
        <v>369.5</v>
      </c>
      <c r="AM9" s="157">
        <v>372.8</v>
      </c>
      <c r="AN9" s="157">
        <v>360.9</v>
      </c>
      <c r="AO9" s="157">
        <v>361.8</v>
      </c>
      <c r="AP9" s="157">
        <v>362.7</v>
      </c>
    </row>
    <row r="10" spans="1:77" ht="14.7" customHeight="1">
      <c r="A10" s="181" t="s">
        <v>8</v>
      </c>
      <c r="B10" s="181"/>
      <c r="C10">
        <v>454</v>
      </c>
      <c r="D10">
        <v>443.4</v>
      </c>
      <c r="E10">
        <v>449.8</v>
      </c>
      <c r="F10">
        <v>457.8</v>
      </c>
      <c r="G10">
        <v>459.7</v>
      </c>
      <c r="H10">
        <v>455.6</v>
      </c>
      <c r="I10">
        <v>453</v>
      </c>
      <c r="J10">
        <v>447</v>
      </c>
      <c r="K10">
        <v>436</v>
      </c>
      <c r="L10">
        <v>410.1</v>
      </c>
      <c r="M10">
        <v>0.373</v>
      </c>
      <c r="N10">
        <v>0.373</v>
      </c>
      <c r="O10">
        <v>0.36599999999999999</v>
      </c>
      <c r="P10">
        <v>0.36399999999999999</v>
      </c>
      <c r="Q10">
        <v>0.375</v>
      </c>
      <c r="R10">
        <v>0.38300000000000001</v>
      </c>
      <c r="S10">
        <v>0.38900000000000001</v>
      </c>
      <c r="T10">
        <v>0.40600000000000003</v>
      </c>
      <c r="U10">
        <v>0.41499999999999998</v>
      </c>
      <c r="V10">
        <v>0.42799999999999999</v>
      </c>
      <c r="W10" t="s">
        <v>901</v>
      </c>
      <c r="X10" t="s">
        <v>901</v>
      </c>
      <c r="Y10" t="s">
        <v>901</v>
      </c>
      <c r="Z10" t="s">
        <v>901</v>
      </c>
      <c r="AA10" t="s">
        <v>901</v>
      </c>
      <c r="AB10" t="s">
        <v>901</v>
      </c>
      <c r="AC10" t="s">
        <v>901</v>
      </c>
      <c r="AD10" t="s">
        <v>901</v>
      </c>
      <c r="AE10" t="s">
        <v>910</v>
      </c>
      <c r="AF10">
        <v>0</v>
      </c>
      <c r="AG10">
        <v>345.4</v>
      </c>
      <c r="AH10">
        <v>333.3</v>
      </c>
      <c r="AI10">
        <v>337.9</v>
      </c>
      <c r="AJ10">
        <v>341.4</v>
      </c>
      <c r="AK10">
        <v>346.8</v>
      </c>
      <c r="AL10">
        <v>343.4</v>
      </c>
      <c r="AM10" s="157">
        <v>346</v>
      </c>
      <c r="AN10" s="157">
        <v>350.5</v>
      </c>
      <c r="AO10" s="157">
        <v>347.8</v>
      </c>
      <c r="AP10" s="157">
        <v>335.7</v>
      </c>
    </row>
    <row r="11" spans="1:77" ht="14.7" customHeight="1">
      <c r="A11" s="181" t="s">
        <v>9</v>
      </c>
      <c r="B11" s="181"/>
      <c r="C11">
        <v>571.29999999999995</v>
      </c>
      <c r="D11">
        <v>561.5</v>
      </c>
      <c r="E11">
        <v>560.1</v>
      </c>
      <c r="F11">
        <v>572</v>
      </c>
      <c r="G11">
        <v>579.70000000000005</v>
      </c>
      <c r="H11">
        <v>592.9</v>
      </c>
      <c r="I11">
        <v>524.29999999999995</v>
      </c>
      <c r="J11">
        <v>512.1</v>
      </c>
      <c r="K11">
        <v>528.6</v>
      </c>
      <c r="L11">
        <v>505.7</v>
      </c>
      <c r="M11">
        <v>0.34100000000000003</v>
      </c>
      <c r="N11">
        <v>0.33900000000000002</v>
      </c>
      <c r="O11">
        <v>0.33800000000000002</v>
      </c>
      <c r="P11">
        <v>0.32900000000000001</v>
      </c>
      <c r="Q11">
        <v>0.32500000000000001</v>
      </c>
      <c r="R11">
        <v>0.318</v>
      </c>
      <c r="S11">
        <v>0.41</v>
      </c>
      <c r="T11">
        <v>0.40799999999999997</v>
      </c>
      <c r="U11">
        <v>0.35699999999999998</v>
      </c>
      <c r="V11">
        <v>0.371</v>
      </c>
      <c r="W11" t="s">
        <v>901</v>
      </c>
      <c r="X11" t="s">
        <v>901</v>
      </c>
      <c r="Y11" t="s">
        <v>901</v>
      </c>
      <c r="Z11" t="s">
        <v>901</v>
      </c>
      <c r="AA11" t="s">
        <v>901</v>
      </c>
      <c r="AB11" t="s">
        <v>901</v>
      </c>
      <c r="AC11" t="s">
        <v>901</v>
      </c>
      <c r="AD11" t="s">
        <v>901</v>
      </c>
      <c r="AE11" t="s">
        <v>910</v>
      </c>
      <c r="AF11">
        <v>0</v>
      </c>
      <c r="AG11">
        <v>392.2</v>
      </c>
      <c r="AH11">
        <v>383.1</v>
      </c>
      <c r="AI11">
        <v>377</v>
      </c>
      <c r="AJ11">
        <v>379.9</v>
      </c>
      <c r="AK11">
        <v>379.6</v>
      </c>
      <c r="AL11">
        <v>382</v>
      </c>
      <c r="AM11" s="157">
        <v>390.5</v>
      </c>
      <c r="AN11" s="157">
        <v>380.1</v>
      </c>
      <c r="AO11" s="157">
        <v>361.3</v>
      </c>
      <c r="AP11" s="157">
        <v>352.8</v>
      </c>
    </row>
    <row r="12" spans="1:77" ht="14.7" customHeight="1">
      <c r="A12" s="181" t="s">
        <v>10</v>
      </c>
      <c r="B12" s="181"/>
      <c r="C12">
        <v>699</v>
      </c>
      <c r="D12">
        <v>679.6</v>
      </c>
      <c r="E12">
        <v>695.2</v>
      </c>
      <c r="F12">
        <v>441.4</v>
      </c>
      <c r="G12">
        <v>350.6</v>
      </c>
      <c r="H12">
        <v>370.4</v>
      </c>
      <c r="I12">
        <v>354.3</v>
      </c>
      <c r="J12">
        <v>327.2</v>
      </c>
      <c r="K12">
        <v>359.5</v>
      </c>
      <c r="L12">
        <v>352.2</v>
      </c>
      <c r="M12">
        <v>0.14000000000000001</v>
      </c>
      <c r="N12">
        <v>0.14000000000000001</v>
      </c>
      <c r="O12">
        <v>0.11899999999999999</v>
      </c>
      <c r="P12">
        <v>0.41899999999999998</v>
      </c>
      <c r="Q12">
        <v>0.55300000000000005</v>
      </c>
      <c r="R12">
        <v>0.53100000000000003</v>
      </c>
      <c r="S12">
        <v>0.55000000000000004</v>
      </c>
      <c r="T12">
        <v>0.56599999999999995</v>
      </c>
      <c r="U12">
        <v>0.53400000000000003</v>
      </c>
      <c r="V12">
        <v>0.54200000000000004</v>
      </c>
      <c r="W12" t="s">
        <v>901</v>
      </c>
      <c r="X12" t="s">
        <v>901</v>
      </c>
      <c r="Y12" t="s">
        <v>901</v>
      </c>
      <c r="Z12" t="s">
        <v>901</v>
      </c>
      <c r="AA12" t="s">
        <v>901</v>
      </c>
      <c r="AB12" t="s">
        <v>901</v>
      </c>
      <c r="AC12" t="s">
        <v>901</v>
      </c>
      <c r="AD12" t="s">
        <v>901</v>
      </c>
      <c r="AE12" t="s">
        <v>910</v>
      </c>
      <c r="AF12">
        <v>0</v>
      </c>
      <c r="AG12">
        <v>360</v>
      </c>
      <c r="AH12">
        <v>347.5</v>
      </c>
      <c r="AI12">
        <v>339.7</v>
      </c>
      <c r="AJ12">
        <v>323.7</v>
      </c>
      <c r="AK12">
        <v>332.1</v>
      </c>
      <c r="AL12">
        <v>327.9</v>
      </c>
      <c r="AM12" s="157">
        <v>326.89999999999998</v>
      </c>
      <c r="AN12" s="157">
        <v>315.3</v>
      </c>
      <c r="AO12" s="157">
        <v>322.8</v>
      </c>
      <c r="AP12" s="157">
        <v>323.60000000000002</v>
      </c>
    </row>
    <row r="13" spans="1:77" ht="14.7" customHeight="1">
      <c r="A13" s="181" t="s">
        <v>11</v>
      </c>
      <c r="B13" s="181"/>
      <c r="C13">
        <v>601.9</v>
      </c>
      <c r="D13">
        <v>589.5</v>
      </c>
      <c r="E13">
        <v>454.3</v>
      </c>
      <c r="F13">
        <v>363.2</v>
      </c>
      <c r="G13">
        <v>355.5</v>
      </c>
      <c r="H13">
        <v>360.2</v>
      </c>
      <c r="I13">
        <v>382.5</v>
      </c>
      <c r="J13">
        <v>343.5</v>
      </c>
      <c r="K13">
        <v>372</v>
      </c>
      <c r="L13">
        <v>371.9</v>
      </c>
      <c r="M13">
        <v>0.222</v>
      </c>
      <c r="N13">
        <v>0.215</v>
      </c>
      <c r="O13">
        <v>0.378</v>
      </c>
      <c r="P13">
        <v>0.51</v>
      </c>
      <c r="Q13">
        <v>0.51400000000000001</v>
      </c>
      <c r="R13">
        <v>0.52</v>
      </c>
      <c r="S13">
        <v>0.503</v>
      </c>
      <c r="T13">
        <v>0.54100000000000004</v>
      </c>
      <c r="U13">
        <v>0.51100000000000001</v>
      </c>
      <c r="V13">
        <v>0.51800000000000002</v>
      </c>
      <c r="W13" t="s">
        <v>901</v>
      </c>
      <c r="X13" t="s">
        <v>901</v>
      </c>
      <c r="Y13" t="s">
        <v>901</v>
      </c>
      <c r="Z13" t="s">
        <v>901</v>
      </c>
      <c r="AA13" t="s">
        <v>901</v>
      </c>
      <c r="AB13" t="s">
        <v>901</v>
      </c>
      <c r="AC13" t="s">
        <v>901</v>
      </c>
      <c r="AD13" t="s">
        <v>901</v>
      </c>
      <c r="AE13" t="s">
        <v>910</v>
      </c>
      <c r="AF13">
        <v>0</v>
      </c>
      <c r="AG13">
        <v>318.7</v>
      </c>
      <c r="AH13">
        <v>313.39999999999998</v>
      </c>
      <c r="AI13">
        <v>307.39999999999998</v>
      </c>
      <c r="AJ13">
        <v>310.39999999999998</v>
      </c>
      <c r="AK13">
        <v>303.39999999999998</v>
      </c>
      <c r="AL13">
        <v>302.2</v>
      </c>
      <c r="AM13" s="157">
        <v>308.2</v>
      </c>
      <c r="AN13" s="157">
        <v>300.10000000000002</v>
      </c>
      <c r="AO13" s="157">
        <v>305.5</v>
      </c>
      <c r="AP13" s="157">
        <v>310.7</v>
      </c>
    </row>
    <row r="14" spans="1:77" ht="14.7" customHeight="1">
      <c r="A14" s="181" t="s">
        <v>12</v>
      </c>
      <c r="B14" s="181"/>
      <c r="C14" t="s">
        <v>901</v>
      </c>
      <c r="D14" t="s">
        <v>901</v>
      </c>
      <c r="E14" t="s">
        <v>901</v>
      </c>
      <c r="F14" t="s">
        <v>901</v>
      </c>
      <c r="G14" t="s">
        <v>901</v>
      </c>
      <c r="H14" t="s">
        <v>901</v>
      </c>
      <c r="I14" t="s">
        <v>901</v>
      </c>
      <c r="J14" t="s">
        <v>901</v>
      </c>
      <c r="K14" t="s">
        <v>901</v>
      </c>
      <c r="L14" t="s">
        <v>901</v>
      </c>
      <c r="M14" t="s">
        <v>901</v>
      </c>
      <c r="N14" t="s">
        <v>901</v>
      </c>
      <c r="O14" t="s">
        <v>901</v>
      </c>
      <c r="P14" t="s">
        <v>901</v>
      </c>
      <c r="Q14" t="s">
        <v>901</v>
      </c>
      <c r="R14" t="s">
        <v>901</v>
      </c>
      <c r="S14" t="s">
        <v>901</v>
      </c>
      <c r="T14" t="s">
        <v>901</v>
      </c>
      <c r="U14" t="s">
        <v>901</v>
      </c>
      <c r="V14" t="s">
        <v>901</v>
      </c>
      <c r="W14" t="s">
        <v>901</v>
      </c>
      <c r="X14" t="s">
        <v>901</v>
      </c>
      <c r="Y14" t="s">
        <v>901</v>
      </c>
      <c r="Z14" t="s">
        <v>901</v>
      </c>
      <c r="AA14" t="s">
        <v>901</v>
      </c>
      <c r="AB14" t="s">
        <v>901</v>
      </c>
      <c r="AC14" t="s">
        <v>901</v>
      </c>
      <c r="AD14" t="s">
        <v>901</v>
      </c>
      <c r="AE14" t="s">
        <v>901</v>
      </c>
      <c r="AF14" t="s">
        <v>901</v>
      </c>
      <c r="AG14" t="s">
        <v>901</v>
      </c>
      <c r="AH14" t="s">
        <v>901</v>
      </c>
      <c r="AI14" t="s">
        <v>901</v>
      </c>
      <c r="AJ14" t="s">
        <v>901</v>
      </c>
      <c r="AK14" t="s">
        <v>901</v>
      </c>
      <c r="AL14" t="s">
        <v>901</v>
      </c>
      <c r="AM14" s="157" t="s">
        <v>901</v>
      </c>
      <c r="AN14" s="157" t="s">
        <v>901</v>
      </c>
      <c r="AO14" s="157" t="s">
        <v>901</v>
      </c>
      <c r="AP14" s="157" t="s">
        <v>901</v>
      </c>
    </row>
    <row r="15" spans="1:77" ht="14.7" customHeight="1">
      <c r="A15" s="181" t="s">
        <v>914</v>
      </c>
      <c r="B15" s="181"/>
      <c r="C15">
        <v>848.6</v>
      </c>
      <c r="D15">
        <v>799.9</v>
      </c>
      <c r="E15">
        <v>831.5</v>
      </c>
      <c r="F15">
        <v>916.9</v>
      </c>
      <c r="G15">
        <v>952.5</v>
      </c>
      <c r="H15">
        <v>957.2</v>
      </c>
      <c r="I15">
        <v>843.4</v>
      </c>
      <c r="J15">
        <v>850.8</v>
      </c>
      <c r="K15">
        <v>872.6</v>
      </c>
      <c r="L15">
        <v>891.2</v>
      </c>
      <c r="M15">
        <v>0.28199999999999997</v>
      </c>
      <c r="N15">
        <v>0.3</v>
      </c>
      <c r="O15">
        <v>0.26800000000000002</v>
      </c>
      <c r="P15">
        <v>0.248</v>
      </c>
      <c r="Q15">
        <v>0.23400000000000001</v>
      </c>
      <c r="R15">
        <v>0.189</v>
      </c>
      <c r="S15">
        <v>0.253</v>
      </c>
      <c r="T15">
        <v>0.25</v>
      </c>
      <c r="U15">
        <v>0.23699999999999999</v>
      </c>
      <c r="V15">
        <v>0.252</v>
      </c>
      <c r="W15" t="s">
        <v>901</v>
      </c>
      <c r="X15" t="s">
        <v>901</v>
      </c>
      <c r="Y15" t="s">
        <v>901</v>
      </c>
      <c r="Z15" t="s">
        <v>901</v>
      </c>
      <c r="AA15" t="s">
        <v>901</v>
      </c>
      <c r="AB15" t="s">
        <v>901</v>
      </c>
      <c r="AC15" t="s">
        <v>901</v>
      </c>
      <c r="AD15" t="s">
        <v>901</v>
      </c>
      <c r="AE15" t="s">
        <v>910</v>
      </c>
      <c r="AF15">
        <v>0</v>
      </c>
      <c r="AG15">
        <v>498.7</v>
      </c>
      <c r="AH15">
        <v>456.7</v>
      </c>
      <c r="AI15">
        <v>437.5</v>
      </c>
      <c r="AJ15">
        <v>459.7</v>
      </c>
      <c r="AK15">
        <v>462.1</v>
      </c>
      <c r="AL15">
        <v>427.8</v>
      </c>
      <c r="AM15" s="157">
        <v>405.9</v>
      </c>
      <c r="AN15" s="157">
        <v>401</v>
      </c>
      <c r="AO15" s="157">
        <v>404.8</v>
      </c>
      <c r="AP15" s="157">
        <v>422.9</v>
      </c>
    </row>
    <row r="16" spans="1:77" ht="14.7" customHeight="1">
      <c r="A16" s="181" t="s">
        <v>197</v>
      </c>
      <c r="B16" s="181"/>
      <c r="C16">
        <v>716.8</v>
      </c>
      <c r="D16">
        <v>692</v>
      </c>
      <c r="E16">
        <v>670.5</v>
      </c>
      <c r="F16">
        <v>639.70000000000005</v>
      </c>
      <c r="G16">
        <v>635</v>
      </c>
      <c r="H16">
        <v>646.79999999999995</v>
      </c>
      <c r="I16">
        <v>623.9</v>
      </c>
      <c r="J16">
        <v>612.20000000000005</v>
      </c>
      <c r="K16">
        <v>611.5</v>
      </c>
      <c r="L16">
        <v>630.5</v>
      </c>
      <c r="M16">
        <v>0.32800000000000001</v>
      </c>
      <c r="N16">
        <v>0.33600000000000002</v>
      </c>
      <c r="O16">
        <v>0.33</v>
      </c>
      <c r="P16">
        <v>0.36399999999999999</v>
      </c>
      <c r="Q16">
        <v>0.38</v>
      </c>
      <c r="R16">
        <v>0.36799999999999999</v>
      </c>
      <c r="S16">
        <v>0.374</v>
      </c>
      <c r="T16">
        <v>0.36899999999999999</v>
      </c>
      <c r="U16">
        <v>0.34599999999999997</v>
      </c>
      <c r="V16">
        <v>0.32</v>
      </c>
      <c r="W16" t="s">
        <v>901</v>
      </c>
      <c r="X16" t="s">
        <v>901</v>
      </c>
      <c r="Y16" t="s">
        <v>901</v>
      </c>
      <c r="Z16" t="s">
        <v>901</v>
      </c>
      <c r="AA16" t="s">
        <v>901</v>
      </c>
      <c r="AB16" t="s">
        <v>901</v>
      </c>
      <c r="AC16" t="s">
        <v>901</v>
      </c>
      <c r="AD16" t="s">
        <v>901</v>
      </c>
      <c r="AE16" t="s">
        <v>910</v>
      </c>
      <c r="AF16">
        <v>0</v>
      </c>
      <c r="AG16">
        <v>441.6</v>
      </c>
      <c r="AH16">
        <v>417.8</v>
      </c>
      <c r="AI16">
        <v>393.3</v>
      </c>
      <c r="AJ16">
        <v>392</v>
      </c>
      <c r="AK16">
        <v>395.7</v>
      </c>
      <c r="AL16">
        <v>387.3</v>
      </c>
      <c r="AM16" s="157">
        <v>375.6</v>
      </c>
      <c r="AN16" s="157">
        <v>369.6</v>
      </c>
      <c r="AO16" s="157">
        <v>356.2</v>
      </c>
      <c r="AP16" s="157">
        <v>354.9</v>
      </c>
    </row>
    <row r="17" spans="1:42" ht="14.7" customHeight="1">
      <c r="A17" s="181" t="s">
        <v>223</v>
      </c>
      <c r="B17" s="181"/>
      <c r="C17">
        <v>589.1</v>
      </c>
      <c r="D17">
        <v>492.3</v>
      </c>
      <c r="E17">
        <v>456.9</v>
      </c>
      <c r="F17">
        <v>443.6</v>
      </c>
      <c r="G17">
        <v>434.4</v>
      </c>
      <c r="H17">
        <v>510.5</v>
      </c>
      <c r="I17">
        <v>487.8</v>
      </c>
      <c r="J17">
        <v>471.6</v>
      </c>
      <c r="K17">
        <v>481.1</v>
      </c>
      <c r="L17">
        <v>478.8</v>
      </c>
      <c r="M17">
        <v>0.39400000000000002</v>
      </c>
      <c r="N17">
        <v>0.45900000000000002</v>
      </c>
      <c r="O17">
        <v>0.499</v>
      </c>
      <c r="P17">
        <v>0.51600000000000001</v>
      </c>
      <c r="Q17">
        <v>0.53200000000000003</v>
      </c>
      <c r="R17">
        <v>0.45400000000000001</v>
      </c>
      <c r="S17">
        <v>0.48499999999999999</v>
      </c>
      <c r="T17">
        <v>0.47699999999999998</v>
      </c>
      <c r="U17">
        <v>0.46500000000000002</v>
      </c>
      <c r="V17">
        <v>0.47099999999999997</v>
      </c>
      <c r="W17">
        <v>0.51</v>
      </c>
      <c r="X17">
        <v>0.44700000000000001</v>
      </c>
      <c r="Y17">
        <v>0.26300000000000001</v>
      </c>
      <c r="Z17">
        <v>8.2000000000000003E-2</v>
      </c>
      <c r="AA17">
        <v>8.3000000000000004E-2</v>
      </c>
      <c r="AB17">
        <v>8.8999999999999996E-2</v>
      </c>
      <c r="AC17">
        <v>4.5999999999999999E-2</v>
      </c>
      <c r="AD17">
        <v>4.7E-2</v>
      </c>
      <c r="AE17">
        <v>3.2000000000000001E-2</v>
      </c>
      <c r="AF17">
        <v>3.3000000000000002E-2</v>
      </c>
      <c r="AG17">
        <v>454.1</v>
      </c>
      <c r="AH17">
        <v>424.2</v>
      </c>
      <c r="AI17">
        <v>418.5</v>
      </c>
      <c r="AJ17">
        <v>420.2</v>
      </c>
      <c r="AK17">
        <v>423.4</v>
      </c>
      <c r="AL17">
        <v>422</v>
      </c>
      <c r="AM17" s="157">
        <v>426</v>
      </c>
      <c r="AN17" s="157">
        <v>405.8</v>
      </c>
      <c r="AO17" s="157">
        <v>405.6</v>
      </c>
      <c r="AP17" s="157">
        <v>408.9</v>
      </c>
    </row>
    <row r="18" spans="1:42" ht="14.7" customHeight="1">
      <c r="A18" s="181" t="s">
        <v>13</v>
      </c>
      <c r="B18" s="181"/>
      <c r="C18">
        <v>553.29999999999995</v>
      </c>
      <c r="D18">
        <v>539.1</v>
      </c>
      <c r="E18">
        <v>512.9</v>
      </c>
      <c r="F18">
        <v>539.4</v>
      </c>
      <c r="G18">
        <v>528.79999999999995</v>
      </c>
      <c r="H18">
        <v>565.1</v>
      </c>
      <c r="I18">
        <v>570</v>
      </c>
      <c r="J18">
        <v>587.4</v>
      </c>
      <c r="K18">
        <v>587.79999999999995</v>
      </c>
      <c r="L18">
        <v>570.9</v>
      </c>
      <c r="M18">
        <v>0.35699999999999998</v>
      </c>
      <c r="N18">
        <v>0.36299999999999999</v>
      </c>
      <c r="O18">
        <v>0.36699999999999999</v>
      </c>
      <c r="P18">
        <v>0.33500000000000002</v>
      </c>
      <c r="Q18">
        <v>0.33900000000000002</v>
      </c>
      <c r="R18">
        <v>0.308</v>
      </c>
      <c r="S18">
        <v>0.29299999999999998</v>
      </c>
      <c r="T18">
        <v>0.19600000000000001</v>
      </c>
      <c r="U18">
        <v>0.19400000000000001</v>
      </c>
      <c r="V18">
        <v>0.188</v>
      </c>
      <c r="W18" t="s">
        <v>901</v>
      </c>
      <c r="X18" t="s">
        <v>901</v>
      </c>
      <c r="Y18" t="s">
        <v>901</v>
      </c>
      <c r="Z18" t="s">
        <v>901</v>
      </c>
      <c r="AA18" t="s">
        <v>901</v>
      </c>
      <c r="AB18" t="s">
        <v>901</v>
      </c>
      <c r="AC18" t="s">
        <v>901</v>
      </c>
      <c r="AD18" t="s">
        <v>901</v>
      </c>
      <c r="AE18" t="s">
        <v>910</v>
      </c>
      <c r="AF18">
        <v>0</v>
      </c>
      <c r="AG18">
        <v>399.7</v>
      </c>
      <c r="AH18">
        <v>397.7</v>
      </c>
      <c r="AI18">
        <v>391.1</v>
      </c>
      <c r="AJ18">
        <v>395.7</v>
      </c>
      <c r="AK18">
        <v>392.4</v>
      </c>
      <c r="AL18">
        <v>404.2</v>
      </c>
      <c r="AM18" s="157">
        <v>401.4</v>
      </c>
      <c r="AN18" s="157">
        <v>365.1</v>
      </c>
      <c r="AO18" s="157">
        <v>363.3</v>
      </c>
      <c r="AP18" s="157">
        <v>352.6</v>
      </c>
    </row>
    <row r="19" spans="1:42" ht="14.7" customHeight="1">
      <c r="A19" s="181" t="s">
        <v>14</v>
      </c>
      <c r="B19" s="181"/>
      <c r="C19">
        <v>582.79999999999995</v>
      </c>
      <c r="D19">
        <v>472.7</v>
      </c>
      <c r="E19">
        <v>469</v>
      </c>
      <c r="F19">
        <v>455.6</v>
      </c>
      <c r="G19">
        <v>485.2</v>
      </c>
      <c r="H19">
        <v>513.29999999999995</v>
      </c>
      <c r="I19">
        <v>510.3</v>
      </c>
      <c r="J19">
        <v>513.20000000000005</v>
      </c>
      <c r="K19">
        <v>522</v>
      </c>
      <c r="L19">
        <v>537</v>
      </c>
      <c r="M19">
        <v>0.44700000000000001</v>
      </c>
      <c r="N19">
        <v>0.52900000000000003</v>
      </c>
      <c r="O19">
        <v>0.51800000000000002</v>
      </c>
      <c r="P19">
        <v>0.53700000000000003</v>
      </c>
      <c r="Q19">
        <v>0.51700000000000002</v>
      </c>
      <c r="R19">
        <v>0.49099999999999999</v>
      </c>
      <c r="S19">
        <v>0.495</v>
      </c>
      <c r="T19">
        <v>0.48399999999999999</v>
      </c>
      <c r="U19">
        <v>0.47199999999999998</v>
      </c>
      <c r="V19">
        <v>0.46</v>
      </c>
      <c r="W19" t="s">
        <v>901</v>
      </c>
      <c r="X19" t="s">
        <v>901</v>
      </c>
      <c r="Y19" t="s">
        <v>901</v>
      </c>
      <c r="Z19" t="s">
        <v>901</v>
      </c>
      <c r="AA19" t="s">
        <v>901</v>
      </c>
      <c r="AB19" t="s">
        <v>901</v>
      </c>
      <c r="AC19" t="s">
        <v>901</v>
      </c>
      <c r="AD19" t="s">
        <v>901</v>
      </c>
      <c r="AE19" t="s">
        <v>910</v>
      </c>
      <c r="AF19">
        <v>0</v>
      </c>
      <c r="AG19">
        <v>459</v>
      </c>
      <c r="AH19">
        <v>429.5</v>
      </c>
      <c r="AI19">
        <v>422</v>
      </c>
      <c r="AJ19">
        <v>423</v>
      </c>
      <c r="AK19">
        <v>428.7</v>
      </c>
      <c r="AL19">
        <v>423.8</v>
      </c>
      <c r="AM19" s="157">
        <v>426.2</v>
      </c>
      <c r="AN19" s="157">
        <v>419.6</v>
      </c>
      <c r="AO19" s="157">
        <v>415.9</v>
      </c>
      <c r="AP19" s="157">
        <v>416.4</v>
      </c>
    </row>
    <row r="20" spans="1:42" ht="14.7" customHeight="1">
      <c r="A20" s="181" t="s">
        <v>915</v>
      </c>
      <c r="B20" s="181"/>
      <c r="C20">
        <v>655.20000000000005</v>
      </c>
      <c r="D20">
        <v>635.5</v>
      </c>
      <c r="E20">
        <v>605.29999999999995</v>
      </c>
      <c r="F20">
        <v>614.20000000000005</v>
      </c>
      <c r="G20">
        <v>622.20000000000005</v>
      </c>
      <c r="H20">
        <v>589.79999999999995</v>
      </c>
      <c r="I20">
        <v>593.20000000000005</v>
      </c>
      <c r="J20">
        <v>566.1</v>
      </c>
      <c r="K20">
        <v>560.4</v>
      </c>
      <c r="L20">
        <v>555.9</v>
      </c>
      <c r="M20">
        <v>0.23100000000000001</v>
      </c>
      <c r="N20">
        <v>0.24</v>
      </c>
      <c r="O20">
        <v>0.252</v>
      </c>
      <c r="P20">
        <v>0.251</v>
      </c>
      <c r="Q20">
        <v>0.246</v>
      </c>
      <c r="R20">
        <v>0.26300000000000001</v>
      </c>
      <c r="S20">
        <v>0.26300000000000001</v>
      </c>
      <c r="T20">
        <v>0.28599999999999998</v>
      </c>
      <c r="U20">
        <v>0.28299999999999997</v>
      </c>
      <c r="V20">
        <v>0.30599999999999999</v>
      </c>
      <c r="W20" t="s">
        <v>901</v>
      </c>
      <c r="X20" t="s">
        <v>901</v>
      </c>
      <c r="Y20" t="s">
        <v>901</v>
      </c>
      <c r="Z20" t="s">
        <v>901</v>
      </c>
      <c r="AA20" t="s">
        <v>901</v>
      </c>
      <c r="AB20" t="s">
        <v>901</v>
      </c>
      <c r="AC20" t="s">
        <v>901</v>
      </c>
      <c r="AD20" t="s">
        <v>901</v>
      </c>
      <c r="AE20" t="s">
        <v>910</v>
      </c>
      <c r="AF20">
        <v>0</v>
      </c>
      <c r="AG20">
        <v>373.7</v>
      </c>
      <c r="AH20">
        <v>360.6</v>
      </c>
      <c r="AI20">
        <v>343.4</v>
      </c>
      <c r="AJ20">
        <v>346.4</v>
      </c>
      <c r="AK20">
        <v>346.9</v>
      </c>
      <c r="AL20">
        <v>334.4</v>
      </c>
      <c r="AM20" s="157">
        <v>337.2</v>
      </c>
      <c r="AN20" s="157">
        <v>332.9</v>
      </c>
      <c r="AO20" s="157">
        <v>330.6</v>
      </c>
      <c r="AP20" s="157">
        <v>342</v>
      </c>
    </row>
    <row r="21" spans="1:42" ht="14.7" customHeight="1">
      <c r="A21" s="181" t="s">
        <v>15</v>
      </c>
      <c r="B21" s="181"/>
      <c r="C21">
        <v>661.8</v>
      </c>
      <c r="D21">
        <v>640.6</v>
      </c>
      <c r="E21">
        <v>632.1</v>
      </c>
      <c r="F21">
        <v>634.29999999999995</v>
      </c>
      <c r="G21">
        <v>662</v>
      </c>
      <c r="H21">
        <v>650.4</v>
      </c>
      <c r="I21">
        <v>651.1</v>
      </c>
      <c r="J21">
        <v>621.5</v>
      </c>
      <c r="K21">
        <v>616.29999999999995</v>
      </c>
      <c r="L21">
        <v>631.79999999999995</v>
      </c>
      <c r="M21">
        <v>0.22800000000000001</v>
      </c>
      <c r="N21">
        <v>0.22600000000000001</v>
      </c>
      <c r="O21">
        <v>0.22500000000000001</v>
      </c>
      <c r="P21">
        <v>0.214</v>
      </c>
      <c r="Q21">
        <v>0.192</v>
      </c>
      <c r="R21">
        <v>0.20100000000000001</v>
      </c>
      <c r="S21">
        <v>0.21099999999999999</v>
      </c>
      <c r="T21">
        <v>0.248</v>
      </c>
      <c r="U21">
        <v>0.255</v>
      </c>
      <c r="V21">
        <v>0.25</v>
      </c>
      <c r="W21" t="s">
        <v>901</v>
      </c>
      <c r="X21" t="s">
        <v>901</v>
      </c>
      <c r="Y21" t="s">
        <v>901</v>
      </c>
      <c r="Z21" t="s">
        <v>901</v>
      </c>
      <c r="AA21" t="s">
        <v>901</v>
      </c>
      <c r="AB21" t="s">
        <v>901</v>
      </c>
      <c r="AC21" t="s">
        <v>901</v>
      </c>
      <c r="AD21" t="s">
        <v>901</v>
      </c>
      <c r="AE21" t="s">
        <v>910</v>
      </c>
      <c r="AF21">
        <v>0</v>
      </c>
      <c r="AG21">
        <v>383.6</v>
      </c>
      <c r="AH21">
        <v>372.4</v>
      </c>
      <c r="AI21">
        <v>364.8</v>
      </c>
      <c r="AJ21">
        <v>362</v>
      </c>
      <c r="AK21">
        <v>366.9</v>
      </c>
      <c r="AL21">
        <v>363.1</v>
      </c>
      <c r="AM21" s="157">
        <v>369.7</v>
      </c>
      <c r="AN21" s="157">
        <v>368.3</v>
      </c>
      <c r="AO21" s="157">
        <v>369.3</v>
      </c>
      <c r="AP21" s="157">
        <v>378.2</v>
      </c>
    </row>
    <row r="22" spans="1:42" ht="14.7" customHeight="1">
      <c r="A22" s="181" t="s">
        <v>916</v>
      </c>
      <c r="B22" s="181"/>
      <c r="C22">
        <v>529.70000000000005</v>
      </c>
      <c r="D22">
        <v>467.6</v>
      </c>
      <c r="E22">
        <v>517.79999999999995</v>
      </c>
      <c r="F22">
        <v>499.3</v>
      </c>
      <c r="G22">
        <v>475.3</v>
      </c>
      <c r="H22">
        <v>456.6</v>
      </c>
      <c r="I22">
        <v>449.4</v>
      </c>
      <c r="J22">
        <v>421.7</v>
      </c>
      <c r="K22">
        <v>362.9</v>
      </c>
      <c r="L22">
        <v>389.7</v>
      </c>
      <c r="M22">
        <v>0.46</v>
      </c>
      <c r="N22">
        <v>0.52</v>
      </c>
      <c r="O22">
        <v>0.45800000000000002</v>
      </c>
      <c r="P22">
        <v>0.47799999999999998</v>
      </c>
      <c r="Q22">
        <v>0.504</v>
      </c>
      <c r="R22">
        <v>0.52600000000000002</v>
      </c>
      <c r="S22">
        <v>0.54100000000000004</v>
      </c>
      <c r="T22">
        <v>0.54800000000000004</v>
      </c>
      <c r="U22">
        <v>0.58699999999999997</v>
      </c>
      <c r="V22">
        <v>0.56200000000000006</v>
      </c>
      <c r="W22">
        <v>0.52700000000000002</v>
      </c>
      <c r="X22">
        <v>0.39800000000000002</v>
      </c>
      <c r="Y22">
        <v>0.40500000000000003</v>
      </c>
      <c r="Z22">
        <v>0.23499999999999999</v>
      </c>
      <c r="AA22">
        <v>0.19700000000000001</v>
      </c>
      <c r="AB22">
        <v>0.182</v>
      </c>
      <c r="AC22">
        <v>0.126</v>
      </c>
      <c r="AD22">
        <v>0.127</v>
      </c>
      <c r="AE22">
        <v>0.13500000000000001</v>
      </c>
      <c r="AF22">
        <v>0.13900000000000001</v>
      </c>
      <c r="AG22">
        <v>419</v>
      </c>
      <c r="AH22">
        <v>415.8</v>
      </c>
      <c r="AI22">
        <v>418.5</v>
      </c>
      <c r="AJ22">
        <v>416.9</v>
      </c>
      <c r="AK22">
        <v>412.7</v>
      </c>
      <c r="AL22">
        <v>408.4</v>
      </c>
      <c r="AM22" s="157">
        <v>413.8</v>
      </c>
      <c r="AN22" s="157">
        <v>397.8</v>
      </c>
      <c r="AO22" s="157">
        <v>372.8</v>
      </c>
      <c r="AP22" s="157">
        <v>381.1</v>
      </c>
    </row>
    <row r="23" spans="1:42" ht="14.7" customHeight="1">
      <c r="A23" s="181" t="s">
        <v>260</v>
      </c>
      <c r="B23" s="181"/>
      <c r="C23">
        <v>679</v>
      </c>
      <c r="D23">
        <v>662.2</v>
      </c>
      <c r="E23">
        <v>644.79999999999995</v>
      </c>
      <c r="F23">
        <v>660.9</v>
      </c>
      <c r="G23">
        <v>669.3</v>
      </c>
      <c r="H23">
        <v>672.8</v>
      </c>
      <c r="I23">
        <v>622.9</v>
      </c>
      <c r="J23">
        <v>551.9</v>
      </c>
      <c r="K23">
        <v>558.79999999999995</v>
      </c>
      <c r="L23">
        <v>554.79999999999995</v>
      </c>
      <c r="M23">
        <v>0.39100000000000001</v>
      </c>
      <c r="N23">
        <v>0.38200000000000001</v>
      </c>
      <c r="O23">
        <v>0.39100000000000001</v>
      </c>
      <c r="P23">
        <v>0.38300000000000001</v>
      </c>
      <c r="Q23">
        <v>0.379</v>
      </c>
      <c r="R23">
        <v>0.375</v>
      </c>
      <c r="S23">
        <v>0.40699999999999997</v>
      </c>
      <c r="T23">
        <v>0.44500000000000001</v>
      </c>
      <c r="U23">
        <v>0.42899999999999999</v>
      </c>
      <c r="V23">
        <v>0.42699999999999999</v>
      </c>
      <c r="W23">
        <v>0.54700000000000004</v>
      </c>
      <c r="X23">
        <v>0.53200000000000003</v>
      </c>
      <c r="Y23">
        <v>0.42399999999999999</v>
      </c>
      <c r="Z23">
        <v>0.23200000000000001</v>
      </c>
      <c r="AA23">
        <v>0.38700000000000001</v>
      </c>
      <c r="AB23">
        <v>0.38900000000000001</v>
      </c>
      <c r="AC23">
        <v>0.23499999999999999</v>
      </c>
      <c r="AD23">
        <v>0.17</v>
      </c>
      <c r="AE23">
        <v>0.121</v>
      </c>
      <c r="AF23">
        <v>3.3000000000000002E-2</v>
      </c>
      <c r="AG23">
        <v>477.4</v>
      </c>
      <c r="AH23">
        <v>450.3</v>
      </c>
      <c r="AI23">
        <v>457.3</v>
      </c>
      <c r="AJ23">
        <v>465.1</v>
      </c>
      <c r="AK23">
        <v>463.2</v>
      </c>
      <c r="AL23">
        <v>455.2</v>
      </c>
      <c r="AM23" s="157">
        <v>444.1</v>
      </c>
      <c r="AN23" s="157">
        <v>425.2</v>
      </c>
      <c r="AO23" s="157">
        <v>421.1</v>
      </c>
      <c r="AP23" s="157">
        <v>420.9</v>
      </c>
    </row>
    <row r="24" spans="1:42" ht="14.7" customHeight="1">
      <c r="A24" s="181" t="s">
        <v>198</v>
      </c>
      <c r="B24" s="181"/>
      <c r="C24">
        <v>504.5</v>
      </c>
      <c r="D24">
        <v>466.8</v>
      </c>
      <c r="E24">
        <v>458</v>
      </c>
      <c r="F24">
        <v>453.3</v>
      </c>
      <c r="G24">
        <v>465.6</v>
      </c>
      <c r="H24">
        <v>470</v>
      </c>
      <c r="I24">
        <v>480.6</v>
      </c>
      <c r="J24">
        <v>480.6</v>
      </c>
      <c r="K24">
        <v>463.4</v>
      </c>
      <c r="L24">
        <v>438.4</v>
      </c>
      <c r="M24">
        <v>0.51</v>
      </c>
      <c r="N24">
        <v>0.53500000000000003</v>
      </c>
      <c r="O24">
        <v>0.54300000000000004</v>
      </c>
      <c r="P24">
        <v>0.55200000000000005</v>
      </c>
      <c r="Q24">
        <v>0.54</v>
      </c>
      <c r="R24">
        <v>0.52</v>
      </c>
      <c r="S24">
        <v>0.52700000000000002</v>
      </c>
      <c r="T24">
        <v>0.52100000000000002</v>
      </c>
      <c r="U24">
        <v>0.54100000000000004</v>
      </c>
      <c r="V24">
        <v>0.54200000000000004</v>
      </c>
      <c r="W24">
        <v>0.51200000000000001</v>
      </c>
      <c r="X24">
        <v>0.11899999999999999</v>
      </c>
      <c r="Y24">
        <v>1.0999999999999999E-2</v>
      </c>
      <c r="Z24">
        <v>3.0000000000000001E-3</v>
      </c>
      <c r="AA24">
        <v>2E-3</v>
      </c>
      <c r="AB24">
        <v>2E-3</v>
      </c>
      <c r="AC24">
        <v>2E-3</v>
      </c>
      <c r="AD24">
        <v>2E-3</v>
      </c>
      <c r="AE24">
        <v>2E-3</v>
      </c>
      <c r="AF24">
        <v>1E-3</v>
      </c>
      <c r="AG24">
        <v>438.2</v>
      </c>
      <c r="AH24">
        <v>419.4</v>
      </c>
      <c r="AI24">
        <v>410.7</v>
      </c>
      <c r="AJ24">
        <v>413.1</v>
      </c>
      <c r="AK24">
        <v>410.1</v>
      </c>
      <c r="AL24">
        <v>389.2</v>
      </c>
      <c r="AM24" s="157">
        <v>403</v>
      </c>
      <c r="AN24" s="157">
        <v>398.2</v>
      </c>
      <c r="AO24" s="157">
        <v>402</v>
      </c>
      <c r="AP24" s="157">
        <v>380.5</v>
      </c>
    </row>
    <row r="25" spans="1:42" ht="14.7" customHeight="1">
      <c r="A25" s="181" t="s">
        <v>224</v>
      </c>
      <c r="B25" s="181"/>
      <c r="C25">
        <v>682.7</v>
      </c>
      <c r="D25">
        <v>655.7</v>
      </c>
      <c r="E25">
        <v>653.29999999999995</v>
      </c>
      <c r="F25">
        <v>678.7</v>
      </c>
      <c r="G25">
        <v>641.6</v>
      </c>
      <c r="H25">
        <v>740</v>
      </c>
      <c r="I25">
        <v>719.3</v>
      </c>
      <c r="J25">
        <v>728.3</v>
      </c>
      <c r="K25">
        <v>728.9</v>
      </c>
      <c r="L25">
        <v>704.5</v>
      </c>
      <c r="M25">
        <v>0.311</v>
      </c>
      <c r="N25">
        <v>0.29499999999999998</v>
      </c>
      <c r="O25">
        <v>0.30399999999999999</v>
      </c>
      <c r="P25">
        <v>0.28799999999999998</v>
      </c>
      <c r="Q25">
        <v>0.26600000000000001</v>
      </c>
      <c r="R25">
        <v>0.22900000000000001</v>
      </c>
      <c r="S25">
        <v>0.24399999999999999</v>
      </c>
      <c r="T25">
        <v>0.20699999999999999</v>
      </c>
      <c r="U25">
        <v>0.22</v>
      </c>
      <c r="V25">
        <v>0.23599999999999999</v>
      </c>
      <c r="W25">
        <v>0.105</v>
      </c>
      <c r="X25">
        <v>4.9000000000000002E-2</v>
      </c>
      <c r="Y25">
        <v>5.7000000000000002E-2</v>
      </c>
      <c r="Z25">
        <v>6.0999999999999999E-2</v>
      </c>
      <c r="AA25">
        <v>3.7999999999999999E-2</v>
      </c>
      <c r="AB25">
        <v>6.9000000000000006E-2</v>
      </c>
      <c r="AC25">
        <v>7.4999999999999997E-2</v>
      </c>
      <c r="AD25">
        <v>0.112</v>
      </c>
      <c r="AE25">
        <v>7.8E-2</v>
      </c>
      <c r="AF25">
        <v>8.2000000000000003E-2</v>
      </c>
      <c r="AG25">
        <v>414.5</v>
      </c>
      <c r="AH25">
        <v>382.6</v>
      </c>
      <c r="AI25">
        <v>373.3</v>
      </c>
      <c r="AJ25">
        <v>377.3</v>
      </c>
      <c r="AK25">
        <v>344.5</v>
      </c>
      <c r="AL25">
        <v>373.3</v>
      </c>
      <c r="AM25" s="157">
        <v>368.1</v>
      </c>
      <c r="AN25" s="157">
        <v>353.6</v>
      </c>
      <c r="AO25" s="157">
        <v>360.8</v>
      </c>
      <c r="AP25" s="157">
        <v>358.9</v>
      </c>
    </row>
    <row r="26" spans="1:42" ht="14.7" customHeight="1">
      <c r="A26" s="181" t="s">
        <v>16</v>
      </c>
      <c r="B26" s="181"/>
      <c r="C26">
        <v>495.6</v>
      </c>
      <c r="D26">
        <v>425.8</v>
      </c>
      <c r="E26">
        <v>442.4</v>
      </c>
      <c r="F26">
        <v>444.8</v>
      </c>
      <c r="G26">
        <v>469.1</v>
      </c>
      <c r="H26">
        <v>456.9</v>
      </c>
      <c r="I26">
        <v>469.9</v>
      </c>
      <c r="J26">
        <v>505.6</v>
      </c>
      <c r="K26">
        <v>476.5</v>
      </c>
      <c r="L26">
        <v>477.4</v>
      </c>
      <c r="M26">
        <v>0.45700000000000002</v>
      </c>
      <c r="N26">
        <v>0.51300000000000001</v>
      </c>
      <c r="O26">
        <v>0.499</v>
      </c>
      <c r="P26">
        <v>0.50600000000000001</v>
      </c>
      <c r="Q26">
        <v>0.48799999999999999</v>
      </c>
      <c r="R26">
        <v>0.49099999999999999</v>
      </c>
      <c r="S26">
        <v>0.47899999999999998</v>
      </c>
      <c r="T26">
        <v>0.42399999999999999</v>
      </c>
      <c r="U26">
        <v>0.42</v>
      </c>
      <c r="V26">
        <v>0.42299999999999999</v>
      </c>
      <c r="W26" t="s">
        <v>901</v>
      </c>
      <c r="X26" t="s">
        <v>901</v>
      </c>
      <c r="Y26" t="s">
        <v>901</v>
      </c>
      <c r="Z26" t="s">
        <v>901</v>
      </c>
      <c r="AA26" t="s">
        <v>901</v>
      </c>
      <c r="AB26" t="s">
        <v>901</v>
      </c>
      <c r="AC26" t="s">
        <v>901</v>
      </c>
      <c r="AD26" t="s">
        <v>901</v>
      </c>
      <c r="AE26" t="s">
        <v>910</v>
      </c>
      <c r="AF26">
        <v>0</v>
      </c>
      <c r="AG26">
        <v>382.1</v>
      </c>
      <c r="AH26">
        <v>365.2</v>
      </c>
      <c r="AI26">
        <v>369.5</v>
      </c>
      <c r="AJ26">
        <v>377.4</v>
      </c>
      <c r="AK26">
        <v>383.3</v>
      </c>
      <c r="AL26">
        <v>371.8</v>
      </c>
      <c r="AM26" s="157">
        <v>377.7</v>
      </c>
      <c r="AN26" s="157">
        <v>370.5</v>
      </c>
      <c r="AO26" s="157">
        <v>347.1</v>
      </c>
      <c r="AP26" s="157">
        <v>349.5</v>
      </c>
    </row>
    <row r="27" spans="1:42" ht="14.7" customHeight="1">
      <c r="A27" s="181" t="s">
        <v>261</v>
      </c>
      <c r="B27" s="181"/>
      <c r="C27">
        <v>546.6</v>
      </c>
      <c r="D27">
        <v>514.5</v>
      </c>
      <c r="E27">
        <v>533.4</v>
      </c>
      <c r="F27">
        <v>551.70000000000005</v>
      </c>
      <c r="G27">
        <v>581.6</v>
      </c>
      <c r="H27">
        <v>604.6</v>
      </c>
      <c r="I27">
        <v>596.79999999999995</v>
      </c>
      <c r="J27">
        <v>632.20000000000005</v>
      </c>
      <c r="K27">
        <v>647.6</v>
      </c>
      <c r="L27">
        <v>611.1</v>
      </c>
      <c r="M27">
        <v>0.44900000000000001</v>
      </c>
      <c r="N27">
        <v>0.45700000000000002</v>
      </c>
      <c r="O27">
        <v>0.434</v>
      </c>
      <c r="P27">
        <v>0.40100000000000002</v>
      </c>
      <c r="Q27">
        <v>0.36799999999999999</v>
      </c>
      <c r="R27">
        <v>0.36399999999999999</v>
      </c>
      <c r="S27">
        <v>0.36699999999999999</v>
      </c>
      <c r="T27">
        <v>0.3</v>
      </c>
      <c r="U27">
        <v>0.28499999999999998</v>
      </c>
      <c r="V27">
        <v>0.29099999999999998</v>
      </c>
      <c r="W27">
        <v>0.55200000000000005</v>
      </c>
      <c r="X27">
        <v>0.56699999999999995</v>
      </c>
      <c r="Y27">
        <v>0.59499999999999997</v>
      </c>
      <c r="Z27">
        <v>0.59699999999999998</v>
      </c>
      <c r="AA27">
        <v>0.67100000000000004</v>
      </c>
      <c r="AB27">
        <v>0.44700000000000001</v>
      </c>
      <c r="AC27">
        <v>0.22800000000000001</v>
      </c>
      <c r="AD27">
        <v>0.24</v>
      </c>
      <c r="AE27">
        <v>0.41499999999999998</v>
      </c>
      <c r="AF27">
        <v>0.23499999999999999</v>
      </c>
      <c r="AG27">
        <v>417.6</v>
      </c>
      <c r="AH27">
        <v>403.7</v>
      </c>
      <c r="AI27">
        <v>382.3</v>
      </c>
      <c r="AJ27">
        <v>375.5</v>
      </c>
      <c r="AK27">
        <v>375.7</v>
      </c>
      <c r="AL27">
        <v>391</v>
      </c>
      <c r="AM27" s="157">
        <v>387.2</v>
      </c>
      <c r="AN27" s="157">
        <v>367.4</v>
      </c>
      <c r="AO27" s="157">
        <v>370.2</v>
      </c>
      <c r="AP27" s="157">
        <v>352.3</v>
      </c>
    </row>
    <row r="28" spans="1:42" ht="14.7" customHeight="1">
      <c r="A28" s="181" t="s">
        <v>262</v>
      </c>
      <c r="B28" s="181"/>
      <c r="C28">
        <v>555.20000000000005</v>
      </c>
      <c r="D28">
        <v>545.5</v>
      </c>
      <c r="E28">
        <v>546</v>
      </c>
      <c r="F28">
        <v>520.79999999999995</v>
      </c>
      <c r="G28">
        <v>538.1</v>
      </c>
      <c r="H28">
        <v>498.8</v>
      </c>
      <c r="I28">
        <v>598</v>
      </c>
      <c r="J28">
        <v>567.4</v>
      </c>
      <c r="K28">
        <v>531</v>
      </c>
      <c r="L28">
        <v>552.5</v>
      </c>
      <c r="M28">
        <v>0.372</v>
      </c>
      <c r="N28">
        <v>0.38600000000000001</v>
      </c>
      <c r="O28">
        <v>0.39600000000000002</v>
      </c>
      <c r="P28">
        <v>0.41099999999999998</v>
      </c>
      <c r="Q28">
        <v>0.39900000000000002</v>
      </c>
      <c r="R28">
        <v>0.45100000000000001</v>
      </c>
      <c r="S28">
        <v>0.33500000000000002</v>
      </c>
      <c r="T28">
        <v>0.35799999999999998</v>
      </c>
      <c r="U28">
        <v>0.39600000000000002</v>
      </c>
      <c r="V28">
        <v>0.38400000000000001</v>
      </c>
      <c r="W28">
        <v>0.54300000000000004</v>
      </c>
      <c r="X28">
        <v>0.51700000000000002</v>
      </c>
      <c r="Y28">
        <v>0.50900000000000001</v>
      </c>
      <c r="Z28">
        <v>0.309</v>
      </c>
      <c r="AA28">
        <v>0.25700000000000001</v>
      </c>
      <c r="AB28">
        <v>0.16900000000000001</v>
      </c>
      <c r="AC28">
        <v>0.58199999999999996</v>
      </c>
      <c r="AD28">
        <v>0.46600000000000003</v>
      </c>
      <c r="AE28">
        <v>0.159</v>
      </c>
      <c r="AF28">
        <v>0.114</v>
      </c>
      <c r="AG28">
        <v>438.7</v>
      </c>
      <c r="AH28">
        <v>448.4</v>
      </c>
      <c r="AI28">
        <v>449.9</v>
      </c>
      <c r="AJ28">
        <v>440.6</v>
      </c>
      <c r="AK28">
        <v>447</v>
      </c>
      <c r="AL28">
        <v>461.1</v>
      </c>
      <c r="AM28" s="157">
        <v>457.6</v>
      </c>
      <c r="AN28" s="157">
        <v>449.4</v>
      </c>
      <c r="AO28" s="157">
        <v>450.2</v>
      </c>
      <c r="AP28" s="157">
        <v>460.5</v>
      </c>
    </row>
    <row r="29" spans="1:42" ht="14.7" customHeight="1">
      <c r="A29" s="181" t="s">
        <v>17</v>
      </c>
      <c r="B29" s="181"/>
      <c r="C29">
        <v>711.4</v>
      </c>
      <c r="D29">
        <v>603.79999999999995</v>
      </c>
      <c r="E29">
        <v>547.79999999999995</v>
      </c>
      <c r="F29">
        <v>550</v>
      </c>
      <c r="G29">
        <v>537.29999999999995</v>
      </c>
      <c r="H29">
        <v>528.1</v>
      </c>
      <c r="I29">
        <v>543.20000000000005</v>
      </c>
      <c r="J29">
        <v>553.79999999999995</v>
      </c>
      <c r="K29">
        <v>547.70000000000005</v>
      </c>
      <c r="L29">
        <v>540.9</v>
      </c>
      <c r="M29">
        <v>0.27500000000000002</v>
      </c>
      <c r="N29">
        <v>0.36799999999999999</v>
      </c>
      <c r="O29">
        <v>0.41</v>
      </c>
      <c r="P29">
        <v>0.40300000000000002</v>
      </c>
      <c r="Q29">
        <v>0.41299999999999998</v>
      </c>
      <c r="R29">
        <v>0.42299999999999999</v>
      </c>
      <c r="S29">
        <v>0.42099999999999999</v>
      </c>
      <c r="T29">
        <v>0.40300000000000002</v>
      </c>
      <c r="U29">
        <v>0.40300000000000002</v>
      </c>
      <c r="V29">
        <v>0.40300000000000002</v>
      </c>
      <c r="W29" t="s">
        <v>901</v>
      </c>
      <c r="X29" t="s">
        <v>901</v>
      </c>
      <c r="Y29" t="s">
        <v>901</v>
      </c>
      <c r="Z29" t="s">
        <v>901</v>
      </c>
      <c r="AA29" t="s">
        <v>901</v>
      </c>
      <c r="AB29" t="s">
        <v>901</v>
      </c>
      <c r="AC29" t="s">
        <v>901</v>
      </c>
      <c r="AD29" t="s">
        <v>901</v>
      </c>
      <c r="AE29" t="s">
        <v>910</v>
      </c>
      <c r="AF29">
        <v>0</v>
      </c>
      <c r="AG29">
        <v>453.8</v>
      </c>
      <c r="AH29">
        <v>441.5</v>
      </c>
      <c r="AI29">
        <v>421.1</v>
      </c>
      <c r="AJ29">
        <v>417.2</v>
      </c>
      <c r="AK29">
        <v>413.7</v>
      </c>
      <c r="AL29">
        <v>411.8</v>
      </c>
      <c r="AM29" s="157">
        <v>422.9</v>
      </c>
      <c r="AN29" s="157">
        <v>417.6</v>
      </c>
      <c r="AO29" s="157">
        <v>414.2</v>
      </c>
      <c r="AP29" s="157">
        <v>408.3</v>
      </c>
    </row>
    <row r="30" spans="1:42" ht="14.7" customHeight="1">
      <c r="A30" s="181" t="s">
        <v>225</v>
      </c>
      <c r="B30" s="181"/>
      <c r="C30">
        <v>624.6</v>
      </c>
      <c r="D30">
        <v>577.20000000000005</v>
      </c>
      <c r="E30">
        <v>561.5</v>
      </c>
      <c r="F30">
        <v>477.9</v>
      </c>
      <c r="G30">
        <v>463.9</v>
      </c>
      <c r="H30">
        <v>468.7</v>
      </c>
      <c r="I30">
        <v>415.5</v>
      </c>
      <c r="J30">
        <v>377.1</v>
      </c>
      <c r="K30">
        <v>362.1</v>
      </c>
      <c r="L30">
        <v>366.1</v>
      </c>
      <c r="M30">
        <v>0.24299999999999999</v>
      </c>
      <c r="N30">
        <v>0.30599999999999999</v>
      </c>
      <c r="O30">
        <v>0.307</v>
      </c>
      <c r="P30">
        <v>0.373</v>
      </c>
      <c r="Q30">
        <v>0.38900000000000001</v>
      </c>
      <c r="R30">
        <v>0.39100000000000001</v>
      </c>
      <c r="S30">
        <v>0.44400000000000001</v>
      </c>
      <c r="T30">
        <v>0.47099999999999997</v>
      </c>
      <c r="U30">
        <v>0.48</v>
      </c>
      <c r="V30">
        <v>0.47899999999999998</v>
      </c>
      <c r="W30" t="s">
        <v>901</v>
      </c>
      <c r="X30" t="s">
        <v>901</v>
      </c>
      <c r="Y30" t="s">
        <v>901</v>
      </c>
      <c r="Z30" t="s">
        <v>901</v>
      </c>
      <c r="AA30" t="s">
        <v>901</v>
      </c>
      <c r="AB30" t="s">
        <v>901</v>
      </c>
      <c r="AC30" t="s">
        <v>901</v>
      </c>
      <c r="AD30" t="s">
        <v>901</v>
      </c>
      <c r="AE30" t="s">
        <v>910</v>
      </c>
      <c r="AF30">
        <v>0</v>
      </c>
      <c r="AG30">
        <v>380.7</v>
      </c>
      <c r="AH30">
        <v>380.7</v>
      </c>
      <c r="AI30">
        <v>356.5</v>
      </c>
      <c r="AJ30">
        <v>334.8</v>
      </c>
      <c r="AK30">
        <v>332.5</v>
      </c>
      <c r="AL30">
        <v>336.8</v>
      </c>
      <c r="AM30" s="157">
        <v>326.39999999999998</v>
      </c>
      <c r="AN30" s="157">
        <v>310.39999999999998</v>
      </c>
      <c r="AO30" s="157">
        <v>304</v>
      </c>
      <c r="AP30" s="157">
        <v>305.3</v>
      </c>
    </row>
    <row r="31" spans="1:42" ht="14.7" customHeight="1">
      <c r="A31" s="181" t="s">
        <v>18</v>
      </c>
      <c r="B31" s="181"/>
      <c r="C31">
        <v>606.70000000000005</v>
      </c>
      <c r="D31">
        <v>569.79999999999995</v>
      </c>
      <c r="E31">
        <v>545.20000000000005</v>
      </c>
      <c r="F31">
        <v>532.5</v>
      </c>
      <c r="G31">
        <v>525.4</v>
      </c>
      <c r="H31">
        <v>564.79999999999995</v>
      </c>
      <c r="I31">
        <v>597</v>
      </c>
      <c r="J31">
        <v>596.9</v>
      </c>
      <c r="K31">
        <v>615.29999999999995</v>
      </c>
      <c r="L31">
        <v>572.20000000000005</v>
      </c>
      <c r="M31">
        <v>0.28999999999999998</v>
      </c>
      <c r="N31">
        <v>0.33100000000000002</v>
      </c>
      <c r="O31">
        <v>0.36199999999999999</v>
      </c>
      <c r="P31">
        <v>0.40500000000000003</v>
      </c>
      <c r="Q31">
        <v>0.44500000000000001</v>
      </c>
      <c r="R31">
        <v>0.41</v>
      </c>
      <c r="S31">
        <v>0.376</v>
      </c>
      <c r="T31">
        <v>0.35199999999999998</v>
      </c>
      <c r="U31">
        <v>0.33500000000000002</v>
      </c>
      <c r="V31">
        <v>0.372</v>
      </c>
      <c r="W31" t="s">
        <v>901</v>
      </c>
      <c r="X31" t="s">
        <v>901</v>
      </c>
      <c r="Y31" t="s">
        <v>901</v>
      </c>
      <c r="Z31" t="s">
        <v>901</v>
      </c>
      <c r="AA31" t="s">
        <v>901</v>
      </c>
      <c r="AB31" t="s">
        <v>901</v>
      </c>
      <c r="AC31" t="s">
        <v>901</v>
      </c>
      <c r="AD31" t="s">
        <v>901</v>
      </c>
      <c r="AE31" t="s">
        <v>910</v>
      </c>
      <c r="AF31">
        <v>0</v>
      </c>
      <c r="AG31">
        <v>412.3</v>
      </c>
      <c r="AH31">
        <v>411.4</v>
      </c>
      <c r="AI31">
        <v>379</v>
      </c>
      <c r="AJ31">
        <v>395.6</v>
      </c>
      <c r="AK31">
        <v>413.3</v>
      </c>
      <c r="AL31">
        <v>412.2</v>
      </c>
      <c r="AM31" s="157">
        <v>411.3</v>
      </c>
      <c r="AN31" s="157">
        <v>394.9</v>
      </c>
      <c r="AO31" s="157">
        <v>395.7</v>
      </c>
      <c r="AP31" s="157">
        <v>390.5</v>
      </c>
    </row>
    <row r="32" spans="1:42" ht="14.7" customHeight="1">
      <c r="A32" s="181" t="s">
        <v>913</v>
      </c>
      <c r="B32" s="181"/>
      <c r="C32" t="s">
        <v>901</v>
      </c>
      <c r="D32" t="s">
        <v>901</v>
      </c>
      <c r="E32" t="s">
        <v>901</v>
      </c>
      <c r="F32" t="s">
        <v>901</v>
      </c>
      <c r="G32" t="s">
        <v>901</v>
      </c>
      <c r="H32" t="s">
        <v>901</v>
      </c>
      <c r="I32" t="s">
        <v>901</v>
      </c>
      <c r="J32" t="s">
        <v>901</v>
      </c>
      <c r="K32" t="s">
        <v>901</v>
      </c>
      <c r="L32">
        <v>432.2</v>
      </c>
      <c r="M32" t="s">
        <v>901</v>
      </c>
      <c r="N32" t="s">
        <v>901</v>
      </c>
      <c r="O32" t="s">
        <v>901</v>
      </c>
      <c r="P32" t="s">
        <v>901</v>
      </c>
      <c r="Q32" t="s">
        <v>901</v>
      </c>
      <c r="R32" t="s">
        <v>901</v>
      </c>
      <c r="S32" t="s">
        <v>901</v>
      </c>
      <c r="T32" t="s">
        <v>901</v>
      </c>
      <c r="U32" t="s">
        <v>901</v>
      </c>
      <c r="V32">
        <v>0.53900000000000003</v>
      </c>
      <c r="W32" t="s">
        <v>901</v>
      </c>
      <c r="X32" t="s">
        <v>901</v>
      </c>
      <c r="Y32" t="s">
        <v>901</v>
      </c>
      <c r="Z32" t="s">
        <v>901</v>
      </c>
      <c r="AA32" t="s">
        <v>901</v>
      </c>
      <c r="AB32" t="s">
        <v>901</v>
      </c>
      <c r="AC32" t="s">
        <v>901</v>
      </c>
      <c r="AD32" t="s">
        <v>901</v>
      </c>
      <c r="AE32" t="s">
        <v>901</v>
      </c>
      <c r="AF32">
        <v>0.14199999999999999</v>
      </c>
      <c r="AG32" t="s">
        <v>901</v>
      </c>
      <c r="AH32" t="s">
        <v>901</v>
      </c>
      <c r="AI32" t="s">
        <v>901</v>
      </c>
      <c r="AJ32" t="s">
        <v>901</v>
      </c>
      <c r="AK32" t="s">
        <v>901</v>
      </c>
      <c r="AL32" t="s">
        <v>901</v>
      </c>
      <c r="AM32" s="157" t="s">
        <v>901</v>
      </c>
      <c r="AN32" s="157" t="s">
        <v>901</v>
      </c>
      <c r="AO32" s="157" t="s">
        <v>901</v>
      </c>
      <c r="AP32" s="157">
        <v>437.9</v>
      </c>
    </row>
    <row r="33" spans="1:42" ht="14.7" customHeight="1">
      <c r="A33" s="181" t="s">
        <v>264</v>
      </c>
      <c r="B33" s="181"/>
      <c r="C33">
        <v>645.5</v>
      </c>
      <c r="D33">
        <v>617</v>
      </c>
      <c r="E33">
        <v>647.5</v>
      </c>
      <c r="F33">
        <v>666.6</v>
      </c>
      <c r="G33">
        <v>660.4</v>
      </c>
      <c r="H33">
        <v>662.4</v>
      </c>
      <c r="I33">
        <v>650</v>
      </c>
      <c r="J33">
        <v>597.70000000000005</v>
      </c>
      <c r="K33">
        <v>585.70000000000005</v>
      </c>
      <c r="L33">
        <v>550.70000000000005</v>
      </c>
      <c r="M33">
        <v>0.40200000000000002</v>
      </c>
      <c r="N33">
        <v>0.42499999999999999</v>
      </c>
      <c r="O33">
        <v>0.38500000000000001</v>
      </c>
      <c r="P33">
        <v>0.36499999999999999</v>
      </c>
      <c r="Q33">
        <v>0.39300000000000002</v>
      </c>
      <c r="R33">
        <v>0.38</v>
      </c>
      <c r="S33">
        <v>0.40100000000000002</v>
      </c>
      <c r="T33">
        <v>0.39200000000000002</v>
      </c>
      <c r="U33">
        <v>0.39400000000000002</v>
      </c>
      <c r="V33">
        <v>0.42899999999999999</v>
      </c>
      <c r="W33">
        <v>0.224</v>
      </c>
      <c r="X33">
        <v>0.20899999999999999</v>
      </c>
      <c r="Y33">
        <v>0.22500000000000001</v>
      </c>
      <c r="Z33">
        <v>0.23499999999999999</v>
      </c>
      <c r="AA33">
        <v>0.22900000000000001</v>
      </c>
      <c r="AB33">
        <v>0.219</v>
      </c>
      <c r="AC33">
        <v>0.19800000000000001</v>
      </c>
      <c r="AD33">
        <v>0.124</v>
      </c>
      <c r="AE33">
        <v>0.17100000000000001</v>
      </c>
      <c r="AF33">
        <v>0.17</v>
      </c>
      <c r="AG33">
        <v>436.9</v>
      </c>
      <c r="AH33">
        <v>429.6</v>
      </c>
      <c r="AI33">
        <v>434.1</v>
      </c>
      <c r="AJ33">
        <v>430.1</v>
      </c>
      <c r="AK33">
        <v>442.1</v>
      </c>
      <c r="AL33">
        <v>427.3</v>
      </c>
      <c r="AM33" s="157">
        <v>435.7</v>
      </c>
      <c r="AN33" s="157">
        <v>398.3</v>
      </c>
      <c r="AO33" s="157">
        <v>389.9</v>
      </c>
      <c r="AP33" s="157">
        <v>389.9</v>
      </c>
    </row>
    <row r="34" spans="1:42" ht="14.7" customHeight="1">
      <c r="A34" s="181" t="s">
        <v>226</v>
      </c>
      <c r="B34" s="181"/>
      <c r="C34">
        <v>632.79999999999995</v>
      </c>
      <c r="D34">
        <v>565.6</v>
      </c>
      <c r="E34">
        <v>451.4</v>
      </c>
      <c r="F34">
        <v>454.4</v>
      </c>
      <c r="G34">
        <v>453.2</v>
      </c>
      <c r="H34">
        <v>579</v>
      </c>
      <c r="I34">
        <v>593.20000000000005</v>
      </c>
      <c r="J34">
        <v>582.20000000000005</v>
      </c>
      <c r="K34">
        <v>543.9</v>
      </c>
      <c r="L34">
        <v>530.20000000000005</v>
      </c>
      <c r="M34">
        <v>0.33800000000000002</v>
      </c>
      <c r="N34">
        <v>0.39800000000000002</v>
      </c>
      <c r="O34">
        <v>0.51800000000000002</v>
      </c>
      <c r="P34">
        <v>0.50800000000000001</v>
      </c>
      <c r="Q34">
        <v>0.51600000000000001</v>
      </c>
      <c r="R34">
        <v>0.39900000000000002</v>
      </c>
      <c r="S34">
        <v>0.37</v>
      </c>
      <c r="T34">
        <v>0.34599999999999997</v>
      </c>
      <c r="U34">
        <v>0.39500000000000002</v>
      </c>
      <c r="V34">
        <v>0.40699999999999997</v>
      </c>
      <c r="W34">
        <v>0.66700000000000004</v>
      </c>
      <c r="X34">
        <v>0.44500000000000001</v>
      </c>
      <c r="Y34">
        <v>0.218</v>
      </c>
      <c r="Z34">
        <v>0.23100000000000001</v>
      </c>
      <c r="AA34">
        <v>0.192</v>
      </c>
      <c r="AB34">
        <v>0.16900000000000001</v>
      </c>
      <c r="AC34">
        <v>7.6999999999999999E-2</v>
      </c>
      <c r="AD34">
        <v>4.4999999999999998E-2</v>
      </c>
      <c r="AE34">
        <v>3.4000000000000002E-2</v>
      </c>
      <c r="AF34">
        <v>1.2E-2</v>
      </c>
      <c r="AG34">
        <v>398.5</v>
      </c>
      <c r="AH34">
        <v>383</v>
      </c>
      <c r="AI34">
        <v>375.5</v>
      </c>
      <c r="AJ34">
        <v>370.2</v>
      </c>
      <c r="AK34">
        <v>374.2</v>
      </c>
      <c r="AL34">
        <v>383.8</v>
      </c>
      <c r="AM34" s="157">
        <v>375.9</v>
      </c>
      <c r="AN34" s="157">
        <v>357.8</v>
      </c>
      <c r="AO34" s="157">
        <v>362.2</v>
      </c>
      <c r="AP34" s="157">
        <v>360.6</v>
      </c>
    </row>
    <row r="35" spans="1:42" ht="14.7" customHeight="1">
      <c r="A35" s="181" t="s">
        <v>19</v>
      </c>
      <c r="B35" s="181"/>
      <c r="C35">
        <v>423.2</v>
      </c>
      <c r="D35">
        <v>395.5</v>
      </c>
      <c r="E35">
        <v>391.2</v>
      </c>
      <c r="F35">
        <v>399</v>
      </c>
      <c r="G35">
        <v>415.6</v>
      </c>
      <c r="H35">
        <v>431.9</v>
      </c>
      <c r="I35">
        <v>460.2</v>
      </c>
      <c r="J35">
        <v>460.7</v>
      </c>
      <c r="K35">
        <v>486.5</v>
      </c>
      <c r="L35">
        <v>471.6</v>
      </c>
      <c r="M35">
        <v>0.54</v>
      </c>
      <c r="N35">
        <v>0.55700000000000005</v>
      </c>
      <c r="O35">
        <v>0.56899999999999995</v>
      </c>
      <c r="P35">
        <v>0.56000000000000005</v>
      </c>
      <c r="Q35">
        <v>0.54300000000000004</v>
      </c>
      <c r="R35">
        <v>0.52400000000000002</v>
      </c>
      <c r="S35">
        <v>0.497</v>
      </c>
      <c r="T35">
        <v>0.495</v>
      </c>
      <c r="U35">
        <v>0.47599999999999998</v>
      </c>
      <c r="V35">
        <v>0.48399999999999999</v>
      </c>
      <c r="W35" t="s">
        <v>901</v>
      </c>
      <c r="X35" t="s">
        <v>901</v>
      </c>
      <c r="Y35" t="s">
        <v>901</v>
      </c>
      <c r="Z35" t="s">
        <v>901</v>
      </c>
      <c r="AA35" t="s">
        <v>901</v>
      </c>
      <c r="AB35" t="s">
        <v>901</v>
      </c>
      <c r="AC35" t="s">
        <v>901</v>
      </c>
      <c r="AD35" t="s">
        <v>901</v>
      </c>
      <c r="AE35" t="s">
        <v>910</v>
      </c>
      <c r="AF35">
        <v>0</v>
      </c>
      <c r="AG35">
        <v>403</v>
      </c>
      <c r="AH35">
        <v>386.8</v>
      </c>
      <c r="AI35">
        <v>383.9</v>
      </c>
      <c r="AJ35">
        <v>383.3</v>
      </c>
      <c r="AK35">
        <v>383.2</v>
      </c>
      <c r="AL35">
        <v>380</v>
      </c>
      <c r="AM35" s="157">
        <v>385</v>
      </c>
      <c r="AN35" s="157">
        <v>384.9</v>
      </c>
      <c r="AO35" s="157">
        <v>394.4</v>
      </c>
      <c r="AP35" s="157">
        <v>387.7</v>
      </c>
    </row>
    <row r="36" spans="1:42" ht="14.7" customHeight="1">
      <c r="A36" s="181" t="s">
        <v>20</v>
      </c>
      <c r="B36" s="181"/>
      <c r="C36">
        <v>502.5</v>
      </c>
      <c r="D36">
        <v>523.79999999999995</v>
      </c>
      <c r="E36">
        <v>524.79999999999995</v>
      </c>
      <c r="F36">
        <v>539.70000000000005</v>
      </c>
      <c r="G36">
        <v>534.1</v>
      </c>
      <c r="H36">
        <v>509.9</v>
      </c>
      <c r="I36">
        <v>515.79999999999995</v>
      </c>
      <c r="J36">
        <v>504.1</v>
      </c>
      <c r="K36">
        <v>524.9</v>
      </c>
      <c r="L36">
        <v>509.3</v>
      </c>
      <c r="M36">
        <v>0.40699999999999997</v>
      </c>
      <c r="N36">
        <v>0.375</v>
      </c>
      <c r="O36">
        <v>0.37</v>
      </c>
      <c r="P36">
        <v>0.36199999999999999</v>
      </c>
      <c r="Q36">
        <v>0.373</v>
      </c>
      <c r="R36">
        <v>0.39900000000000002</v>
      </c>
      <c r="S36">
        <v>0.40300000000000002</v>
      </c>
      <c r="T36">
        <v>0.40100000000000002</v>
      </c>
      <c r="U36">
        <v>0.374</v>
      </c>
      <c r="V36">
        <v>0.38700000000000001</v>
      </c>
      <c r="W36" t="s">
        <v>901</v>
      </c>
      <c r="X36" t="s">
        <v>901</v>
      </c>
      <c r="Y36" t="s">
        <v>901</v>
      </c>
      <c r="Z36" t="s">
        <v>901</v>
      </c>
      <c r="AA36" t="s">
        <v>901</v>
      </c>
      <c r="AB36" t="s">
        <v>901</v>
      </c>
      <c r="AC36" t="s">
        <v>901</v>
      </c>
      <c r="AD36" t="s">
        <v>901</v>
      </c>
      <c r="AE36" t="s">
        <v>910</v>
      </c>
      <c r="AF36">
        <v>0</v>
      </c>
      <c r="AG36">
        <v>373.5</v>
      </c>
      <c r="AH36">
        <v>369</v>
      </c>
      <c r="AI36">
        <v>367.6</v>
      </c>
      <c r="AJ36">
        <v>374</v>
      </c>
      <c r="AK36">
        <v>374.9</v>
      </c>
      <c r="AL36">
        <v>368.9</v>
      </c>
      <c r="AM36" s="157">
        <v>375.5</v>
      </c>
      <c r="AN36" s="157">
        <v>365.7</v>
      </c>
      <c r="AO36" s="157">
        <v>365.6</v>
      </c>
      <c r="AP36" s="157">
        <v>364.7</v>
      </c>
    </row>
    <row r="37" spans="1:42" ht="14.7" customHeight="1">
      <c r="A37" s="181" t="s">
        <v>199</v>
      </c>
      <c r="B37" s="181"/>
      <c r="C37">
        <v>643.6</v>
      </c>
      <c r="D37">
        <v>559.1</v>
      </c>
      <c r="E37">
        <v>457.2</v>
      </c>
      <c r="F37">
        <v>478.6</v>
      </c>
      <c r="G37">
        <v>568.29999999999995</v>
      </c>
      <c r="H37">
        <v>530.79999999999995</v>
      </c>
      <c r="I37">
        <v>521.1</v>
      </c>
      <c r="J37">
        <v>508.6</v>
      </c>
      <c r="K37">
        <v>493.3</v>
      </c>
      <c r="L37">
        <v>510.9</v>
      </c>
      <c r="M37">
        <v>0.33400000000000002</v>
      </c>
      <c r="N37">
        <v>0.36799999999999999</v>
      </c>
      <c r="O37">
        <v>0.42499999999999999</v>
      </c>
      <c r="P37">
        <v>0.40799999999999997</v>
      </c>
      <c r="Q37">
        <v>0.35199999999999998</v>
      </c>
      <c r="R37">
        <v>0.35799999999999998</v>
      </c>
      <c r="S37">
        <v>0.36399999999999999</v>
      </c>
      <c r="T37">
        <v>0.36499999999999999</v>
      </c>
      <c r="U37">
        <v>0.36599999999999999</v>
      </c>
      <c r="V37">
        <v>0.34200000000000003</v>
      </c>
      <c r="W37" t="s">
        <v>901</v>
      </c>
      <c r="X37" t="s">
        <v>901</v>
      </c>
      <c r="Y37" t="s">
        <v>901</v>
      </c>
      <c r="Z37" t="s">
        <v>901</v>
      </c>
      <c r="AA37" t="s">
        <v>901</v>
      </c>
      <c r="AB37" t="s">
        <v>901</v>
      </c>
      <c r="AC37" t="s">
        <v>901</v>
      </c>
      <c r="AD37" t="s">
        <v>901</v>
      </c>
      <c r="AE37" t="s">
        <v>910</v>
      </c>
      <c r="AF37">
        <v>0</v>
      </c>
      <c r="AG37">
        <v>400.7</v>
      </c>
      <c r="AH37">
        <v>385.4</v>
      </c>
      <c r="AI37">
        <v>288.7</v>
      </c>
      <c r="AJ37">
        <v>292.10000000000002</v>
      </c>
      <c r="AK37">
        <v>314.7</v>
      </c>
      <c r="AL37">
        <v>292.7</v>
      </c>
      <c r="AM37" s="157">
        <v>293.5</v>
      </c>
      <c r="AN37" s="157">
        <v>291.8</v>
      </c>
      <c r="AO37" s="157">
        <v>284.89999999999998</v>
      </c>
      <c r="AP37" s="157">
        <v>288.7</v>
      </c>
    </row>
    <row r="38" spans="1:42" ht="14.7" customHeight="1">
      <c r="A38" s="181" t="s">
        <v>21</v>
      </c>
      <c r="B38" s="181"/>
      <c r="C38">
        <v>488.9</v>
      </c>
      <c r="D38">
        <v>461.4</v>
      </c>
      <c r="E38">
        <v>446.4</v>
      </c>
      <c r="F38">
        <v>440.5</v>
      </c>
      <c r="G38">
        <v>448.5</v>
      </c>
      <c r="H38">
        <v>463.8</v>
      </c>
      <c r="I38">
        <v>471.5</v>
      </c>
      <c r="J38">
        <v>476.7</v>
      </c>
      <c r="K38">
        <v>452.5</v>
      </c>
      <c r="L38">
        <v>480.4</v>
      </c>
      <c r="M38">
        <v>0.44800000000000001</v>
      </c>
      <c r="N38">
        <v>0.47299999999999998</v>
      </c>
      <c r="O38">
        <v>0.49</v>
      </c>
      <c r="P38">
        <v>0.503</v>
      </c>
      <c r="Q38">
        <v>0.48599999999999999</v>
      </c>
      <c r="R38">
        <v>0.45900000000000002</v>
      </c>
      <c r="S38">
        <v>0.45200000000000001</v>
      </c>
      <c r="T38">
        <v>0.44400000000000001</v>
      </c>
      <c r="U38">
        <v>0.44500000000000001</v>
      </c>
      <c r="V38">
        <v>0.42099999999999999</v>
      </c>
      <c r="W38" t="s">
        <v>901</v>
      </c>
      <c r="X38" t="s">
        <v>901</v>
      </c>
      <c r="Y38" t="s">
        <v>901</v>
      </c>
      <c r="Z38" t="s">
        <v>901</v>
      </c>
      <c r="AA38" t="s">
        <v>901</v>
      </c>
      <c r="AB38" t="s">
        <v>901</v>
      </c>
      <c r="AC38" t="s">
        <v>901</v>
      </c>
      <c r="AD38" t="s">
        <v>901</v>
      </c>
      <c r="AE38" t="s">
        <v>910</v>
      </c>
      <c r="AF38">
        <v>0</v>
      </c>
      <c r="AG38">
        <v>391.1</v>
      </c>
      <c r="AH38">
        <v>374.5</v>
      </c>
      <c r="AI38">
        <v>383.4</v>
      </c>
      <c r="AJ38">
        <v>388.3</v>
      </c>
      <c r="AK38">
        <v>381.3</v>
      </c>
      <c r="AL38">
        <v>368.1</v>
      </c>
      <c r="AM38" s="157">
        <v>368.9</v>
      </c>
      <c r="AN38" s="157">
        <v>368.8</v>
      </c>
      <c r="AO38" s="157">
        <v>352.9</v>
      </c>
      <c r="AP38" s="157">
        <v>361.5</v>
      </c>
    </row>
    <row r="39" spans="1:42" ht="14.7" customHeight="1">
      <c r="A39" s="181" t="s">
        <v>917</v>
      </c>
      <c r="B39" s="181"/>
      <c r="C39">
        <v>602.4</v>
      </c>
      <c r="D39">
        <v>574</v>
      </c>
      <c r="E39">
        <v>590.79999999999995</v>
      </c>
      <c r="F39">
        <v>596.5</v>
      </c>
      <c r="G39">
        <v>614.4</v>
      </c>
      <c r="H39">
        <v>620.9</v>
      </c>
      <c r="I39">
        <v>601.9</v>
      </c>
      <c r="J39">
        <v>575.1</v>
      </c>
      <c r="K39">
        <v>561.29999999999995</v>
      </c>
      <c r="L39">
        <v>552.29999999999995</v>
      </c>
      <c r="M39">
        <v>0.27700000000000002</v>
      </c>
      <c r="N39">
        <v>0.28100000000000003</v>
      </c>
      <c r="O39">
        <v>0.26800000000000002</v>
      </c>
      <c r="P39">
        <v>0.25800000000000001</v>
      </c>
      <c r="Q39">
        <v>0.252</v>
      </c>
      <c r="R39">
        <v>0.246</v>
      </c>
      <c r="S39">
        <v>0.27</v>
      </c>
      <c r="T39">
        <v>0.28599999999999998</v>
      </c>
      <c r="U39">
        <v>0.29199999999999998</v>
      </c>
      <c r="V39">
        <v>0.29399999999999998</v>
      </c>
      <c r="W39">
        <v>0.46</v>
      </c>
      <c r="X39">
        <v>0.26500000000000001</v>
      </c>
      <c r="Y39">
        <v>5.6000000000000001E-2</v>
      </c>
      <c r="Z39">
        <v>8.2000000000000003E-2</v>
      </c>
      <c r="AA39">
        <v>3.9E-2</v>
      </c>
      <c r="AB39">
        <v>4.1000000000000002E-2</v>
      </c>
      <c r="AC39">
        <v>4.9000000000000002E-2</v>
      </c>
      <c r="AD39">
        <v>5.2999999999999999E-2</v>
      </c>
      <c r="AE39">
        <v>0.04</v>
      </c>
      <c r="AF39">
        <v>2.5000000000000001E-2</v>
      </c>
      <c r="AG39">
        <v>409.8</v>
      </c>
      <c r="AH39">
        <v>385</v>
      </c>
      <c r="AI39">
        <v>370</v>
      </c>
      <c r="AJ39">
        <v>367.6</v>
      </c>
      <c r="AK39">
        <v>373</v>
      </c>
      <c r="AL39">
        <v>366.5</v>
      </c>
      <c r="AM39" s="157">
        <v>362.9</v>
      </c>
      <c r="AN39" s="157">
        <v>358.2</v>
      </c>
      <c r="AO39" s="157">
        <v>350.9</v>
      </c>
      <c r="AP39" s="157">
        <v>346.8</v>
      </c>
    </row>
    <row r="40" spans="1:42" ht="14.7" customHeight="1">
      <c r="A40" s="181" t="s">
        <v>817</v>
      </c>
      <c r="B40" s="181"/>
      <c r="C40">
        <v>536.20000000000005</v>
      </c>
      <c r="D40">
        <v>503.8</v>
      </c>
      <c r="E40">
        <v>458.7</v>
      </c>
      <c r="F40">
        <v>500.9</v>
      </c>
      <c r="G40">
        <v>487.5</v>
      </c>
      <c r="H40">
        <v>492</v>
      </c>
      <c r="I40">
        <v>498.5</v>
      </c>
      <c r="J40">
        <v>462.9</v>
      </c>
      <c r="K40">
        <v>435.7</v>
      </c>
      <c r="L40">
        <v>430.9</v>
      </c>
      <c r="M40">
        <v>0.374</v>
      </c>
      <c r="N40">
        <v>0.41</v>
      </c>
      <c r="O40">
        <v>0.45300000000000001</v>
      </c>
      <c r="P40">
        <v>0.41499999999999998</v>
      </c>
      <c r="Q40">
        <v>0.435</v>
      </c>
      <c r="R40">
        <v>0.436</v>
      </c>
      <c r="S40">
        <v>0.434</v>
      </c>
      <c r="T40">
        <v>0.44900000000000001</v>
      </c>
      <c r="U40">
        <v>0.47399999999999998</v>
      </c>
      <c r="V40">
        <v>0.47099999999999997</v>
      </c>
      <c r="W40">
        <v>0.57699999999999996</v>
      </c>
      <c r="X40">
        <v>0.38700000000000001</v>
      </c>
      <c r="Y40">
        <v>0.25800000000000001</v>
      </c>
      <c r="Z40">
        <v>0.312</v>
      </c>
      <c r="AA40">
        <v>0.29199999999999998</v>
      </c>
      <c r="AB40">
        <v>0.28000000000000003</v>
      </c>
      <c r="AC40">
        <v>0.27700000000000002</v>
      </c>
      <c r="AD40">
        <v>0.19900000000000001</v>
      </c>
      <c r="AE40">
        <v>0.14399999999999999</v>
      </c>
      <c r="AF40">
        <v>0.185</v>
      </c>
      <c r="AG40">
        <v>383</v>
      </c>
      <c r="AH40">
        <v>367.7</v>
      </c>
      <c r="AI40">
        <v>374</v>
      </c>
      <c r="AJ40">
        <v>380.6</v>
      </c>
      <c r="AK40">
        <v>380.7</v>
      </c>
      <c r="AL40">
        <v>377.7</v>
      </c>
      <c r="AM40" s="157">
        <v>380.4</v>
      </c>
      <c r="AN40" s="157">
        <v>362.7</v>
      </c>
      <c r="AO40" s="157">
        <v>357.5</v>
      </c>
      <c r="AP40" s="157">
        <v>354.8</v>
      </c>
    </row>
    <row r="41" spans="1:42" ht="14.7" customHeight="1">
      <c r="A41" s="181" t="s">
        <v>22</v>
      </c>
      <c r="B41" s="181"/>
      <c r="C41">
        <v>436</v>
      </c>
      <c r="D41">
        <v>432.5</v>
      </c>
      <c r="E41">
        <v>455.2</v>
      </c>
      <c r="F41">
        <v>467.3</v>
      </c>
      <c r="G41">
        <v>466.1</v>
      </c>
      <c r="H41">
        <v>427.3</v>
      </c>
      <c r="I41">
        <v>440.6</v>
      </c>
      <c r="J41">
        <v>427.3</v>
      </c>
      <c r="K41">
        <v>442</v>
      </c>
      <c r="L41">
        <v>429.4</v>
      </c>
      <c r="M41">
        <v>0.502</v>
      </c>
      <c r="N41">
        <v>0.48899999999999999</v>
      </c>
      <c r="O41">
        <v>0.45400000000000001</v>
      </c>
      <c r="P41">
        <v>0.44400000000000001</v>
      </c>
      <c r="Q41">
        <v>0.46800000000000003</v>
      </c>
      <c r="R41">
        <v>0.50600000000000001</v>
      </c>
      <c r="S41">
        <v>0.50900000000000001</v>
      </c>
      <c r="T41">
        <v>0.5</v>
      </c>
      <c r="U41">
        <v>0.48199999999999998</v>
      </c>
      <c r="V41">
        <v>0.496</v>
      </c>
      <c r="W41" t="s">
        <v>901</v>
      </c>
      <c r="X41" t="s">
        <v>901</v>
      </c>
      <c r="Y41" t="s">
        <v>901</v>
      </c>
      <c r="Z41" t="s">
        <v>901</v>
      </c>
      <c r="AA41" t="s">
        <v>901</v>
      </c>
      <c r="AB41" t="s">
        <v>901</v>
      </c>
      <c r="AC41" t="s">
        <v>901</v>
      </c>
      <c r="AD41" t="s">
        <v>901</v>
      </c>
      <c r="AE41" t="s">
        <v>910</v>
      </c>
      <c r="AF41">
        <v>0</v>
      </c>
      <c r="AG41">
        <v>390</v>
      </c>
      <c r="AH41">
        <v>375.9</v>
      </c>
      <c r="AI41">
        <v>368.5</v>
      </c>
      <c r="AJ41">
        <v>372.1</v>
      </c>
      <c r="AK41">
        <v>387.4</v>
      </c>
      <c r="AL41">
        <v>381.7</v>
      </c>
      <c r="AM41" s="157">
        <v>396.4</v>
      </c>
      <c r="AN41" s="157">
        <v>378.8</v>
      </c>
      <c r="AO41" s="157">
        <v>380.3</v>
      </c>
      <c r="AP41" s="157">
        <v>379.5</v>
      </c>
    </row>
    <row r="42" spans="1:42" ht="14.7" customHeight="1">
      <c r="A42" s="181" t="s">
        <v>200</v>
      </c>
      <c r="B42" s="181"/>
      <c r="C42">
        <v>523.70000000000005</v>
      </c>
      <c r="D42">
        <v>444.1</v>
      </c>
      <c r="E42">
        <v>452.8</v>
      </c>
      <c r="F42">
        <v>457.8</v>
      </c>
      <c r="G42">
        <v>467</v>
      </c>
      <c r="H42">
        <v>478.9</v>
      </c>
      <c r="I42">
        <v>496.8</v>
      </c>
      <c r="J42">
        <v>454.1</v>
      </c>
      <c r="K42">
        <v>427.3</v>
      </c>
      <c r="L42">
        <v>429.9</v>
      </c>
      <c r="M42">
        <v>0.443</v>
      </c>
      <c r="N42">
        <v>0.499</v>
      </c>
      <c r="O42">
        <v>0.49099999999999999</v>
      </c>
      <c r="P42">
        <v>0.496</v>
      </c>
      <c r="Q42">
        <v>0.48</v>
      </c>
      <c r="R42">
        <v>0.46300000000000002</v>
      </c>
      <c r="S42">
        <v>0.46899999999999997</v>
      </c>
      <c r="T42">
        <v>0.5</v>
      </c>
      <c r="U42">
        <v>0.501</v>
      </c>
      <c r="V42">
        <v>0.50900000000000001</v>
      </c>
      <c r="W42">
        <v>0.33400000000000002</v>
      </c>
      <c r="X42">
        <v>0.26600000000000001</v>
      </c>
      <c r="Y42">
        <v>0.251</v>
      </c>
      <c r="Z42">
        <v>0.26400000000000001</v>
      </c>
      <c r="AA42">
        <v>0.27400000000000002</v>
      </c>
      <c r="AB42">
        <v>0.27600000000000002</v>
      </c>
      <c r="AC42">
        <v>0.255</v>
      </c>
      <c r="AD42">
        <v>0.224</v>
      </c>
      <c r="AE42">
        <v>0.20499999999999999</v>
      </c>
      <c r="AF42">
        <v>0.21299999999999999</v>
      </c>
      <c r="AG42">
        <v>418.7</v>
      </c>
      <c r="AH42">
        <v>384.8</v>
      </c>
      <c r="AI42">
        <v>389.3</v>
      </c>
      <c r="AJ42">
        <v>395.8</v>
      </c>
      <c r="AK42">
        <v>387.6</v>
      </c>
      <c r="AL42">
        <v>377.7</v>
      </c>
      <c r="AM42" s="157">
        <v>396.3</v>
      </c>
      <c r="AN42" s="157">
        <v>384.3</v>
      </c>
      <c r="AO42" s="157">
        <v>362.1</v>
      </c>
      <c r="AP42" s="157">
        <v>371</v>
      </c>
    </row>
    <row r="43" spans="1:42" ht="14.7" customHeight="1">
      <c r="A43" s="181" t="s">
        <v>23</v>
      </c>
      <c r="B43" s="181"/>
      <c r="C43">
        <v>557.9</v>
      </c>
      <c r="D43">
        <v>533.9</v>
      </c>
      <c r="E43">
        <v>541.70000000000005</v>
      </c>
      <c r="F43">
        <v>562.29999999999995</v>
      </c>
      <c r="G43">
        <v>537.4</v>
      </c>
      <c r="H43">
        <v>534.5</v>
      </c>
      <c r="I43">
        <v>532.79999999999995</v>
      </c>
      <c r="J43">
        <v>530.4</v>
      </c>
      <c r="K43">
        <v>543.29999999999995</v>
      </c>
      <c r="L43">
        <v>562.4</v>
      </c>
      <c r="M43">
        <v>0.40500000000000003</v>
      </c>
      <c r="N43">
        <v>0.41699999999999998</v>
      </c>
      <c r="O43">
        <v>0.41499999999999998</v>
      </c>
      <c r="P43">
        <v>0.40200000000000002</v>
      </c>
      <c r="Q43">
        <v>0.438</v>
      </c>
      <c r="R43">
        <v>0.443</v>
      </c>
      <c r="S43">
        <v>0.44700000000000001</v>
      </c>
      <c r="T43">
        <v>0.439</v>
      </c>
      <c r="U43">
        <v>0.42099999999999999</v>
      </c>
      <c r="V43">
        <v>0.41</v>
      </c>
      <c r="W43" t="s">
        <v>901</v>
      </c>
      <c r="X43" t="s">
        <v>901</v>
      </c>
      <c r="Y43" t="s">
        <v>901</v>
      </c>
      <c r="Z43" t="s">
        <v>901</v>
      </c>
      <c r="AA43" t="s">
        <v>901</v>
      </c>
      <c r="AB43" t="s">
        <v>901</v>
      </c>
      <c r="AC43" t="s">
        <v>901</v>
      </c>
      <c r="AD43" t="s">
        <v>901</v>
      </c>
      <c r="AE43" t="s">
        <v>910</v>
      </c>
      <c r="AF43">
        <v>0</v>
      </c>
      <c r="AG43">
        <v>395.3</v>
      </c>
      <c r="AH43">
        <v>385.3</v>
      </c>
      <c r="AI43">
        <v>389.5</v>
      </c>
      <c r="AJ43">
        <v>395</v>
      </c>
      <c r="AK43">
        <v>400.4</v>
      </c>
      <c r="AL43">
        <v>401</v>
      </c>
      <c r="AM43" s="157">
        <v>401.3</v>
      </c>
      <c r="AN43" s="157">
        <v>393.8</v>
      </c>
      <c r="AO43" s="157">
        <v>391.8</v>
      </c>
      <c r="AP43" s="157">
        <v>397.3</v>
      </c>
    </row>
    <row r="44" spans="1:42" ht="14.7" customHeight="1">
      <c r="A44" s="181" t="s">
        <v>24</v>
      </c>
      <c r="B44" s="181"/>
      <c r="C44">
        <v>577.70000000000005</v>
      </c>
      <c r="D44">
        <v>578.20000000000005</v>
      </c>
      <c r="E44">
        <v>607.9</v>
      </c>
      <c r="F44">
        <v>597</v>
      </c>
      <c r="G44">
        <v>604.4</v>
      </c>
      <c r="H44">
        <v>541</v>
      </c>
      <c r="I44">
        <v>543.70000000000005</v>
      </c>
      <c r="J44">
        <v>533.79999999999995</v>
      </c>
      <c r="K44">
        <v>505.4</v>
      </c>
      <c r="L44">
        <v>505.7</v>
      </c>
      <c r="M44">
        <v>0.39300000000000002</v>
      </c>
      <c r="N44">
        <v>0.39600000000000002</v>
      </c>
      <c r="O44">
        <v>0.34300000000000003</v>
      </c>
      <c r="P44">
        <v>0.35</v>
      </c>
      <c r="Q44">
        <v>0.35</v>
      </c>
      <c r="R44">
        <v>0.40300000000000002</v>
      </c>
      <c r="S44">
        <v>0.41099999999999998</v>
      </c>
      <c r="T44">
        <v>0.41799999999999998</v>
      </c>
      <c r="U44">
        <v>0.42</v>
      </c>
      <c r="V44">
        <v>0.41499999999999998</v>
      </c>
      <c r="W44" t="s">
        <v>901</v>
      </c>
      <c r="X44" t="s">
        <v>901</v>
      </c>
      <c r="Y44" t="s">
        <v>901</v>
      </c>
      <c r="Z44" t="s">
        <v>901</v>
      </c>
      <c r="AA44" t="s">
        <v>901</v>
      </c>
      <c r="AB44" t="s">
        <v>901</v>
      </c>
      <c r="AC44" t="s">
        <v>901</v>
      </c>
      <c r="AD44" t="s">
        <v>901</v>
      </c>
      <c r="AE44" t="s">
        <v>910</v>
      </c>
      <c r="AF44">
        <v>0</v>
      </c>
      <c r="AG44">
        <v>414.2</v>
      </c>
      <c r="AH44">
        <v>414.4</v>
      </c>
      <c r="AI44">
        <v>388</v>
      </c>
      <c r="AJ44">
        <v>384.8</v>
      </c>
      <c r="AK44">
        <v>388.8</v>
      </c>
      <c r="AL44">
        <v>375.3</v>
      </c>
      <c r="AM44" s="157">
        <v>382.3</v>
      </c>
      <c r="AN44" s="157">
        <v>380.7</v>
      </c>
      <c r="AO44" s="157">
        <v>363.1</v>
      </c>
      <c r="AP44" s="157">
        <v>362.6</v>
      </c>
    </row>
    <row r="45" spans="1:42" ht="14.7" customHeight="1">
      <c r="A45" s="181" t="s">
        <v>25</v>
      </c>
      <c r="B45" s="181"/>
      <c r="C45">
        <v>466.3</v>
      </c>
      <c r="D45">
        <v>461.2</v>
      </c>
      <c r="E45">
        <v>469.7</v>
      </c>
      <c r="F45">
        <v>474.4</v>
      </c>
      <c r="G45">
        <v>475</v>
      </c>
      <c r="H45">
        <v>496</v>
      </c>
      <c r="I45">
        <v>497.5</v>
      </c>
      <c r="J45">
        <v>483.1</v>
      </c>
      <c r="K45">
        <v>503.4</v>
      </c>
      <c r="L45">
        <v>527.79999999999995</v>
      </c>
      <c r="M45">
        <v>0.42599999999999999</v>
      </c>
      <c r="N45">
        <v>0.41599999999999998</v>
      </c>
      <c r="O45">
        <v>0.41199999999999998</v>
      </c>
      <c r="P45">
        <v>0.40200000000000002</v>
      </c>
      <c r="Q45">
        <v>0.39</v>
      </c>
      <c r="R45">
        <v>0.38500000000000001</v>
      </c>
      <c r="S45">
        <v>0.39900000000000002</v>
      </c>
      <c r="T45">
        <v>0.38500000000000001</v>
      </c>
      <c r="U45">
        <v>0.38400000000000001</v>
      </c>
      <c r="V45">
        <v>0.36899999999999999</v>
      </c>
      <c r="W45" t="s">
        <v>901</v>
      </c>
      <c r="X45" t="s">
        <v>901</v>
      </c>
      <c r="Y45" t="s">
        <v>901</v>
      </c>
      <c r="Z45" t="s">
        <v>901</v>
      </c>
      <c r="AA45" t="s">
        <v>901</v>
      </c>
      <c r="AB45" t="s">
        <v>901</v>
      </c>
      <c r="AC45" t="s">
        <v>901</v>
      </c>
      <c r="AD45" t="s">
        <v>901</v>
      </c>
      <c r="AE45" t="s">
        <v>910</v>
      </c>
      <c r="AF45">
        <v>0</v>
      </c>
      <c r="AG45">
        <v>358.4</v>
      </c>
      <c r="AH45">
        <v>347.9</v>
      </c>
      <c r="AI45">
        <v>359</v>
      </c>
      <c r="AJ45">
        <v>353.7</v>
      </c>
      <c r="AK45">
        <v>346.2</v>
      </c>
      <c r="AL45">
        <v>355.9</v>
      </c>
      <c r="AM45" s="157">
        <v>364.9</v>
      </c>
      <c r="AN45" s="157">
        <v>347.7</v>
      </c>
      <c r="AO45" s="157">
        <v>360.9</v>
      </c>
      <c r="AP45" s="157">
        <v>369.8</v>
      </c>
    </row>
    <row r="46" spans="1:42" ht="14.7" customHeight="1">
      <c r="A46" s="181" t="s">
        <v>301</v>
      </c>
      <c r="B46" s="181"/>
      <c r="C46">
        <v>630.5</v>
      </c>
      <c r="D46">
        <v>620.20000000000005</v>
      </c>
      <c r="E46">
        <v>571.1</v>
      </c>
      <c r="F46">
        <v>520</v>
      </c>
      <c r="G46">
        <v>487.5</v>
      </c>
      <c r="H46">
        <v>504.6</v>
      </c>
      <c r="I46">
        <v>509.7</v>
      </c>
      <c r="J46">
        <v>476.3</v>
      </c>
      <c r="K46">
        <v>481.4</v>
      </c>
      <c r="L46">
        <v>457.6</v>
      </c>
      <c r="M46">
        <v>0.45100000000000001</v>
      </c>
      <c r="N46">
        <v>0.45300000000000001</v>
      </c>
      <c r="O46">
        <v>0.47599999999999998</v>
      </c>
      <c r="P46">
        <v>0.54</v>
      </c>
      <c r="Q46">
        <v>0.56999999999999995</v>
      </c>
      <c r="R46">
        <v>0.55500000000000005</v>
      </c>
      <c r="S46">
        <v>0.55400000000000005</v>
      </c>
      <c r="T46">
        <v>0.56599999999999995</v>
      </c>
      <c r="U46">
        <v>0.56100000000000005</v>
      </c>
      <c r="V46">
        <v>0.53900000000000003</v>
      </c>
      <c r="W46">
        <v>0.57799999999999996</v>
      </c>
      <c r="X46">
        <v>0.57599999999999996</v>
      </c>
      <c r="Y46">
        <v>0.55300000000000005</v>
      </c>
      <c r="Z46">
        <v>0.499</v>
      </c>
      <c r="AA46">
        <v>0.46700000000000003</v>
      </c>
      <c r="AB46">
        <v>0.35699999999999998</v>
      </c>
      <c r="AC46">
        <v>7.9000000000000001E-2</v>
      </c>
      <c r="AD46">
        <v>3.6999999999999998E-2</v>
      </c>
      <c r="AE46">
        <v>2E-3</v>
      </c>
      <c r="AF46">
        <v>3.0000000000000001E-3</v>
      </c>
      <c r="AG46">
        <v>479.6</v>
      </c>
      <c r="AH46">
        <v>471.6</v>
      </c>
      <c r="AI46">
        <v>451.4</v>
      </c>
      <c r="AJ46">
        <v>465</v>
      </c>
      <c r="AK46">
        <v>464.4</v>
      </c>
      <c r="AL46">
        <v>458.8</v>
      </c>
      <c r="AM46" s="157">
        <v>461.6</v>
      </c>
      <c r="AN46" s="157">
        <v>446.3</v>
      </c>
      <c r="AO46" s="157">
        <v>447.2</v>
      </c>
      <c r="AP46" s="157">
        <v>407.7</v>
      </c>
    </row>
    <row r="47" spans="1:42" ht="14.7" customHeight="1">
      <c r="A47" s="181" t="s">
        <v>26</v>
      </c>
      <c r="B47" s="181"/>
      <c r="C47">
        <v>485.8</v>
      </c>
      <c r="D47">
        <v>480.7</v>
      </c>
      <c r="E47">
        <v>478.4</v>
      </c>
      <c r="F47">
        <v>481.4</v>
      </c>
      <c r="G47">
        <v>488.8</v>
      </c>
      <c r="H47">
        <v>475.5</v>
      </c>
      <c r="I47">
        <v>466.5</v>
      </c>
      <c r="J47">
        <v>469.6</v>
      </c>
      <c r="K47">
        <v>469.1</v>
      </c>
      <c r="L47">
        <v>471.7</v>
      </c>
      <c r="M47">
        <v>0.33800000000000002</v>
      </c>
      <c r="N47">
        <v>0.34</v>
      </c>
      <c r="O47">
        <v>0.32700000000000001</v>
      </c>
      <c r="P47">
        <v>0.32700000000000001</v>
      </c>
      <c r="Q47">
        <v>0.317</v>
      </c>
      <c r="R47">
        <v>0.35299999999999998</v>
      </c>
      <c r="S47">
        <v>0.35499999999999998</v>
      </c>
      <c r="T47">
        <v>0.32800000000000001</v>
      </c>
      <c r="U47">
        <v>0.32500000000000001</v>
      </c>
      <c r="V47">
        <v>0.32200000000000001</v>
      </c>
      <c r="W47" t="s">
        <v>901</v>
      </c>
      <c r="X47" t="s">
        <v>901</v>
      </c>
      <c r="Y47" t="s">
        <v>901</v>
      </c>
      <c r="Z47" t="s">
        <v>901</v>
      </c>
      <c r="AA47" t="s">
        <v>901</v>
      </c>
      <c r="AB47" t="s">
        <v>901</v>
      </c>
      <c r="AC47" t="s">
        <v>901</v>
      </c>
      <c r="AD47" t="s">
        <v>901</v>
      </c>
      <c r="AE47" t="s">
        <v>910</v>
      </c>
      <c r="AF47">
        <v>0</v>
      </c>
      <c r="AG47">
        <v>340.6</v>
      </c>
      <c r="AH47">
        <v>343.8</v>
      </c>
      <c r="AI47">
        <v>329.5</v>
      </c>
      <c r="AJ47">
        <v>332.4</v>
      </c>
      <c r="AK47">
        <v>331.6</v>
      </c>
      <c r="AL47">
        <v>340.9</v>
      </c>
      <c r="AM47" s="157">
        <v>336.2</v>
      </c>
      <c r="AN47" s="157">
        <v>326.10000000000002</v>
      </c>
      <c r="AO47" s="157">
        <v>323.5</v>
      </c>
      <c r="AP47" s="157">
        <v>325.60000000000002</v>
      </c>
    </row>
    <row r="48" spans="1:42" ht="14.7" customHeight="1">
      <c r="A48" s="181" t="s">
        <v>227</v>
      </c>
      <c r="B48" s="181"/>
      <c r="C48">
        <v>686.4</v>
      </c>
      <c r="D48">
        <v>538.9</v>
      </c>
      <c r="E48">
        <v>457.9</v>
      </c>
      <c r="F48">
        <v>462.4</v>
      </c>
      <c r="G48">
        <v>426.2</v>
      </c>
      <c r="H48">
        <v>404.7</v>
      </c>
      <c r="I48">
        <v>365.4</v>
      </c>
      <c r="J48">
        <v>364.9</v>
      </c>
      <c r="K48">
        <v>350.5</v>
      </c>
      <c r="L48">
        <v>350.8</v>
      </c>
      <c r="M48">
        <v>0.24299999999999999</v>
      </c>
      <c r="N48">
        <v>0.36299999999999999</v>
      </c>
      <c r="O48">
        <v>0.43</v>
      </c>
      <c r="P48">
        <v>0.43</v>
      </c>
      <c r="Q48">
        <v>0.46600000000000003</v>
      </c>
      <c r="R48">
        <v>0.49099999999999999</v>
      </c>
      <c r="S48">
        <v>0.52700000000000002</v>
      </c>
      <c r="T48">
        <v>0.51700000000000002</v>
      </c>
      <c r="U48">
        <v>0.52</v>
      </c>
      <c r="V48">
        <v>0.51600000000000001</v>
      </c>
      <c r="W48" t="s">
        <v>901</v>
      </c>
      <c r="X48" t="s">
        <v>901</v>
      </c>
      <c r="Y48" t="s">
        <v>901</v>
      </c>
      <c r="Z48" t="s">
        <v>901</v>
      </c>
      <c r="AA48" t="s">
        <v>901</v>
      </c>
      <c r="AB48" t="s">
        <v>901</v>
      </c>
      <c r="AC48" t="s">
        <v>901</v>
      </c>
      <c r="AD48" t="s">
        <v>901</v>
      </c>
      <c r="AE48" t="s">
        <v>910</v>
      </c>
      <c r="AF48">
        <v>0</v>
      </c>
      <c r="AG48">
        <v>402.9</v>
      </c>
      <c r="AH48">
        <v>375.6</v>
      </c>
      <c r="AI48">
        <v>354.5</v>
      </c>
      <c r="AJ48">
        <v>356.7</v>
      </c>
      <c r="AK48">
        <v>349.1</v>
      </c>
      <c r="AL48">
        <v>348.2</v>
      </c>
      <c r="AM48" s="157">
        <v>339.4</v>
      </c>
      <c r="AN48" s="157">
        <v>331.8</v>
      </c>
      <c r="AO48" s="157">
        <v>321</v>
      </c>
      <c r="AP48" s="157">
        <v>318.89999999999998</v>
      </c>
    </row>
    <row r="49" spans="1:42" ht="14.7" customHeight="1">
      <c r="A49" s="181" t="s">
        <v>228</v>
      </c>
      <c r="B49" s="181"/>
      <c r="C49">
        <v>495.9</v>
      </c>
      <c r="D49">
        <v>465.8</v>
      </c>
      <c r="E49">
        <v>323.10000000000002</v>
      </c>
      <c r="F49">
        <v>335</v>
      </c>
      <c r="G49">
        <v>333.6</v>
      </c>
      <c r="H49">
        <v>471.7</v>
      </c>
      <c r="I49">
        <v>441.6</v>
      </c>
      <c r="J49">
        <v>450.2</v>
      </c>
      <c r="K49">
        <v>434.3</v>
      </c>
      <c r="L49">
        <v>374.6</v>
      </c>
      <c r="M49">
        <v>0.41099999999999998</v>
      </c>
      <c r="N49">
        <v>0.437</v>
      </c>
      <c r="O49">
        <v>0.60599999999999998</v>
      </c>
      <c r="P49">
        <v>0.60099999999999998</v>
      </c>
      <c r="Q49">
        <v>0.60399999999999998</v>
      </c>
      <c r="R49">
        <v>0.46300000000000002</v>
      </c>
      <c r="S49">
        <v>0.497</v>
      </c>
      <c r="T49">
        <v>0.48</v>
      </c>
      <c r="U49">
        <v>0.496</v>
      </c>
      <c r="V49">
        <v>0.55800000000000005</v>
      </c>
      <c r="W49">
        <v>0.53500000000000003</v>
      </c>
      <c r="X49">
        <v>0.49099999999999999</v>
      </c>
      <c r="Y49">
        <v>0.16400000000000001</v>
      </c>
      <c r="Z49">
        <v>0.17100000000000001</v>
      </c>
      <c r="AA49">
        <v>0.161</v>
      </c>
      <c r="AB49">
        <v>0.16700000000000001</v>
      </c>
      <c r="AC49">
        <v>6.2E-2</v>
      </c>
      <c r="AD49">
        <v>3.6999999999999998E-2</v>
      </c>
      <c r="AE49">
        <v>0.02</v>
      </c>
      <c r="AF49">
        <v>1.2999999999999999E-2</v>
      </c>
      <c r="AG49">
        <v>388.8</v>
      </c>
      <c r="AH49">
        <v>379.6</v>
      </c>
      <c r="AI49">
        <v>374.8</v>
      </c>
      <c r="AJ49">
        <v>382.4</v>
      </c>
      <c r="AK49">
        <v>382.5</v>
      </c>
      <c r="AL49">
        <v>395.8</v>
      </c>
      <c r="AM49" s="157">
        <v>393.8</v>
      </c>
      <c r="AN49" s="157">
        <v>390.4</v>
      </c>
      <c r="AO49" s="157">
        <v>388.5</v>
      </c>
      <c r="AP49" s="157">
        <v>382.6</v>
      </c>
    </row>
    <row r="50" spans="1:42" ht="14.7" customHeight="1">
      <c r="A50" s="181" t="s">
        <v>27</v>
      </c>
      <c r="B50" s="181"/>
      <c r="C50">
        <v>505.1</v>
      </c>
      <c r="D50">
        <v>503.2</v>
      </c>
      <c r="E50">
        <v>498.2</v>
      </c>
      <c r="F50">
        <v>500.1</v>
      </c>
      <c r="G50">
        <v>506.8</v>
      </c>
      <c r="H50">
        <v>505</v>
      </c>
      <c r="I50" t="s">
        <v>901</v>
      </c>
      <c r="J50" t="s">
        <v>901</v>
      </c>
      <c r="K50" t="s">
        <v>901</v>
      </c>
      <c r="L50" t="s">
        <v>901</v>
      </c>
      <c r="M50">
        <v>0.437</v>
      </c>
      <c r="N50">
        <v>0.432</v>
      </c>
      <c r="O50">
        <v>0.42799999999999999</v>
      </c>
      <c r="P50">
        <v>0.441</v>
      </c>
      <c r="Q50">
        <v>0.43099999999999999</v>
      </c>
      <c r="R50">
        <v>0.42699999999999999</v>
      </c>
      <c r="S50" t="s">
        <v>901</v>
      </c>
      <c r="T50" t="s">
        <v>901</v>
      </c>
      <c r="U50" t="s">
        <v>901</v>
      </c>
      <c r="V50" t="s">
        <v>901</v>
      </c>
      <c r="W50" t="s">
        <v>901</v>
      </c>
      <c r="X50" t="s">
        <v>901</v>
      </c>
      <c r="Y50" t="s">
        <v>901</v>
      </c>
      <c r="Z50" t="s">
        <v>901</v>
      </c>
      <c r="AA50" t="s">
        <v>901</v>
      </c>
      <c r="AB50" t="s">
        <v>901</v>
      </c>
      <c r="AC50" t="s">
        <v>901</v>
      </c>
      <c r="AD50" t="s">
        <v>901</v>
      </c>
      <c r="AE50" t="s">
        <v>901</v>
      </c>
      <c r="AF50" t="s">
        <v>901</v>
      </c>
      <c r="AG50">
        <v>368.4</v>
      </c>
      <c r="AH50">
        <v>351.8</v>
      </c>
      <c r="AI50">
        <v>358.4</v>
      </c>
      <c r="AJ50">
        <v>369.1</v>
      </c>
      <c r="AK50">
        <v>359</v>
      </c>
      <c r="AL50">
        <v>357</v>
      </c>
      <c r="AM50" s="157" t="s">
        <v>901</v>
      </c>
      <c r="AN50" s="157" t="s">
        <v>901</v>
      </c>
      <c r="AO50" s="157" t="s">
        <v>901</v>
      </c>
      <c r="AP50" s="157" t="s">
        <v>901</v>
      </c>
    </row>
    <row r="51" spans="1:42" ht="14.7" customHeight="1">
      <c r="A51" s="181" t="s">
        <v>303</v>
      </c>
      <c r="B51" s="181"/>
      <c r="C51">
        <v>509.2</v>
      </c>
      <c r="D51">
        <v>475.8</v>
      </c>
      <c r="E51">
        <v>499.8</v>
      </c>
      <c r="F51">
        <v>484.3</v>
      </c>
      <c r="G51">
        <v>470.4</v>
      </c>
      <c r="H51">
        <v>477.7</v>
      </c>
      <c r="I51">
        <v>521.4</v>
      </c>
      <c r="J51">
        <v>492.2</v>
      </c>
      <c r="K51">
        <v>470.5</v>
      </c>
      <c r="L51">
        <v>457.9</v>
      </c>
      <c r="M51">
        <v>0.54200000000000004</v>
      </c>
      <c r="N51">
        <v>0.55800000000000005</v>
      </c>
      <c r="O51">
        <v>0.53900000000000003</v>
      </c>
      <c r="P51">
        <v>0.56000000000000005</v>
      </c>
      <c r="Q51">
        <v>0.58199999999999996</v>
      </c>
      <c r="R51">
        <v>0.57299999999999995</v>
      </c>
      <c r="S51">
        <v>0.53800000000000003</v>
      </c>
      <c r="T51">
        <v>0.54800000000000004</v>
      </c>
      <c r="U51">
        <v>0.55300000000000005</v>
      </c>
      <c r="V51">
        <v>0.55400000000000005</v>
      </c>
      <c r="W51">
        <v>0.41499999999999998</v>
      </c>
      <c r="X51">
        <v>0.36099999999999999</v>
      </c>
      <c r="Y51">
        <v>0.39400000000000002</v>
      </c>
      <c r="Z51">
        <v>0.376</v>
      </c>
      <c r="AA51">
        <v>0.32800000000000001</v>
      </c>
      <c r="AB51">
        <v>0.30599999999999999</v>
      </c>
      <c r="AC51">
        <v>0.372</v>
      </c>
      <c r="AD51">
        <v>0.34100000000000003</v>
      </c>
      <c r="AE51">
        <v>0.33600000000000002</v>
      </c>
      <c r="AF51">
        <v>0.27800000000000002</v>
      </c>
      <c r="AG51">
        <v>478.1</v>
      </c>
      <c r="AH51">
        <v>454.1</v>
      </c>
      <c r="AI51">
        <v>456.4</v>
      </c>
      <c r="AJ51">
        <v>463.2</v>
      </c>
      <c r="AK51">
        <v>464.9</v>
      </c>
      <c r="AL51">
        <v>462.3</v>
      </c>
      <c r="AM51" s="157">
        <v>467</v>
      </c>
      <c r="AN51" s="157">
        <v>460.4</v>
      </c>
      <c r="AO51" s="157">
        <v>447.5</v>
      </c>
      <c r="AP51" s="157">
        <v>441.5</v>
      </c>
    </row>
    <row r="52" spans="1:42" ht="14.7" customHeight="1">
      <c r="A52" s="181" t="s">
        <v>201</v>
      </c>
      <c r="B52" s="181"/>
      <c r="C52">
        <v>503.2</v>
      </c>
      <c r="D52">
        <v>494.5</v>
      </c>
      <c r="E52">
        <v>455.9</v>
      </c>
      <c r="F52">
        <v>487.2</v>
      </c>
      <c r="G52">
        <v>575.70000000000005</v>
      </c>
      <c r="H52">
        <v>563.4</v>
      </c>
      <c r="I52">
        <v>510.6</v>
      </c>
      <c r="J52">
        <v>390.1</v>
      </c>
      <c r="K52">
        <v>359.1</v>
      </c>
      <c r="L52">
        <v>395.7</v>
      </c>
      <c r="M52">
        <v>0.32200000000000001</v>
      </c>
      <c r="N52">
        <v>0.33</v>
      </c>
      <c r="O52">
        <v>0.309</v>
      </c>
      <c r="P52">
        <v>0.29299999999999998</v>
      </c>
      <c r="Q52">
        <v>0.26300000000000001</v>
      </c>
      <c r="R52">
        <v>0.248</v>
      </c>
      <c r="S52">
        <v>0.26600000000000001</v>
      </c>
      <c r="T52">
        <v>0.30299999999999999</v>
      </c>
      <c r="U52">
        <v>0.311</v>
      </c>
      <c r="V52">
        <v>0.25900000000000001</v>
      </c>
      <c r="W52" t="s">
        <v>901</v>
      </c>
      <c r="X52" t="s">
        <v>901</v>
      </c>
      <c r="Y52" t="s">
        <v>901</v>
      </c>
      <c r="Z52" t="s">
        <v>901</v>
      </c>
      <c r="AA52" t="s">
        <v>901</v>
      </c>
      <c r="AB52" t="s">
        <v>901</v>
      </c>
      <c r="AC52" t="s">
        <v>901</v>
      </c>
      <c r="AD52" t="s">
        <v>901</v>
      </c>
      <c r="AE52" t="s">
        <v>910</v>
      </c>
      <c r="AF52">
        <v>0</v>
      </c>
      <c r="AG52">
        <v>328.8</v>
      </c>
      <c r="AH52">
        <v>321.5</v>
      </c>
      <c r="AI52">
        <v>309</v>
      </c>
      <c r="AJ52">
        <v>319.60000000000002</v>
      </c>
      <c r="AK52">
        <v>356.3</v>
      </c>
      <c r="AL52">
        <v>328.8</v>
      </c>
      <c r="AM52" s="157">
        <v>301.10000000000002</v>
      </c>
      <c r="AN52" s="157">
        <v>236.8</v>
      </c>
      <c r="AO52" s="157">
        <v>214.8</v>
      </c>
      <c r="AP52" s="157">
        <v>216.7</v>
      </c>
    </row>
    <row r="53" spans="1:42" ht="14.7" customHeight="1">
      <c r="A53" s="181" t="s">
        <v>28</v>
      </c>
      <c r="B53" s="181"/>
      <c r="C53">
        <v>466.7</v>
      </c>
      <c r="D53">
        <v>439.6</v>
      </c>
      <c r="E53">
        <v>443</v>
      </c>
      <c r="F53">
        <v>449</v>
      </c>
      <c r="G53">
        <v>460.5</v>
      </c>
      <c r="H53">
        <v>489</v>
      </c>
      <c r="I53">
        <v>499.6</v>
      </c>
      <c r="J53">
        <v>496</v>
      </c>
      <c r="K53">
        <v>491.8</v>
      </c>
      <c r="L53">
        <v>495.2</v>
      </c>
      <c r="M53">
        <v>0.498</v>
      </c>
      <c r="N53">
        <v>0.52200000000000002</v>
      </c>
      <c r="O53">
        <v>0.52</v>
      </c>
      <c r="P53">
        <v>0.51300000000000001</v>
      </c>
      <c r="Q53">
        <v>0.501</v>
      </c>
      <c r="R53">
        <v>0.46700000000000003</v>
      </c>
      <c r="S53">
        <v>0.45400000000000001</v>
      </c>
      <c r="T53">
        <v>0.44400000000000001</v>
      </c>
      <c r="U53">
        <v>0.439</v>
      </c>
      <c r="V53">
        <v>0.438</v>
      </c>
      <c r="W53" t="s">
        <v>901</v>
      </c>
      <c r="X53" t="s">
        <v>901</v>
      </c>
      <c r="Y53" t="s">
        <v>901</v>
      </c>
      <c r="Z53" t="s">
        <v>901</v>
      </c>
      <c r="AA53" t="s">
        <v>901</v>
      </c>
      <c r="AB53" t="s">
        <v>901</v>
      </c>
      <c r="AC53" t="s">
        <v>901</v>
      </c>
      <c r="AD53" t="s">
        <v>901</v>
      </c>
      <c r="AE53" t="s">
        <v>910</v>
      </c>
      <c r="AF53">
        <v>0</v>
      </c>
      <c r="AG53">
        <v>409.9</v>
      </c>
      <c r="AH53">
        <v>404.2</v>
      </c>
      <c r="AI53">
        <v>393.7</v>
      </c>
      <c r="AJ53">
        <v>394.7</v>
      </c>
      <c r="AK53">
        <v>394.7</v>
      </c>
      <c r="AL53">
        <v>392.4</v>
      </c>
      <c r="AM53" s="157">
        <v>392.1</v>
      </c>
      <c r="AN53" s="157">
        <v>383.8</v>
      </c>
      <c r="AO53" s="157">
        <v>379.4</v>
      </c>
      <c r="AP53" s="157">
        <v>382</v>
      </c>
    </row>
    <row r="54" spans="1:42" ht="14.7" customHeight="1">
      <c r="A54" s="181" t="s">
        <v>29</v>
      </c>
      <c r="B54" s="181"/>
      <c r="C54">
        <v>483</v>
      </c>
      <c r="D54">
        <v>465.5</v>
      </c>
      <c r="E54">
        <v>473.4</v>
      </c>
      <c r="F54">
        <v>433.6</v>
      </c>
      <c r="G54">
        <v>425</v>
      </c>
      <c r="H54">
        <v>465.2</v>
      </c>
      <c r="I54">
        <v>460.1</v>
      </c>
      <c r="J54">
        <v>470.5</v>
      </c>
      <c r="K54">
        <v>433.9</v>
      </c>
      <c r="L54">
        <v>427.6</v>
      </c>
      <c r="M54">
        <v>0.436</v>
      </c>
      <c r="N54">
        <v>0.43</v>
      </c>
      <c r="O54">
        <v>0.42899999999999999</v>
      </c>
      <c r="P54">
        <v>0.48499999999999999</v>
      </c>
      <c r="Q54">
        <v>0.48399999999999999</v>
      </c>
      <c r="R54">
        <v>0.432</v>
      </c>
      <c r="S54">
        <v>0.44400000000000001</v>
      </c>
      <c r="T54">
        <v>0.435</v>
      </c>
      <c r="U54">
        <v>0.46300000000000002</v>
      </c>
      <c r="V54">
        <v>0.45700000000000002</v>
      </c>
      <c r="W54" t="s">
        <v>901</v>
      </c>
      <c r="X54" t="s">
        <v>901</v>
      </c>
      <c r="Y54" t="s">
        <v>901</v>
      </c>
      <c r="Z54" t="s">
        <v>901</v>
      </c>
      <c r="AA54" t="s">
        <v>901</v>
      </c>
      <c r="AB54" t="s">
        <v>901</v>
      </c>
      <c r="AC54" t="s">
        <v>901</v>
      </c>
      <c r="AD54" t="s">
        <v>901</v>
      </c>
      <c r="AE54" t="s">
        <v>910</v>
      </c>
      <c r="AF54">
        <v>0</v>
      </c>
      <c r="AG54">
        <v>370.7</v>
      </c>
      <c r="AH54">
        <v>344.2</v>
      </c>
      <c r="AI54">
        <v>357.6</v>
      </c>
      <c r="AJ54">
        <v>360.1</v>
      </c>
      <c r="AK54">
        <v>350.2</v>
      </c>
      <c r="AL54">
        <v>338.2</v>
      </c>
      <c r="AM54" s="157">
        <v>338</v>
      </c>
      <c r="AN54" s="157">
        <v>338.3</v>
      </c>
      <c r="AO54" s="157">
        <v>330.7</v>
      </c>
      <c r="AP54" s="157">
        <v>325.10000000000002</v>
      </c>
    </row>
    <row r="55" spans="1:42" ht="14.7" customHeight="1">
      <c r="A55" s="181" t="s">
        <v>30</v>
      </c>
      <c r="B55" s="181"/>
      <c r="C55">
        <v>480.3</v>
      </c>
      <c r="D55">
        <v>480.9</v>
      </c>
      <c r="E55">
        <v>478.1</v>
      </c>
      <c r="F55">
        <v>483.6</v>
      </c>
      <c r="G55">
        <v>479.9</v>
      </c>
      <c r="H55">
        <v>536.20000000000005</v>
      </c>
      <c r="I55">
        <v>493.3</v>
      </c>
      <c r="J55">
        <v>485.6</v>
      </c>
      <c r="K55">
        <v>476.1</v>
      </c>
      <c r="L55">
        <v>474.4</v>
      </c>
      <c r="M55">
        <v>0.46500000000000002</v>
      </c>
      <c r="N55">
        <v>0.45900000000000002</v>
      </c>
      <c r="O55">
        <v>0.44600000000000001</v>
      </c>
      <c r="P55">
        <v>0.435</v>
      </c>
      <c r="Q55">
        <v>0.43</v>
      </c>
      <c r="R55">
        <v>0.39700000000000002</v>
      </c>
      <c r="S55">
        <v>0.41</v>
      </c>
      <c r="T55">
        <v>0.41199999999999998</v>
      </c>
      <c r="U55">
        <v>0.41299999999999998</v>
      </c>
      <c r="V55">
        <v>0.41199999999999998</v>
      </c>
      <c r="W55" t="s">
        <v>901</v>
      </c>
      <c r="X55" t="s">
        <v>901</v>
      </c>
      <c r="Y55" t="s">
        <v>901</v>
      </c>
      <c r="Z55" t="s">
        <v>901</v>
      </c>
      <c r="AA55" t="s">
        <v>901</v>
      </c>
      <c r="AB55" t="s">
        <v>901</v>
      </c>
      <c r="AC55" t="s">
        <v>901</v>
      </c>
      <c r="AD55" t="s">
        <v>901</v>
      </c>
      <c r="AE55" t="s">
        <v>910</v>
      </c>
      <c r="AF55">
        <v>0</v>
      </c>
      <c r="AG55">
        <v>424.7</v>
      </c>
      <c r="AH55">
        <v>423.9</v>
      </c>
      <c r="AI55">
        <v>401.3</v>
      </c>
      <c r="AJ55">
        <v>398.8</v>
      </c>
      <c r="AK55">
        <v>392.7</v>
      </c>
      <c r="AL55">
        <v>415.9</v>
      </c>
      <c r="AM55" s="157">
        <v>394.9</v>
      </c>
      <c r="AN55" s="157">
        <v>394.3</v>
      </c>
      <c r="AO55" s="157">
        <v>390</v>
      </c>
      <c r="AP55" s="157">
        <v>391</v>
      </c>
    </row>
    <row r="56" spans="1:42" ht="14.7" customHeight="1">
      <c r="A56" s="181" t="s">
        <v>31</v>
      </c>
      <c r="B56" s="181"/>
      <c r="C56">
        <v>546.70000000000005</v>
      </c>
      <c r="D56">
        <v>397.7</v>
      </c>
      <c r="E56">
        <v>373.3</v>
      </c>
      <c r="F56">
        <v>388</v>
      </c>
      <c r="G56">
        <v>412.1</v>
      </c>
      <c r="H56">
        <v>452.2</v>
      </c>
      <c r="I56">
        <v>437.8</v>
      </c>
      <c r="J56">
        <v>438.3</v>
      </c>
      <c r="K56">
        <v>426.5</v>
      </c>
      <c r="L56">
        <v>396.4</v>
      </c>
      <c r="M56">
        <v>0.39800000000000002</v>
      </c>
      <c r="N56">
        <v>0.52800000000000002</v>
      </c>
      <c r="O56">
        <v>0.55500000000000005</v>
      </c>
      <c r="P56">
        <v>0.54600000000000004</v>
      </c>
      <c r="Q56">
        <v>0.52200000000000002</v>
      </c>
      <c r="R56">
        <v>0.47499999999999998</v>
      </c>
      <c r="S56">
        <v>0.48899999999999999</v>
      </c>
      <c r="T56">
        <v>0.48599999999999999</v>
      </c>
      <c r="U56">
        <v>0.49</v>
      </c>
      <c r="V56">
        <v>0.50900000000000001</v>
      </c>
      <c r="W56" t="s">
        <v>901</v>
      </c>
      <c r="X56" t="s">
        <v>901</v>
      </c>
      <c r="Y56" t="s">
        <v>901</v>
      </c>
      <c r="Z56" t="s">
        <v>901</v>
      </c>
      <c r="AA56" t="s">
        <v>901</v>
      </c>
      <c r="AB56" t="s">
        <v>901</v>
      </c>
      <c r="AC56" t="s">
        <v>901</v>
      </c>
      <c r="AD56" t="s">
        <v>901</v>
      </c>
      <c r="AE56" t="s">
        <v>910</v>
      </c>
      <c r="AF56">
        <v>0</v>
      </c>
      <c r="AG56">
        <v>381.4</v>
      </c>
      <c r="AH56">
        <v>354.1</v>
      </c>
      <c r="AI56">
        <v>358.8</v>
      </c>
      <c r="AJ56">
        <v>365.2</v>
      </c>
      <c r="AK56">
        <v>367.2</v>
      </c>
      <c r="AL56">
        <v>366.6</v>
      </c>
      <c r="AM56" s="157">
        <v>364.5</v>
      </c>
      <c r="AN56" s="157">
        <v>364.5</v>
      </c>
      <c r="AO56" s="157">
        <v>358.5</v>
      </c>
      <c r="AP56" s="157">
        <v>345.9</v>
      </c>
    </row>
    <row r="57" spans="1:42" ht="14.7" customHeight="1">
      <c r="A57" s="181" t="s">
        <v>304</v>
      </c>
      <c r="B57" s="181"/>
      <c r="C57">
        <v>493.9</v>
      </c>
      <c r="D57">
        <v>510.4</v>
      </c>
      <c r="E57">
        <v>499.4</v>
      </c>
      <c r="F57">
        <v>518.29999999999995</v>
      </c>
      <c r="G57">
        <v>541.5</v>
      </c>
      <c r="H57">
        <v>553.1</v>
      </c>
      <c r="I57">
        <v>544.5</v>
      </c>
      <c r="J57">
        <v>561.1</v>
      </c>
      <c r="K57">
        <v>560</v>
      </c>
      <c r="L57">
        <v>560.5</v>
      </c>
      <c r="M57">
        <v>0.51600000000000001</v>
      </c>
      <c r="N57">
        <v>0.51100000000000001</v>
      </c>
      <c r="O57">
        <v>0.50700000000000001</v>
      </c>
      <c r="P57">
        <v>0.498</v>
      </c>
      <c r="Q57">
        <v>0.48499999999999999</v>
      </c>
      <c r="R57">
        <v>0.45</v>
      </c>
      <c r="S57">
        <v>0.46200000000000002</v>
      </c>
      <c r="T57">
        <v>0.44900000000000001</v>
      </c>
      <c r="U57">
        <v>0.442</v>
      </c>
      <c r="V57">
        <v>0.439</v>
      </c>
      <c r="W57">
        <v>0.46300000000000002</v>
      </c>
      <c r="X57">
        <v>0.46100000000000002</v>
      </c>
      <c r="Y57">
        <v>0.4</v>
      </c>
      <c r="Z57">
        <v>0.215</v>
      </c>
      <c r="AA57">
        <v>0.221</v>
      </c>
      <c r="AB57">
        <v>0.20599999999999999</v>
      </c>
      <c r="AC57">
        <v>0.16800000000000001</v>
      </c>
      <c r="AD57">
        <v>0.14299999999999999</v>
      </c>
      <c r="AE57">
        <v>0.151</v>
      </c>
      <c r="AF57">
        <v>0.20200000000000001</v>
      </c>
      <c r="AG57">
        <v>439.3</v>
      </c>
      <c r="AH57">
        <v>449.4</v>
      </c>
      <c r="AI57">
        <v>437.4</v>
      </c>
      <c r="AJ57">
        <v>440.7</v>
      </c>
      <c r="AK57">
        <v>442.9</v>
      </c>
      <c r="AL57">
        <v>415.5</v>
      </c>
      <c r="AM57" s="157">
        <v>417.3</v>
      </c>
      <c r="AN57" s="157">
        <v>424.2</v>
      </c>
      <c r="AO57" s="157">
        <v>418.4</v>
      </c>
      <c r="AP57" s="157">
        <v>417.4</v>
      </c>
    </row>
    <row r="58" spans="1:42" ht="14.7" customHeight="1">
      <c r="A58" s="181" t="s">
        <v>32</v>
      </c>
      <c r="B58" s="181"/>
      <c r="C58">
        <v>441.1</v>
      </c>
      <c r="D58">
        <v>416.1</v>
      </c>
      <c r="E58">
        <v>429</v>
      </c>
      <c r="F58">
        <v>430.4</v>
      </c>
      <c r="G58">
        <v>440.3</v>
      </c>
      <c r="H58">
        <v>443</v>
      </c>
      <c r="I58">
        <v>453.9</v>
      </c>
      <c r="J58">
        <v>458.5</v>
      </c>
      <c r="K58">
        <v>448.3</v>
      </c>
      <c r="L58">
        <v>454.5</v>
      </c>
      <c r="M58">
        <v>0.46100000000000002</v>
      </c>
      <c r="N58">
        <v>0.49</v>
      </c>
      <c r="O58">
        <v>0.48699999999999999</v>
      </c>
      <c r="P58">
        <v>0.49099999999999999</v>
      </c>
      <c r="Q58">
        <v>0.48399999999999999</v>
      </c>
      <c r="R58">
        <v>0.48399999999999999</v>
      </c>
      <c r="S58">
        <v>0.48399999999999999</v>
      </c>
      <c r="T58">
        <v>0.45500000000000002</v>
      </c>
      <c r="U58">
        <v>0.44900000000000001</v>
      </c>
      <c r="V58">
        <v>0.437</v>
      </c>
      <c r="W58" t="s">
        <v>901</v>
      </c>
      <c r="X58" t="s">
        <v>901</v>
      </c>
      <c r="Y58" t="s">
        <v>901</v>
      </c>
      <c r="Z58" t="s">
        <v>901</v>
      </c>
      <c r="AA58" t="s">
        <v>901</v>
      </c>
      <c r="AB58" t="s">
        <v>901</v>
      </c>
      <c r="AC58" t="s">
        <v>901</v>
      </c>
      <c r="AD58" t="s">
        <v>901</v>
      </c>
      <c r="AE58" t="s">
        <v>910</v>
      </c>
      <c r="AF58">
        <v>0</v>
      </c>
      <c r="AG58">
        <v>340.9</v>
      </c>
      <c r="AH58">
        <v>338.6</v>
      </c>
      <c r="AI58">
        <v>349.9</v>
      </c>
      <c r="AJ58">
        <v>352.1</v>
      </c>
      <c r="AK58">
        <v>352.4</v>
      </c>
      <c r="AL58">
        <v>345.3</v>
      </c>
      <c r="AM58" s="157">
        <v>351.6</v>
      </c>
      <c r="AN58" s="157">
        <v>339.5</v>
      </c>
      <c r="AO58" s="157">
        <v>329</v>
      </c>
      <c r="AP58" s="157">
        <v>325.8</v>
      </c>
    </row>
    <row r="59" spans="1:42" ht="14.7" customHeight="1">
      <c r="A59" s="181" t="s">
        <v>33</v>
      </c>
      <c r="B59" s="181"/>
      <c r="C59">
        <v>609.6</v>
      </c>
      <c r="D59">
        <v>572.9</v>
      </c>
      <c r="E59">
        <v>528</v>
      </c>
      <c r="F59">
        <v>538.5</v>
      </c>
      <c r="G59">
        <v>531.5</v>
      </c>
      <c r="H59">
        <v>597.5</v>
      </c>
      <c r="I59">
        <v>528.79999999999995</v>
      </c>
      <c r="J59">
        <v>433.8</v>
      </c>
      <c r="K59">
        <v>472</v>
      </c>
      <c r="L59">
        <v>482.5</v>
      </c>
      <c r="M59">
        <v>0.39100000000000001</v>
      </c>
      <c r="N59">
        <v>0.42499999999999999</v>
      </c>
      <c r="O59">
        <v>0.46200000000000002</v>
      </c>
      <c r="P59">
        <v>0.45900000000000002</v>
      </c>
      <c r="Q59">
        <v>0.46400000000000002</v>
      </c>
      <c r="R59">
        <v>0.41599999999999998</v>
      </c>
      <c r="S59">
        <v>0.47</v>
      </c>
      <c r="T59">
        <v>0.53</v>
      </c>
      <c r="U59">
        <v>0.48299999999999998</v>
      </c>
      <c r="V59">
        <v>0.46</v>
      </c>
      <c r="W59" t="s">
        <v>901</v>
      </c>
      <c r="X59" t="s">
        <v>901</v>
      </c>
      <c r="Y59" t="s">
        <v>901</v>
      </c>
      <c r="Z59" t="s">
        <v>901</v>
      </c>
      <c r="AA59" t="s">
        <v>901</v>
      </c>
      <c r="AB59" t="s">
        <v>901</v>
      </c>
      <c r="AC59" t="s">
        <v>901</v>
      </c>
      <c r="AD59" t="s">
        <v>901</v>
      </c>
      <c r="AE59" t="s">
        <v>910</v>
      </c>
      <c r="AF59">
        <v>0</v>
      </c>
      <c r="AG59">
        <v>431.6</v>
      </c>
      <c r="AH59">
        <v>420.4</v>
      </c>
      <c r="AI59">
        <v>417</v>
      </c>
      <c r="AJ59">
        <v>422.2</v>
      </c>
      <c r="AK59">
        <v>419.7</v>
      </c>
      <c r="AL59">
        <v>428.2</v>
      </c>
      <c r="AM59" s="157">
        <v>418.3</v>
      </c>
      <c r="AN59" s="157">
        <v>389.3</v>
      </c>
      <c r="AO59" s="157">
        <v>387.1</v>
      </c>
      <c r="AP59" s="157">
        <v>380.4</v>
      </c>
    </row>
    <row r="60" spans="1:42" ht="14.7" customHeight="1">
      <c r="A60" s="181" t="s">
        <v>34</v>
      </c>
      <c r="B60" s="181"/>
      <c r="C60">
        <v>586.6</v>
      </c>
      <c r="D60">
        <v>443.9</v>
      </c>
      <c r="E60">
        <v>459.5</v>
      </c>
      <c r="F60">
        <v>461.5</v>
      </c>
      <c r="G60">
        <v>475.4</v>
      </c>
      <c r="H60">
        <v>472.3</v>
      </c>
      <c r="I60">
        <v>469.2</v>
      </c>
      <c r="J60">
        <v>448.6</v>
      </c>
      <c r="K60">
        <v>437.6</v>
      </c>
      <c r="L60">
        <v>433.8</v>
      </c>
      <c r="M60">
        <v>0.34699999999999998</v>
      </c>
      <c r="N60">
        <v>0.46100000000000002</v>
      </c>
      <c r="O60">
        <v>0.45200000000000001</v>
      </c>
      <c r="P60">
        <v>0.45600000000000002</v>
      </c>
      <c r="Q60">
        <v>0.45600000000000002</v>
      </c>
      <c r="R60">
        <v>0.45400000000000001</v>
      </c>
      <c r="S60">
        <v>0.47299999999999998</v>
      </c>
      <c r="T60">
        <v>0.48499999999999999</v>
      </c>
      <c r="U60">
        <v>0.50700000000000001</v>
      </c>
      <c r="V60">
        <v>0.50900000000000001</v>
      </c>
      <c r="W60" t="s">
        <v>901</v>
      </c>
      <c r="X60" t="s">
        <v>901</v>
      </c>
      <c r="Y60" t="s">
        <v>901</v>
      </c>
      <c r="Z60" t="s">
        <v>901</v>
      </c>
      <c r="AA60" t="s">
        <v>901</v>
      </c>
      <c r="AB60" t="s">
        <v>901</v>
      </c>
      <c r="AC60" t="s">
        <v>901</v>
      </c>
      <c r="AD60" t="s">
        <v>901</v>
      </c>
      <c r="AE60" t="s">
        <v>910</v>
      </c>
      <c r="AF60">
        <v>0</v>
      </c>
      <c r="AG60">
        <v>421.1</v>
      </c>
      <c r="AH60">
        <v>378.6</v>
      </c>
      <c r="AI60">
        <v>385.3</v>
      </c>
      <c r="AJ60">
        <v>391.6</v>
      </c>
      <c r="AK60">
        <v>401.4</v>
      </c>
      <c r="AL60">
        <v>397.5</v>
      </c>
      <c r="AM60" s="157">
        <v>407.9</v>
      </c>
      <c r="AN60" s="157">
        <v>404.8</v>
      </c>
      <c r="AO60" s="157">
        <v>417.8</v>
      </c>
      <c r="AP60" s="157">
        <v>422.2</v>
      </c>
    </row>
    <row r="61" spans="1:42" ht="14.7" customHeight="1">
      <c r="A61" s="181" t="s">
        <v>35</v>
      </c>
      <c r="B61" s="181"/>
      <c r="C61">
        <v>412.9</v>
      </c>
      <c r="D61">
        <v>411.3</v>
      </c>
      <c r="E61">
        <v>433.9</v>
      </c>
      <c r="F61">
        <v>442.3</v>
      </c>
      <c r="G61">
        <v>445.2</v>
      </c>
      <c r="H61">
        <v>436.8</v>
      </c>
      <c r="I61">
        <v>431.7</v>
      </c>
      <c r="J61">
        <v>424.3</v>
      </c>
      <c r="K61">
        <v>432.3</v>
      </c>
      <c r="L61">
        <v>422</v>
      </c>
      <c r="M61">
        <v>0.57499999999999996</v>
      </c>
      <c r="N61">
        <v>0.57299999999999995</v>
      </c>
      <c r="O61">
        <v>0.54800000000000004</v>
      </c>
      <c r="P61">
        <v>0.53900000000000003</v>
      </c>
      <c r="Q61">
        <v>0.54800000000000004</v>
      </c>
      <c r="R61">
        <v>0.55100000000000005</v>
      </c>
      <c r="S61">
        <v>0.56499999999999995</v>
      </c>
      <c r="T61">
        <v>0.55600000000000005</v>
      </c>
      <c r="U61">
        <v>0.54200000000000004</v>
      </c>
      <c r="V61">
        <v>0.55100000000000005</v>
      </c>
      <c r="W61" t="s">
        <v>901</v>
      </c>
      <c r="X61" t="s">
        <v>901</v>
      </c>
      <c r="Y61" t="s">
        <v>901</v>
      </c>
      <c r="Z61" t="s">
        <v>901</v>
      </c>
      <c r="AA61" t="s">
        <v>901</v>
      </c>
      <c r="AB61" t="s">
        <v>901</v>
      </c>
      <c r="AC61" t="s">
        <v>901</v>
      </c>
      <c r="AD61" t="s">
        <v>901</v>
      </c>
      <c r="AE61" t="s">
        <v>910</v>
      </c>
      <c r="AF61">
        <v>0</v>
      </c>
      <c r="AG61">
        <v>414.7</v>
      </c>
      <c r="AH61">
        <v>406.1</v>
      </c>
      <c r="AI61">
        <v>402.9</v>
      </c>
      <c r="AJ61">
        <v>403.1</v>
      </c>
      <c r="AK61">
        <v>411.8</v>
      </c>
      <c r="AL61">
        <v>405.7</v>
      </c>
      <c r="AM61" s="157">
        <v>418.7</v>
      </c>
      <c r="AN61" s="157">
        <v>408.4</v>
      </c>
      <c r="AO61" s="157">
        <v>405.7</v>
      </c>
      <c r="AP61" s="157">
        <v>409.1</v>
      </c>
    </row>
    <row r="62" spans="1:42" ht="14.7" customHeight="1">
      <c r="A62" s="181" t="s">
        <v>305</v>
      </c>
      <c r="B62" s="181"/>
      <c r="C62">
        <v>566</v>
      </c>
      <c r="D62">
        <v>505.9</v>
      </c>
      <c r="E62">
        <v>489.6</v>
      </c>
      <c r="F62">
        <v>500.5</v>
      </c>
      <c r="G62">
        <v>467.6</v>
      </c>
      <c r="H62">
        <v>486.3</v>
      </c>
      <c r="I62">
        <v>499.5</v>
      </c>
      <c r="J62">
        <v>487.5</v>
      </c>
      <c r="K62">
        <v>492.2</v>
      </c>
      <c r="L62">
        <v>477.8</v>
      </c>
      <c r="M62">
        <v>0.49</v>
      </c>
      <c r="N62">
        <v>0.52900000000000003</v>
      </c>
      <c r="O62">
        <v>0.53800000000000003</v>
      </c>
      <c r="P62">
        <v>0.53300000000000003</v>
      </c>
      <c r="Q62">
        <v>0.56799999999999995</v>
      </c>
      <c r="R62">
        <v>0.55300000000000005</v>
      </c>
      <c r="S62">
        <v>0.55200000000000005</v>
      </c>
      <c r="T62">
        <v>0.54400000000000004</v>
      </c>
      <c r="U62">
        <v>0.51800000000000002</v>
      </c>
      <c r="V62">
        <v>0.56499999999999995</v>
      </c>
      <c r="W62">
        <v>0.47799999999999998</v>
      </c>
      <c r="X62">
        <v>0.435</v>
      </c>
      <c r="Y62">
        <v>0.42399999999999999</v>
      </c>
      <c r="Z62">
        <v>0.38500000000000001</v>
      </c>
      <c r="AA62">
        <v>0.248</v>
      </c>
      <c r="AB62">
        <v>0.27700000000000002</v>
      </c>
      <c r="AC62">
        <v>0.26300000000000001</v>
      </c>
      <c r="AD62">
        <v>0.248</v>
      </c>
      <c r="AE62">
        <v>6.7000000000000004E-2</v>
      </c>
      <c r="AF62">
        <v>2.9000000000000001E-2</v>
      </c>
      <c r="AG62">
        <v>505.6</v>
      </c>
      <c r="AH62">
        <v>487.2</v>
      </c>
      <c r="AI62">
        <v>473</v>
      </c>
      <c r="AJ62">
        <v>478.6</v>
      </c>
      <c r="AK62">
        <v>483</v>
      </c>
      <c r="AL62">
        <v>484.8</v>
      </c>
      <c r="AM62" s="157">
        <v>500</v>
      </c>
      <c r="AN62" s="157">
        <v>480.7</v>
      </c>
      <c r="AO62" s="157">
        <v>463.1</v>
      </c>
      <c r="AP62" s="157">
        <v>501.3</v>
      </c>
    </row>
    <row r="63" spans="1:42" ht="14.7" customHeight="1">
      <c r="A63" s="181" t="s">
        <v>918</v>
      </c>
      <c r="B63" s="181"/>
      <c r="C63">
        <v>590.20000000000005</v>
      </c>
      <c r="D63">
        <v>551.20000000000005</v>
      </c>
      <c r="E63">
        <v>453.8</v>
      </c>
      <c r="F63">
        <v>448.2</v>
      </c>
      <c r="G63">
        <v>439.4</v>
      </c>
      <c r="H63">
        <v>453.6</v>
      </c>
      <c r="I63">
        <v>462</v>
      </c>
      <c r="J63">
        <v>433.3</v>
      </c>
      <c r="K63">
        <v>425.1</v>
      </c>
      <c r="L63">
        <v>453.9</v>
      </c>
      <c r="M63">
        <v>0.48099999999999998</v>
      </c>
      <c r="N63">
        <v>0.496</v>
      </c>
      <c r="O63">
        <v>0.56100000000000005</v>
      </c>
      <c r="P63">
        <v>0.57499999999999996</v>
      </c>
      <c r="Q63">
        <v>0.59099999999999997</v>
      </c>
      <c r="R63">
        <v>0.57699999999999996</v>
      </c>
      <c r="S63">
        <v>0.57999999999999996</v>
      </c>
      <c r="T63">
        <v>0.58299999999999996</v>
      </c>
      <c r="U63">
        <v>0.59</v>
      </c>
      <c r="V63">
        <v>0.56399999999999995</v>
      </c>
      <c r="W63">
        <v>0.5</v>
      </c>
      <c r="X63">
        <v>0.48199999999999998</v>
      </c>
      <c r="Y63">
        <v>0.41099999999999998</v>
      </c>
      <c r="Z63">
        <v>0.39800000000000002</v>
      </c>
      <c r="AA63">
        <v>0.247</v>
      </c>
      <c r="AB63">
        <v>2.9000000000000001E-2</v>
      </c>
      <c r="AC63">
        <v>3.0000000000000001E-3</v>
      </c>
      <c r="AD63">
        <v>1.4999999999999999E-2</v>
      </c>
      <c r="AE63">
        <v>6.0000000000000001E-3</v>
      </c>
      <c r="AF63">
        <v>5.0000000000000001E-3</v>
      </c>
      <c r="AG63">
        <v>506.8</v>
      </c>
      <c r="AH63">
        <v>490.5</v>
      </c>
      <c r="AI63">
        <v>461.2</v>
      </c>
      <c r="AJ63">
        <v>474</v>
      </c>
      <c r="AK63">
        <v>482.5</v>
      </c>
      <c r="AL63">
        <v>481.1</v>
      </c>
      <c r="AM63" s="157">
        <v>497.9</v>
      </c>
      <c r="AN63" s="157">
        <v>473.5</v>
      </c>
      <c r="AO63" s="157">
        <v>475.3</v>
      </c>
      <c r="AP63" s="157">
        <v>480.4</v>
      </c>
    </row>
    <row r="64" spans="1:42" ht="14.7" customHeight="1">
      <c r="A64" s="181" t="s">
        <v>36</v>
      </c>
      <c r="B64" s="181"/>
      <c r="C64">
        <v>519.5</v>
      </c>
      <c r="D64">
        <v>501.8</v>
      </c>
      <c r="E64">
        <v>489</v>
      </c>
      <c r="F64">
        <v>488.9</v>
      </c>
      <c r="G64">
        <v>483.2</v>
      </c>
      <c r="H64">
        <v>446.9</v>
      </c>
      <c r="I64">
        <v>446.2</v>
      </c>
      <c r="J64">
        <v>427.4</v>
      </c>
      <c r="K64">
        <v>434.6</v>
      </c>
      <c r="L64">
        <v>463.1</v>
      </c>
      <c r="M64">
        <v>0.39600000000000002</v>
      </c>
      <c r="N64">
        <v>0.39800000000000002</v>
      </c>
      <c r="O64">
        <v>0.40400000000000003</v>
      </c>
      <c r="P64">
        <v>0.41499999999999998</v>
      </c>
      <c r="Q64">
        <v>0.42299999999999999</v>
      </c>
      <c r="R64">
        <v>0.45500000000000002</v>
      </c>
      <c r="S64">
        <v>0.46</v>
      </c>
      <c r="T64">
        <v>0.46300000000000002</v>
      </c>
      <c r="U64">
        <v>0.441</v>
      </c>
      <c r="V64">
        <v>0.434</v>
      </c>
      <c r="W64" t="s">
        <v>901</v>
      </c>
      <c r="X64" t="s">
        <v>901</v>
      </c>
      <c r="Y64" t="s">
        <v>901</v>
      </c>
      <c r="Z64" t="s">
        <v>901</v>
      </c>
      <c r="AA64" t="s">
        <v>901</v>
      </c>
      <c r="AB64" t="s">
        <v>901</v>
      </c>
      <c r="AC64" t="s">
        <v>901</v>
      </c>
      <c r="AD64" t="s">
        <v>901</v>
      </c>
      <c r="AE64" t="s">
        <v>910</v>
      </c>
      <c r="AF64">
        <v>0</v>
      </c>
      <c r="AG64">
        <v>413</v>
      </c>
      <c r="AH64">
        <v>399.4</v>
      </c>
      <c r="AI64">
        <v>384.3</v>
      </c>
      <c r="AJ64">
        <v>392.3</v>
      </c>
      <c r="AK64">
        <v>392.6</v>
      </c>
      <c r="AL64">
        <v>384.4</v>
      </c>
      <c r="AM64" s="157">
        <v>388.3</v>
      </c>
      <c r="AN64" s="157">
        <v>374.4</v>
      </c>
      <c r="AO64" s="157">
        <v>366</v>
      </c>
      <c r="AP64" s="157">
        <v>384.8</v>
      </c>
    </row>
    <row r="65" spans="1:42" ht="14.7" customHeight="1">
      <c r="A65" s="181" t="s">
        <v>37</v>
      </c>
      <c r="B65" s="181"/>
      <c r="C65">
        <v>476.1</v>
      </c>
      <c r="D65">
        <v>479.1</v>
      </c>
      <c r="E65">
        <v>435.4</v>
      </c>
      <c r="F65">
        <v>435.1</v>
      </c>
      <c r="G65">
        <v>473.1</v>
      </c>
      <c r="H65">
        <v>478.4</v>
      </c>
      <c r="I65">
        <v>439.6</v>
      </c>
      <c r="J65">
        <v>414.4</v>
      </c>
      <c r="K65">
        <v>397.6</v>
      </c>
      <c r="L65">
        <v>422.4</v>
      </c>
      <c r="M65">
        <v>0.39200000000000002</v>
      </c>
      <c r="N65">
        <v>0.38500000000000001</v>
      </c>
      <c r="O65">
        <v>0.38500000000000001</v>
      </c>
      <c r="P65">
        <v>0.39500000000000002</v>
      </c>
      <c r="Q65">
        <v>0.38400000000000001</v>
      </c>
      <c r="R65">
        <v>0.39900000000000002</v>
      </c>
      <c r="S65">
        <v>0.41099999999999998</v>
      </c>
      <c r="T65">
        <v>0.44600000000000001</v>
      </c>
      <c r="U65">
        <v>0.46500000000000002</v>
      </c>
      <c r="V65">
        <v>0.44900000000000001</v>
      </c>
      <c r="W65" t="s">
        <v>901</v>
      </c>
      <c r="X65" t="s">
        <v>901</v>
      </c>
      <c r="Y65" t="s">
        <v>901</v>
      </c>
      <c r="Z65" t="s">
        <v>901</v>
      </c>
      <c r="AA65" t="s">
        <v>901</v>
      </c>
      <c r="AB65" t="s">
        <v>901</v>
      </c>
      <c r="AC65" t="s">
        <v>901</v>
      </c>
      <c r="AD65" t="s">
        <v>901</v>
      </c>
      <c r="AE65" t="s">
        <v>910</v>
      </c>
      <c r="AF65">
        <v>0</v>
      </c>
      <c r="AG65">
        <v>384.8</v>
      </c>
      <c r="AH65">
        <v>373.7</v>
      </c>
      <c r="AI65">
        <v>339.8</v>
      </c>
      <c r="AJ65">
        <v>345.6</v>
      </c>
      <c r="AK65">
        <v>367.2</v>
      </c>
      <c r="AL65">
        <v>377.4</v>
      </c>
      <c r="AM65" s="157">
        <v>354.5</v>
      </c>
      <c r="AN65" s="157">
        <v>352.5</v>
      </c>
      <c r="AO65" s="157">
        <v>352.1</v>
      </c>
      <c r="AP65" s="157">
        <v>365.1</v>
      </c>
    </row>
    <row r="66" spans="1:42" ht="14.7" customHeight="1">
      <c r="A66" s="181" t="s">
        <v>38</v>
      </c>
      <c r="B66" s="181"/>
      <c r="C66">
        <v>456.6</v>
      </c>
      <c r="D66">
        <v>446.3</v>
      </c>
      <c r="E66">
        <v>448.1</v>
      </c>
      <c r="F66">
        <v>382.8</v>
      </c>
      <c r="G66">
        <v>380.6</v>
      </c>
      <c r="H66" t="s">
        <v>901</v>
      </c>
      <c r="I66" t="s">
        <v>901</v>
      </c>
      <c r="J66" t="s">
        <v>901</v>
      </c>
      <c r="K66" t="s">
        <v>901</v>
      </c>
      <c r="L66" t="s">
        <v>901</v>
      </c>
      <c r="M66">
        <v>0.47</v>
      </c>
      <c r="N66">
        <v>0.47199999999999998</v>
      </c>
      <c r="O66">
        <v>0.45400000000000001</v>
      </c>
      <c r="P66">
        <v>0.53300000000000003</v>
      </c>
      <c r="Q66">
        <v>0.57399999999999995</v>
      </c>
      <c r="R66" t="s">
        <v>901</v>
      </c>
      <c r="S66" t="s">
        <v>901</v>
      </c>
      <c r="T66" t="s">
        <v>901</v>
      </c>
      <c r="U66" t="s">
        <v>901</v>
      </c>
      <c r="V66" t="s">
        <v>901</v>
      </c>
      <c r="W66" t="s">
        <v>901</v>
      </c>
      <c r="X66" t="s">
        <v>901</v>
      </c>
      <c r="Y66" t="s">
        <v>901</v>
      </c>
      <c r="Z66" t="s">
        <v>901</v>
      </c>
      <c r="AA66" t="s">
        <v>901</v>
      </c>
      <c r="AB66" t="s">
        <v>901</v>
      </c>
      <c r="AC66" t="s">
        <v>901</v>
      </c>
      <c r="AD66" t="s">
        <v>901</v>
      </c>
      <c r="AE66" t="s">
        <v>901</v>
      </c>
      <c r="AF66" t="s">
        <v>901</v>
      </c>
      <c r="AG66">
        <v>363.5</v>
      </c>
      <c r="AH66">
        <v>355.8</v>
      </c>
      <c r="AI66">
        <v>342.1</v>
      </c>
      <c r="AJ66">
        <v>341.6</v>
      </c>
      <c r="AK66">
        <v>370.7</v>
      </c>
      <c r="AL66" t="s">
        <v>901</v>
      </c>
      <c r="AM66" s="157" t="s">
        <v>901</v>
      </c>
      <c r="AN66" s="157" t="s">
        <v>901</v>
      </c>
      <c r="AO66" s="157" t="s">
        <v>901</v>
      </c>
      <c r="AP66" s="157" t="s">
        <v>901</v>
      </c>
    </row>
    <row r="67" spans="1:42" ht="14.7" customHeight="1">
      <c r="A67" s="181" t="s">
        <v>39</v>
      </c>
      <c r="B67" s="181"/>
      <c r="C67">
        <v>463.5</v>
      </c>
      <c r="D67">
        <v>460.6</v>
      </c>
      <c r="E67">
        <v>458.8</v>
      </c>
      <c r="F67">
        <v>460.1</v>
      </c>
      <c r="G67">
        <v>479.1</v>
      </c>
      <c r="H67">
        <v>484.3</v>
      </c>
      <c r="I67">
        <v>489.2</v>
      </c>
      <c r="J67">
        <v>489</v>
      </c>
      <c r="K67">
        <v>478.3</v>
      </c>
      <c r="L67">
        <v>455</v>
      </c>
      <c r="M67">
        <v>0.48499999999999999</v>
      </c>
      <c r="N67">
        <v>0.48799999999999999</v>
      </c>
      <c r="O67">
        <v>0.48099999999999998</v>
      </c>
      <c r="P67">
        <v>0.48699999999999999</v>
      </c>
      <c r="Q67">
        <v>0.47699999999999998</v>
      </c>
      <c r="R67">
        <v>0.48</v>
      </c>
      <c r="S67">
        <v>0.47199999999999998</v>
      </c>
      <c r="T67">
        <v>0.42699999999999999</v>
      </c>
      <c r="U67">
        <v>0.433</v>
      </c>
      <c r="V67">
        <v>0.46600000000000003</v>
      </c>
      <c r="W67" t="s">
        <v>901</v>
      </c>
      <c r="X67" t="s">
        <v>901</v>
      </c>
      <c r="Y67" t="s">
        <v>901</v>
      </c>
      <c r="Z67" t="s">
        <v>901</v>
      </c>
      <c r="AA67" t="s">
        <v>901</v>
      </c>
      <c r="AB67" t="s">
        <v>901</v>
      </c>
      <c r="AC67" t="s">
        <v>901</v>
      </c>
      <c r="AD67" t="s">
        <v>901</v>
      </c>
      <c r="AE67" t="s">
        <v>910</v>
      </c>
      <c r="AF67">
        <v>0</v>
      </c>
      <c r="AG67">
        <v>395.5</v>
      </c>
      <c r="AH67">
        <v>396.3</v>
      </c>
      <c r="AI67">
        <v>386.3</v>
      </c>
      <c r="AJ67">
        <v>391.1</v>
      </c>
      <c r="AK67">
        <v>393</v>
      </c>
      <c r="AL67">
        <v>400.4</v>
      </c>
      <c r="AM67" s="157">
        <v>399.5</v>
      </c>
      <c r="AN67" s="157">
        <v>368.5</v>
      </c>
      <c r="AO67" s="157">
        <v>365.2</v>
      </c>
      <c r="AP67" s="157">
        <v>368.3</v>
      </c>
    </row>
    <row r="68" spans="1:42" ht="14.7" customHeight="1">
      <c r="A68" s="181" t="s">
        <v>371</v>
      </c>
      <c r="B68" s="181"/>
      <c r="C68">
        <v>459.3</v>
      </c>
      <c r="D68">
        <v>462.3</v>
      </c>
      <c r="E68">
        <v>385.9</v>
      </c>
      <c r="F68">
        <v>351.2</v>
      </c>
      <c r="G68">
        <v>377.8</v>
      </c>
      <c r="H68">
        <v>383</v>
      </c>
      <c r="I68">
        <v>398</v>
      </c>
      <c r="J68">
        <v>380.5</v>
      </c>
      <c r="K68">
        <v>378.8</v>
      </c>
      <c r="L68">
        <v>379.5</v>
      </c>
      <c r="M68">
        <v>0.39</v>
      </c>
      <c r="N68">
        <v>0.36899999999999999</v>
      </c>
      <c r="O68">
        <v>0.36399999999999999</v>
      </c>
      <c r="P68">
        <v>0.38800000000000001</v>
      </c>
      <c r="Q68">
        <v>0.34399999999999997</v>
      </c>
      <c r="R68">
        <v>0.308</v>
      </c>
      <c r="S68">
        <v>0.28499999999999998</v>
      </c>
      <c r="T68">
        <v>0.29199999999999998</v>
      </c>
      <c r="U68">
        <v>0.29899999999999999</v>
      </c>
      <c r="V68">
        <v>0.28899999999999998</v>
      </c>
      <c r="W68">
        <v>0.75</v>
      </c>
      <c r="X68">
        <v>0.214</v>
      </c>
      <c r="Y68">
        <v>0</v>
      </c>
      <c r="Z68">
        <v>0</v>
      </c>
      <c r="AA68">
        <v>0</v>
      </c>
      <c r="AB68">
        <v>0</v>
      </c>
      <c r="AC68">
        <v>1E-3</v>
      </c>
      <c r="AD68">
        <v>1E-3</v>
      </c>
      <c r="AE68">
        <v>1E-3</v>
      </c>
      <c r="AF68">
        <v>0</v>
      </c>
      <c r="AG68">
        <v>519.4</v>
      </c>
      <c r="AH68">
        <v>385.5</v>
      </c>
      <c r="AI68">
        <v>512.29999999999995</v>
      </c>
      <c r="AJ68">
        <v>493.6</v>
      </c>
      <c r="AK68">
        <v>493.8</v>
      </c>
      <c r="AL68">
        <v>428.8</v>
      </c>
      <c r="AM68" s="157">
        <v>405.7</v>
      </c>
      <c r="AN68" s="157">
        <v>482.7</v>
      </c>
      <c r="AO68" s="157">
        <v>438.6</v>
      </c>
      <c r="AP68" s="157">
        <v>407.1</v>
      </c>
    </row>
    <row r="69" spans="1:42" ht="14.7" customHeight="1">
      <c r="A69" s="181" t="s">
        <v>41</v>
      </c>
      <c r="B69" s="181"/>
      <c r="C69">
        <v>479.1</v>
      </c>
      <c r="D69">
        <v>469.6</v>
      </c>
      <c r="E69">
        <v>450</v>
      </c>
      <c r="F69">
        <v>438.7</v>
      </c>
      <c r="G69">
        <v>413.3</v>
      </c>
      <c r="H69">
        <v>416.1</v>
      </c>
      <c r="I69">
        <v>421.9</v>
      </c>
      <c r="J69">
        <v>310.89999999999998</v>
      </c>
      <c r="K69">
        <v>279.60000000000002</v>
      </c>
      <c r="L69">
        <v>280.60000000000002</v>
      </c>
      <c r="M69">
        <v>0.40200000000000002</v>
      </c>
      <c r="N69">
        <v>0.39900000000000002</v>
      </c>
      <c r="O69">
        <v>0.40300000000000002</v>
      </c>
      <c r="P69">
        <v>0.41199999999999998</v>
      </c>
      <c r="Q69">
        <v>0.42499999999999999</v>
      </c>
      <c r="R69">
        <v>0.47599999999999998</v>
      </c>
      <c r="S69">
        <v>0.45800000000000002</v>
      </c>
      <c r="T69">
        <v>0.54800000000000004</v>
      </c>
      <c r="U69">
        <v>0.58599999999999997</v>
      </c>
      <c r="V69">
        <v>0.58699999999999997</v>
      </c>
      <c r="W69" t="s">
        <v>901</v>
      </c>
      <c r="X69" t="s">
        <v>901</v>
      </c>
      <c r="Y69" t="s">
        <v>901</v>
      </c>
      <c r="Z69" t="s">
        <v>901</v>
      </c>
      <c r="AA69" t="s">
        <v>901</v>
      </c>
      <c r="AB69" t="s">
        <v>901</v>
      </c>
      <c r="AC69" t="s">
        <v>901</v>
      </c>
      <c r="AD69" t="s">
        <v>901</v>
      </c>
      <c r="AE69" t="s">
        <v>910</v>
      </c>
      <c r="AF69">
        <v>0</v>
      </c>
      <c r="AG69">
        <v>342.5</v>
      </c>
      <c r="AH69">
        <v>328</v>
      </c>
      <c r="AI69">
        <v>331.7</v>
      </c>
      <c r="AJ69">
        <v>327.60000000000002</v>
      </c>
      <c r="AK69">
        <v>314.3</v>
      </c>
      <c r="AL69">
        <v>338.2</v>
      </c>
      <c r="AM69" s="157">
        <v>330.5</v>
      </c>
      <c r="AN69" s="157">
        <v>289.8</v>
      </c>
      <c r="AO69" s="157">
        <v>284.7</v>
      </c>
      <c r="AP69" s="157">
        <v>286.5</v>
      </c>
    </row>
    <row r="70" spans="1:42" ht="14.7" customHeight="1">
      <c r="A70" s="181" t="s">
        <v>42</v>
      </c>
      <c r="B70" s="181"/>
      <c r="C70">
        <v>515.1</v>
      </c>
      <c r="D70">
        <v>521.4</v>
      </c>
      <c r="E70">
        <v>520.20000000000005</v>
      </c>
      <c r="F70">
        <v>567</v>
      </c>
      <c r="G70">
        <v>552</v>
      </c>
      <c r="H70">
        <v>550.20000000000005</v>
      </c>
      <c r="I70">
        <v>531.4</v>
      </c>
      <c r="J70">
        <v>509.6</v>
      </c>
      <c r="K70">
        <v>478.8</v>
      </c>
      <c r="L70">
        <v>483.2</v>
      </c>
      <c r="M70">
        <v>0.42899999999999999</v>
      </c>
      <c r="N70">
        <v>0.42099999999999999</v>
      </c>
      <c r="O70">
        <v>0.40799999999999997</v>
      </c>
      <c r="P70">
        <v>0.33500000000000002</v>
      </c>
      <c r="Q70">
        <v>0.34200000000000003</v>
      </c>
      <c r="R70">
        <v>0.32300000000000001</v>
      </c>
      <c r="S70">
        <v>0.32500000000000001</v>
      </c>
      <c r="T70">
        <v>0.32800000000000001</v>
      </c>
      <c r="U70">
        <v>0.36699999999999999</v>
      </c>
      <c r="V70">
        <v>0.36099999999999999</v>
      </c>
      <c r="W70" t="s">
        <v>901</v>
      </c>
      <c r="X70" t="s">
        <v>901</v>
      </c>
      <c r="Y70" t="s">
        <v>901</v>
      </c>
      <c r="Z70" t="s">
        <v>901</v>
      </c>
      <c r="AA70" t="s">
        <v>901</v>
      </c>
      <c r="AB70" t="s">
        <v>901</v>
      </c>
      <c r="AC70" t="s">
        <v>901</v>
      </c>
      <c r="AD70" t="s">
        <v>901</v>
      </c>
      <c r="AE70" t="s">
        <v>910</v>
      </c>
      <c r="AF70">
        <v>0</v>
      </c>
      <c r="AG70">
        <v>422.3</v>
      </c>
      <c r="AH70">
        <v>425.4</v>
      </c>
      <c r="AI70">
        <v>411.7</v>
      </c>
      <c r="AJ70">
        <v>402.4</v>
      </c>
      <c r="AK70">
        <v>396.8</v>
      </c>
      <c r="AL70">
        <v>388.3</v>
      </c>
      <c r="AM70" s="157">
        <v>379.3</v>
      </c>
      <c r="AN70" s="157">
        <v>370.4</v>
      </c>
      <c r="AO70" s="157">
        <v>371.5</v>
      </c>
      <c r="AP70" s="157">
        <v>373.6</v>
      </c>
    </row>
    <row r="71" spans="1:42" ht="14.7" customHeight="1">
      <c r="A71" s="181" t="s">
        <v>43</v>
      </c>
      <c r="B71" s="181"/>
      <c r="C71">
        <v>533.9</v>
      </c>
      <c r="D71">
        <v>511.1</v>
      </c>
      <c r="E71">
        <v>484.9</v>
      </c>
      <c r="F71">
        <v>497.8</v>
      </c>
      <c r="G71">
        <v>529.79999999999995</v>
      </c>
      <c r="H71">
        <v>522.79999999999995</v>
      </c>
      <c r="I71">
        <v>539</v>
      </c>
      <c r="J71">
        <v>510</v>
      </c>
      <c r="K71">
        <v>512.4</v>
      </c>
      <c r="L71" t="s">
        <v>901</v>
      </c>
      <c r="M71">
        <v>0.41699999999999998</v>
      </c>
      <c r="N71">
        <v>0.40899999999999997</v>
      </c>
      <c r="O71">
        <v>0.44800000000000001</v>
      </c>
      <c r="P71">
        <v>0.45400000000000001</v>
      </c>
      <c r="Q71">
        <v>0.42599999999999999</v>
      </c>
      <c r="R71">
        <v>0.42699999999999999</v>
      </c>
      <c r="S71">
        <v>0.42599999999999999</v>
      </c>
      <c r="T71">
        <v>0.44600000000000001</v>
      </c>
      <c r="U71">
        <v>0.44</v>
      </c>
      <c r="V71" t="s">
        <v>901</v>
      </c>
      <c r="W71" t="s">
        <v>901</v>
      </c>
      <c r="X71" t="s">
        <v>901</v>
      </c>
      <c r="Y71" t="s">
        <v>901</v>
      </c>
      <c r="Z71" t="s">
        <v>901</v>
      </c>
      <c r="AA71" t="s">
        <v>901</v>
      </c>
      <c r="AB71" t="s">
        <v>901</v>
      </c>
      <c r="AC71" t="s">
        <v>901</v>
      </c>
      <c r="AD71" t="s">
        <v>901</v>
      </c>
      <c r="AE71" t="s">
        <v>910</v>
      </c>
      <c r="AF71" t="s">
        <v>901</v>
      </c>
      <c r="AG71">
        <v>434.2</v>
      </c>
      <c r="AH71">
        <v>414</v>
      </c>
      <c r="AI71">
        <v>384.7</v>
      </c>
      <c r="AJ71">
        <v>396.2</v>
      </c>
      <c r="AK71">
        <v>397.3</v>
      </c>
      <c r="AL71">
        <v>380.4</v>
      </c>
      <c r="AM71" s="157">
        <v>390.3</v>
      </c>
      <c r="AN71" s="157">
        <v>377.8</v>
      </c>
      <c r="AO71" s="157">
        <v>375.3</v>
      </c>
      <c r="AP71" s="157" t="s">
        <v>901</v>
      </c>
    </row>
    <row r="72" spans="1:42" ht="14.7" customHeight="1">
      <c r="A72" s="181" t="s">
        <v>306</v>
      </c>
      <c r="B72" s="181"/>
      <c r="C72">
        <v>700.9</v>
      </c>
      <c r="D72">
        <v>679.5</v>
      </c>
      <c r="E72">
        <v>659.2</v>
      </c>
      <c r="F72">
        <v>635.6</v>
      </c>
      <c r="G72">
        <v>644.29999999999995</v>
      </c>
      <c r="H72">
        <v>656.8</v>
      </c>
      <c r="I72">
        <v>651.4</v>
      </c>
      <c r="J72">
        <v>636.70000000000005</v>
      </c>
      <c r="K72">
        <v>603.20000000000005</v>
      </c>
      <c r="L72">
        <v>640.1</v>
      </c>
      <c r="M72">
        <v>0.36199999999999999</v>
      </c>
      <c r="N72">
        <v>0.33800000000000002</v>
      </c>
      <c r="O72">
        <v>0.33900000000000002</v>
      </c>
      <c r="P72">
        <v>0.35099999999999998</v>
      </c>
      <c r="Q72">
        <v>0.34300000000000003</v>
      </c>
      <c r="R72">
        <v>0.33600000000000002</v>
      </c>
      <c r="S72">
        <v>0.34599999999999997</v>
      </c>
      <c r="T72">
        <v>0.35399999999999998</v>
      </c>
      <c r="U72">
        <v>0.38100000000000001</v>
      </c>
      <c r="V72">
        <v>0.33300000000000002</v>
      </c>
      <c r="W72">
        <v>0.621</v>
      </c>
      <c r="X72">
        <v>0.64200000000000002</v>
      </c>
      <c r="Y72">
        <v>0.64100000000000001</v>
      </c>
      <c r="Z72">
        <v>0.625</v>
      </c>
      <c r="AA72">
        <v>0.63500000000000001</v>
      </c>
      <c r="AB72">
        <v>0.65800000000000003</v>
      </c>
      <c r="AC72">
        <v>0.64700000000000002</v>
      </c>
      <c r="AD72">
        <v>0.113</v>
      </c>
      <c r="AE72">
        <v>4.9000000000000002E-2</v>
      </c>
      <c r="AF72">
        <v>0</v>
      </c>
      <c r="AG72">
        <v>522.9</v>
      </c>
      <c r="AH72">
        <v>489.2</v>
      </c>
      <c r="AI72">
        <v>479.6</v>
      </c>
      <c r="AJ72">
        <v>471.4</v>
      </c>
      <c r="AK72">
        <v>469.8</v>
      </c>
      <c r="AL72">
        <v>472.4</v>
      </c>
      <c r="AM72" s="157">
        <v>476.6</v>
      </c>
      <c r="AN72" s="157">
        <v>468.9</v>
      </c>
      <c r="AO72" s="157">
        <v>464.3</v>
      </c>
      <c r="AP72" s="157">
        <v>457.6</v>
      </c>
    </row>
    <row r="73" spans="1:42" ht="14.7" customHeight="1">
      <c r="A73" s="181" t="s">
        <v>44</v>
      </c>
      <c r="B73" s="181"/>
      <c r="C73">
        <v>354.6</v>
      </c>
      <c r="D73">
        <v>361.8</v>
      </c>
      <c r="E73">
        <v>361.3</v>
      </c>
      <c r="F73">
        <v>378.7</v>
      </c>
      <c r="G73">
        <v>388.7</v>
      </c>
      <c r="H73">
        <v>386</v>
      </c>
      <c r="I73">
        <v>383.1</v>
      </c>
      <c r="J73">
        <v>383.5</v>
      </c>
      <c r="K73">
        <v>375</v>
      </c>
      <c r="L73">
        <v>369.7</v>
      </c>
      <c r="M73">
        <v>0.60399999999999998</v>
      </c>
      <c r="N73">
        <v>0.58599999999999997</v>
      </c>
      <c r="O73">
        <v>0.58599999999999997</v>
      </c>
      <c r="P73">
        <v>0.57999999999999996</v>
      </c>
      <c r="Q73">
        <v>0.57999999999999996</v>
      </c>
      <c r="R73">
        <v>0.58199999999999996</v>
      </c>
      <c r="S73">
        <v>0.59599999999999997</v>
      </c>
      <c r="T73">
        <v>0.58699999999999997</v>
      </c>
      <c r="U73">
        <v>0.58899999999999997</v>
      </c>
      <c r="V73">
        <v>0.59299999999999997</v>
      </c>
      <c r="W73" t="s">
        <v>901</v>
      </c>
      <c r="X73" t="s">
        <v>901</v>
      </c>
      <c r="Y73" t="s">
        <v>901</v>
      </c>
      <c r="Z73" t="s">
        <v>901</v>
      </c>
      <c r="AA73" t="s">
        <v>901</v>
      </c>
      <c r="AB73" t="s">
        <v>901</v>
      </c>
      <c r="AC73" t="s">
        <v>901</v>
      </c>
      <c r="AD73" t="s">
        <v>901</v>
      </c>
      <c r="AE73" t="s">
        <v>910</v>
      </c>
      <c r="AF73">
        <v>0</v>
      </c>
      <c r="AG73">
        <v>420.7</v>
      </c>
      <c r="AH73">
        <v>416.2</v>
      </c>
      <c r="AI73">
        <v>420.6</v>
      </c>
      <c r="AJ73">
        <v>435.7</v>
      </c>
      <c r="AK73">
        <v>441.8</v>
      </c>
      <c r="AL73">
        <v>443.3</v>
      </c>
      <c r="AM73" s="157">
        <v>458.3</v>
      </c>
      <c r="AN73" s="157">
        <v>448.8</v>
      </c>
      <c r="AO73" s="157">
        <v>443.8</v>
      </c>
      <c r="AP73" s="157">
        <v>443.8</v>
      </c>
    </row>
    <row r="74" spans="1:42" ht="14.7" customHeight="1">
      <c r="A74" s="181" t="s">
        <v>810</v>
      </c>
      <c r="B74" s="181"/>
      <c r="C74">
        <v>619.6</v>
      </c>
      <c r="D74">
        <v>557.9</v>
      </c>
      <c r="E74">
        <v>538.5</v>
      </c>
      <c r="F74">
        <v>539</v>
      </c>
      <c r="G74">
        <v>543.5</v>
      </c>
      <c r="H74">
        <v>574.20000000000005</v>
      </c>
      <c r="I74">
        <v>574.79999999999995</v>
      </c>
      <c r="J74">
        <v>551.6</v>
      </c>
      <c r="K74">
        <v>534</v>
      </c>
      <c r="L74">
        <v>552.20000000000005</v>
      </c>
      <c r="M74">
        <v>0.39300000000000002</v>
      </c>
      <c r="N74">
        <v>0.443</v>
      </c>
      <c r="O74">
        <v>0.436</v>
      </c>
      <c r="P74">
        <v>0.42799999999999999</v>
      </c>
      <c r="Q74">
        <v>0.42599999999999999</v>
      </c>
      <c r="R74">
        <v>0.39100000000000001</v>
      </c>
      <c r="S74">
        <v>0.39500000000000002</v>
      </c>
      <c r="T74">
        <v>0.4</v>
      </c>
      <c r="U74">
        <v>0.42299999999999999</v>
      </c>
      <c r="V74">
        <v>0.41199999999999998</v>
      </c>
      <c r="W74">
        <v>0.53700000000000003</v>
      </c>
      <c r="X74">
        <v>0.32900000000000001</v>
      </c>
      <c r="Y74">
        <v>0.375</v>
      </c>
      <c r="Z74">
        <v>0.16400000000000001</v>
      </c>
      <c r="AA74">
        <v>2.4E-2</v>
      </c>
      <c r="AB74">
        <v>0.04</v>
      </c>
      <c r="AC74">
        <v>4.1000000000000002E-2</v>
      </c>
      <c r="AD74">
        <v>3.2000000000000001E-2</v>
      </c>
      <c r="AE74">
        <v>4.7E-2</v>
      </c>
      <c r="AF74">
        <v>2.1999999999999999E-2</v>
      </c>
      <c r="AG74">
        <v>472.2</v>
      </c>
      <c r="AH74">
        <v>460.5</v>
      </c>
      <c r="AI74">
        <v>438.9</v>
      </c>
      <c r="AJ74">
        <v>433.8</v>
      </c>
      <c r="AK74">
        <v>434.7</v>
      </c>
      <c r="AL74">
        <v>432</v>
      </c>
      <c r="AM74" s="157">
        <v>435.6</v>
      </c>
      <c r="AN74" s="157">
        <v>422.5</v>
      </c>
      <c r="AO74" s="157">
        <v>425</v>
      </c>
      <c r="AP74" s="157">
        <v>433.5</v>
      </c>
    </row>
    <row r="75" spans="1:42" ht="14.7" customHeight="1">
      <c r="A75" s="181" t="s">
        <v>229</v>
      </c>
      <c r="B75" s="181"/>
      <c r="C75">
        <v>591.70000000000005</v>
      </c>
      <c r="D75">
        <v>567.20000000000005</v>
      </c>
      <c r="E75">
        <v>564</v>
      </c>
      <c r="F75">
        <v>579.4</v>
      </c>
      <c r="G75">
        <v>607.5</v>
      </c>
      <c r="H75">
        <v>649.79999999999995</v>
      </c>
      <c r="I75">
        <v>660.6</v>
      </c>
      <c r="J75">
        <v>611.1</v>
      </c>
      <c r="K75">
        <v>588.79999999999995</v>
      </c>
      <c r="L75">
        <v>597.4</v>
      </c>
      <c r="M75">
        <v>0.373</v>
      </c>
      <c r="N75">
        <v>0.372</v>
      </c>
      <c r="O75">
        <v>0.36299999999999999</v>
      </c>
      <c r="P75">
        <v>0.35799999999999998</v>
      </c>
      <c r="Q75">
        <v>0.34100000000000003</v>
      </c>
      <c r="R75">
        <v>0.30299999999999999</v>
      </c>
      <c r="S75">
        <v>0.29899999999999999</v>
      </c>
      <c r="T75">
        <v>0.32900000000000001</v>
      </c>
      <c r="U75">
        <v>0.34100000000000003</v>
      </c>
      <c r="V75">
        <v>0.33400000000000002</v>
      </c>
      <c r="W75">
        <v>0.09</v>
      </c>
      <c r="X75">
        <v>8.2000000000000003E-2</v>
      </c>
      <c r="Y75">
        <v>0.08</v>
      </c>
      <c r="Z75">
        <v>8.4000000000000005E-2</v>
      </c>
      <c r="AA75">
        <v>8.3000000000000004E-2</v>
      </c>
      <c r="AB75">
        <v>0.08</v>
      </c>
      <c r="AC75">
        <v>7.6999999999999999E-2</v>
      </c>
      <c r="AD75">
        <v>8.5999999999999993E-2</v>
      </c>
      <c r="AE75">
        <v>7.2999999999999995E-2</v>
      </c>
      <c r="AF75">
        <v>6.3E-2</v>
      </c>
      <c r="AG75">
        <v>409</v>
      </c>
      <c r="AH75">
        <v>384.8</v>
      </c>
      <c r="AI75">
        <v>376.9</v>
      </c>
      <c r="AJ75">
        <v>378.9</v>
      </c>
      <c r="AK75">
        <v>381.1</v>
      </c>
      <c r="AL75">
        <v>372</v>
      </c>
      <c r="AM75" s="157">
        <v>371.1</v>
      </c>
      <c r="AN75" s="157">
        <v>354.5</v>
      </c>
      <c r="AO75" s="157">
        <v>345.5</v>
      </c>
      <c r="AP75" s="157">
        <v>344.7</v>
      </c>
    </row>
    <row r="76" spans="1:42" ht="14.7" customHeight="1">
      <c r="A76" s="181" t="s">
        <v>45</v>
      </c>
      <c r="B76" s="181"/>
      <c r="C76">
        <v>510.8</v>
      </c>
      <c r="D76">
        <v>506.4</v>
      </c>
      <c r="E76">
        <v>467.4</v>
      </c>
      <c r="F76">
        <v>454.6</v>
      </c>
      <c r="G76">
        <v>460</v>
      </c>
      <c r="H76">
        <v>461.4</v>
      </c>
      <c r="I76">
        <v>453.2</v>
      </c>
      <c r="J76">
        <v>452.1</v>
      </c>
      <c r="K76">
        <v>486.1</v>
      </c>
      <c r="L76">
        <v>461.2</v>
      </c>
      <c r="M76">
        <v>0.42899999999999999</v>
      </c>
      <c r="N76">
        <v>0.433</v>
      </c>
      <c r="O76">
        <v>0.434</v>
      </c>
      <c r="P76">
        <v>0.42599999999999999</v>
      </c>
      <c r="Q76">
        <v>0.42099999999999999</v>
      </c>
      <c r="R76">
        <v>0.41399999999999998</v>
      </c>
      <c r="S76">
        <v>0.42599999999999999</v>
      </c>
      <c r="T76">
        <v>0.42499999999999999</v>
      </c>
      <c r="U76">
        <v>0.377</v>
      </c>
      <c r="V76">
        <v>0.39200000000000002</v>
      </c>
      <c r="W76" t="s">
        <v>901</v>
      </c>
      <c r="X76" t="s">
        <v>901</v>
      </c>
      <c r="Y76" t="s">
        <v>901</v>
      </c>
      <c r="Z76" t="s">
        <v>901</v>
      </c>
      <c r="AA76" t="s">
        <v>901</v>
      </c>
      <c r="AB76" t="s">
        <v>901</v>
      </c>
      <c r="AC76" t="s">
        <v>901</v>
      </c>
      <c r="AD76" t="s">
        <v>901</v>
      </c>
      <c r="AE76" t="s">
        <v>910</v>
      </c>
      <c r="AF76">
        <v>0</v>
      </c>
      <c r="AG76">
        <v>416</v>
      </c>
      <c r="AH76">
        <v>423.6</v>
      </c>
      <c r="AI76">
        <v>392.3</v>
      </c>
      <c r="AJ76">
        <v>377.1</v>
      </c>
      <c r="AK76">
        <v>377</v>
      </c>
      <c r="AL76">
        <v>375.8</v>
      </c>
      <c r="AM76" s="157">
        <v>377</v>
      </c>
      <c r="AN76" s="157">
        <v>378.2</v>
      </c>
      <c r="AO76" s="157">
        <v>375.8</v>
      </c>
      <c r="AP76" s="157">
        <v>365.1</v>
      </c>
    </row>
    <row r="77" spans="1:42" ht="14.7" customHeight="1">
      <c r="A77" s="181" t="s">
        <v>46</v>
      </c>
      <c r="B77" s="181"/>
      <c r="C77">
        <v>529.4</v>
      </c>
      <c r="D77">
        <v>526.20000000000005</v>
      </c>
      <c r="E77">
        <v>527.20000000000005</v>
      </c>
      <c r="F77">
        <v>545.79999999999995</v>
      </c>
      <c r="G77">
        <v>526.5</v>
      </c>
      <c r="H77">
        <v>522.29999999999995</v>
      </c>
      <c r="I77">
        <v>539.20000000000005</v>
      </c>
      <c r="J77">
        <v>516.6</v>
      </c>
      <c r="K77">
        <v>514.9</v>
      </c>
      <c r="L77">
        <v>508.2</v>
      </c>
      <c r="M77">
        <v>0.28699999999999998</v>
      </c>
      <c r="N77">
        <v>0.27100000000000002</v>
      </c>
      <c r="O77">
        <v>0.26100000000000001</v>
      </c>
      <c r="P77">
        <v>0.249</v>
      </c>
      <c r="Q77">
        <v>0.26600000000000001</v>
      </c>
      <c r="R77">
        <v>0.27600000000000002</v>
      </c>
      <c r="S77">
        <v>0.27400000000000002</v>
      </c>
      <c r="T77">
        <v>0.28399999999999997</v>
      </c>
      <c r="U77">
        <v>0.30399999999999999</v>
      </c>
      <c r="V77">
        <v>0.30299999999999999</v>
      </c>
      <c r="W77" t="s">
        <v>901</v>
      </c>
      <c r="X77" t="s">
        <v>901</v>
      </c>
      <c r="Y77" t="s">
        <v>901</v>
      </c>
      <c r="Z77" t="s">
        <v>901</v>
      </c>
      <c r="AA77" t="s">
        <v>901</v>
      </c>
      <c r="AB77" t="s">
        <v>901</v>
      </c>
      <c r="AC77" t="s">
        <v>901</v>
      </c>
      <c r="AD77" t="s">
        <v>901</v>
      </c>
      <c r="AE77" t="s">
        <v>910</v>
      </c>
      <c r="AF77">
        <v>0</v>
      </c>
      <c r="AG77">
        <v>310.8</v>
      </c>
      <c r="AH77">
        <v>286.89999999999998</v>
      </c>
      <c r="AI77">
        <v>284.8</v>
      </c>
      <c r="AJ77">
        <v>288.60000000000002</v>
      </c>
      <c r="AK77">
        <v>284.2</v>
      </c>
      <c r="AL77">
        <v>281.3</v>
      </c>
      <c r="AM77" s="157">
        <v>291.2</v>
      </c>
      <c r="AN77" s="157">
        <v>286.2</v>
      </c>
      <c r="AO77" s="157">
        <v>293.7</v>
      </c>
      <c r="AP77" s="157">
        <v>292.7</v>
      </c>
    </row>
    <row r="78" spans="1:42" ht="14.7" customHeight="1">
      <c r="A78" s="181" t="s">
        <v>202</v>
      </c>
      <c r="B78" s="181"/>
      <c r="C78">
        <v>588.70000000000005</v>
      </c>
      <c r="D78">
        <v>533.79999999999995</v>
      </c>
      <c r="E78">
        <v>492</v>
      </c>
      <c r="F78">
        <v>506.3</v>
      </c>
      <c r="G78">
        <v>519.6</v>
      </c>
      <c r="H78">
        <v>634.29999999999995</v>
      </c>
      <c r="I78">
        <v>545.4</v>
      </c>
      <c r="J78">
        <v>554.70000000000005</v>
      </c>
      <c r="K78">
        <v>431.4</v>
      </c>
      <c r="L78">
        <v>381</v>
      </c>
      <c r="M78">
        <v>0.33500000000000002</v>
      </c>
      <c r="N78">
        <v>0.38100000000000001</v>
      </c>
      <c r="O78">
        <v>0.443</v>
      </c>
      <c r="P78">
        <v>0.42199999999999999</v>
      </c>
      <c r="Q78">
        <v>0.39900000000000002</v>
      </c>
      <c r="R78">
        <v>0.378</v>
      </c>
      <c r="S78">
        <v>0.38600000000000001</v>
      </c>
      <c r="T78">
        <v>0.379</v>
      </c>
      <c r="U78">
        <v>0.47299999999999998</v>
      </c>
      <c r="V78">
        <v>0.49199999999999999</v>
      </c>
      <c r="W78">
        <v>0.64900000000000002</v>
      </c>
      <c r="X78">
        <v>0.58199999999999996</v>
      </c>
      <c r="Y78">
        <v>0.50700000000000001</v>
      </c>
      <c r="Z78">
        <v>0.52300000000000002</v>
      </c>
      <c r="AA78">
        <v>0.54700000000000004</v>
      </c>
      <c r="AB78">
        <v>0.56999999999999995</v>
      </c>
      <c r="AC78">
        <v>0.53800000000000003</v>
      </c>
      <c r="AD78">
        <v>0.52300000000000002</v>
      </c>
      <c r="AE78">
        <v>0.29399999999999998</v>
      </c>
      <c r="AF78">
        <v>4.1000000000000002E-2</v>
      </c>
      <c r="AG78">
        <v>380.6</v>
      </c>
      <c r="AH78">
        <v>367.4</v>
      </c>
      <c r="AI78">
        <v>358.2</v>
      </c>
      <c r="AJ78">
        <v>353.5</v>
      </c>
      <c r="AK78">
        <v>346.5</v>
      </c>
      <c r="AL78">
        <v>405.2</v>
      </c>
      <c r="AM78" s="157">
        <v>355.3</v>
      </c>
      <c r="AN78" s="157">
        <v>358.1</v>
      </c>
      <c r="AO78" s="157">
        <v>331.6</v>
      </c>
      <c r="AP78" s="157">
        <v>306.39999999999998</v>
      </c>
    </row>
    <row r="79" spans="1:42" ht="14.7" customHeight="1">
      <c r="A79" s="181" t="s">
        <v>307</v>
      </c>
      <c r="B79" s="181"/>
      <c r="C79">
        <v>579.6</v>
      </c>
      <c r="D79">
        <v>562.29999999999995</v>
      </c>
      <c r="E79">
        <v>541.70000000000005</v>
      </c>
      <c r="F79">
        <v>502.7</v>
      </c>
      <c r="G79">
        <v>508.5</v>
      </c>
      <c r="H79">
        <v>586</v>
      </c>
      <c r="I79">
        <v>561.79999999999995</v>
      </c>
      <c r="J79">
        <v>547.5</v>
      </c>
      <c r="K79">
        <v>518.29999999999995</v>
      </c>
      <c r="L79">
        <v>501.8</v>
      </c>
      <c r="M79">
        <v>0.45500000000000002</v>
      </c>
      <c r="N79">
        <v>0.46</v>
      </c>
      <c r="O79">
        <v>0.45900000000000002</v>
      </c>
      <c r="P79">
        <v>0.49</v>
      </c>
      <c r="Q79">
        <v>0.49399999999999999</v>
      </c>
      <c r="R79">
        <v>0.43</v>
      </c>
      <c r="S79">
        <v>0.44500000000000001</v>
      </c>
      <c r="T79">
        <v>0.443</v>
      </c>
      <c r="U79">
        <v>0.46700000000000003</v>
      </c>
      <c r="V79">
        <v>0.47399999999999998</v>
      </c>
      <c r="W79">
        <v>0.53800000000000003</v>
      </c>
      <c r="X79">
        <v>0.46300000000000002</v>
      </c>
      <c r="Y79">
        <v>0.29799999999999999</v>
      </c>
      <c r="Z79">
        <v>0.188</v>
      </c>
      <c r="AA79">
        <v>0.14399999999999999</v>
      </c>
      <c r="AB79">
        <v>0.188</v>
      </c>
      <c r="AC79">
        <v>0.13600000000000001</v>
      </c>
      <c r="AD79">
        <v>0.121</v>
      </c>
      <c r="AE79">
        <v>0.11799999999999999</v>
      </c>
      <c r="AF79">
        <v>0.111</v>
      </c>
      <c r="AG79">
        <v>506.4</v>
      </c>
      <c r="AH79">
        <v>497.8</v>
      </c>
      <c r="AI79">
        <v>476.7</v>
      </c>
      <c r="AJ79">
        <v>472.2</v>
      </c>
      <c r="AK79">
        <v>483.7</v>
      </c>
      <c r="AL79">
        <v>497.8</v>
      </c>
      <c r="AM79" s="157">
        <v>492.5</v>
      </c>
      <c r="AN79" s="157">
        <v>481.2</v>
      </c>
      <c r="AO79" s="157">
        <v>477.7</v>
      </c>
      <c r="AP79" s="157">
        <v>470.8</v>
      </c>
    </row>
    <row r="80" spans="1:42" ht="14.7" customHeight="1">
      <c r="A80" s="181" t="s">
        <v>47</v>
      </c>
      <c r="B80" s="181"/>
      <c r="C80">
        <v>470.9</v>
      </c>
      <c r="D80">
        <v>485.9</v>
      </c>
      <c r="E80">
        <v>477.2</v>
      </c>
      <c r="F80">
        <v>482.5</v>
      </c>
      <c r="G80">
        <v>476.2</v>
      </c>
      <c r="H80">
        <v>455.2</v>
      </c>
      <c r="I80">
        <v>438.1</v>
      </c>
      <c r="J80">
        <v>414.4</v>
      </c>
      <c r="K80">
        <v>406.1</v>
      </c>
      <c r="L80">
        <v>395.7</v>
      </c>
      <c r="M80">
        <v>0.47699999999999998</v>
      </c>
      <c r="N80">
        <v>0.46700000000000003</v>
      </c>
      <c r="O80">
        <v>0.46800000000000003</v>
      </c>
      <c r="P80">
        <v>0.46200000000000002</v>
      </c>
      <c r="Q80">
        <v>0.46300000000000002</v>
      </c>
      <c r="R80">
        <v>0.49099999999999999</v>
      </c>
      <c r="S80">
        <v>0.51100000000000001</v>
      </c>
      <c r="T80">
        <v>0.52500000000000002</v>
      </c>
      <c r="U80">
        <v>0.52300000000000002</v>
      </c>
      <c r="V80">
        <v>0.52800000000000002</v>
      </c>
      <c r="W80" t="s">
        <v>901</v>
      </c>
      <c r="X80" t="s">
        <v>901</v>
      </c>
      <c r="Y80" t="s">
        <v>901</v>
      </c>
      <c r="Z80" t="s">
        <v>901</v>
      </c>
      <c r="AA80" t="s">
        <v>901</v>
      </c>
      <c r="AB80" t="s">
        <v>901</v>
      </c>
      <c r="AC80" t="s">
        <v>901</v>
      </c>
      <c r="AD80" t="s">
        <v>901</v>
      </c>
      <c r="AE80" t="s">
        <v>910</v>
      </c>
      <c r="AF80">
        <v>0</v>
      </c>
      <c r="AG80">
        <v>393</v>
      </c>
      <c r="AH80">
        <v>389.6</v>
      </c>
      <c r="AI80">
        <v>378.3</v>
      </c>
      <c r="AJ80">
        <v>376.7</v>
      </c>
      <c r="AK80">
        <v>369.6</v>
      </c>
      <c r="AL80">
        <v>367.4</v>
      </c>
      <c r="AM80" s="157">
        <v>368.4</v>
      </c>
      <c r="AN80" s="157">
        <v>360.8</v>
      </c>
      <c r="AO80" s="157">
        <v>352.9</v>
      </c>
      <c r="AP80" s="157">
        <v>349.5</v>
      </c>
    </row>
    <row r="81" spans="1:42" ht="14.7" customHeight="1">
      <c r="A81" s="181" t="s">
        <v>265</v>
      </c>
      <c r="B81" s="181"/>
      <c r="C81">
        <v>588</v>
      </c>
      <c r="D81">
        <v>540.6</v>
      </c>
      <c r="E81">
        <v>582.70000000000005</v>
      </c>
      <c r="F81">
        <v>625.29999999999995</v>
      </c>
      <c r="G81">
        <v>569.5</v>
      </c>
      <c r="H81">
        <v>563.1</v>
      </c>
      <c r="I81">
        <v>554</v>
      </c>
      <c r="J81">
        <v>512.5</v>
      </c>
      <c r="K81">
        <v>516.29999999999995</v>
      </c>
      <c r="L81">
        <v>507.6</v>
      </c>
      <c r="M81">
        <v>0.41899999999999998</v>
      </c>
      <c r="N81">
        <v>0.44700000000000001</v>
      </c>
      <c r="O81">
        <v>0.378</v>
      </c>
      <c r="P81">
        <v>0.33200000000000002</v>
      </c>
      <c r="Q81">
        <v>0.36499999999999999</v>
      </c>
      <c r="R81">
        <v>0.37</v>
      </c>
      <c r="S81">
        <v>0.374</v>
      </c>
      <c r="T81">
        <v>0.40600000000000003</v>
      </c>
      <c r="U81">
        <v>0.39800000000000002</v>
      </c>
      <c r="V81">
        <v>0.40799999999999997</v>
      </c>
      <c r="W81">
        <v>0.35499999999999998</v>
      </c>
      <c r="X81">
        <v>0.38400000000000001</v>
      </c>
      <c r="Y81">
        <v>0.44900000000000001</v>
      </c>
      <c r="Z81">
        <v>0.33</v>
      </c>
      <c r="AA81">
        <v>0.33300000000000002</v>
      </c>
      <c r="AB81">
        <v>0.40799999999999997</v>
      </c>
      <c r="AC81">
        <v>0.24</v>
      </c>
      <c r="AD81">
        <v>0.19900000000000001</v>
      </c>
      <c r="AE81">
        <v>0.27</v>
      </c>
      <c r="AF81">
        <v>0.25600000000000001</v>
      </c>
      <c r="AG81">
        <v>487.2</v>
      </c>
      <c r="AH81">
        <v>468.9</v>
      </c>
      <c r="AI81">
        <v>430.4</v>
      </c>
      <c r="AJ81">
        <v>434</v>
      </c>
      <c r="AK81">
        <v>414.9</v>
      </c>
      <c r="AL81">
        <v>416.4</v>
      </c>
      <c r="AM81" s="157">
        <v>412.8</v>
      </c>
      <c r="AN81" s="157">
        <v>403.3</v>
      </c>
      <c r="AO81" s="157">
        <v>404</v>
      </c>
      <c r="AP81" s="157">
        <v>407.6</v>
      </c>
    </row>
    <row r="82" spans="1:42" ht="14.7" customHeight="1">
      <c r="A82" s="181" t="s">
        <v>48</v>
      </c>
      <c r="B82" s="181"/>
      <c r="C82">
        <v>686.4</v>
      </c>
      <c r="D82">
        <v>636.9</v>
      </c>
      <c r="E82">
        <v>620.9</v>
      </c>
      <c r="F82">
        <v>626</v>
      </c>
      <c r="G82">
        <v>598.6</v>
      </c>
      <c r="H82">
        <v>618.5</v>
      </c>
      <c r="I82">
        <v>634.29999999999995</v>
      </c>
      <c r="J82">
        <v>619.20000000000005</v>
      </c>
      <c r="K82">
        <v>605.4</v>
      </c>
      <c r="L82">
        <v>607.9</v>
      </c>
      <c r="M82">
        <v>0.24099999999999999</v>
      </c>
      <c r="N82">
        <v>0.26700000000000002</v>
      </c>
      <c r="O82">
        <v>0.27</v>
      </c>
      <c r="P82">
        <v>0.26600000000000001</v>
      </c>
      <c r="Q82">
        <v>0.27600000000000002</v>
      </c>
      <c r="R82">
        <v>0.25600000000000001</v>
      </c>
      <c r="S82">
        <v>0.252</v>
      </c>
      <c r="T82">
        <v>0.252</v>
      </c>
      <c r="U82">
        <v>0.25900000000000001</v>
      </c>
      <c r="V82">
        <v>0.24299999999999999</v>
      </c>
      <c r="W82" t="s">
        <v>901</v>
      </c>
      <c r="X82" t="s">
        <v>901</v>
      </c>
      <c r="Y82" t="s">
        <v>901</v>
      </c>
      <c r="Z82" t="s">
        <v>901</v>
      </c>
      <c r="AA82" t="s">
        <v>901</v>
      </c>
      <c r="AB82" t="s">
        <v>901</v>
      </c>
      <c r="AC82" t="s">
        <v>901</v>
      </c>
      <c r="AD82" t="s">
        <v>901</v>
      </c>
      <c r="AE82" t="s">
        <v>910</v>
      </c>
      <c r="AF82">
        <v>0</v>
      </c>
      <c r="AG82">
        <v>401.7</v>
      </c>
      <c r="AH82">
        <v>376.7</v>
      </c>
      <c r="AI82">
        <v>359.3</v>
      </c>
      <c r="AJ82">
        <v>359</v>
      </c>
      <c r="AK82">
        <v>345</v>
      </c>
      <c r="AL82">
        <v>339.4</v>
      </c>
      <c r="AM82" s="157">
        <v>346</v>
      </c>
      <c r="AN82" s="157">
        <v>340.5</v>
      </c>
      <c r="AO82" s="157">
        <v>338</v>
      </c>
      <c r="AP82" s="157">
        <v>331.8</v>
      </c>
    </row>
    <row r="83" spans="1:42" ht="14.7" customHeight="1">
      <c r="A83" s="181" t="s">
        <v>49</v>
      </c>
      <c r="B83" s="181"/>
      <c r="C83">
        <v>533.9</v>
      </c>
      <c r="D83">
        <v>550.70000000000005</v>
      </c>
      <c r="E83">
        <v>437.3</v>
      </c>
      <c r="F83">
        <v>515</v>
      </c>
      <c r="G83">
        <v>502.5</v>
      </c>
      <c r="H83">
        <v>502.2</v>
      </c>
      <c r="I83">
        <v>477.6</v>
      </c>
      <c r="J83">
        <v>476.4</v>
      </c>
      <c r="K83">
        <v>423</v>
      </c>
      <c r="L83">
        <v>421.2</v>
      </c>
      <c r="M83">
        <v>0.48199999999999998</v>
      </c>
      <c r="N83">
        <v>0.443</v>
      </c>
      <c r="O83">
        <v>0.497</v>
      </c>
      <c r="P83">
        <v>0.49399999999999999</v>
      </c>
      <c r="Q83">
        <v>0.51100000000000001</v>
      </c>
      <c r="R83">
        <v>0.5</v>
      </c>
      <c r="S83">
        <v>0.51800000000000002</v>
      </c>
      <c r="T83">
        <v>0.51700000000000002</v>
      </c>
      <c r="U83">
        <v>0.50700000000000001</v>
      </c>
      <c r="V83">
        <v>0.53400000000000003</v>
      </c>
      <c r="W83" t="s">
        <v>901</v>
      </c>
      <c r="X83" t="s">
        <v>901</v>
      </c>
      <c r="Y83" t="s">
        <v>901</v>
      </c>
      <c r="Z83" t="s">
        <v>901</v>
      </c>
      <c r="AA83" t="s">
        <v>901</v>
      </c>
      <c r="AB83" t="s">
        <v>901</v>
      </c>
      <c r="AC83" t="s">
        <v>901</v>
      </c>
      <c r="AD83" t="s">
        <v>901</v>
      </c>
      <c r="AE83" t="s">
        <v>910</v>
      </c>
      <c r="AF83">
        <v>0</v>
      </c>
      <c r="AG83">
        <v>427.6</v>
      </c>
      <c r="AH83">
        <v>412.2</v>
      </c>
      <c r="AI83">
        <v>368.1</v>
      </c>
      <c r="AJ83">
        <v>432.7</v>
      </c>
      <c r="AK83">
        <v>435.2</v>
      </c>
      <c r="AL83">
        <v>422.5</v>
      </c>
      <c r="AM83" s="157">
        <v>415.7</v>
      </c>
      <c r="AN83" s="157">
        <v>415.8</v>
      </c>
      <c r="AO83" s="157">
        <v>363.1</v>
      </c>
      <c r="AP83" s="157">
        <v>383.4</v>
      </c>
    </row>
    <row r="84" spans="1:42" ht="14.7" customHeight="1">
      <c r="A84" s="181" t="s">
        <v>266</v>
      </c>
      <c r="B84" s="181"/>
      <c r="C84">
        <v>526.4</v>
      </c>
      <c r="D84">
        <v>517.79999999999995</v>
      </c>
      <c r="E84">
        <v>517.1</v>
      </c>
      <c r="F84">
        <v>552.1</v>
      </c>
      <c r="G84">
        <v>631.79999999999995</v>
      </c>
      <c r="H84">
        <v>638.9</v>
      </c>
      <c r="I84">
        <v>614.9</v>
      </c>
      <c r="J84">
        <v>605</v>
      </c>
      <c r="K84">
        <v>583.5</v>
      </c>
      <c r="L84">
        <v>578.79999999999995</v>
      </c>
      <c r="M84">
        <v>0.47499999999999998</v>
      </c>
      <c r="N84">
        <v>0.46400000000000002</v>
      </c>
      <c r="O84">
        <v>0.45400000000000001</v>
      </c>
      <c r="P84">
        <v>0.42699999999999999</v>
      </c>
      <c r="Q84">
        <v>0.32900000000000001</v>
      </c>
      <c r="R84">
        <v>0.32300000000000001</v>
      </c>
      <c r="S84">
        <v>0.35299999999999998</v>
      </c>
      <c r="T84">
        <v>0.36299999999999999</v>
      </c>
      <c r="U84">
        <v>0.38800000000000001</v>
      </c>
      <c r="V84">
        <v>0.42099999999999999</v>
      </c>
      <c r="W84">
        <v>0.52</v>
      </c>
      <c r="X84">
        <v>0.498</v>
      </c>
      <c r="Y84">
        <v>0.434</v>
      </c>
      <c r="Z84">
        <v>0.43099999999999999</v>
      </c>
      <c r="AA84">
        <v>0.36699999999999999</v>
      </c>
      <c r="AB84">
        <v>0.39500000000000002</v>
      </c>
      <c r="AC84">
        <v>0.33500000000000002</v>
      </c>
      <c r="AD84">
        <v>0.24299999999999999</v>
      </c>
      <c r="AE84">
        <v>0.23</v>
      </c>
      <c r="AF84">
        <v>0.22</v>
      </c>
      <c r="AG84">
        <v>444.5</v>
      </c>
      <c r="AH84">
        <v>417</v>
      </c>
      <c r="AI84">
        <v>405.7</v>
      </c>
      <c r="AJ84">
        <v>411.6</v>
      </c>
      <c r="AK84">
        <v>401.5</v>
      </c>
      <c r="AL84">
        <v>398.6</v>
      </c>
      <c r="AM84" s="157">
        <v>400</v>
      </c>
      <c r="AN84" s="157">
        <v>401.2</v>
      </c>
      <c r="AO84" s="157">
        <v>405.8</v>
      </c>
      <c r="AP84" s="157">
        <v>426.8</v>
      </c>
    </row>
    <row r="85" spans="1:42" ht="14.7" customHeight="1">
      <c r="A85" s="181" t="s">
        <v>308</v>
      </c>
      <c r="B85" s="181"/>
      <c r="C85">
        <v>600.6</v>
      </c>
      <c r="D85">
        <v>572</v>
      </c>
      <c r="E85">
        <v>545.9</v>
      </c>
      <c r="F85">
        <v>544.1</v>
      </c>
      <c r="G85">
        <v>547.79999999999995</v>
      </c>
      <c r="H85">
        <v>549</v>
      </c>
      <c r="I85">
        <v>547.29999999999995</v>
      </c>
      <c r="J85">
        <v>528</v>
      </c>
      <c r="K85">
        <v>528.6</v>
      </c>
      <c r="L85">
        <v>537</v>
      </c>
      <c r="M85">
        <v>0.42099999999999999</v>
      </c>
      <c r="N85">
        <v>0.433</v>
      </c>
      <c r="O85">
        <v>0.45500000000000002</v>
      </c>
      <c r="P85">
        <v>0.47</v>
      </c>
      <c r="Q85">
        <v>0.47099999999999997</v>
      </c>
      <c r="R85">
        <v>0.47599999999999998</v>
      </c>
      <c r="S85">
        <v>0.48299999999999998</v>
      </c>
      <c r="T85">
        <v>0.48199999999999998</v>
      </c>
      <c r="U85">
        <v>0.48</v>
      </c>
      <c r="V85">
        <v>0.47499999999999998</v>
      </c>
      <c r="W85">
        <v>0.55500000000000005</v>
      </c>
      <c r="X85">
        <v>0.49399999999999999</v>
      </c>
      <c r="Y85">
        <v>0.42499999999999999</v>
      </c>
      <c r="Z85">
        <v>0.34599999999999997</v>
      </c>
      <c r="AA85">
        <v>0.27500000000000002</v>
      </c>
      <c r="AB85">
        <v>0.11899999999999999</v>
      </c>
      <c r="AC85">
        <v>0.13400000000000001</v>
      </c>
      <c r="AD85">
        <v>0.16</v>
      </c>
      <c r="AE85">
        <v>0.222</v>
      </c>
      <c r="AF85">
        <v>0.2</v>
      </c>
      <c r="AG85">
        <v>469</v>
      </c>
      <c r="AH85">
        <v>455.2</v>
      </c>
      <c r="AI85">
        <v>449.3</v>
      </c>
      <c r="AJ85">
        <v>461.2</v>
      </c>
      <c r="AK85">
        <v>463.8</v>
      </c>
      <c r="AL85">
        <v>467.5</v>
      </c>
      <c r="AM85" s="157">
        <v>473.3</v>
      </c>
      <c r="AN85" s="157">
        <v>455.3</v>
      </c>
      <c r="AO85" s="157">
        <v>455</v>
      </c>
      <c r="AP85" s="157">
        <v>458.4</v>
      </c>
    </row>
    <row r="86" spans="1:42" ht="14.7" customHeight="1">
      <c r="A86" s="181" t="s">
        <v>50</v>
      </c>
      <c r="B86" s="181"/>
      <c r="C86">
        <v>562.5</v>
      </c>
      <c r="D86">
        <v>524.70000000000005</v>
      </c>
      <c r="E86">
        <v>439.9</v>
      </c>
      <c r="F86">
        <v>376.1</v>
      </c>
      <c r="G86">
        <v>379.7</v>
      </c>
      <c r="H86">
        <v>374.3</v>
      </c>
      <c r="I86">
        <v>333.6</v>
      </c>
      <c r="J86">
        <v>312.60000000000002</v>
      </c>
      <c r="K86">
        <v>324.2</v>
      </c>
      <c r="L86">
        <v>306</v>
      </c>
      <c r="M86">
        <v>0.41199999999999998</v>
      </c>
      <c r="N86">
        <v>0.41799999999999998</v>
      </c>
      <c r="O86">
        <v>0.47799999999999998</v>
      </c>
      <c r="P86">
        <v>0.55700000000000005</v>
      </c>
      <c r="Q86">
        <v>0.55200000000000005</v>
      </c>
      <c r="R86">
        <v>0.56100000000000005</v>
      </c>
      <c r="S86">
        <v>0.59799999999999998</v>
      </c>
      <c r="T86">
        <v>0.60299999999999998</v>
      </c>
      <c r="U86">
        <v>0.59599999999999997</v>
      </c>
      <c r="V86">
        <v>0.61899999999999999</v>
      </c>
      <c r="W86" t="s">
        <v>901</v>
      </c>
      <c r="X86" t="s">
        <v>901</v>
      </c>
      <c r="Y86" t="s">
        <v>901</v>
      </c>
      <c r="Z86" t="s">
        <v>901</v>
      </c>
      <c r="AA86" t="s">
        <v>901</v>
      </c>
      <c r="AB86" t="s">
        <v>901</v>
      </c>
      <c r="AC86" t="s">
        <v>901</v>
      </c>
      <c r="AD86" t="s">
        <v>901</v>
      </c>
      <c r="AE86" t="s">
        <v>910</v>
      </c>
      <c r="AF86">
        <v>0</v>
      </c>
      <c r="AG86">
        <v>446</v>
      </c>
      <c r="AH86">
        <v>421.8</v>
      </c>
      <c r="AI86">
        <v>391.9</v>
      </c>
      <c r="AJ86">
        <v>395.2</v>
      </c>
      <c r="AK86">
        <v>395.5</v>
      </c>
      <c r="AL86">
        <v>399.8</v>
      </c>
      <c r="AM86" s="157">
        <v>390.9</v>
      </c>
      <c r="AN86" s="157">
        <v>369.7</v>
      </c>
      <c r="AO86" s="157">
        <v>377.7</v>
      </c>
      <c r="AP86" s="157">
        <v>379.6</v>
      </c>
    </row>
    <row r="87" spans="1:42" ht="14.7" customHeight="1">
      <c r="A87" s="181" t="s">
        <v>309</v>
      </c>
      <c r="B87" s="181"/>
      <c r="C87">
        <v>492.7</v>
      </c>
      <c r="D87">
        <v>454.6</v>
      </c>
      <c r="E87">
        <v>455.1</v>
      </c>
      <c r="F87">
        <v>460.3</v>
      </c>
      <c r="G87">
        <v>461.1</v>
      </c>
      <c r="H87">
        <v>446</v>
      </c>
      <c r="I87">
        <v>439.1</v>
      </c>
      <c r="J87">
        <v>445.2</v>
      </c>
      <c r="K87">
        <v>421.2</v>
      </c>
      <c r="L87">
        <v>409.7</v>
      </c>
      <c r="M87">
        <v>0.54800000000000004</v>
      </c>
      <c r="N87">
        <v>0.55200000000000005</v>
      </c>
      <c r="O87">
        <v>0.54800000000000004</v>
      </c>
      <c r="P87">
        <v>0.54800000000000004</v>
      </c>
      <c r="Q87">
        <v>0.55400000000000005</v>
      </c>
      <c r="R87">
        <v>0.55100000000000005</v>
      </c>
      <c r="S87">
        <v>0.55700000000000005</v>
      </c>
      <c r="T87">
        <v>0.54</v>
      </c>
      <c r="U87">
        <v>0.56000000000000005</v>
      </c>
      <c r="V87">
        <v>0.56599999999999995</v>
      </c>
      <c r="W87">
        <v>0.44</v>
      </c>
      <c r="X87">
        <v>0.46</v>
      </c>
      <c r="Y87">
        <v>0.46100000000000002</v>
      </c>
      <c r="Z87">
        <v>0.45800000000000002</v>
      </c>
      <c r="AA87">
        <v>0.32</v>
      </c>
      <c r="AB87">
        <v>0.191</v>
      </c>
      <c r="AC87">
        <v>0.17799999999999999</v>
      </c>
      <c r="AD87">
        <v>0.17799999999999999</v>
      </c>
      <c r="AE87">
        <v>0.14199999999999999</v>
      </c>
      <c r="AF87">
        <v>4.2000000000000003E-2</v>
      </c>
      <c r="AG87">
        <v>500.1</v>
      </c>
      <c r="AH87">
        <v>468.9</v>
      </c>
      <c r="AI87">
        <v>471.9</v>
      </c>
      <c r="AJ87">
        <v>477.7</v>
      </c>
      <c r="AK87">
        <v>482.2</v>
      </c>
      <c r="AL87">
        <v>458</v>
      </c>
      <c r="AM87" s="157">
        <v>457.4</v>
      </c>
      <c r="AN87" s="157">
        <v>446.7</v>
      </c>
      <c r="AO87" s="157">
        <v>441.3</v>
      </c>
      <c r="AP87" s="157">
        <v>436.4</v>
      </c>
    </row>
    <row r="88" spans="1:42" ht="14.7" customHeight="1">
      <c r="A88" s="181" t="s">
        <v>230</v>
      </c>
      <c r="B88" s="181"/>
      <c r="C88">
        <v>626.79999999999995</v>
      </c>
      <c r="D88">
        <v>598.29999999999995</v>
      </c>
      <c r="E88">
        <v>639.70000000000005</v>
      </c>
      <c r="F88">
        <v>617.20000000000005</v>
      </c>
      <c r="G88">
        <v>630.5</v>
      </c>
      <c r="H88">
        <v>562.70000000000005</v>
      </c>
      <c r="I88">
        <v>570.9</v>
      </c>
      <c r="J88">
        <v>553.6</v>
      </c>
      <c r="K88">
        <v>529.6</v>
      </c>
      <c r="L88">
        <v>525.79999999999995</v>
      </c>
      <c r="M88">
        <v>0.41699999999999998</v>
      </c>
      <c r="N88">
        <v>0.44400000000000001</v>
      </c>
      <c r="O88">
        <v>0.41199999999999998</v>
      </c>
      <c r="P88">
        <v>0.40200000000000002</v>
      </c>
      <c r="Q88">
        <v>0.40600000000000003</v>
      </c>
      <c r="R88">
        <v>0.45500000000000002</v>
      </c>
      <c r="S88">
        <v>0.47</v>
      </c>
      <c r="T88">
        <v>0.45800000000000002</v>
      </c>
      <c r="U88">
        <v>0.46400000000000002</v>
      </c>
      <c r="V88">
        <v>0.46400000000000002</v>
      </c>
      <c r="W88">
        <v>0.53600000000000003</v>
      </c>
      <c r="X88">
        <v>0.49399999999999999</v>
      </c>
      <c r="Y88">
        <v>0.50900000000000001</v>
      </c>
      <c r="Z88">
        <v>0.57899999999999996</v>
      </c>
      <c r="AA88">
        <v>0.54600000000000004</v>
      </c>
      <c r="AB88">
        <v>0.14699999999999999</v>
      </c>
      <c r="AC88">
        <v>0.08</v>
      </c>
      <c r="AD88">
        <v>6.5000000000000002E-2</v>
      </c>
      <c r="AE88">
        <v>4.5999999999999999E-2</v>
      </c>
      <c r="AF88">
        <v>4.3999999999999997E-2</v>
      </c>
      <c r="AG88">
        <v>481.3</v>
      </c>
      <c r="AH88">
        <v>484.6</v>
      </c>
      <c r="AI88">
        <v>472.3</v>
      </c>
      <c r="AJ88">
        <v>449.4</v>
      </c>
      <c r="AK88">
        <v>461.4</v>
      </c>
      <c r="AL88">
        <v>449.6</v>
      </c>
      <c r="AM88" s="157">
        <v>470.8</v>
      </c>
      <c r="AN88" s="157">
        <v>446</v>
      </c>
      <c r="AO88" s="157">
        <v>433.1</v>
      </c>
      <c r="AP88" s="157">
        <v>431.6</v>
      </c>
    </row>
    <row r="89" spans="1:42" ht="14.7" customHeight="1">
      <c r="A89" s="181" t="s">
        <v>310</v>
      </c>
      <c r="B89" s="181"/>
      <c r="C89" t="s">
        <v>901</v>
      </c>
      <c r="D89" t="s">
        <v>901</v>
      </c>
      <c r="E89" t="s">
        <v>901</v>
      </c>
      <c r="F89" t="s">
        <v>901</v>
      </c>
      <c r="G89" t="s">
        <v>901</v>
      </c>
      <c r="H89" t="s">
        <v>901</v>
      </c>
      <c r="I89" t="s">
        <v>901</v>
      </c>
      <c r="J89" t="s">
        <v>901</v>
      </c>
      <c r="K89" t="s">
        <v>901</v>
      </c>
      <c r="L89">
        <v>397.8</v>
      </c>
      <c r="M89" t="s">
        <v>901</v>
      </c>
      <c r="N89" t="s">
        <v>901</v>
      </c>
      <c r="O89" t="s">
        <v>901</v>
      </c>
      <c r="P89" t="s">
        <v>901</v>
      </c>
      <c r="Q89" t="s">
        <v>901</v>
      </c>
      <c r="R89" t="s">
        <v>901</v>
      </c>
      <c r="S89" t="s">
        <v>901</v>
      </c>
      <c r="T89" t="s">
        <v>901</v>
      </c>
      <c r="U89" t="s">
        <v>901</v>
      </c>
      <c r="V89">
        <v>0.58899999999999997</v>
      </c>
      <c r="W89" t="s">
        <v>901</v>
      </c>
      <c r="X89" t="s">
        <v>901</v>
      </c>
      <c r="Y89" t="s">
        <v>901</v>
      </c>
      <c r="Z89" t="s">
        <v>901</v>
      </c>
      <c r="AA89" t="s">
        <v>901</v>
      </c>
      <c r="AB89" t="s">
        <v>901</v>
      </c>
      <c r="AC89" t="s">
        <v>901</v>
      </c>
      <c r="AD89" t="s">
        <v>901</v>
      </c>
      <c r="AE89" t="s">
        <v>901</v>
      </c>
      <c r="AF89">
        <v>0.12</v>
      </c>
      <c r="AG89" t="s">
        <v>901</v>
      </c>
      <c r="AH89" t="s">
        <v>901</v>
      </c>
      <c r="AI89" t="s">
        <v>901</v>
      </c>
      <c r="AJ89" t="s">
        <v>901</v>
      </c>
      <c r="AK89" t="s">
        <v>901</v>
      </c>
      <c r="AL89" t="s">
        <v>901</v>
      </c>
      <c r="AM89" s="157" t="s">
        <v>901</v>
      </c>
      <c r="AN89" s="157" t="s">
        <v>901</v>
      </c>
      <c r="AO89" s="157" t="s">
        <v>901</v>
      </c>
      <c r="AP89" s="157">
        <v>454.1</v>
      </c>
    </row>
    <row r="90" spans="1:42" ht="14.7" customHeight="1">
      <c r="A90" s="181" t="s">
        <v>51</v>
      </c>
      <c r="B90" s="181"/>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v>0.42399999999999999</v>
      </c>
      <c r="R90">
        <v>0.41699999999999998</v>
      </c>
      <c r="S90">
        <v>0.44700000000000001</v>
      </c>
      <c r="T90">
        <v>0.47299999999999998</v>
      </c>
      <c r="U90">
        <v>0.47</v>
      </c>
      <c r="V90">
        <v>0.47099999999999997</v>
      </c>
      <c r="W90" t="s">
        <v>901</v>
      </c>
      <c r="X90" t="s">
        <v>901</v>
      </c>
      <c r="Y90" t="s">
        <v>901</v>
      </c>
      <c r="Z90" t="s">
        <v>901</v>
      </c>
      <c r="AA90" t="s">
        <v>901</v>
      </c>
      <c r="AB90" t="s">
        <v>901</v>
      </c>
      <c r="AC90" t="s">
        <v>901</v>
      </c>
      <c r="AD90" t="s">
        <v>901</v>
      </c>
      <c r="AE90" t="s">
        <v>910</v>
      </c>
      <c r="AF90">
        <v>0</v>
      </c>
      <c r="AG90">
        <v>367.5</v>
      </c>
      <c r="AH90">
        <v>331.2</v>
      </c>
      <c r="AI90">
        <v>280.89999999999998</v>
      </c>
      <c r="AJ90">
        <v>295.60000000000002</v>
      </c>
      <c r="AK90">
        <v>293</v>
      </c>
      <c r="AL90">
        <v>304.5</v>
      </c>
      <c r="AM90" s="157">
        <v>305.60000000000002</v>
      </c>
      <c r="AN90" s="157">
        <v>292.8</v>
      </c>
      <c r="AO90" s="157">
        <v>300.3</v>
      </c>
      <c r="AP90" s="157">
        <v>302.5</v>
      </c>
    </row>
    <row r="91" spans="1:42" ht="14.7" customHeight="1">
      <c r="A91" s="181" t="s">
        <v>231</v>
      </c>
      <c r="B91" s="181"/>
      <c r="C91">
        <v>596.1</v>
      </c>
      <c r="D91">
        <v>575</v>
      </c>
      <c r="E91">
        <v>578.1</v>
      </c>
      <c r="F91">
        <v>583.4</v>
      </c>
      <c r="G91">
        <v>535.79999999999995</v>
      </c>
      <c r="H91">
        <v>565.70000000000005</v>
      </c>
      <c r="I91">
        <v>576.79999999999995</v>
      </c>
      <c r="J91">
        <v>579</v>
      </c>
      <c r="K91">
        <v>575.9</v>
      </c>
      <c r="L91">
        <v>547</v>
      </c>
      <c r="M91">
        <v>0.34300000000000003</v>
      </c>
      <c r="N91">
        <v>0.35099999999999998</v>
      </c>
      <c r="O91">
        <v>0.34799999999999998</v>
      </c>
      <c r="P91">
        <v>0.35699999999999998</v>
      </c>
      <c r="Q91">
        <v>0.42199999999999999</v>
      </c>
      <c r="R91">
        <v>0.38500000000000001</v>
      </c>
      <c r="S91">
        <v>0.373</v>
      </c>
      <c r="T91">
        <v>0.35499999999999998</v>
      </c>
      <c r="U91">
        <v>0.35299999999999998</v>
      </c>
      <c r="V91">
        <v>0.378</v>
      </c>
      <c r="W91">
        <v>0.107</v>
      </c>
      <c r="X91">
        <v>9.0999999999999998E-2</v>
      </c>
      <c r="Y91">
        <v>5.8000000000000003E-2</v>
      </c>
      <c r="Z91">
        <v>5.8999999999999997E-2</v>
      </c>
      <c r="AA91">
        <v>3.4000000000000002E-2</v>
      </c>
      <c r="AB91">
        <v>2.7E-2</v>
      </c>
      <c r="AC91">
        <v>2.5000000000000001E-2</v>
      </c>
      <c r="AD91">
        <v>3.1E-2</v>
      </c>
      <c r="AE91">
        <v>4.4999999999999998E-2</v>
      </c>
      <c r="AF91">
        <v>1.7000000000000001E-2</v>
      </c>
      <c r="AG91">
        <v>396.8</v>
      </c>
      <c r="AH91">
        <v>387.1</v>
      </c>
      <c r="AI91">
        <v>380.9</v>
      </c>
      <c r="AJ91">
        <v>390.7</v>
      </c>
      <c r="AK91">
        <v>398.6</v>
      </c>
      <c r="AL91">
        <v>394.4</v>
      </c>
      <c r="AM91" s="157">
        <v>394.7</v>
      </c>
      <c r="AN91" s="157">
        <v>385.6</v>
      </c>
      <c r="AO91" s="157">
        <v>382.7</v>
      </c>
      <c r="AP91" s="157">
        <v>378.6</v>
      </c>
    </row>
    <row r="92" spans="1:42" ht="14.7" customHeight="1">
      <c r="A92" s="181" t="s">
        <v>203</v>
      </c>
      <c r="B92" s="181"/>
      <c r="C92">
        <v>500</v>
      </c>
      <c r="D92">
        <v>471.3</v>
      </c>
      <c r="E92">
        <v>433.9</v>
      </c>
      <c r="F92">
        <v>449.5</v>
      </c>
      <c r="G92">
        <v>434.4</v>
      </c>
      <c r="H92">
        <v>395.4</v>
      </c>
      <c r="I92">
        <v>318.89999999999998</v>
      </c>
      <c r="J92">
        <v>328.5</v>
      </c>
      <c r="K92">
        <v>284.7</v>
      </c>
      <c r="L92">
        <v>315.39999999999998</v>
      </c>
      <c r="M92">
        <v>0.40400000000000003</v>
      </c>
      <c r="N92">
        <v>0.40799999999999997</v>
      </c>
      <c r="O92">
        <v>0.40600000000000003</v>
      </c>
      <c r="P92">
        <v>0.40200000000000002</v>
      </c>
      <c r="Q92">
        <v>0.40100000000000002</v>
      </c>
      <c r="R92">
        <v>0.43</v>
      </c>
      <c r="S92">
        <v>0.50700000000000001</v>
      </c>
      <c r="T92">
        <v>0.48799999999999999</v>
      </c>
      <c r="U92">
        <v>0.52600000000000002</v>
      </c>
      <c r="V92">
        <v>0.48299999999999998</v>
      </c>
      <c r="W92" t="s">
        <v>901</v>
      </c>
      <c r="X92" t="s">
        <v>901</v>
      </c>
      <c r="Y92" t="s">
        <v>901</v>
      </c>
      <c r="Z92" t="s">
        <v>901</v>
      </c>
      <c r="AA92" t="s">
        <v>901</v>
      </c>
      <c r="AB92" t="s">
        <v>901</v>
      </c>
      <c r="AC92" t="s">
        <v>901</v>
      </c>
      <c r="AD92" t="s">
        <v>901</v>
      </c>
      <c r="AE92" t="s">
        <v>910</v>
      </c>
      <c r="AF92">
        <v>0</v>
      </c>
      <c r="AG92">
        <v>347.2</v>
      </c>
      <c r="AH92">
        <v>321.5</v>
      </c>
      <c r="AI92">
        <v>280.3</v>
      </c>
      <c r="AJ92">
        <v>289.2</v>
      </c>
      <c r="AK92">
        <v>278</v>
      </c>
      <c r="AL92">
        <v>267</v>
      </c>
      <c r="AM92" s="157">
        <v>250.7</v>
      </c>
      <c r="AN92" s="157">
        <v>250.8</v>
      </c>
      <c r="AO92" s="157">
        <v>237.8</v>
      </c>
      <c r="AP92" s="157">
        <v>244.2</v>
      </c>
    </row>
    <row r="93" spans="1:42" ht="14.7" customHeight="1">
      <c r="A93" s="181" t="s">
        <v>52</v>
      </c>
      <c r="B93" s="181"/>
      <c r="C93">
        <v>502.3</v>
      </c>
      <c r="D93">
        <v>492.4</v>
      </c>
      <c r="E93">
        <v>513.29999999999995</v>
      </c>
      <c r="F93">
        <v>433.3</v>
      </c>
      <c r="G93">
        <v>380.9</v>
      </c>
      <c r="H93">
        <v>382.3</v>
      </c>
      <c r="I93">
        <v>422.3</v>
      </c>
      <c r="J93">
        <v>378</v>
      </c>
      <c r="K93">
        <v>374.9</v>
      </c>
      <c r="L93">
        <v>368.2</v>
      </c>
      <c r="M93">
        <v>0.373</v>
      </c>
      <c r="N93">
        <v>0.36099999999999999</v>
      </c>
      <c r="O93">
        <v>0.33400000000000002</v>
      </c>
      <c r="P93">
        <v>0.45500000000000002</v>
      </c>
      <c r="Q93">
        <v>0.56599999999999995</v>
      </c>
      <c r="R93">
        <v>0.56399999999999995</v>
      </c>
      <c r="S93">
        <v>0.52400000000000002</v>
      </c>
      <c r="T93">
        <v>0.56200000000000006</v>
      </c>
      <c r="U93">
        <v>0.55400000000000005</v>
      </c>
      <c r="V93">
        <v>0.56499999999999995</v>
      </c>
      <c r="W93" t="s">
        <v>901</v>
      </c>
      <c r="X93" t="s">
        <v>901</v>
      </c>
      <c r="Y93" t="s">
        <v>901</v>
      </c>
      <c r="Z93" t="s">
        <v>901</v>
      </c>
      <c r="AA93" t="s">
        <v>901</v>
      </c>
      <c r="AB93" t="s">
        <v>901</v>
      </c>
      <c r="AC93" t="s">
        <v>901</v>
      </c>
      <c r="AD93" t="s">
        <v>901</v>
      </c>
      <c r="AE93" t="s">
        <v>910</v>
      </c>
      <c r="AF93">
        <v>0</v>
      </c>
      <c r="AG93">
        <v>345.4</v>
      </c>
      <c r="AH93">
        <v>326</v>
      </c>
      <c r="AI93">
        <v>330.3</v>
      </c>
      <c r="AJ93">
        <v>340</v>
      </c>
      <c r="AK93">
        <v>369.4</v>
      </c>
      <c r="AL93">
        <v>368.7</v>
      </c>
      <c r="AM93" s="157">
        <v>372.4</v>
      </c>
      <c r="AN93" s="157">
        <v>359.8</v>
      </c>
      <c r="AO93" s="157">
        <v>350.4</v>
      </c>
      <c r="AP93" s="157">
        <v>355.2</v>
      </c>
    </row>
    <row r="94" spans="1:42" ht="14.7" customHeight="1">
      <c r="A94" s="181" t="s">
        <v>53</v>
      </c>
      <c r="B94" s="181"/>
      <c r="C94">
        <v>353.1</v>
      </c>
      <c r="D94">
        <v>320.3</v>
      </c>
      <c r="E94">
        <v>322.5</v>
      </c>
      <c r="F94">
        <v>329.2</v>
      </c>
      <c r="G94">
        <v>322.3</v>
      </c>
      <c r="H94">
        <v>315</v>
      </c>
      <c r="I94">
        <v>319.7</v>
      </c>
      <c r="J94">
        <v>265</v>
      </c>
      <c r="K94">
        <v>256.39999999999998</v>
      </c>
      <c r="L94">
        <v>251.7</v>
      </c>
      <c r="M94">
        <v>0.48599999999999999</v>
      </c>
      <c r="N94">
        <v>0.48599999999999999</v>
      </c>
      <c r="O94">
        <v>0.46100000000000002</v>
      </c>
      <c r="P94">
        <v>0.44800000000000001</v>
      </c>
      <c r="Q94">
        <v>0.46300000000000002</v>
      </c>
      <c r="R94">
        <v>0.45600000000000002</v>
      </c>
      <c r="S94">
        <v>0.46100000000000002</v>
      </c>
      <c r="T94">
        <v>0.54200000000000004</v>
      </c>
      <c r="U94">
        <v>0.59099999999999997</v>
      </c>
      <c r="V94">
        <v>0.60499999999999998</v>
      </c>
      <c r="W94" t="s">
        <v>901</v>
      </c>
      <c r="X94" t="s">
        <v>901</v>
      </c>
      <c r="Y94" t="s">
        <v>901</v>
      </c>
      <c r="Z94" t="s">
        <v>901</v>
      </c>
      <c r="AA94" t="s">
        <v>901</v>
      </c>
      <c r="AB94" t="s">
        <v>901</v>
      </c>
      <c r="AC94" t="s">
        <v>901</v>
      </c>
      <c r="AD94" t="s">
        <v>901</v>
      </c>
      <c r="AE94" t="s">
        <v>910</v>
      </c>
      <c r="AF94">
        <v>0</v>
      </c>
      <c r="AG94">
        <v>329.2</v>
      </c>
      <c r="AH94">
        <v>299.3</v>
      </c>
      <c r="AI94">
        <v>288.10000000000002</v>
      </c>
      <c r="AJ94">
        <v>288.60000000000002</v>
      </c>
      <c r="AK94">
        <v>289.89999999999998</v>
      </c>
      <c r="AL94">
        <v>277.3</v>
      </c>
      <c r="AM94" s="157">
        <v>285.3</v>
      </c>
      <c r="AN94" s="157">
        <v>274.10000000000002</v>
      </c>
      <c r="AO94" s="157">
        <v>298.7</v>
      </c>
      <c r="AP94" s="157">
        <v>302.5</v>
      </c>
    </row>
    <row r="95" spans="1:42" ht="14.7" customHeight="1">
      <c r="A95" s="181" t="s">
        <v>55</v>
      </c>
      <c r="B95" s="181"/>
      <c r="C95">
        <v>468.6</v>
      </c>
      <c r="D95">
        <v>454.6</v>
      </c>
      <c r="E95">
        <v>472.8</v>
      </c>
      <c r="F95">
        <v>488.2</v>
      </c>
      <c r="G95">
        <v>484.9</v>
      </c>
      <c r="H95">
        <v>489.6</v>
      </c>
      <c r="I95">
        <v>476.5</v>
      </c>
      <c r="J95">
        <v>468.2</v>
      </c>
      <c r="K95">
        <v>460.2</v>
      </c>
      <c r="L95">
        <v>453.4</v>
      </c>
      <c r="M95">
        <v>0.371</v>
      </c>
      <c r="N95">
        <v>0.371</v>
      </c>
      <c r="O95">
        <v>0.34499999999999997</v>
      </c>
      <c r="P95">
        <v>0.33100000000000002</v>
      </c>
      <c r="Q95">
        <v>0.32600000000000001</v>
      </c>
      <c r="R95">
        <v>0.32700000000000001</v>
      </c>
      <c r="S95">
        <v>0.33800000000000002</v>
      </c>
      <c r="T95">
        <v>0.34200000000000003</v>
      </c>
      <c r="U95">
        <v>0.34300000000000003</v>
      </c>
      <c r="V95">
        <v>0.34599999999999997</v>
      </c>
      <c r="W95" t="s">
        <v>901</v>
      </c>
      <c r="X95" t="s">
        <v>901</v>
      </c>
      <c r="Y95" t="s">
        <v>901</v>
      </c>
      <c r="Z95" t="s">
        <v>901</v>
      </c>
      <c r="AA95" t="s">
        <v>901</v>
      </c>
      <c r="AB95" t="s">
        <v>901</v>
      </c>
      <c r="AC95" t="s">
        <v>901</v>
      </c>
      <c r="AD95" t="s">
        <v>901</v>
      </c>
      <c r="AE95" t="s">
        <v>910</v>
      </c>
      <c r="AF95">
        <v>0</v>
      </c>
      <c r="AG95">
        <v>324.89999999999998</v>
      </c>
      <c r="AH95">
        <v>313.7</v>
      </c>
      <c r="AI95">
        <v>306.3</v>
      </c>
      <c r="AJ95">
        <v>311</v>
      </c>
      <c r="AK95">
        <v>305.7</v>
      </c>
      <c r="AL95">
        <v>309.8</v>
      </c>
      <c r="AM95" s="157">
        <v>310.3</v>
      </c>
      <c r="AN95" s="157">
        <v>306.10000000000002</v>
      </c>
      <c r="AO95" s="157">
        <v>302.89999999999998</v>
      </c>
      <c r="AP95" s="157">
        <v>300.7</v>
      </c>
    </row>
    <row r="96" spans="1:42" ht="14.7" customHeight="1">
      <c r="A96" s="181" t="s">
        <v>56</v>
      </c>
      <c r="B96" s="181"/>
      <c r="C96">
        <v>468.9</v>
      </c>
      <c r="D96">
        <v>471.3</v>
      </c>
      <c r="E96">
        <v>474.3</v>
      </c>
      <c r="F96">
        <v>464.8</v>
      </c>
      <c r="G96">
        <v>457.8</v>
      </c>
      <c r="H96">
        <v>466.8</v>
      </c>
      <c r="I96">
        <v>434.1</v>
      </c>
      <c r="J96">
        <v>460.6</v>
      </c>
      <c r="K96">
        <v>447.3</v>
      </c>
      <c r="L96">
        <v>432.8</v>
      </c>
      <c r="M96">
        <v>0.48299999999999998</v>
      </c>
      <c r="N96">
        <v>0.48399999999999999</v>
      </c>
      <c r="O96">
        <v>0.46600000000000003</v>
      </c>
      <c r="P96">
        <v>0.48499999999999999</v>
      </c>
      <c r="Q96">
        <v>0.495</v>
      </c>
      <c r="R96">
        <v>0.48699999999999999</v>
      </c>
      <c r="S96">
        <v>0.51200000000000001</v>
      </c>
      <c r="T96">
        <v>0.48899999999999999</v>
      </c>
      <c r="U96">
        <v>0.49399999999999999</v>
      </c>
      <c r="V96">
        <v>0.501</v>
      </c>
      <c r="W96" t="s">
        <v>901</v>
      </c>
      <c r="X96" t="s">
        <v>901</v>
      </c>
      <c r="Y96" t="s">
        <v>901</v>
      </c>
      <c r="Z96" t="s">
        <v>901</v>
      </c>
      <c r="AA96" t="s">
        <v>901</v>
      </c>
      <c r="AB96" t="s">
        <v>901</v>
      </c>
      <c r="AC96" t="s">
        <v>901</v>
      </c>
      <c r="AD96" t="s">
        <v>901</v>
      </c>
      <c r="AE96" t="s">
        <v>910</v>
      </c>
      <c r="AF96">
        <v>0</v>
      </c>
      <c r="AG96">
        <v>391.4</v>
      </c>
      <c r="AH96">
        <v>386</v>
      </c>
      <c r="AI96">
        <v>378.8</v>
      </c>
      <c r="AJ96">
        <v>384.2</v>
      </c>
      <c r="AK96">
        <v>383</v>
      </c>
      <c r="AL96">
        <v>377.5</v>
      </c>
      <c r="AM96" s="157">
        <v>368.9</v>
      </c>
      <c r="AN96" s="157">
        <v>375.8</v>
      </c>
      <c r="AO96" s="157">
        <v>369.6</v>
      </c>
      <c r="AP96" s="157">
        <v>363</v>
      </c>
    </row>
    <row r="97" spans="1:42" ht="14.7" customHeight="1">
      <c r="A97" s="181" t="s">
        <v>57</v>
      </c>
      <c r="B97" s="181"/>
      <c r="C97">
        <v>391</v>
      </c>
      <c r="D97">
        <v>394.7</v>
      </c>
      <c r="E97">
        <v>409.3</v>
      </c>
      <c r="F97">
        <v>424.2</v>
      </c>
      <c r="G97">
        <v>448.3</v>
      </c>
      <c r="H97">
        <v>441.8</v>
      </c>
      <c r="I97">
        <v>462</v>
      </c>
      <c r="J97">
        <v>456</v>
      </c>
      <c r="K97">
        <v>473.1</v>
      </c>
      <c r="L97">
        <v>460.2</v>
      </c>
      <c r="M97">
        <v>0.55100000000000005</v>
      </c>
      <c r="N97">
        <v>0.54700000000000004</v>
      </c>
      <c r="O97">
        <v>0.53600000000000003</v>
      </c>
      <c r="P97">
        <v>0.498</v>
      </c>
      <c r="Q97">
        <v>0.46500000000000002</v>
      </c>
      <c r="R97">
        <v>0.46200000000000002</v>
      </c>
      <c r="S97">
        <v>0.45400000000000001</v>
      </c>
      <c r="T97">
        <v>0.42099999999999999</v>
      </c>
      <c r="U97">
        <v>0.38900000000000001</v>
      </c>
      <c r="V97">
        <v>0.40799999999999997</v>
      </c>
      <c r="W97" t="s">
        <v>901</v>
      </c>
      <c r="X97" t="s">
        <v>901</v>
      </c>
      <c r="Y97" t="s">
        <v>901</v>
      </c>
      <c r="Z97" t="s">
        <v>901</v>
      </c>
      <c r="AA97" t="s">
        <v>901</v>
      </c>
      <c r="AB97" t="s">
        <v>901</v>
      </c>
      <c r="AC97" t="s">
        <v>901</v>
      </c>
      <c r="AD97" t="s">
        <v>901</v>
      </c>
      <c r="AE97" t="s">
        <v>910</v>
      </c>
      <c r="AF97">
        <v>0</v>
      </c>
      <c r="AG97">
        <v>408.9</v>
      </c>
      <c r="AH97">
        <v>407.3</v>
      </c>
      <c r="AI97">
        <v>427.5</v>
      </c>
      <c r="AJ97">
        <v>410.8</v>
      </c>
      <c r="AK97">
        <v>407.2</v>
      </c>
      <c r="AL97">
        <v>400.3</v>
      </c>
      <c r="AM97" s="157">
        <v>413.2</v>
      </c>
      <c r="AN97" s="157">
        <v>383.7</v>
      </c>
      <c r="AO97" s="157">
        <v>377.1</v>
      </c>
      <c r="AP97" s="157">
        <v>379</v>
      </c>
    </row>
    <row r="98" spans="1:42" ht="14.7" customHeight="1">
      <c r="A98" s="181" t="s">
        <v>58</v>
      </c>
      <c r="B98" s="181"/>
      <c r="C98">
        <v>547.4</v>
      </c>
      <c r="D98">
        <v>436.6</v>
      </c>
      <c r="E98">
        <v>354.2</v>
      </c>
      <c r="F98">
        <v>367.7</v>
      </c>
      <c r="G98">
        <v>382.9</v>
      </c>
      <c r="H98">
        <v>395.6</v>
      </c>
      <c r="I98">
        <v>393.7</v>
      </c>
      <c r="J98">
        <v>387.4</v>
      </c>
      <c r="K98">
        <v>394.9</v>
      </c>
      <c r="L98">
        <v>389.9</v>
      </c>
      <c r="M98">
        <v>0.308</v>
      </c>
      <c r="N98">
        <v>0.39100000000000001</v>
      </c>
      <c r="O98">
        <v>0.46200000000000002</v>
      </c>
      <c r="P98">
        <v>0.45300000000000001</v>
      </c>
      <c r="Q98">
        <v>0.44700000000000001</v>
      </c>
      <c r="R98">
        <v>0.441</v>
      </c>
      <c r="S98">
        <v>0.46200000000000002</v>
      </c>
      <c r="T98">
        <v>0.46600000000000003</v>
      </c>
      <c r="U98">
        <v>0.45900000000000002</v>
      </c>
      <c r="V98">
        <v>0.47</v>
      </c>
      <c r="W98" t="s">
        <v>901</v>
      </c>
      <c r="X98" t="s">
        <v>901</v>
      </c>
      <c r="Y98" t="s">
        <v>901</v>
      </c>
      <c r="Z98" t="s">
        <v>901</v>
      </c>
      <c r="AA98" t="s">
        <v>901</v>
      </c>
      <c r="AB98" t="s">
        <v>901</v>
      </c>
      <c r="AC98" t="s">
        <v>901</v>
      </c>
      <c r="AD98" t="s">
        <v>901</v>
      </c>
      <c r="AE98" t="s">
        <v>910</v>
      </c>
      <c r="AF98">
        <v>0</v>
      </c>
      <c r="AG98">
        <v>345.2</v>
      </c>
      <c r="AH98">
        <v>314.5</v>
      </c>
      <c r="AI98">
        <v>285</v>
      </c>
      <c r="AJ98">
        <v>292.3</v>
      </c>
      <c r="AK98">
        <v>299.2</v>
      </c>
      <c r="AL98">
        <v>303.89999999999998</v>
      </c>
      <c r="AM98" s="157">
        <v>313.7</v>
      </c>
      <c r="AN98" s="157">
        <v>309.5</v>
      </c>
      <c r="AO98" s="157">
        <v>313.3</v>
      </c>
      <c r="AP98" s="157">
        <v>316.5</v>
      </c>
    </row>
    <row r="99" spans="1:42" ht="14.7" customHeight="1">
      <c r="A99" s="181" t="s">
        <v>268</v>
      </c>
      <c r="B99" s="181"/>
      <c r="C99">
        <v>677.4</v>
      </c>
      <c r="D99">
        <v>560.20000000000005</v>
      </c>
      <c r="E99">
        <v>514.6</v>
      </c>
      <c r="F99">
        <v>472.7</v>
      </c>
      <c r="G99">
        <v>480.6</v>
      </c>
      <c r="H99">
        <v>385</v>
      </c>
      <c r="I99">
        <v>387.8</v>
      </c>
      <c r="J99">
        <v>390.5</v>
      </c>
      <c r="K99">
        <v>382.5</v>
      </c>
      <c r="L99">
        <v>400.5</v>
      </c>
      <c r="M99">
        <v>0.41599999999999998</v>
      </c>
      <c r="N99">
        <v>0.51300000000000001</v>
      </c>
      <c r="O99">
        <v>0.53900000000000003</v>
      </c>
      <c r="P99">
        <v>0.57199999999999995</v>
      </c>
      <c r="Q99">
        <v>0.57499999999999996</v>
      </c>
      <c r="R99">
        <v>0.66100000000000003</v>
      </c>
      <c r="S99">
        <v>0.65400000000000003</v>
      </c>
      <c r="T99">
        <v>0.64500000000000002</v>
      </c>
      <c r="U99">
        <v>0.64800000000000002</v>
      </c>
      <c r="V99">
        <v>0.63300000000000001</v>
      </c>
      <c r="W99">
        <v>0.56200000000000006</v>
      </c>
      <c r="X99">
        <v>0.439</v>
      </c>
      <c r="Y99">
        <v>0.40300000000000002</v>
      </c>
      <c r="Z99">
        <v>0.29299999999999998</v>
      </c>
      <c r="AA99">
        <v>0.1</v>
      </c>
      <c r="AB99">
        <v>1.4E-2</v>
      </c>
      <c r="AC99">
        <v>0.01</v>
      </c>
      <c r="AD99">
        <v>6.0000000000000001E-3</v>
      </c>
      <c r="AE99">
        <v>3.0000000000000001E-3</v>
      </c>
      <c r="AF99">
        <v>1E-3</v>
      </c>
      <c r="AG99">
        <v>520.29999999999995</v>
      </c>
      <c r="AH99">
        <v>512.1</v>
      </c>
      <c r="AI99">
        <v>504.7</v>
      </c>
      <c r="AJ99">
        <v>499.5</v>
      </c>
      <c r="AK99">
        <v>511.2</v>
      </c>
      <c r="AL99">
        <v>513</v>
      </c>
      <c r="AM99" s="157">
        <v>506.8</v>
      </c>
      <c r="AN99" s="157">
        <v>499.8</v>
      </c>
      <c r="AO99" s="157">
        <v>495.6</v>
      </c>
      <c r="AP99" s="157">
        <v>499.7</v>
      </c>
    </row>
    <row r="100" spans="1:42" ht="14.7" customHeight="1">
      <c r="A100" s="181" t="s">
        <v>59</v>
      </c>
      <c r="B100" s="181"/>
      <c r="C100">
        <v>473</v>
      </c>
      <c r="D100">
        <v>456.4</v>
      </c>
      <c r="E100">
        <v>434.7</v>
      </c>
      <c r="F100">
        <v>448.1</v>
      </c>
      <c r="G100">
        <v>448.1</v>
      </c>
      <c r="H100">
        <v>483.7</v>
      </c>
      <c r="I100">
        <v>476.7</v>
      </c>
      <c r="J100">
        <v>512.6</v>
      </c>
      <c r="K100">
        <v>506.4</v>
      </c>
      <c r="L100">
        <v>515.6</v>
      </c>
      <c r="M100">
        <v>0.5</v>
      </c>
      <c r="N100">
        <v>0.51200000000000001</v>
      </c>
      <c r="O100">
        <v>0.52900000000000003</v>
      </c>
      <c r="P100">
        <v>0.52300000000000002</v>
      </c>
      <c r="Q100">
        <v>0.51700000000000002</v>
      </c>
      <c r="R100">
        <v>0.48799999999999999</v>
      </c>
      <c r="S100">
        <v>0.49299999999999999</v>
      </c>
      <c r="T100">
        <v>0.439</v>
      </c>
      <c r="U100">
        <v>0.436</v>
      </c>
      <c r="V100">
        <v>0.436</v>
      </c>
      <c r="W100" t="s">
        <v>901</v>
      </c>
      <c r="X100" t="s">
        <v>901</v>
      </c>
      <c r="Y100" t="s">
        <v>901</v>
      </c>
      <c r="Z100" t="s">
        <v>901</v>
      </c>
      <c r="AA100" t="s">
        <v>901</v>
      </c>
      <c r="AB100" t="s">
        <v>901</v>
      </c>
      <c r="AC100" t="s">
        <v>901</v>
      </c>
      <c r="AD100" t="s">
        <v>901</v>
      </c>
      <c r="AE100" t="s">
        <v>910</v>
      </c>
      <c r="AF100">
        <v>0</v>
      </c>
      <c r="AG100">
        <v>422.3</v>
      </c>
      <c r="AH100">
        <v>416.3</v>
      </c>
      <c r="AI100">
        <v>396.7</v>
      </c>
      <c r="AJ100">
        <v>404.1</v>
      </c>
      <c r="AK100">
        <v>398.6</v>
      </c>
      <c r="AL100">
        <v>404.2</v>
      </c>
      <c r="AM100" s="157">
        <v>403.6</v>
      </c>
      <c r="AN100" s="157">
        <v>393.4</v>
      </c>
      <c r="AO100" s="157">
        <v>387</v>
      </c>
      <c r="AP100" s="157">
        <v>394.9</v>
      </c>
    </row>
    <row r="101" spans="1:42" ht="14.7" customHeight="1">
      <c r="A101" s="181" t="s">
        <v>911</v>
      </c>
      <c r="B101" s="181"/>
      <c r="C101" t="s">
        <v>901</v>
      </c>
      <c r="D101" t="s">
        <v>901</v>
      </c>
      <c r="E101" t="s">
        <v>901</v>
      </c>
      <c r="F101" t="s">
        <v>901</v>
      </c>
      <c r="G101" t="s">
        <v>901</v>
      </c>
      <c r="H101" t="s">
        <v>901</v>
      </c>
      <c r="I101" t="s">
        <v>901</v>
      </c>
      <c r="J101" t="s">
        <v>901</v>
      </c>
      <c r="K101" t="s">
        <v>901</v>
      </c>
      <c r="L101">
        <v>453.7</v>
      </c>
      <c r="M101" t="s">
        <v>901</v>
      </c>
      <c r="N101" t="s">
        <v>901</v>
      </c>
      <c r="O101" t="s">
        <v>901</v>
      </c>
      <c r="P101" t="s">
        <v>901</v>
      </c>
      <c r="Q101" t="s">
        <v>901</v>
      </c>
      <c r="R101" t="s">
        <v>901</v>
      </c>
      <c r="S101" t="s">
        <v>901</v>
      </c>
      <c r="T101" t="s">
        <v>901</v>
      </c>
      <c r="U101" t="s">
        <v>901</v>
      </c>
      <c r="V101">
        <v>0.45200000000000001</v>
      </c>
      <c r="W101" t="s">
        <v>901</v>
      </c>
      <c r="X101" t="s">
        <v>901</v>
      </c>
      <c r="Y101" t="s">
        <v>901</v>
      </c>
      <c r="Z101" t="s">
        <v>901</v>
      </c>
      <c r="AA101" t="s">
        <v>901</v>
      </c>
      <c r="AB101" t="s">
        <v>901</v>
      </c>
      <c r="AC101" t="s">
        <v>901</v>
      </c>
      <c r="AD101" t="s">
        <v>901</v>
      </c>
      <c r="AE101" t="s">
        <v>901</v>
      </c>
      <c r="AF101">
        <v>0</v>
      </c>
      <c r="AG101" t="s">
        <v>901</v>
      </c>
      <c r="AH101" t="s">
        <v>901</v>
      </c>
      <c r="AI101" t="s">
        <v>901</v>
      </c>
      <c r="AJ101" t="s">
        <v>901</v>
      </c>
      <c r="AK101" t="s">
        <v>901</v>
      </c>
      <c r="AL101" t="s">
        <v>901</v>
      </c>
      <c r="AM101" s="157" t="s">
        <v>901</v>
      </c>
      <c r="AN101" s="157" t="s">
        <v>901</v>
      </c>
      <c r="AO101" s="157" t="s">
        <v>901</v>
      </c>
      <c r="AP101" s="157">
        <v>390.7</v>
      </c>
    </row>
    <row r="102" spans="1:42" ht="14.7" customHeight="1">
      <c r="A102" s="181" t="s">
        <v>311</v>
      </c>
      <c r="B102" s="181"/>
      <c r="C102">
        <v>623.5</v>
      </c>
      <c r="D102">
        <v>602.9</v>
      </c>
      <c r="E102">
        <v>596.9</v>
      </c>
      <c r="F102">
        <v>591</v>
      </c>
      <c r="G102">
        <v>588</v>
      </c>
      <c r="H102">
        <v>590.29999999999995</v>
      </c>
      <c r="I102">
        <v>576.6</v>
      </c>
      <c r="J102">
        <v>576.29999999999995</v>
      </c>
      <c r="K102">
        <v>559.5</v>
      </c>
      <c r="L102">
        <v>545.79999999999995</v>
      </c>
      <c r="M102">
        <v>0.38300000000000001</v>
      </c>
      <c r="N102">
        <v>0.39200000000000002</v>
      </c>
      <c r="O102">
        <v>0.39200000000000002</v>
      </c>
      <c r="P102">
        <v>0.40799999999999997</v>
      </c>
      <c r="Q102">
        <v>0.41899999999999998</v>
      </c>
      <c r="R102">
        <v>0.41599999999999998</v>
      </c>
      <c r="S102">
        <v>0.436</v>
      </c>
      <c r="T102">
        <v>0.42799999999999999</v>
      </c>
      <c r="U102">
        <v>0.433</v>
      </c>
      <c r="V102">
        <v>0.42799999999999999</v>
      </c>
      <c r="W102">
        <v>0.379</v>
      </c>
      <c r="X102">
        <v>0.185</v>
      </c>
      <c r="Y102">
        <v>6.5000000000000002E-2</v>
      </c>
      <c r="Z102">
        <v>5.0999999999999997E-2</v>
      </c>
      <c r="AA102">
        <v>0.03</v>
      </c>
      <c r="AB102">
        <v>5.2999999999999999E-2</v>
      </c>
      <c r="AC102">
        <v>4.8000000000000001E-2</v>
      </c>
      <c r="AD102">
        <v>4.8000000000000001E-2</v>
      </c>
      <c r="AE102">
        <v>0.04</v>
      </c>
      <c r="AF102">
        <v>3.5999999999999997E-2</v>
      </c>
      <c r="AG102">
        <v>476.4</v>
      </c>
      <c r="AH102">
        <v>464.7</v>
      </c>
      <c r="AI102">
        <v>449.2</v>
      </c>
      <c r="AJ102">
        <v>456.2</v>
      </c>
      <c r="AK102">
        <v>459.9</v>
      </c>
      <c r="AL102">
        <v>452.2</v>
      </c>
      <c r="AM102" s="157">
        <v>456.3</v>
      </c>
      <c r="AN102" s="157">
        <v>448.1</v>
      </c>
      <c r="AO102" s="157">
        <v>440.2</v>
      </c>
      <c r="AP102" s="157">
        <v>429.9</v>
      </c>
    </row>
    <row r="103" spans="1:42" ht="14.7" customHeight="1">
      <c r="A103" s="181" t="s">
        <v>60</v>
      </c>
      <c r="B103" s="181"/>
      <c r="C103">
        <v>524.4</v>
      </c>
      <c r="D103">
        <v>509.6</v>
      </c>
      <c r="E103">
        <v>511.1</v>
      </c>
      <c r="F103">
        <v>503.6</v>
      </c>
      <c r="G103">
        <v>501.5</v>
      </c>
      <c r="H103">
        <v>492.3</v>
      </c>
      <c r="I103">
        <v>486.4</v>
      </c>
      <c r="J103">
        <v>465.1</v>
      </c>
      <c r="K103">
        <v>459.9</v>
      </c>
      <c r="L103">
        <v>479.5</v>
      </c>
      <c r="M103">
        <v>0.31900000000000001</v>
      </c>
      <c r="N103">
        <v>0.32800000000000001</v>
      </c>
      <c r="O103">
        <v>0.32800000000000001</v>
      </c>
      <c r="P103">
        <v>0.33500000000000002</v>
      </c>
      <c r="Q103">
        <v>0.34699999999999998</v>
      </c>
      <c r="R103">
        <v>0.35799999999999998</v>
      </c>
      <c r="S103">
        <v>0.371</v>
      </c>
      <c r="T103">
        <v>0.38900000000000001</v>
      </c>
      <c r="U103">
        <v>0.35199999999999998</v>
      </c>
      <c r="V103">
        <v>0.317</v>
      </c>
      <c r="W103" t="s">
        <v>901</v>
      </c>
      <c r="X103" t="s">
        <v>901</v>
      </c>
      <c r="Y103" t="s">
        <v>901</v>
      </c>
      <c r="Z103" t="s">
        <v>901</v>
      </c>
      <c r="AA103" t="s">
        <v>901</v>
      </c>
      <c r="AB103" t="s">
        <v>901</v>
      </c>
      <c r="AC103" t="s">
        <v>901</v>
      </c>
      <c r="AD103" t="s">
        <v>901</v>
      </c>
      <c r="AE103" t="s">
        <v>910</v>
      </c>
      <c r="AF103">
        <v>0</v>
      </c>
      <c r="AG103">
        <v>382</v>
      </c>
      <c r="AH103">
        <v>373.2</v>
      </c>
      <c r="AI103">
        <v>364.8</v>
      </c>
      <c r="AJ103">
        <v>363.1</v>
      </c>
      <c r="AK103">
        <v>366.9</v>
      </c>
      <c r="AL103">
        <v>360.7</v>
      </c>
      <c r="AM103" s="157">
        <v>363.1</v>
      </c>
      <c r="AN103" s="157">
        <v>358</v>
      </c>
      <c r="AO103" s="157">
        <v>335.4</v>
      </c>
      <c r="AP103" s="157">
        <v>331.1</v>
      </c>
    </row>
    <row r="104" spans="1:42" ht="14.7" customHeight="1">
      <c r="A104" s="181" t="s">
        <v>61</v>
      </c>
      <c r="B104" s="181"/>
      <c r="C104">
        <v>424.8</v>
      </c>
      <c r="D104">
        <v>419.9</v>
      </c>
      <c r="E104">
        <v>428.8</v>
      </c>
      <c r="F104">
        <v>439.9</v>
      </c>
      <c r="G104">
        <v>443.6</v>
      </c>
      <c r="H104">
        <v>450.8</v>
      </c>
      <c r="I104">
        <v>459.5</v>
      </c>
      <c r="J104">
        <v>450.6</v>
      </c>
      <c r="K104">
        <v>438.6</v>
      </c>
      <c r="L104">
        <v>429.3</v>
      </c>
      <c r="M104">
        <v>0.432</v>
      </c>
      <c r="N104">
        <v>0.433</v>
      </c>
      <c r="O104">
        <v>0.40200000000000002</v>
      </c>
      <c r="P104">
        <v>0.39100000000000001</v>
      </c>
      <c r="Q104">
        <v>0.40600000000000003</v>
      </c>
      <c r="R104">
        <v>0.40200000000000002</v>
      </c>
      <c r="S104">
        <v>0.40699999999999997</v>
      </c>
      <c r="T104">
        <v>0.41599999999999998</v>
      </c>
      <c r="U104">
        <v>0.41699999999999998</v>
      </c>
      <c r="V104">
        <v>0.43099999999999999</v>
      </c>
      <c r="W104" t="s">
        <v>901</v>
      </c>
      <c r="X104" t="s">
        <v>901</v>
      </c>
      <c r="Y104" t="s">
        <v>901</v>
      </c>
      <c r="Z104" t="s">
        <v>901</v>
      </c>
      <c r="AA104" t="s">
        <v>901</v>
      </c>
      <c r="AB104" t="s">
        <v>901</v>
      </c>
      <c r="AC104" t="s">
        <v>901</v>
      </c>
      <c r="AD104" t="s">
        <v>901</v>
      </c>
      <c r="AE104" t="s">
        <v>910</v>
      </c>
      <c r="AF104">
        <v>0</v>
      </c>
      <c r="AG104">
        <v>326.10000000000002</v>
      </c>
      <c r="AH104">
        <v>319.60000000000002</v>
      </c>
      <c r="AI104">
        <v>302.39999999999998</v>
      </c>
      <c r="AJ104">
        <v>304.8</v>
      </c>
      <c r="AK104">
        <v>313.2</v>
      </c>
      <c r="AL104">
        <v>314.60000000000002</v>
      </c>
      <c r="AM104" s="157">
        <v>323.5</v>
      </c>
      <c r="AN104" s="157">
        <v>322.8</v>
      </c>
      <c r="AO104" s="157">
        <v>317</v>
      </c>
      <c r="AP104" s="157">
        <v>319.8</v>
      </c>
    </row>
    <row r="105" spans="1:42" ht="14.7" customHeight="1">
      <c r="A105" s="181" t="s">
        <v>62</v>
      </c>
      <c r="B105" s="181"/>
      <c r="C105">
        <v>502.1</v>
      </c>
      <c r="D105">
        <v>485.1</v>
      </c>
      <c r="E105">
        <v>444.8</v>
      </c>
      <c r="F105">
        <v>546.9</v>
      </c>
      <c r="G105">
        <v>486.6</v>
      </c>
      <c r="H105">
        <v>483.7</v>
      </c>
      <c r="I105">
        <v>498.7</v>
      </c>
      <c r="J105">
        <v>472.5</v>
      </c>
      <c r="K105">
        <v>460.4</v>
      </c>
      <c r="L105">
        <v>438.1</v>
      </c>
      <c r="M105">
        <v>0.443</v>
      </c>
      <c r="N105">
        <v>0.45800000000000002</v>
      </c>
      <c r="O105">
        <v>0.442</v>
      </c>
      <c r="P105">
        <v>0.40799999999999997</v>
      </c>
      <c r="Q105">
        <v>0.44400000000000001</v>
      </c>
      <c r="R105">
        <v>0.433</v>
      </c>
      <c r="S105">
        <v>0.42899999999999999</v>
      </c>
      <c r="T105">
        <v>0.42599999999999999</v>
      </c>
      <c r="U105">
        <v>0.42399999999999999</v>
      </c>
      <c r="V105">
        <v>0.435</v>
      </c>
      <c r="W105" t="s">
        <v>901</v>
      </c>
      <c r="X105" t="s">
        <v>901</v>
      </c>
      <c r="Y105" t="s">
        <v>901</v>
      </c>
      <c r="Z105" t="s">
        <v>901</v>
      </c>
      <c r="AA105" t="s">
        <v>901</v>
      </c>
      <c r="AB105" t="s">
        <v>901</v>
      </c>
      <c r="AC105" t="s">
        <v>901</v>
      </c>
      <c r="AD105" t="s">
        <v>901</v>
      </c>
      <c r="AE105" t="s">
        <v>910</v>
      </c>
      <c r="AF105">
        <v>0</v>
      </c>
      <c r="AG105">
        <v>430.8</v>
      </c>
      <c r="AH105">
        <v>430.3</v>
      </c>
      <c r="AI105">
        <v>383.8</v>
      </c>
      <c r="AJ105">
        <v>449.5</v>
      </c>
      <c r="AK105">
        <v>426.5</v>
      </c>
      <c r="AL105">
        <v>418.2</v>
      </c>
      <c r="AM105" s="157">
        <v>431</v>
      </c>
      <c r="AN105" s="157">
        <v>409.7</v>
      </c>
      <c r="AO105" s="157">
        <v>398.3</v>
      </c>
      <c r="AP105" s="157">
        <v>388.3</v>
      </c>
    </row>
    <row r="106" spans="1:42" ht="14.7" customHeight="1">
      <c r="A106" s="181" t="s">
        <v>63</v>
      </c>
      <c r="B106" s="181"/>
      <c r="C106">
        <v>440.1</v>
      </c>
      <c r="D106">
        <v>445.8</v>
      </c>
      <c r="E106">
        <v>456.9</v>
      </c>
      <c r="F106">
        <v>480</v>
      </c>
      <c r="G106">
        <v>459.8</v>
      </c>
      <c r="H106">
        <v>433.1</v>
      </c>
      <c r="I106">
        <v>413.7</v>
      </c>
      <c r="J106">
        <v>434.4</v>
      </c>
      <c r="K106">
        <v>452.1</v>
      </c>
      <c r="L106">
        <v>437.8</v>
      </c>
      <c r="M106">
        <v>0.50900000000000001</v>
      </c>
      <c r="N106">
        <v>0.505</v>
      </c>
      <c r="O106">
        <v>0.501</v>
      </c>
      <c r="P106">
        <v>0.49099999999999999</v>
      </c>
      <c r="Q106">
        <v>0.50900000000000001</v>
      </c>
      <c r="R106">
        <v>0.52900000000000003</v>
      </c>
      <c r="S106">
        <v>0.55000000000000004</v>
      </c>
      <c r="T106">
        <v>0.52900000000000003</v>
      </c>
      <c r="U106">
        <v>0.51</v>
      </c>
      <c r="V106">
        <v>0.52600000000000002</v>
      </c>
      <c r="W106" t="s">
        <v>901</v>
      </c>
      <c r="X106" t="s">
        <v>901</v>
      </c>
      <c r="Y106" t="s">
        <v>901</v>
      </c>
      <c r="Z106" t="s">
        <v>901</v>
      </c>
      <c r="AA106" t="s">
        <v>901</v>
      </c>
      <c r="AB106" t="s">
        <v>901</v>
      </c>
      <c r="AC106" t="s">
        <v>901</v>
      </c>
      <c r="AD106" t="s">
        <v>901</v>
      </c>
      <c r="AE106" t="s">
        <v>910</v>
      </c>
      <c r="AF106">
        <v>0</v>
      </c>
      <c r="AG106">
        <v>379.4</v>
      </c>
      <c r="AH106">
        <v>380.6</v>
      </c>
      <c r="AI106">
        <v>389.2</v>
      </c>
      <c r="AJ106">
        <v>403.1</v>
      </c>
      <c r="AK106">
        <v>398.6</v>
      </c>
      <c r="AL106">
        <v>391.2</v>
      </c>
      <c r="AM106" s="157">
        <v>392.5</v>
      </c>
      <c r="AN106" s="157">
        <v>385.3</v>
      </c>
      <c r="AO106" s="157">
        <v>386.5</v>
      </c>
      <c r="AP106" s="157">
        <v>390</v>
      </c>
    </row>
    <row r="107" spans="1:42" ht="14.7" customHeight="1">
      <c r="A107" s="181" t="s">
        <v>204</v>
      </c>
      <c r="B107" s="181"/>
      <c r="C107">
        <v>626.5</v>
      </c>
      <c r="D107">
        <v>608.9</v>
      </c>
      <c r="E107">
        <v>588.29999999999995</v>
      </c>
      <c r="F107">
        <v>606.9</v>
      </c>
      <c r="G107">
        <v>616.9</v>
      </c>
      <c r="H107">
        <v>636.20000000000005</v>
      </c>
      <c r="I107">
        <v>600.6</v>
      </c>
      <c r="J107">
        <v>605.29999999999995</v>
      </c>
      <c r="K107">
        <v>633</v>
      </c>
      <c r="L107">
        <v>631.6</v>
      </c>
      <c r="M107">
        <v>0.32400000000000001</v>
      </c>
      <c r="N107">
        <v>0.35299999999999998</v>
      </c>
      <c r="O107">
        <v>0.38800000000000001</v>
      </c>
      <c r="P107">
        <v>0.39100000000000001</v>
      </c>
      <c r="Q107">
        <v>0.38500000000000001</v>
      </c>
      <c r="R107">
        <v>0.35899999999999999</v>
      </c>
      <c r="S107">
        <v>0.372</v>
      </c>
      <c r="T107">
        <v>0.35899999999999999</v>
      </c>
      <c r="U107">
        <v>0.33400000000000002</v>
      </c>
      <c r="V107">
        <v>0.33100000000000002</v>
      </c>
      <c r="W107" t="s">
        <v>901</v>
      </c>
      <c r="X107" t="s">
        <v>901</v>
      </c>
      <c r="Y107" t="s">
        <v>901</v>
      </c>
      <c r="Z107" t="s">
        <v>901</v>
      </c>
      <c r="AA107" t="s">
        <v>901</v>
      </c>
      <c r="AB107" t="s">
        <v>901</v>
      </c>
      <c r="AC107" t="s">
        <v>901</v>
      </c>
      <c r="AD107" t="s">
        <v>901</v>
      </c>
      <c r="AE107" t="s">
        <v>910</v>
      </c>
      <c r="AF107">
        <v>0</v>
      </c>
      <c r="AG107">
        <v>390.5</v>
      </c>
      <c r="AH107">
        <v>387.6</v>
      </c>
      <c r="AI107">
        <v>371.9</v>
      </c>
      <c r="AJ107">
        <v>384</v>
      </c>
      <c r="AK107">
        <v>383.3</v>
      </c>
      <c r="AL107">
        <v>370.9</v>
      </c>
      <c r="AM107" s="157">
        <v>356</v>
      </c>
      <c r="AN107" s="157">
        <v>351.2</v>
      </c>
      <c r="AO107" s="157">
        <v>354.3</v>
      </c>
      <c r="AP107" s="157">
        <v>353.5</v>
      </c>
    </row>
    <row r="108" spans="1:42" ht="14.7" customHeight="1">
      <c r="A108" s="181" t="s">
        <v>64</v>
      </c>
      <c r="B108" s="181"/>
      <c r="C108">
        <v>391.6</v>
      </c>
      <c r="D108">
        <v>384.4</v>
      </c>
      <c r="E108">
        <v>387.4</v>
      </c>
      <c r="F108">
        <v>397.9</v>
      </c>
      <c r="G108">
        <v>401.5</v>
      </c>
      <c r="H108">
        <v>400.4</v>
      </c>
      <c r="I108">
        <v>408.7</v>
      </c>
      <c r="J108">
        <v>430.3</v>
      </c>
      <c r="K108">
        <v>404.8</v>
      </c>
      <c r="L108">
        <v>433</v>
      </c>
      <c r="M108">
        <v>0.58899999999999997</v>
      </c>
      <c r="N108">
        <v>0.59599999999999997</v>
      </c>
      <c r="O108">
        <v>0.58799999999999997</v>
      </c>
      <c r="P108">
        <v>0.58599999999999997</v>
      </c>
      <c r="Q108">
        <v>0.58499999999999996</v>
      </c>
      <c r="R108">
        <v>0.57699999999999996</v>
      </c>
      <c r="S108">
        <v>0.57699999999999996</v>
      </c>
      <c r="T108">
        <v>0.55200000000000005</v>
      </c>
      <c r="U108">
        <v>0.56299999999999994</v>
      </c>
      <c r="V108">
        <v>0.54100000000000004</v>
      </c>
      <c r="W108" t="s">
        <v>901</v>
      </c>
      <c r="X108" t="s">
        <v>901</v>
      </c>
      <c r="Y108" t="s">
        <v>901</v>
      </c>
      <c r="Z108" t="s">
        <v>901</v>
      </c>
      <c r="AA108" t="s">
        <v>901</v>
      </c>
      <c r="AB108" t="s">
        <v>901</v>
      </c>
      <c r="AC108" t="s">
        <v>901</v>
      </c>
      <c r="AD108" t="s">
        <v>901</v>
      </c>
      <c r="AE108" t="s">
        <v>910</v>
      </c>
      <c r="AF108">
        <v>0</v>
      </c>
      <c r="AG108">
        <v>418.1</v>
      </c>
      <c r="AH108">
        <v>416.1</v>
      </c>
      <c r="AI108">
        <v>411.2</v>
      </c>
      <c r="AJ108">
        <v>417.7</v>
      </c>
      <c r="AK108">
        <v>418.9</v>
      </c>
      <c r="AL108">
        <v>403.2</v>
      </c>
      <c r="AM108" s="157">
        <v>411.3</v>
      </c>
      <c r="AN108" s="157">
        <v>409.9</v>
      </c>
      <c r="AO108" s="157">
        <v>397.1</v>
      </c>
      <c r="AP108" s="157">
        <v>405</v>
      </c>
    </row>
    <row r="109" spans="1:42" ht="14.7" customHeight="1">
      <c r="A109" s="181" t="s">
        <v>919</v>
      </c>
      <c r="B109" s="181"/>
      <c r="C109">
        <v>483.4</v>
      </c>
      <c r="D109">
        <v>484.7</v>
      </c>
      <c r="E109">
        <v>480.5</v>
      </c>
      <c r="F109">
        <v>492.1</v>
      </c>
      <c r="G109">
        <v>497.7</v>
      </c>
      <c r="H109">
        <v>522.4</v>
      </c>
      <c r="I109">
        <v>507.3</v>
      </c>
      <c r="J109">
        <v>467.5</v>
      </c>
      <c r="K109">
        <v>408.8</v>
      </c>
      <c r="L109">
        <v>430.7</v>
      </c>
      <c r="M109">
        <v>0.46600000000000003</v>
      </c>
      <c r="N109">
        <v>0.46100000000000002</v>
      </c>
      <c r="O109">
        <v>0.46</v>
      </c>
      <c r="P109">
        <v>0.46300000000000002</v>
      </c>
      <c r="Q109">
        <v>0.46800000000000003</v>
      </c>
      <c r="R109">
        <v>0.45400000000000001</v>
      </c>
      <c r="S109">
        <v>0.46800000000000003</v>
      </c>
      <c r="T109">
        <v>0.499</v>
      </c>
      <c r="U109">
        <v>0.54900000000000004</v>
      </c>
      <c r="V109">
        <v>0.53500000000000003</v>
      </c>
      <c r="W109" t="s">
        <v>901</v>
      </c>
      <c r="X109" t="s">
        <v>901</v>
      </c>
      <c r="Y109" t="s">
        <v>901</v>
      </c>
      <c r="Z109" t="s">
        <v>901</v>
      </c>
      <c r="AA109" t="s">
        <v>901</v>
      </c>
      <c r="AB109" t="s">
        <v>901</v>
      </c>
      <c r="AC109" t="s">
        <v>901</v>
      </c>
      <c r="AD109" t="s">
        <v>901</v>
      </c>
      <c r="AE109" t="s">
        <v>910</v>
      </c>
      <c r="AF109">
        <v>0</v>
      </c>
      <c r="AG109">
        <v>384.2</v>
      </c>
      <c r="AH109">
        <v>370.6</v>
      </c>
      <c r="AI109">
        <v>364.6</v>
      </c>
      <c r="AJ109">
        <v>375.3</v>
      </c>
      <c r="AK109">
        <v>379.9</v>
      </c>
      <c r="AL109">
        <v>381.6</v>
      </c>
      <c r="AM109" s="157">
        <v>379.2</v>
      </c>
      <c r="AN109" s="157">
        <v>375.3</v>
      </c>
      <c r="AO109" s="157">
        <v>364.4</v>
      </c>
      <c r="AP109" s="157">
        <v>370.4</v>
      </c>
    </row>
    <row r="110" spans="1:42" ht="14.7" customHeight="1">
      <c r="A110" s="181" t="s">
        <v>65</v>
      </c>
      <c r="B110" s="181"/>
      <c r="C110">
        <v>527.5</v>
      </c>
      <c r="D110">
        <v>512.5</v>
      </c>
      <c r="E110">
        <v>521.70000000000005</v>
      </c>
      <c r="F110">
        <v>527.79999999999995</v>
      </c>
      <c r="G110">
        <v>543.79999999999995</v>
      </c>
      <c r="H110">
        <v>524.1</v>
      </c>
      <c r="I110">
        <v>511.4</v>
      </c>
      <c r="J110">
        <v>499.3</v>
      </c>
      <c r="K110">
        <v>496.5</v>
      </c>
      <c r="L110">
        <v>536.5</v>
      </c>
      <c r="M110">
        <v>0.41799999999999998</v>
      </c>
      <c r="N110">
        <v>0.40500000000000003</v>
      </c>
      <c r="O110">
        <v>0.39900000000000002</v>
      </c>
      <c r="P110">
        <v>0.39400000000000002</v>
      </c>
      <c r="Q110">
        <v>0.38900000000000001</v>
      </c>
      <c r="R110">
        <v>0.40699999999999997</v>
      </c>
      <c r="S110">
        <v>0.42699999999999999</v>
      </c>
      <c r="T110">
        <v>0.42299999999999999</v>
      </c>
      <c r="U110">
        <v>0.41899999999999998</v>
      </c>
      <c r="V110">
        <v>0.40699999999999997</v>
      </c>
      <c r="W110" t="s">
        <v>901</v>
      </c>
      <c r="X110" t="s">
        <v>901</v>
      </c>
      <c r="Y110" t="s">
        <v>901</v>
      </c>
      <c r="Z110" t="s">
        <v>901</v>
      </c>
      <c r="AA110" t="s">
        <v>901</v>
      </c>
      <c r="AB110" t="s">
        <v>901</v>
      </c>
      <c r="AC110" t="s">
        <v>901</v>
      </c>
      <c r="AD110" t="s">
        <v>901</v>
      </c>
      <c r="AE110" t="s">
        <v>910</v>
      </c>
      <c r="AF110">
        <v>0</v>
      </c>
      <c r="AG110">
        <v>410.5</v>
      </c>
      <c r="AH110">
        <v>389.7</v>
      </c>
      <c r="AI110">
        <v>391.2</v>
      </c>
      <c r="AJ110">
        <v>391.8</v>
      </c>
      <c r="AK110">
        <v>399.3</v>
      </c>
      <c r="AL110">
        <v>393.4</v>
      </c>
      <c r="AM110" s="157">
        <v>398.8</v>
      </c>
      <c r="AN110" s="157">
        <v>386.5</v>
      </c>
      <c r="AO110" s="157">
        <v>382.6</v>
      </c>
      <c r="AP110" s="157">
        <v>407.6</v>
      </c>
    </row>
    <row r="111" spans="1:42" ht="14.7" customHeight="1">
      <c r="A111" s="181" t="s">
        <v>312</v>
      </c>
      <c r="B111" s="181"/>
      <c r="C111">
        <v>548.29999999999995</v>
      </c>
      <c r="D111">
        <v>516.29999999999995</v>
      </c>
      <c r="E111">
        <v>503.5</v>
      </c>
      <c r="F111">
        <v>527</v>
      </c>
      <c r="G111">
        <v>532.4</v>
      </c>
      <c r="H111">
        <v>538.6</v>
      </c>
      <c r="I111">
        <v>518.1</v>
      </c>
      <c r="J111">
        <v>496.8</v>
      </c>
      <c r="K111">
        <v>514.70000000000005</v>
      </c>
      <c r="L111">
        <v>476.7</v>
      </c>
      <c r="M111">
        <v>0.499</v>
      </c>
      <c r="N111">
        <v>0.51800000000000002</v>
      </c>
      <c r="O111">
        <v>0.52</v>
      </c>
      <c r="P111">
        <v>0.51500000000000001</v>
      </c>
      <c r="Q111">
        <v>0.51100000000000001</v>
      </c>
      <c r="R111">
        <v>0.51100000000000001</v>
      </c>
      <c r="S111">
        <v>0.52900000000000003</v>
      </c>
      <c r="T111">
        <v>0.52800000000000002</v>
      </c>
      <c r="U111">
        <v>0.52</v>
      </c>
      <c r="V111">
        <v>0.53500000000000003</v>
      </c>
      <c r="W111">
        <v>0.52100000000000002</v>
      </c>
      <c r="X111">
        <v>0.504</v>
      </c>
      <c r="Y111">
        <v>0.496</v>
      </c>
      <c r="Z111">
        <v>0.503</v>
      </c>
      <c r="AA111">
        <v>0.46400000000000002</v>
      </c>
      <c r="AB111">
        <v>0.29199999999999998</v>
      </c>
      <c r="AC111">
        <v>0.20899999999999999</v>
      </c>
      <c r="AD111">
        <v>0.124</v>
      </c>
      <c r="AE111">
        <v>0.16600000000000001</v>
      </c>
      <c r="AF111">
        <v>0.187</v>
      </c>
      <c r="AG111">
        <v>477.3</v>
      </c>
      <c r="AH111">
        <v>460.4</v>
      </c>
      <c r="AI111">
        <v>458.4</v>
      </c>
      <c r="AJ111">
        <v>472.9</v>
      </c>
      <c r="AK111">
        <v>472.1</v>
      </c>
      <c r="AL111">
        <v>471.1</v>
      </c>
      <c r="AM111" s="157">
        <v>469.6</v>
      </c>
      <c r="AN111" s="157">
        <v>449.7</v>
      </c>
      <c r="AO111" s="157">
        <v>459.7</v>
      </c>
      <c r="AP111" s="157">
        <v>439.1</v>
      </c>
    </row>
    <row r="112" spans="1:42" ht="14.7" customHeight="1">
      <c r="A112" s="181" t="s">
        <v>66</v>
      </c>
      <c r="B112" s="181"/>
      <c r="C112">
        <v>451.2</v>
      </c>
      <c r="D112">
        <v>442.1</v>
      </c>
      <c r="E112">
        <v>442.2</v>
      </c>
      <c r="F112">
        <v>452.6</v>
      </c>
      <c r="G112">
        <v>468.2</v>
      </c>
      <c r="H112">
        <v>435.3</v>
      </c>
      <c r="I112">
        <v>452.1</v>
      </c>
      <c r="J112">
        <v>453.6</v>
      </c>
      <c r="K112">
        <v>463.1</v>
      </c>
      <c r="L112">
        <v>460.3</v>
      </c>
      <c r="M112">
        <v>0.36899999999999999</v>
      </c>
      <c r="N112">
        <v>0.36099999999999999</v>
      </c>
      <c r="O112">
        <v>0.34899999999999998</v>
      </c>
      <c r="P112">
        <v>0.34799999999999998</v>
      </c>
      <c r="Q112">
        <v>0.33800000000000002</v>
      </c>
      <c r="R112">
        <v>0.33400000000000002</v>
      </c>
      <c r="S112">
        <v>0.316</v>
      </c>
      <c r="T112">
        <v>0.308</v>
      </c>
      <c r="U112">
        <v>0.27100000000000002</v>
      </c>
      <c r="V112">
        <v>0.26100000000000001</v>
      </c>
      <c r="W112" t="s">
        <v>901</v>
      </c>
      <c r="X112" t="s">
        <v>901</v>
      </c>
      <c r="Y112" t="s">
        <v>901</v>
      </c>
      <c r="Z112" t="s">
        <v>901</v>
      </c>
      <c r="AA112" t="s">
        <v>901</v>
      </c>
      <c r="AB112" t="s">
        <v>901</v>
      </c>
      <c r="AC112" t="s">
        <v>901</v>
      </c>
      <c r="AD112" t="s">
        <v>901</v>
      </c>
      <c r="AE112" t="s">
        <v>910</v>
      </c>
      <c r="AF112">
        <v>0</v>
      </c>
      <c r="AG112">
        <v>301.89999999999998</v>
      </c>
      <c r="AH112">
        <v>301.39999999999998</v>
      </c>
      <c r="AI112">
        <v>304.8</v>
      </c>
      <c r="AJ112">
        <v>307.8</v>
      </c>
      <c r="AK112">
        <v>309.8</v>
      </c>
      <c r="AL112">
        <v>277.89999999999998</v>
      </c>
      <c r="AM112" s="157">
        <v>279.60000000000002</v>
      </c>
      <c r="AN112" s="157">
        <v>283.60000000000002</v>
      </c>
      <c r="AO112" s="157">
        <v>273.89999999999998</v>
      </c>
      <c r="AP112" s="157">
        <v>271.10000000000002</v>
      </c>
    </row>
    <row r="113" spans="1:42" ht="14.7" customHeight="1">
      <c r="A113" s="181" t="s">
        <v>67</v>
      </c>
      <c r="B113" s="181"/>
      <c r="C113">
        <v>461.1</v>
      </c>
      <c r="D113">
        <v>457.6</v>
      </c>
      <c r="E113">
        <v>462.3</v>
      </c>
      <c r="F113">
        <v>475.2</v>
      </c>
      <c r="G113">
        <v>473.6</v>
      </c>
      <c r="H113">
        <v>503.5</v>
      </c>
      <c r="I113">
        <v>491.7</v>
      </c>
      <c r="J113">
        <v>477.3</v>
      </c>
      <c r="K113">
        <v>471.5</v>
      </c>
      <c r="L113">
        <v>467.9</v>
      </c>
      <c r="M113">
        <v>0.38300000000000001</v>
      </c>
      <c r="N113">
        <v>0.38100000000000001</v>
      </c>
      <c r="O113">
        <v>0.36599999999999999</v>
      </c>
      <c r="P113">
        <v>0.35</v>
      </c>
      <c r="Q113">
        <v>0.34399999999999997</v>
      </c>
      <c r="R113">
        <v>0.32300000000000001</v>
      </c>
      <c r="S113">
        <v>0.33200000000000002</v>
      </c>
      <c r="T113">
        <v>0.34</v>
      </c>
      <c r="U113">
        <v>0.33700000000000002</v>
      </c>
      <c r="V113">
        <v>0.33400000000000002</v>
      </c>
      <c r="W113" t="s">
        <v>901</v>
      </c>
      <c r="X113" t="s">
        <v>901</v>
      </c>
      <c r="Y113" t="s">
        <v>901</v>
      </c>
      <c r="Z113" t="s">
        <v>901</v>
      </c>
      <c r="AA113" t="s">
        <v>901</v>
      </c>
      <c r="AB113" t="s">
        <v>901</v>
      </c>
      <c r="AC113" t="s">
        <v>901</v>
      </c>
      <c r="AD113" t="s">
        <v>901</v>
      </c>
      <c r="AE113" t="s">
        <v>910</v>
      </c>
      <c r="AF113">
        <v>0</v>
      </c>
      <c r="AG113">
        <v>323</v>
      </c>
      <c r="AH113">
        <v>315.39999999999998</v>
      </c>
      <c r="AI113">
        <v>312.8</v>
      </c>
      <c r="AJ113">
        <v>312</v>
      </c>
      <c r="AK113">
        <v>306.7</v>
      </c>
      <c r="AL113">
        <v>314.39999999999998</v>
      </c>
      <c r="AM113" s="157">
        <v>311.7</v>
      </c>
      <c r="AN113" s="157">
        <v>306.10000000000002</v>
      </c>
      <c r="AO113" s="157">
        <v>302.60000000000002</v>
      </c>
      <c r="AP113" s="157">
        <v>301.39999999999998</v>
      </c>
    </row>
    <row r="114" spans="1:42" ht="14.7" customHeight="1">
      <c r="A114" s="181" t="s">
        <v>68</v>
      </c>
      <c r="B114" s="181"/>
      <c r="C114">
        <v>456.1</v>
      </c>
      <c r="D114">
        <v>449.7</v>
      </c>
      <c r="E114">
        <v>462.2</v>
      </c>
      <c r="F114">
        <v>450.7</v>
      </c>
      <c r="G114">
        <v>472.9</v>
      </c>
      <c r="H114">
        <v>483.7</v>
      </c>
      <c r="I114">
        <v>523.4</v>
      </c>
      <c r="J114">
        <v>543.79999999999995</v>
      </c>
      <c r="K114">
        <v>533.6</v>
      </c>
      <c r="L114">
        <v>536.20000000000005</v>
      </c>
      <c r="M114">
        <v>0.51500000000000001</v>
      </c>
      <c r="N114">
        <v>0.505</v>
      </c>
      <c r="O114">
        <v>0.49399999999999999</v>
      </c>
      <c r="P114">
        <v>0.51200000000000001</v>
      </c>
      <c r="Q114">
        <v>0.50800000000000001</v>
      </c>
      <c r="R114">
        <v>0.49399999999999999</v>
      </c>
      <c r="S114">
        <v>0.46300000000000002</v>
      </c>
      <c r="T114">
        <v>0.38800000000000001</v>
      </c>
      <c r="U114">
        <v>0.39100000000000001</v>
      </c>
      <c r="V114">
        <v>0.4</v>
      </c>
      <c r="W114" t="s">
        <v>901</v>
      </c>
      <c r="X114" t="s">
        <v>901</v>
      </c>
      <c r="Y114" t="s">
        <v>901</v>
      </c>
      <c r="Z114" t="s">
        <v>901</v>
      </c>
      <c r="AA114" t="s">
        <v>901</v>
      </c>
      <c r="AB114" t="s">
        <v>901</v>
      </c>
      <c r="AC114" t="s">
        <v>901</v>
      </c>
      <c r="AD114" t="s">
        <v>901</v>
      </c>
      <c r="AE114" t="s">
        <v>910</v>
      </c>
      <c r="AF114">
        <v>0</v>
      </c>
      <c r="AG114">
        <v>436.9</v>
      </c>
      <c r="AH114">
        <v>422.4</v>
      </c>
      <c r="AI114">
        <v>411.2</v>
      </c>
      <c r="AJ114">
        <v>415.8</v>
      </c>
      <c r="AK114">
        <v>425.5</v>
      </c>
      <c r="AL114">
        <v>421.5</v>
      </c>
      <c r="AM114" s="157">
        <v>428.2</v>
      </c>
      <c r="AN114" s="157">
        <v>391.6</v>
      </c>
      <c r="AO114" s="157">
        <v>388.2</v>
      </c>
      <c r="AP114" s="157">
        <v>397.8</v>
      </c>
    </row>
    <row r="115" spans="1:42" ht="14.7" customHeight="1">
      <c r="A115" s="181" t="s">
        <v>920</v>
      </c>
      <c r="B115" s="181"/>
      <c r="C115">
        <v>531.29999999999995</v>
      </c>
      <c r="D115">
        <v>431.3</v>
      </c>
      <c r="E115">
        <v>435.6</v>
      </c>
      <c r="F115">
        <v>442.7</v>
      </c>
      <c r="G115">
        <v>416.4</v>
      </c>
      <c r="H115">
        <v>414</v>
      </c>
      <c r="I115">
        <v>422.1</v>
      </c>
      <c r="J115">
        <v>400.2</v>
      </c>
      <c r="K115">
        <v>373.6</v>
      </c>
      <c r="L115">
        <v>401</v>
      </c>
      <c r="M115">
        <v>0.373</v>
      </c>
      <c r="N115">
        <v>0.442</v>
      </c>
      <c r="O115">
        <v>0.45800000000000002</v>
      </c>
      <c r="P115">
        <v>0.44600000000000001</v>
      </c>
      <c r="Q115">
        <v>0.47599999999999998</v>
      </c>
      <c r="R115">
        <v>0.44</v>
      </c>
      <c r="S115">
        <v>0.42499999999999999</v>
      </c>
      <c r="T115">
        <v>0.45300000000000001</v>
      </c>
      <c r="U115">
        <v>0.48</v>
      </c>
      <c r="V115">
        <v>0.442</v>
      </c>
      <c r="W115" t="s">
        <v>901</v>
      </c>
      <c r="X115" t="s">
        <v>901</v>
      </c>
      <c r="Y115" t="s">
        <v>901</v>
      </c>
      <c r="Z115" t="s">
        <v>901</v>
      </c>
      <c r="AA115" t="s">
        <v>901</v>
      </c>
      <c r="AB115" t="s">
        <v>901</v>
      </c>
      <c r="AC115" t="s">
        <v>901</v>
      </c>
      <c r="AD115" t="s">
        <v>901</v>
      </c>
      <c r="AE115" t="s">
        <v>910</v>
      </c>
      <c r="AF115">
        <v>0</v>
      </c>
      <c r="AG115">
        <v>413</v>
      </c>
      <c r="AH115">
        <v>375.5</v>
      </c>
      <c r="AI115">
        <v>365.9</v>
      </c>
      <c r="AJ115">
        <v>363.9</v>
      </c>
      <c r="AK115">
        <v>361.6</v>
      </c>
      <c r="AL115">
        <v>333.8</v>
      </c>
      <c r="AM115" s="157">
        <v>330.8</v>
      </c>
      <c r="AN115" s="157">
        <v>331.6</v>
      </c>
      <c r="AO115" s="157">
        <v>325.3</v>
      </c>
      <c r="AP115" s="157">
        <v>327.10000000000002</v>
      </c>
    </row>
    <row r="116" spans="1:42" ht="14.7" customHeight="1">
      <c r="A116" s="181" t="s">
        <v>70</v>
      </c>
      <c r="B116" s="181"/>
      <c r="C116">
        <v>567.1</v>
      </c>
      <c r="D116">
        <v>560.1</v>
      </c>
      <c r="E116">
        <v>420.2</v>
      </c>
      <c r="F116">
        <v>418.2</v>
      </c>
      <c r="G116">
        <v>435.3</v>
      </c>
      <c r="H116">
        <v>430.4</v>
      </c>
      <c r="I116">
        <v>419.9</v>
      </c>
      <c r="J116">
        <v>396.3</v>
      </c>
      <c r="K116">
        <v>392.4</v>
      </c>
      <c r="L116">
        <v>410.8</v>
      </c>
      <c r="M116">
        <v>0.39200000000000002</v>
      </c>
      <c r="N116">
        <v>0.40100000000000002</v>
      </c>
      <c r="O116">
        <v>0.46700000000000003</v>
      </c>
      <c r="P116">
        <v>0.48299999999999998</v>
      </c>
      <c r="Q116">
        <v>0.47899999999999998</v>
      </c>
      <c r="R116">
        <v>0.48399999999999999</v>
      </c>
      <c r="S116">
        <v>0.52200000000000002</v>
      </c>
      <c r="T116">
        <v>0.54200000000000004</v>
      </c>
      <c r="U116">
        <v>0.53800000000000003</v>
      </c>
      <c r="V116">
        <v>0.52400000000000002</v>
      </c>
      <c r="W116" t="s">
        <v>901</v>
      </c>
      <c r="X116" t="s">
        <v>901</v>
      </c>
      <c r="Y116" t="s">
        <v>901</v>
      </c>
      <c r="Z116" t="s">
        <v>901</v>
      </c>
      <c r="AA116" t="s">
        <v>901</v>
      </c>
      <c r="AB116" t="s">
        <v>901</v>
      </c>
      <c r="AC116" t="s">
        <v>901</v>
      </c>
      <c r="AD116" t="s">
        <v>901</v>
      </c>
      <c r="AE116" t="s">
        <v>910</v>
      </c>
      <c r="AF116">
        <v>0</v>
      </c>
      <c r="AG116">
        <v>409.1</v>
      </c>
      <c r="AH116">
        <v>409.3</v>
      </c>
      <c r="AI116">
        <v>350.7</v>
      </c>
      <c r="AJ116">
        <v>360</v>
      </c>
      <c r="AK116">
        <v>367.1</v>
      </c>
      <c r="AL116">
        <v>364.8</v>
      </c>
      <c r="AM116" s="157">
        <v>383.5</v>
      </c>
      <c r="AN116" s="157">
        <v>378.7</v>
      </c>
      <c r="AO116" s="157">
        <v>372</v>
      </c>
      <c r="AP116" s="157">
        <v>379.4</v>
      </c>
    </row>
    <row r="117" spans="1:42" ht="14.7" customHeight="1">
      <c r="A117" s="181" t="s">
        <v>71</v>
      </c>
      <c r="B117" s="181"/>
      <c r="C117">
        <v>498.4</v>
      </c>
      <c r="D117">
        <v>496.4</v>
      </c>
      <c r="E117">
        <v>472.7</v>
      </c>
      <c r="F117">
        <v>423.9</v>
      </c>
      <c r="G117">
        <v>425.4</v>
      </c>
      <c r="H117">
        <v>410.2</v>
      </c>
      <c r="I117">
        <v>429.1</v>
      </c>
      <c r="J117">
        <v>431.5</v>
      </c>
      <c r="K117">
        <v>446.4</v>
      </c>
      <c r="L117">
        <v>441.1</v>
      </c>
      <c r="M117">
        <v>0.42</v>
      </c>
      <c r="N117">
        <v>0.433</v>
      </c>
      <c r="O117">
        <v>0.45800000000000002</v>
      </c>
      <c r="P117">
        <v>0.495</v>
      </c>
      <c r="Q117">
        <v>0.5</v>
      </c>
      <c r="R117">
        <v>0.52400000000000002</v>
      </c>
      <c r="S117">
        <v>0.505</v>
      </c>
      <c r="T117">
        <v>0.47499999999999998</v>
      </c>
      <c r="U117">
        <v>0.44700000000000001</v>
      </c>
      <c r="V117">
        <v>0.46400000000000002</v>
      </c>
      <c r="W117" t="s">
        <v>901</v>
      </c>
      <c r="X117" t="s">
        <v>901</v>
      </c>
      <c r="Y117" t="s">
        <v>901</v>
      </c>
      <c r="Z117" t="s">
        <v>901</v>
      </c>
      <c r="AA117" t="s">
        <v>901</v>
      </c>
      <c r="AB117" t="s">
        <v>901</v>
      </c>
      <c r="AC117" t="s">
        <v>901</v>
      </c>
      <c r="AD117" t="s">
        <v>901</v>
      </c>
      <c r="AE117" t="s">
        <v>910</v>
      </c>
      <c r="AF117">
        <v>0</v>
      </c>
      <c r="AG117">
        <v>410</v>
      </c>
      <c r="AH117">
        <v>418.8</v>
      </c>
      <c r="AI117">
        <v>422.3</v>
      </c>
      <c r="AJ117">
        <v>410.2</v>
      </c>
      <c r="AK117">
        <v>411</v>
      </c>
      <c r="AL117">
        <v>417.7</v>
      </c>
      <c r="AM117" s="157">
        <v>418.5</v>
      </c>
      <c r="AN117" s="157">
        <v>397</v>
      </c>
      <c r="AO117" s="157">
        <v>389.8</v>
      </c>
      <c r="AP117" s="157">
        <v>397.4</v>
      </c>
    </row>
    <row r="118" spans="1:42" ht="14.7" customHeight="1">
      <c r="A118" s="181" t="s">
        <v>232</v>
      </c>
      <c r="B118" s="181"/>
      <c r="C118">
        <v>606.20000000000005</v>
      </c>
      <c r="D118">
        <v>583</v>
      </c>
      <c r="E118">
        <v>557.9</v>
      </c>
      <c r="F118">
        <v>571.6</v>
      </c>
      <c r="G118">
        <v>586.79999999999995</v>
      </c>
      <c r="H118">
        <v>617.20000000000005</v>
      </c>
      <c r="I118">
        <v>611</v>
      </c>
      <c r="J118">
        <v>614.4</v>
      </c>
      <c r="K118">
        <v>636</v>
      </c>
      <c r="L118">
        <v>629.79999999999995</v>
      </c>
      <c r="M118">
        <v>0.34599999999999997</v>
      </c>
      <c r="N118">
        <v>0.36199999999999999</v>
      </c>
      <c r="O118">
        <v>0.36799999999999999</v>
      </c>
      <c r="P118">
        <v>0.36499999999999999</v>
      </c>
      <c r="Q118">
        <v>0.35899999999999999</v>
      </c>
      <c r="R118">
        <v>0.33200000000000002</v>
      </c>
      <c r="S118">
        <v>0.34200000000000003</v>
      </c>
      <c r="T118">
        <v>0.32800000000000001</v>
      </c>
      <c r="U118">
        <v>0.316</v>
      </c>
      <c r="V118">
        <v>0.32</v>
      </c>
      <c r="W118">
        <v>0.67500000000000004</v>
      </c>
      <c r="X118">
        <v>0.623</v>
      </c>
      <c r="Y118">
        <v>0.54300000000000004</v>
      </c>
      <c r="Z118">
        <v>0.23400000000000001</v>
      </c>
      <c r="AA118">
        <v>5.6000000000000001E-2</v>
      </c>
      <c r="AB118">
        <v>2.4E-2</v>
      </c>
      <c r="AC118">
        <v>0.02</v>
      </c>
      <c r="AD118">
        <v>4.0000000000000001E-3</v>
      </c>
      <c r="AE118">
        <v>5.0000000000000001E-3</v>
      </c>
      <c r="AF118">
        <v>5.0000000000000001E-3</v>
      </c>
      <c r="AG118">
        <v>447.9</v>
      </c>
      <c r="AH118">
        <v>440.1</v>
      </c>
      <c r="AI118">
        <v>406.2</v>
      </c>
      <c r="AJ118">
        <v>413.8</v>
      </c>
      <c r="AK118">
        <v>420.5</v>
      </c>
      <c r="AL118">
        <v>424.5</v>
      </c>
      <c r="AM118" s="157">
        <v>424.5</v>
      </c>
      <c r="AN118" s="157">
        <v>419.5</v>
      </c>
      <c r="AO118" s="157">
        <v>428.6</v>
      </c>
      <c r="AP118" s="157">
        <v>428.2</v>
      </c>
    </row>
    <row r="119" spans="1:42" ht="14.7" customHeight="1">
      <c r="A119" s="181" t="s">
        <v>72</v>
      </c>
      <c r="B119" s="181"/>
      <c r="C119">
        <v>546.79999999999995</v>
      </c>
      <c r="D119">
        <v>524.29999999999995</v>
      </c>
      <c r="E119">
        <v>530.79999999999995</v>
      </c>
      <c r="F119">
        <v>530.6</v>
      </c>
      <c r="G119">
        <v>540.79999999999995</v>
      </c>
      <c r="H119">
        <v>550.5</v>
      </c>
      <c r="I119">
        <v>546.79999999999995</v>
      </c>
      <c r="J119">
        <v>555</v>
      </c>
      <c r="K119">
        <v>533.29999999999995</v>
      </c>
      <c r="L119">
        <v>565.29999999999995</v>
      </c>
      <c r="M119">
        <v>0.36899999999999999</v>
      </c>
      <c r="N119">
        <v>0.373</v>
      </c>
      <c r="O119">
        <v>0.36399999999999999</v>
      </c>
      <c r="P119">
        <v>0.36799999999999999</v>
      </c>
      <c r="Q119">
        <v>0.36199999999999999</v>
      </c>
      <c r="R119">
        <v>0.35599999999999998</v>
      </c>
      <c r="S119">
        <v>0.36699999999999999</v>
      </c>
      <c r="T119">
        <v>0.35199999999999998</v>
      </c>
      <c r="U119">
        <v>0.34200000000000003</v>
      </c>
      <c r="V119">
        <v>0.32700000000000001</v>
      </c>
      <c r="W119" t="s">
        <v>901</v>
      </c>
      <c r="X119" t="s">
        <v>901</v>
      </c>
      <c r="Y119" t="s">
        <v>901</v>
      </c>
      <c r="Z119" t="s">
        <v>901</v>
      </c>
      <c r="AA119" t="s">
        <v>901</v>
      </c>
      <c r="AB119" t="s">
        <v>901</v>
      </c>
      <c r="AC119" t="s">
        <v>901</v>
      </c>
      <c r="AD119" t="s">
        <v>901</v>
      </c>
      <c r="AE119" t="s">
        <v>910</v>
      </c>
      <c r="AF119">
        <v>0</v>
      </c>
      <c r="AG119">
        <v>393.1</v>
      </c>
      <c r="AH119">
        <v>377.5</v>
      </c>
      <c r="AI119">
        <v>376.3</v>
      </c>
      <c r="AJ119">
        <v>379.2</v>
      </c>
      <c r="AK119">
        <v>380.9</v>
      </c>
      <c r="AL119">
        <v>382.3</v>
      </c>
      <c r="AM119" s="157">
        <v>386.3</v>
      </c>
      <c r="AN119" s="157">
        <v>381.9</v>
      </c>
      <c r="AO119" s="157">
        <v>360.6</v>
      </c>
      <c r="AP119" s="157">
        <v>375.6</v>
      </c>
    </row>
    <row r="120" spans="1:42" ht="14.7" customHeight="1">
      <c r="A120" s="181" t="s">
        <v>73</v>
      </c>
      <c r="B120" s="181"/>
      <c r="C120">
        <v>462.6</v>
      </c>
      <c r="D120">
        <v>470.8</v>
      </c>
      <c r="E120">
        <v>486.2</v>
      </c>
      <c r="F120">
        <v>495.5</v>
      </c>
      <c r="G120">
        <v>523.20000000000005</v>
      </c>
      <c r="H120">
        <v>500.9</v>
      </c>
      <c r="I120">
        <v>485.5</v>
      </c>
      <c r="J120">
        <v>473</v>
      </c>
      <c r="K120">
        <v>457.6</v>
      </c>
      <c r="L120">
        <v>454</v>
      </c>
      <c r="M120">
        <v>0.45600000000000002</v>
      </c>
      <c r="N120">
        <v>0.38700000000000001</v>
      </c>
      <c r="O120">
        <v>0.379</v>
      </c>
      <c r="P120">
        <v>0.36</v>
      </c>
      <c r="Q120">
        <v>0.36</v>
      </c>
      <c r="R120">
        <v>0.373</v>
      </c>
      <c r="S120">
        <v>0.39700000000000002</v>
      </c>
      <c r="T120">
        <v>0.41899999999999998</v>
      </c>
      <c r="U120">
        <v>0.42799999999999999</v>
      </c>
      <c r="V120">
        <v>0.42699999999999999</v>
      </c>
      <c r="W120" t="s">
        <v>901</v>
      </c>
      <c r="X120" t="s">
        <v>901</v>
      </c>
      <c r="Y120" t="s">
        <v>901</v>
      </c>
      <c r="Z120" t="s">
        <v>901</v>
      </c>
      <c r="AA120" t="s">
        <v>901</v>
      </c>
      <c r="AB120" t="s">
        <v>901</v>
      </c>
      <c r="AC120" t="s">
        <v>901</v>
      </c>
      <c r="AD120" t="s">
        <v>901</v>
      </c>
      <c r="AE120" t="s">
        <v>910</v>
      </c>
      <c r="AF120">
        <v>0</v>
      </c>
      <c r="AG120">
        <v>388.1</v>
      </c>
      <c r="AH120">
        <v>345.1</v>
      </c>
      <c r="AI120">
        <v>342.5</v>
      </c>
      <c r="AJ120">
        <v>341.1</v>
      </c>
      <c r="AK120">
        <v>354.8</v>
      </c>
      <c r="AL120">
        <v>345.6</v>
      </c>
      <c r="AM120" s="157">
        <v>347.3</v>
      </c>
      <c r="AN120" s="157">
        <v>353</v>
      </c>
      <c r="AO120" s="157">
        <v>348</v>
      </c>
      <c r="AP120" s="157">
        <v>348.5</v>
      </c>
    </row>
    <row r="121" spans="1:42" ht="14.7" customHeight="1">
      <c r="A121" s="181" t="s">
        <v>313</v>
      </c>
      <c r="B121" s="181"/>
      <c r="C121">
        <v>543.9</v>
      </c>
      <c r="D121">
        <v>511.2</v>
      </c>
      <c r="E121">
        <v>497.7</v>
      </c>
      <c r="F121">
        <v>507.1</v>
      </c>
      <c r="G121">
        <v>533</v>
      </c>
      <c r="H121">
        <v>524.9</v>
      </c>
      <c r="I121">
        <v>497.1</v>
      </c>
      <c r="J121">
        <v>458.3</v>
      </c>
      <c r="K121">
        <v>475.5</v>
      </c>
      <c r="L121">
        <v>483.9</v>
      </c>
      <c r="M121">
        <v>0.46200000000000002</v>
      </c>
      <c r="N121">
        <v>0.47199999999999998</v>
      </c>
      <c r="O121">
        <v>0.48099999999999998</v>
      </c>
      <c r="P121">
        <v>0.48199999999999998</v>
      </c>
      <c r="Q121">
        <v>0.47399999999999998</v>
      </c>
      <c r="R121">
        <v>0.48099999999999998</v>
      </c>
      <c r="S121">
        <v>0.52</v>
      </c>
      <c r="T121">
        <v>0.54200000000000004</v>
      </c>
      <c r="U121">
        <v>0.52100000000000002</v>
      </c>
      <c r="V121">
        <v>0.50600000000000001</v>
      </c>
      <c r="W121">
        <v>0.56299999999999994</v>
      </c>
      <c r="X121">
        <v>0.55200000000000005</v>
      </c>
      <c r="Y121">
        <v>0.53900000000000003</v>
      </c>
      <c r="Z121">
        <v>0.54</v>
      </c>
      <c r="AA121">
        <v>0.52300000000000002</v>
      </c>
      <c r="AB121">
        <v>0.52100000000000002</v>
      </c>
      <c r="AC121">
        <v>0.501</v>
      </c>
      <c r="AD121">
        <v>0.45200000000000001</v>
      </c>
      <c r="AE121">
        <v>0.46700000000000003</v>
      </c>
      <c r="AF121">
        <v>0.17799999999999999</v>
      </c>
      <c r="AG121">
        <v>461.5</v>
      </c>
      <c r="AH121">
        <v>438.8</v>
      </c>
      <c r="AI121">
        <v>433.4</v>
      </c>
      <c r="AJ121">
        <v>443.6</v>
      </c>
      <c r="AK121">
        <v>453.3</v>
      </c>
      <c r="AL121">
        <v>450.8</v>
      </c>
      <c r="AM121" s="157">
        <v>461</v>
      </c>
      <c r="AN121" s="157">
        <v>448</v>
      </c>
      <c r="AO121" s="157">
        <v>446.4</v>
      </c>
      <c r="AP121" s="157">
        <v>442.4</v>
      </c>
    </row>
    <row r="122" spans="1:42" ht="14.7" customHeight="1">
      <c r="A122" s="181" t="s">
        <v>74</v>
      </c>
      <c r="B122" s="181"/>
      <c r="C122">
        <v>536.6</v>
      </c>
      <c r="D122">
        <v>501.5</v>
      </c>
      <c r="E122">
        <v>501.6</v>
      </c>
      <c r="F122">
        <v>501.4</v>
      </c>
      <c r="G122">
        <v>496.3</v>
      </c>
      <c r="H122">
        <v>514.6</v>
      </c>
      <c r="I122">
        <v>513.4</v>
      </c>
      <c r="J122">
        <v>500.6</v>
      </c>
      <c r="K122">
        <v>490.2</v>
      </c>
      <c r="L122">
        <v>486.8</v>
      </c>
      <c r="M122">
        <v>0.24</v>
      </c>
      <c r="N122">
        <v>0.251</v>
      </c>
      <c r="O122">
        <v>0.24099999999999999</v>
      </c>
      <c r="P122">
        <v>0.23499999999999999</v>
      </c>
      <c r="Q122">
        <v>0.23499999999999999</v>
      </c>
      <c r="R122">
        <v>0.218</v>
      </c>
      <c r="S122">
        <v>0.22</v>
      </c>
      <c r="T122">
        <v>0.23</v>
      </c>
      <c r="U122">
        <v>0.23799999999999999</v>
      </c>
      <c r="V122">
        <v>0.248</v>
      </c>
      <c r="W122" t="s">
        <v>901</v>
      </c>
      <c r="X122" t="s">
        <v>901</v>
      </c>
      <c r="Y122" t="s">
        <v>901</v>
      </c>
      <c r="Z122" t="s">
        <v>901</v>
      </c>
      <c r="AA122" t="s">
        <v>901</v>
      </c>
      <c r="AB122" t="s">
        <v>901</v>
      </c>
      <c r="AC122" t="s">
        <v>901</v>
      </c>
      <c r="AD122" t="s">
        <v>901</v>
      </c>
      <c r="AE122" t="s">
        <v>910</v>
      </c>
      <c r="AF122">
        <v>0</v>
      </c>
      <c r="AG122">
        <v>322.3</v>
      </c>
      <c r="AH122">
        <v>305.39999999999998</v>
      </c>
      <c r="AI122">
        <v>292.2</v>
      </c>
      <c r="AJ122">
        <v>287.8</v>
      </c>
      <c r="AK122">
        <v>284.39999999999998</v>
      </c>
      <c r="AL122">
        <v>284.5</v>
      </c>
      <c r="AM122" s="157">
        <v>283.89999999999998</v>
      </c>
      <c r="AN122" s="157">
        <v>280.7</v>
      </c>
      <c r="AO122" s="157">
        <v>280</v>
      </c>
      <c r="AP122" s="157">
        <v>283.89999999999998</v>
      </c>
    </row>
    <row r="123" spans="1:42" ht="14.7" customHeight="1">
      <c r="A123" s="181" t="s">
        <v>75</v>
      </c>
      <c r="B123" s="181"/>
      <c r="C123">
        <v>584.1</v>
      </c>
      <c r="D123">
        <v>565.20000000000005</v>
      </c>
      <c r="E123">
        <v>554.70000000000005</v>
      </c>
      <c r="F123">
        <v>567.4</v>
      </c>
      <c r="G123">
        <v>497.7</v>
      </c>
      <c r="H123">
        <v>483.9</v>
      </c>
      <c r="I123">
        <v>512.20000000000005</v>
      </c>
      <c r="J123">
        <v>431.7</v>
      </c>
      <c r="K123">
        <v>432.2</v>
      </c>
      <c r="L123">
        <v>427.5</v>
      </c>
      <c r="M123">
        <v>0.23300000000000001</v>
      </c>
      <c r="N123">
        <v>0.24</v>
      </c>
      <c r="O123">
        <v>0.245</v>
      </c>
      <c r="P123">
        <v>0.245</v>
      </c>
      <c r="Q123">
        <v>0.34200000000000003</v>
      </c>
      <c r="R123">
        <v>0.35</v>
      </c>
      <c r="S123">
        <v>0.34499999999999997</v>
      </c>
      <c r="T123">
        <v>0.40699999999999997</v>
      </c>
      <c r="U123">
        <v>0.42199999999999999</v>
      </c>
      <c r="V123">
        <v>0.42499999999999999</v>
      </c>
      <c r="W123" t="s">
        <v>901</v>
      </c>
      <c r="X123" t="s">
        <v>901</v>
      </c>
      <c r="Y123" t="s">
        <v>901</v>
      </c>
      <c r="Z123" t="s">
        <v>901</v>
      </c>
      <c r="AA123" t="s">
        <v>901</v>
      </c>
      <c r="AB123" t="s">
        <v>901</v>
      </c>
      <c r="AC123" t="s">
        <v>901</v>
      </c>
      <c r="AD123" t="s">
        <v>901</v>
      </c>
      <c r="AE123" t="s">
        <v>910</v>
      </c>
      <c r="AF123">
        <v>0</v>
      </c>
      <c r="AG123">
        <v>322.10000000000002</v>
      </c>
      <c r="AH123">
        <v>312.2</v>
      </c>
      <c r="AI123">
        <v>302.2</v>
      </c>
      <c r="AJ123">
        <v>307.60000000000002</v>
      </c>
      <c r="AK123">
        <v>308</v>
      </c>
      <c r="AL123">
        <v>296.8</v>
      </c>
      <c r="AM123" s="157">
        <v>311.60000000000002</v>
      </c>
      <c r="AN123" s="157">
        <v>293</v>
      </c>
      <c r="AO123" s="157">
        <v>302.5</v>
      </c>
      <c r="AP123" s="157">
        <v>301.7</v>
      </c>
    </row>
    <row r="124" spans="1:42" ht="14.7" customHeight="1">
      <c r="A124" s="181" t="s">
        <v>76</v>
      </c>
      <c r="B124" s="181"/>
      <c r="C124">
        <v>550.9</v>
      </c>
      <c r="D124">
        <v>545.4</v>
      </c>
      <c r="E124">
        <v>536.9</v>
      </c>
      <c r="F124">
        <v>549.29999999999995</v>
      </c>
      <c r="G124">
        <v>569.6</v>
      </c>
      <c r="H124">
        <v>532</v>
      </c>
      <c r="I124">
        <v>519</v>
      </c>
      <c r="J124">
        <v>524.9</v>
      </c>
      <c r="K124">
        <v>566</v>
      </c>
      <c r="L124">
        <v>552.70000000000005</v>
      </c>
      <c r="M124">
        <v>0.25600000000000001</v>
      </c>
      <c r="N124">
        <v>0.26600000000000001</v>
      </c>
      <c r="O124">
        <v>0.26800000000000002</v>
      </c>
      <c r="P124">
        <v>0.25600000000000001</v>
      </c>
      <c r="Q124">
        <v>0.26700000000000002</v>
      </c>
      <c r="R124">
        <v>0.312</v>
      </c>
      <c r="S124">
        <v>0.33300000000000002</v>
      </c>
      <c r="T124">
        <v>0.31900000000000001</v>
      </c>
      <c r="U124">
        <v>0.28999999999999998</v>
      </c>
      <c r="V124">
        <v>0.3</v>
      </c>
      <c r="W124" t="s">
        <v>901</v>
      </c>
      <c r="X124" t="s">
        <v>901</v>
      </c>
      <c r="Y124" t="s">
        <v>901</v>
      </c>
      <c r="Z124" t="s">
        <v>901</v>
      </c>
      <c r="AA124" t="s">
        <v>901</v>
      </c>
      <c r="AB124" t="s">
        <v>901</v>
      </c>
      <c r="AC124" t="s">
        <v>901</v>
      </c>
      <c r="AD124" t="s">
        <v>901</v>
      </c>
      <c r="AE124" t="s">
        <v>910</v>
      </c>
      <c r="AF124">
        <v>0</v>
      </c>
      <c r="AG124">
        <v>362.7</v>
      </c>
      <c r="AH124">
        <v>355.7</v>
      </c>
      <c r="AI124">
        <v>351.7</v>
      </c>
      <c r="AJ124">
        <v>354.5</v>
      </c>
      <c r="AK124">
        <v>372.2</v>
      </c>
      <c r="AL124">
        <v>368.4</v>
      </c>
      <c r="AM124" s="157">
        <v>371.6</v>
      </c>
      <c r="AN124" s="157">
        <v>368.8</v>
      </c>
      <c r="AO124" s="157">
        <v>383.2</v>
      </c>
      <c r="AP124" s="157">
        <v>380.7</v>
      </c>
    </row>
    <row r="125" spans="1:42" ht="14.7" customHeight="1">
      <c r="A125" s="181" t="s">
        <v>205</v>
      </c>
      <c r="B125" s="181"/>
      <c r="C125">
        <v>600</v>
      </c>
      <c r="D125">
        <v>572</v>
      </c>
      <c r="E125">
        <v>555.29999999999995</v>
      </c>
      <c r="F125">
        <v>596.29999999999995</v>
      </c>
      <c r="G125">
        <v>658.1</v>
      </c>
      <c r="H125">
        <v>638.4</v>
      </c>
      <c r="I125">
        <v>627.1</v>
      </c>
      <c r="J125">
        <v>608.1</v>
      </c>
      <c r="K125">
        <v>616.5</v>
      </c>
      <c r="L125">
        <v>580.1</v>
      </c>
      <c r="M125">
        <v>0.36499999999999999</v>
      </c>
      <c r="N125">
        <v>0.39100000000000001</v>
      </c>
      <c r="O125">
        <v>0.39900000000000002</v>
      </c>
      <c r="P125">
        <v>0.38800000000000001</v>
      </c>
      <c r="Q125">
        <v>0.34300000000000003</v>
      </c>
      <c r="R125">
        <v>0.34799999999999998</v>
      </c>
      <c r="S125">
        <v>0.34899999999999998</v>
      </c>
      <c r="T125">
        <v>0.35099999999999998</v>
      </c>
      <c r="U125">
        <v>0.33400000000000002</v>
      </c>
      <c r="V125">
        <v>0.33200000000000002</v>
      </c>
      <c r="W125">
        <v>5.7000000000000002E-2</v>
      </c>
      <c r="X125">
        <v>6.6000000000000003E-2</v>
      </c>
      <c r="Y125">
        <v>2.3E-2</v>
      </c>
      <c r="Z125">
        <v>6.8000000000000005E-2</v>
      </c>
      <c r="AA125">
        <v>5.7000000000000002E-2</v>
      </c>
      <c r="AB125">
        <v>5.8000000000000003E-2</v>
      </c>
      <c r="AC125">
        <v>0.108</v>
      </c>
      <c r="AD125">
        <v>1.7000000000000001E-2</v>
      </c>
      <c r="AE125">
        <v>2.9000000000000001E-2</v>
      </c>
      <c r="AF125">
        <v>2.3E-2</v>
      </c>
      <c r="AG125">
        <v>437.2</v>
      </c>
      <c r="AH125">
        <v>429.1</v>
      </c>
      <c r="AI125">
        <v>379.4</v>
      </c>
      <c r="AJ125">
        <v>399.5</v>
      </c>
      <c r="AK125">
        <v>406.1</v>
      </c>
      <c r="AL125">
        <v>387.5</v>
      </c>
      <c r="AM125" s="157">
        <v>382.8</v>
      </c>
      <c r="AN125" s="157">
        <v>376.9</v>
      </c>
      <c r="AO125" s="157">
        <v>373.5</v>
      </c>
      <c r="AP125" s="157">
        <v>354.9</v>
      </c>
    </row>
    <row r="126" spans="1:42" ht="14.7" customHeight="1">
      <c r="A126" s="181" t="s">
        <v>77</v>
      </c>
      <c r="B126" s="181"/>
      <c r="C126">
        <v>391.4</v>
      </c>
      <c r="D126">
        <v>386.8</v>
      </c>
      <c r="E126">
        <v>375.1</v>
      </c>
      <c r="F126">
        <v>414.3</v>
      </c>
      <c r="G126">
        <v>383.4</v>
      </c>
      <c r="H126">
        <v>367.6</v>
      </c>
      <c r="I126">
        <v>358.3</v>
      </c>
      <c r="J126">
        <v>368.6</v>
      </c>
      <c r="K126">
        <v>360</v>
      </c>
      <c r="L126">
        <v>355.6</v>
      </c>
      <c r="M126">
        <v>0.51600000000000001</v>
      </c>
      <c r="N126">
        <v>0.52200000000000002</v>
      </c>
      <c r="O126">
        <v>0.52500000000000002</v>
      </c>
      <c r="P126">
        <v>0.52200000000000002</v>
      </c>
      <c r="Q126">
        <v>0.56799999999999995</v>
      </c>
      <c r="R126">
        <v>0.58199999999999996</v>
      </c>
      <c r="S126">
        <v>0.59699999999999998</v>
      </c>
      <c r="T126">
        <v>0.58399999999999996</v>
      </c>
      <c r="U126">
        <v>0.57699999999999996</v>
      </c>
      <c r="V126">
        <v>0.58799999999999997</v>
      </c>
      <c r="W126" t="s">
        <v>901</v>
      </c>
      <c r="X126" t="s">
        <v>901</v>
      </c>
      <c r="Y126" t="s">
        <v>901</v>
      </c>
      <c r="Z126" t="s">
        <v>901</v>
      </c>
      <c r="AA126" t="s">
        <v>901</v>
      </c>
      <c r="AB126" t="s">
        <v>901</v>
      </c>
      <c r="AC126" t="s">
        <v>901</v>
      </c>
      <c r="AD126" t="s">
        <v>901</v>
      </c>
      <c r="AE126" t="s">
        <v>910</v>
      </c>
      <c r="AF126">
        <v>0</v>
      </c>
      <c r="AG126">
        <v>335.5</v>
      </c>
      <c r="AH126">
        <v>331.1</v>
      </c>
      <c r="AI126">
        <v>322.10000000000002</v>
      </c>
      <c r="AJ126">
        <v>349.4</v>
      </c>
      <c r="AK126">
        <v>353.5</v>
      </c>
      <c r="AL126">
        <v>341.4</v>
      </c>
      <c r="AM126" s="157">
        <v>344</v>
      </c>
      <c r="AN126" s="157">
        <v>346.5</v>
      </c>
      <c r="AO126" s="157">
        <v>332.9</v>
      </c>
      <c r="AP126" s="157">
        <v>338.2</v>
      </c>
    </row>
    <row r="127" spans="1:42" ht="14.7" customHeight="1">
      <c r="A127" s="181" t="s">
        <v>206</v>
      </c>
      <c r="B127" s="181"/>
      <c r="C127">
        <v>563.79999999999995</v>
      </c>
      <c r="D127">
        <v>577.4</v>
      </c>
      <c r="E127">
        <v>582.6</v>
      </c>
      <c r="F127">
        <v>566.79999999999995</v>
      </c>
      <c r="G127">
        <v>587.6</v>
      </c>
      <c r="H127">
        <v>603.9</v>
      </c>
      <c r="I127">
        <v>581.9</v>
      </c>
      <c r="J127">
        <v>554</v>
      </c>
      <c r="K127">
        <v>529.5</v>
      </c>
      <c r="L127">
        <v>528.79999999999995</v>
      </c>
      <c r="M127">
        <v>0.25</v>
      </c>
      <c r="N127">
        <v>0.24</v>
      </c>
      <c r="O127">
        <v>0.24299999999999999</v>
      </c>
      <c r="P127">
        <v>0.254</v>
      </c>
      <c r="Q127">
        <v>0.253</v>
      </c>
      <c r="R127">
        <v>0.248</v>
      </c>
      <c r="S127">
        <v>0.27</v>
      </c>
      <c r="T127">
        <v>0.27400000000000002</v>
      </c>
      <c r="U127">
        <v>0.27900000000000003</v>
      </c>
      <c r="V127">
        <v>0.28299999999999997</v>
      </c>
      <c r="W127" t="s">
        <v>901</v>
      </c>
      <c r="X127" t="s">
        <v>901</v>
      </c>
      <c r="Y127" t="s">
        <v>901</v>
      </c>
      <c r="Z127" t="s">
        <v>901</v>
      </c>
      <c r="AA127" t="s">
        <v>901</v>
      </c>
      <c r="AB127" t="s">
        <v>901</v>
      </c>
      <c r="AC127" t="s">
        <v>901</v>
      </c>
      <c r="AD127" t="s">
        <v>901</v>
      </c>
      <c r="AE127" t="s">
        <v>910</v>
      </c>
      <c r="AF127">
        <v>0</v>
      </c>
      <c r="AG127">
        <v>357.7</v>
      </c>
      <c r="AH127">
        <v>355.1</v>
      </c>
      <c r="AI127">
        <v>325.60000000000002</v>
      </c>
      <c r="AJ127">
        <v>320.5</v>
      </c>
      <c r="AK127">
        <v>326.3</v>
      </c>
      <c r="AL127">
        <v>323.5</v>
      </c>
      <c r="AM127" s="157">
        <v>322.39999999999998</v>
      </c>
      <c r="AN127" s="157">
        <v>310.2</v>
      </c>
      <c r="AO127" s="157">
        <v>297.8</v>
      </c>
      <c r="AP127" s="157">
        <v>301.10000000000002</v>
      </c>
    </row>
    <row r="128" spans="1:42" ht="14.7" customHeight="1">
      <c r="A128" s="181" t="s">
        <v>269</v>
      </c>
      <c r="B128" s="181"/>
      <c r="C128">
        <v>681.9</v>
      </c>
      <c r="D128">
        <v>636.29999999999995</v>
      </c>
      <c r="E128">
        <v>631.20000000000005</v>
      </c>
      <c r="F128">
        <v>615.70000000000005</v>
      </c>
      <c r="G128">
        <v>547.4</v>
      </c>
      <c r="H128">
        <v>585.9</v>
      </c>
      <c r="I128">
        <v>580.29999999999995</v>
      </c>
      <c r="J128">
        <v>550</v>
      </c>
      <c r="K128">
        <v>608</v>
      </c>
      <c r="L128">
        <v>616.79999999999995</v>
      </c>
      <c r="M128">
        <v>0.38100000000000001</v>
      </c>
      <c r="N128">
        <v>0.39900000000000002</v>
      </c>
      <c r="O128">
        <v>0.374</v>
      </c>
      <c r="P128">
        <v>0.39800000000000002</v>
      </c>
      <c r="Q128">
        <v>0.46800000000000003</v>
      </c>
      <c r="R128">
        <v>0.41399999999999998</v>
      </c>
      <c r="S128">
        <v>0.436</v>
      </c>
      <c r="T128">
        <v>0.435</v>
      </c>
      <c r="U128">
        <v>0.38900000000000001</v>
      </c>
      <c r="V128">
        <v>0.375</v>
      </c>
      <c r="W128">
        <v>0.59599999999999997</v>
      </c>
      <c r="X128">
        <v>0.57499999999999996</v>
      </c>
      <c r="Y128">
        <v>0.57899999999999996</v>
      </c>
      <c r="Z128">
        <v>0.56200000000000006</v>
      </c>
      <c r="AA128">
        <v>0.17299999999999999</v>
      </c>
      <c r="AB128">
        <v>8.3000000000000004E-2</v>
      </c>
      <c r="AC128">
        <v>8.5999999999999993E-2</v>
      </c>
      <c r="AD128">
        <v>0.11</v>
      </c>
      <c r="AE128">
        <v>2.5999999999999999E-2</v>
      </c>
      <c r="AF128">
        <v>0</v>
      </c>
      <c r="AG128">
        <v>503.7</v>
      </c>
      <c r="AH128">
        <v>484.2</v>
      </c>
      <c r="AI128">
        <v>439.5</v>
      </c>
      <c r="AJ128">
        <v>447.9</v>
      </c>
      <c r="AK128">
        <v>450.2</v>
      </c>
      <c r="AL128">
        <v>437.9</v>
      </c>
      <c r="AM128" s="157">
        <v>452.7</v>
      </c>
      <c r="AN128" s="157">
        <v>430.4</v>
      </c>
      <c r="AO128" s="157">
        <v>442.4</v>
      </c>
      <c r="AP128" s="157">
        <v>440</v>
      </c>
    </row>
    <row r="129" spans="1:42" ht="14.7" customHeight="1">
      <c r="A129" s="181" t="s">
        <v>78</v>
      </c>
      <c r="B129" s="181"/>
      <c r="C129">
        <v>507</v>
      </c>
      <c r="D129">
        <v>489.3</v>
      </c>
      <c r="E129">
        <v>488.7</v>
      </c>
      <c r="F129">
        <v>479.7</v>
      </c>
      <c r="G129">
        <v>479.4</v>
      </c>
      <c r="H129">
        <v>411.9</v>
      </c>
      <c r="I129">
        <v>441.9</v>
      </c>
      <c r="J129">
        <v>432.4</v>
      </c>
      <c r="K129">
        <v>417.8</v>
      </c>
      <c r="L129">
        <v>401.4</v>
      </c>
      <c r="M129">
        <v>0.443</v>
      </c>
      <c r="N129">
        <v>0.46300000000000002</v>
      </c>
      <c r="O129">
        <v>0.45200000000000001</v>
      </c>
      <c r="P129">
        <v>0.46800000000000003</v>
      </c>
      <c r="Q129">
        <v>0.47699999999999998</v>
      </c>
      <c r="R129">
        <v>0.54100000000000004</v>
      </c>
      <c r="S129">
        <v>0.51800000000000002</v>
      </c>
      <c r="T129">
        <v>0.48299999999999998</v>
      </c>
      <c r="U129">
        <v>0.48399999999999999</v>
      </c>
      <c r="V129">
        <v>0.51100000000000001</v>
      </c>
      <c r="W129" t="s">
        <v>901</v>
      </c>
      <c r="X129" t="s">
        <v>901</v>
      </c>
      <c r="Y129" t="s">
        <v>901</v>
      </c>
      <c r="Z129" t="s">
        <v>901</v>
      </c>
      <c r="AA129" t="s">
        <v>901</v>
      </c>
      <c r="AB129" t="s">
        <v>901</v>
      </c>
      <c r="AC129" t="s">
        <v>901</v>
      </c>
      <c r="AD129" t="s">
        <v>901</v>
      </c>
      <c r="AE129" t="s">
        <v>910</v>
      </c>
      <c r="AF129">
        <v>0</v>
      </c>
      <c r="AG129">
        <v>412.3</v>
      </c>
      <c r="AH129">
        <v>411.9</v>
      </c>
      <c r="AI129">
        <v>395.8</v>
      </c>
      <c r="AJ129">
        <v>399.2</v>
      </c>
      <c r="AK129">
        <v>405.1</v>
      </c>
      <c r="AL129">
        <v>399</v>
      </c>
      <c r="AM129" s="157">
        <v>410</v>
      </c>
      <c r="AN129" s="157">
        <v>378.5</v>
      </c>
      <c r="AO129" s="157">
        <v>369.6</v>
      </c>
      <c r="AP129" s="157">
        <v>376.9</v>
      </c>
    </row>
    <row r="130" spans="1:42" ht="14.7" customHeight="1">
      <c r="A130" s="181" t="s">
        <v>921</v>
      </c>
      <c r="B130" s="181"/>
      <c r="C130">
        <v>504.6</v>
      </c>
      <c r="D130">
        <v>443.9</v>
      </c>
      <c r="E130">
        <v>513.1</v>
      </c>
      <c r="F130">
        <v>497.7</v>
      </c>
      <c r="G130">
        <v>493</v>
      </c>
      <c r="H130">
        <v>475</v>
      </c>
      <c r="I130">
        <v>447.7</v>
      </c>
      <c r="J130">
        <v>419.6</v>
      </c>
      <c r="K130">
        <v>407</v>
      </c>
      <c r="L130">
        <v>378.2</v>
      </c>
      <c r="M130">
        <v>0.27600000000000002</v>
      </c>
      <c r="N130">
        <v>0.30099999999999999</v>
      </c>
      <c r="O130">
        <v>0.22700000000000001</v>
      </c>
      <c r="P130">
        <v>0.20499999999999999</v>
      </c>
      <c r="Q130">
        <v>0.20699999999999999</v>
      </c>
      <c r="R130">
        <v>0.22</v>
      </c>
      <c r="S130">
        <v>0.23200000000000001</v>
      </c>
      <c r="T130">
        <v>0.23699999999999999</v>
      </c>
      <c r="U130">
        <v>0.23799999999999999</v>
      </c>
      <c r="V130">
        <v>0.255</v>
      </c>
      <c r="W130" t="s">
        <v>901</v>
      </c>
      <c r="X130" t="s">
        <v>901</v>
      </c>
      <c r="Y130" t="s">
        <v>901</v>
      </c>
      <c r="Z130" t="s">
        <v>901</v>
      </c>
      <c r="AA130" t="s">
        <v>901</v>
      </c>
      <c r="AB130" t="s">
        <v>901</v>
      </c>
      <c r="AC130" t="s">
        <v>901</v>
      </c>
      <c r="AD130" t="s">
        <v>901</v>
      </c>
      <c r="AE130" t="s">
        <v>910</v>
      </c>
      <c r="AF130">
        <v>0</v>
      </c>
      <c r="AG130">
        <v>333</v>
      </c>
      <c r="AH130">
        <v>309.8</v>
      </c>
      <c r="AI130">
        <v>303</v>
      </c>
      <c r="AJ130">
        <v>291.7</v>
      </c>
      <c r="AK130">
        <v>291.8</v>
      </c>
      <c r="AL130">
        <v>288.3</v>
      </c>
      <c r="AM130" s="157">
        <v>280.2</v>
      </c>
      <c r="AN130" s="157">
        <v>262.5</v>
      </c>
      <c r="AO130" s="157">
        <v>253.7</v>
      </c>
      <c r="AP130" s="157">
        <v>246.1</v>
      </c>
    </row>
    <row r="131" spans="1:42" ht="14.7" customHeight="1">
      <c r="A131" s="181" t="s">
        <v>314</v>
      </c>
      <c r="B131" s="181"/>
      <c r="C131">
        <v>641.9</v>
      </c>
      <c r="D131">
        <v>622.70000000000005</v>
      </c>
      <c r="E131">
        <v>625.4</v>
      </c>
      <c r="F131">
        <v>654.70000000000005</v>
      </c>
      <c r="G131">
        <v>657.1</v>
      </c>
      <c r="H131">
        <v>655.20000000000005</v>
      </c>
      <c r="I131">
        <v>622.29999999999995</v>
      </c>
      <c r="J131">
        <v>601</v>
      </c>
      <c r="K131">
        <v>602.4</v>
      </c>
      <c r="L131">
        <v>590</v>
      </c>
      <c r="M131">
        <v>0.39700000000000002</v>
      </c>
      <c r="N131">
        <v>0.40500000000000003</v>
      </c>
      <c r="O131">
        <v>0.38700000000000001</v>
      </c>
      <c r="P131">
        <v>0.377</v>
      </c>
      <c r="Q131">
        <v>0.38</v>
      </c>
      <c r="R131">
        <v>0.39100000000000001</v>
      </c>
      <c r="S131">
        <v>0.41599999999999998</v>
      </c>
      <c r="T131">
        <v>0.41699999999999998</v>
      </c>
      <c r="U131">
        <v>0.41299999999999998</v>
      </c>
      <c r="V131">
        <v>0.41699999999999998</v>
      </c>
      <c r="W131">
        <v>8.7999999999999995E-2</v>
      </c>
      <c r="X131">
        <v>8.1000000000000003E-2</v>
      </c>
      <c r="Y131">
        <v>6.3E-2</v>
      </c>
      <c r="Z131">
        <v>6.2E-2</v>
      </c>
      <c r="AA131">
        <v>5.1999999999999998E-2</v>
      </c>
      <c r="AB131">
        <v>6.0999999999999999E-2</v>
      </c>
      <c r="AC131">
        <v>5.1999999999999998E-2</v>
      </c>
      <c r="AD131">
        <v>4.4999999999999998E-2</v>
      </c>
      <c r="AE131">
        <v>5.0999999999999997E-2</v>
      </c>
      <c r="AF131">
        <v>5.5E-2</v>
      </c>
      <c r="AG131">
        <v>461.1</v>
      </c>
      <c r="AH131">
        <v>450.5</v>
      </c>
      <c r="AI131">
        <v>431.8</v>
      </c>
      <c r="AJ131">
        <v>445.2</v>
      </c>
      <c r="AK131">
        <v>447.6</v>
      </c>
      <c r="AL131">
        <v>452</v>
      </c>
      <c r="AM131" s="157">
        <v>449.8</v>
      </c>
      <c r="AN131" s="157">
        <v>434.3</v>
      </c>
      <c r="AO131" s="157">
        <v>432</v>
      </c>
      <c r="AP131" s="157">
        <v>428.9</v>
      </c>
    </row>
    <row r="132" spans="1:42" ht="14.7" customHeight="1">
      <c r="A132" s="181" t="s">
        <v>79</v>
      </c>
      <c r="B132" s="181"/>
      <c r="C132">
        <v>418.4</v>
      </c>
      <c r="D132">
        <v>370.5</v>
      </c>
      <c r="E132">
        <v>406.8</v>
      </c>
      <c r="F132">
        <v>415.5</v>
      </c>
      <c r="G132">
        <v>420.9</v>
      </c>
      <c r="H132">
        <v>419.6</v>
      </c>
      <c r="I132">
        <v>421.4</v>
      </c>
      <c r="J132">
        <v>466.8</v>
      </c>
      <c r="K132">
        <v>472.7</v>
      </c>
      <c r="L132">
        <v>457.1</v>
      </c>
      <c r="M132">
        <v>0.58099999999999996</v>
      </c>
      <c r="N132">
        <v>0.61599999999999999</v>
      </c>
      <c r="O132">
        <v>0.56699999999999995</v>
      </c>
      <c r="P132">
        <v>0.57299999999999995</v>
      </c>
      <c r="Q132">
        <v>0.57499999999999996</v>
      </c>
      <c r="R132">
        <v>0.57499999999999996</v>
      </c>
      <c r="S132">
        <v>0.53600000000000003</v>
      </c>
      <c r="T132">
        <v>0.47299999999999998</v>
      </c>
      <c r="U132">
        <v>0.45700000000000002</v>
      </c>
      <c r="V132">
        <v>0.47299999999999998</v>
      </c>
      <c r="W132" t="s">
        <v>901</v>
      </c>
      <c r="X132" t="s">
        <v>901</v>
      </c>
      <c r="Y132" t="s">
        <v>901</v>
      </c>
      <c r="Z132" t="s">
        <v>901</v>
      </c>
      <c r="AA132" t="s">
        <v>901</v>
      </c>
      <c r="AB132" t="s">
        <v>901</v>
      </c>
      <c r="AC132" t="s">
        <v>901</v>
      </c>
      <c r="AD132" t="s">
        <v>901</v>
      </c>
      <c r="AE132" t="s">
        <v>910</v>
      </c>
      <c r="AF132">
        <v>0</v>
      </c>
      <c r="AG132">
        <v>434</v>
      </c>
      <c r="AH132">
        <v>414.9</v>
      </c>
      <c r="AI132">
        <v>398.6</v>
      </c>
      <c r="AJ132">
        <v>412.4</v>
      </c>
      <c r="AK132">
        <v>416.3</v>
      </c>
      <c r="AL132">
        <v>411.6</v>
      </c>
      <c r="AM132" s="157">
        <v>380.5</v>
      </c>
      <c r="AN132" s="157">
        <v>372.5</v>
      </c>
      <c r="AO132" s="157">
        <v>366.8</v>
      </c>
      <c r="AP132" s="157">
        <v>365.8</v>
      </c>
    </row>
    <row r="133" spans="1:42" ht="14.7" customHeight="1">
      <c r="A133" s="181" t="s">
        <v>207</v>
      </c>
      <c r="B133" s="181"/>
      <c r="C133">
        <v>606.79999999999995</v>
      </c>
      <c r="D133">
        <v>650.9</v>
      </c>
      <c r="E133">
        <v>580.5</v>
      </c>
      <c r="F133">
        <v>533.70000000000005</v>
      </c>
      <c r="G133">
        <v>517.20000000000005</v>
      </c>
      <c r="H133">
        <v>521</v>
      </c>
      <c r="I133">
        <v>508.9</v>
      </c>
      <c r="J133">
        <v>515.79999999999995</v>
      </c>
      <c r="K133">
        <v>528.5</v>
      </c>
      <c r="L133">
        <v>532.70000000000005</v>
      </c>
      <c r="M133">
        <v>0.27700000000000002</v>
      </c>
      <c r="N133">
        <v>0.25700000000000001</v>
      </c>
      <c r="O133">
        <v>0.317</v>
      </c>
      <c r="P133">
        <v>0.35799999999999998</v>
      </c>
      <c r="Q133">
        <v>0.373</v>
      </c>
      <c r="R133">
        <v>0.36199999999999999</v>
      </c>
      <c r="S133">
        <v>0.35699999999999998</v>
      </c>
      <c r="T133">
        <v>0.32900000000000001</v>
      </c>
      <c r="U133">
        <v>0.29299999999999998</v>
      </c>
      <c r="V133">
        <v>0.29699999999999999</v>
      </c>
      <c r="W133" t="s">
        <v>901</v>
      </c>
      <c r="X133" t="s">
        <v>901</v>
      </c>
      <c r="Y133" t="s">
        <v>901</v>
      </c>
      <c r="Z133" t="s">
        <v>901</v>
      </c>
      <c r="AA133" t="s">
        <v>901</v>
      </c>
      <c r="AB133" t="s">
        <v>901</v>
      </c>
      <c r="AC133" t="s">
        <v>901</v>
      </c>
      <c r="AD133" t="s">
        <v>901</v>
      </c>
      <c r="AE133" t="s">
        <v>910</v>
      </c>
      <c r="AF133">
        <v>0</v>
      </c>
      <c r="AG133">
        <v>381.8</v>
      </c>
      <c r="AH133">
        <v>402.6</v>
      </c>
      <c r="AI133">
        <v>346.7</v>
      </c>
      <c r="AJ133">
        <v>336.7</v>
      </c>
      <c r="AK133">
        <v>329.6</v>
      </c>
      <c r="AL133">
        <v>316.39999999999998</v>
      </c>
      <c r="AM133" s="157">
        <v>303.60000000000002</v>
      </c>
      <c r="AN133" s="157">
        <v>305.5</v>
      </c>
      <c r="AO133" s="157">
        <v>299.60000000000002</v>
      </c>
      <c r="AP133" s="157">
        <v>308.3</v>
      </c>
    </row>
    <row r="134" spans="1:42" ht="14.7" customHeight="1">
      <c r="A134" s="181" t="s">
        <v>80</v>
      </c>
      <c r="B134" s="181"/>
      <c r="C134">
        <v>333.2</v>
      </c>
      <c r="D134">
        <v>340.8</v>
      </c>
      <c r="E134">
        <v>375.3</v>
      </c>
      <c r="F134">
        <v>372.5</v>
      </c>
      <c r="G134">
        <v>384.8</v>
      </c>
      <c r="H134">
        <v>397.1</v>
      </c>
      <c r="I134">
        <v>409.4</v>
      </c>
      <c r="J134">
        <v>407.5</v>
      </c>
      <c r="K134">
        <v>407.4</v>
      </c>
      <c r="L134">
        <v>420.9</v>
      </c>
      <c r="M134">
        <v>0.51800000000000002</v>
      </c>
      <c r="N134">
        <v>0.505</v>
      </c>
      <c r="O134">
        <v>0.46500000000000002</v>
      </c>
      <c r="P134">
        <v>0.46700000000000003</v>
      </c>
      <c r="Q134">
        <v>0.45900000000000002</v>
      </c>
      <c r="R134">
        <v>0.44900000000000001</v>
      </c>
      <c r="S134">
        <v>0.439</v>
      </c>
      <c r="T134">
        <v>0.434</v>
      </c>
      <c r="U134">
        <v>0.43</v>
      </c>
      <c r="V134">
        <v>0.41099999999999998</v>
      </c>
      <c r="W134" t="s">
        <v>901</v>
      </c>
      <c r="X134" t="s">
        <v>901</v>
      </c>
      <c r="Y134" t="s">
        <v>901</v>
      </c>
      <c r="Z134" t="s">
        <v>901</v>
      </c>
      <c r="AA134" t="s">
        <v>901</v>
      </c>
      <c r="AB134" t="s">
        <v>901</v>
      </c>
      <c r="AC134" t="s">
        <v>901</v>
      </c>
      <c r="AD134" t="s">
        <v>901</v>
      </c>
      <c r="AE134" t="s">
        <v>910</v>
      </c>
      <c r="AF134">
        <v>0</v>
      </c>
      <c r="AG134">
        <v>313.3</v>
      </c>
      <c r="AH134">
        <v>302.89999999999998</v>
      </c>
      <c r="AI134">
        <v>306.89999999999998</v>
      </c>
      <c r="AJ134">
        <v>304.8</v>
      </c>
      <c r="AK134">
        <v>308</v>
      </c>
      <c r="AL134">
        <v>306.60000000000002</v>
      </c>
      <c r="AM134" s="157">
        <v>310.60000000000002</v>
      </c>
      <c r="AN134" s="157">
        <v>308.2</v>
      </c>
      <c r="AO134" s="157">
        <v>306.89999999999998</v>
      </c>
      <c r="AP134" s="157">
        <v>308.89999999999998</v>
      </c>
    </row>
    <row r="135" spans="1:42" ht="14.7" customHeight="1">
      <c r="A135" s="181" t="s">
        <v>81</v>
      </c>
      <c r="B135" s="181"/>
      <c r="C135">
        <v>576.6</v>
      </c>
      <c r="D135">
        <v>542.29999999999995</v>
      </c>
      <c r="E135">
        <v>527.79999999999995</v>
      </c>
      <c r="F135">
        <v>480.9</v>
      </c>
      <c r="G135">
        <v>483.2</v>
      </c>
      <c r="H135">
        <v>483.8</v>
      </c>
      <c r="I135">
        <v>491.1</v>
      </c>
      <c r="J135">
        <v>452.2</v>
      </c>
      <c r="K135">
        <v>435.6</v>
      </c>
      <c r="L135">
        <v>418.8</v>
      </c>
      <c r="M135">
        <v>0.33200000000000002</v>
      </c>
      <c r="N135">
        <v>0.35299999999999998</v>
      </c>
      <c r="O135">
        <v>0.34599999999999997</v>
      </c>
      <c r="P135">
        <v>0.40300000000000002</v>
      </c>
      <c r="Q135">
        <v>0.41299999999999998</v>
      </c>
      <c r="R135">
        <v>0.40300000000000002</v>
      </c>
      <c r="S135">
        <v>0.38900000000000001</v>
      </c>
      <c r="T135">
        <v>0.39600000000000002</v>
      </c>
      <c r="U135">
        <v>0.40799999999999997</v>
      </c>
      <c r="V135">
        <v>0.42399999999999999</v>
      </c>
      <c r="W135" t="s">
        <v>901</v>
      </c>
      <c r="X135" t="s">
        <v>901</v>
      </c>
      <c r="Y135" t="s">
        <v>901</v>
      </c>
      <c r="Z135" t="s">
        <v>901</v>
      </c>
      <c r="AA135" t="s">
        <v>901</v>
      </c>
      <c r="AB135" t="s">
        <v>901</v>
      </c>
      <c r="AC135" t="s">
        <v>901</v>
      </c>
      <c r="AD135" t="s">
        <v>901</v>
      </c>
      <c r="AE135" t="s">
        <v>910</v>
      </c>
      <c r="AF135">
        <v>0</v>
      </c>
      <c r="AG135">
        <v>377.9</v>
      </c>
      <c r="AH135">
        <v>367.7</v>
      </c>
      <c r="AI135">
        <v>354.8</v>
      </c>
      <c r="AJ135">
        <v>355.2</v>
      </c>
      <c r="AK135">
        <v>366.2</v>
      </c>
      <c r="AL135">
        <v>362.1</v>
      </c>
      <c r="AM135" s="157">
        <v>362.9</v>
      </c>
      <c r="AN135" s="157">
        <v>332.6</v>
      </c>
      <c r="AO135" s="157">
        <v>329</v>
      </c>
      <c r="AP135" s="157">
        <v>328.2</v>
      </c>
    </row>
    <row r="136" spans="1:42" ht="14.7" customHeight="1">
      <c r="A136" s="181" t="s">
        <v>208</v>
      </c>
      <c r="B136" s="181"/>
      <c r="C136">
        <v>507.9</v>
      </c>
      <c r="D136">
        <v>539.20000000000005</v>
      </c>
      <c r="E136">
        <v>554.1</v>
      </c>
      <c r="F136">
        <v>489.2</v>
      </c>
      <c r="G136">
        <v>542.1</v>
      </c>
      <c r="H136">
        <v>654</v>
      </c>
      <c r="I136">
        <v>628.4</v>
      </c>
      <c r="J136">
        <v>579</v>
      </c>
      <c r="K136">
        <v>587.9</v>
      </c>
      <c r="L136">
        <v>597.5</v>
      </c>
      <c r="M136">
        <v>0.5</v>
      </c>
      <c r="N136">
        <v>0.48199999999999998</v>
      </c>
      <c r="O136">
        <v>0.44700000000000001</v>
      </c>
      <c r="P136">
        <v>0.49199999999999999</v>
      </c>
      <c r="Q136">
        <v>0.45100000000000001</v>
      </c>
      <c r="R136">
        <v>0.40899999999999997</v>
      </c>
      <c r="S136">
        <v>0.39700000000000002</v>
      </c>
      <c r="T136">
        <v>0.41</v>
      </c>
      <c r="U136">
        <v>0.40200000000000002</v>
      </c>
      <c r="V136">
        <v>0.38800000000000001</v>
      </c>
      <c r="W136" t="s">
        <v>901</v>
      </c>
      <c r="X136" t="s">
        <v>901</v>
      </c>
      <c r="Y136" t="s">
        <v>901</v>
      </c>
      <c r="Z136" t="s">
        <v>901</v>
      </c>
      <c r="AA136" t="s">
        <v>901</v>
      </c>
      <c r="AB136" t="s">
        <v>901</v>
      </c>
      <c r="AC136" t="s">
        <v>901</v>
      </c>
      <c r="AD136" t="s">
        <v>901</v>
      </c>
      <c r="AE136" t="s">
        <v>910</v>
      </c>
      <c r="AF136">
        <v>0</v>
      </c>
      <c r="AG136">
        <v>403.4</v>
      </c>
      <c r="AH136">
        <v>393.9</v>
      </c>
      <c r="AI136">
        <v>365.1</v>
      </c>
      <c r="AJ136">
        <v>349.2</v>
      </c>
      <c r="AK136">
        <v>357.5</v>
      </c>
      <c r="AL136">
        <v>395.2</v>
      </c>
      <c r="AM136" s="157">
        <v>376.1</v>
      </c>
      <c r="AN136" s="157">
        <v>356.8</v>
      </c>
      <c r="AO136" s="157">
        <v>358.3</v>
      </c>
      <c r="AP136" s="157">
        <v>359.4</v>
      </c>
    </row>
    <row r="137" spans="1:42" ht="14.7" customHeight="1">
      <c r="A137" s="181" t="s">
        <v>82</v>
      </c>
      <c r="B137" s="181"/>
      <c r="C137">
        <v>512.79999999999995</v>
      </c>
      <c r="D137">
        <v>502.1</v>
      </c>
      <c r="E137">
        <v>495.4</v>
      </c>
      <c r="F137">
        <v>521.79999999999995</v>
      </c>
      <c r="G137">
        <v>519.20000000000005</v>
      </c>
      <c r="H137">
        <v>516</v>
      </c>
      <c r="I137">
        <v>511.5</v>
      </c>
      <c r="J137">
        <v>488</v>
      </c>
      <c r="K137">
        <v>477.6</v>
      </c>
      <c r="L137">
        <v>471.7</v>
      </c>
      <c r="M137">
        <v>0.378</v>
      </c>
      <c r="N137">
        <v>0.38100000000000001</v>
      </c>
      <c r="O137">
        <v>0.379</v>
      </c>
      <c r="P137">
        <v>0.36</v>
      </c>
      <c r="Q137">
        <v>0.371</v>
      </c>
      <c r="R137">
        <v>0.375</v>
      </c>
      <c r="S137">
        <v>0.38300000000000001</v>
      </c>
      <c r="T137">
        <v>0.41599999999999998</v>
      </c>
      <c r="U137">
        <v>0.41799999999999998</v>
      </c>
      <c r="V137">
        <v>0.41799999999999998</v>
      </c>
      <c r="W137" t="s">
        <v>901</v>
      </c>
      <c r="X137" t="s">
        <v>901</v>
      </c>
      <c r="Y137" t="s">
        <v>901</v>
      </c>
      <c r="Z137" t="s">
        <v>901</v>
      </c>
      <c r="AA137" t="s">
        <v>901</v>
      </c>
      <c r="AB137" t="s">
        <v>901</v>
      </c>
      <c r="AC137" t="s">
        <v>901</v>
      </c>
      <c r="AD137" t="s">
        <v>901</v>
      </c>
      <c r="AE137" t="s">
        <v>910</v>
      </c>
      <c r="AF137">
        <v>0</v>
      </c>
      <c r="AG137">
        <v>333.7</v>
      </c>
      <c r="AH137">
        <v>327</v>
      </c>
      <c r="AI137">
        <v>322.2</v>
      </c>
      <c r="AJ137">
        <v>329.6</v>
      </c>
      <c r="AK137">
        <v>332.4</v>
      </c>
      <c r="AL137">
        <v>329.8</v>
      </c>
      <c r="AM137" s="157">
        <v>335.9</v>
      </c>
      <c r="AN137" s="157">
        <v>338.9</v>
      </c>
      <c r="AO137" s="157">
        <v>333.7</v>
      </c>
      <c r="AP137" s="157">
        <v>331.8</v>
      </c>
    </row>
    <row r="138" spans="1:42" ht="14.7" customHeight="1">
      <c r="A138" s="181" t="s">
        <v>270</v>
      </c>
      <c r="B138" s="181"/>
      <c r="C138">
        <v>598.9</v>
      </c>
      <c r="D138">
        <v>541.9</v>
      </c>
      <c r="E138">
        <v>561.1</v>
      </c>
      <c r="F138">
        <v>609.5</v>
      </c>
      <c r="G138">
        <v>607</v>
      </c>
      <c r="H138">
        <v>623.70000000000005</v>
      </c>
      <c r="I138">
        <v>641.6</v>
      </c>
      <c r="J138">
        <v>596.6</v>
      </c>
      <c r="K138">
        <v>615.1</v>
      </c>
      <c r="L138">
        <v>581.70000000000005</v>
      </c>
      <c r="M138">
        <v>0.40899999999999997</v>
      </c>
      <c r="N138">
        <v>0.44700000000000001</v>
      </c>
      <c r="O138">
        <v>0.42799999999999999</v>
      </c>
      <c r="P138">
        <v>0.39800000000000002</v>
      </c>
      <c r="Q138">
        <v>0.38</v>
      </c>
      <c r="R138">
        <v>0.35899999999999999</v>
      </c>
      <c r="S138">
        <v>0.33100000000000002</v>
      </c>
      <c r="T138">
        <v>0.33200000000000002</v>
      </c>
      <c r="U138">
        <v>0.32500000000000001</v>
      </c>
      <c r="V138">
        <v>0.34</v>
      </c>
      <c r="W138">
        <v>0.115</v>
      </c>
      <c r="X138">
        <v>8.3000000000000004E-2</v>
      </c>
      <c r="Y138">
        <v>3.1E-2</v>
      </c>
      <c r="Z138">
        <v>1.0999999999999999E-2</v>
      </c>
      <c r="AA138">
        <v>7.3999999999999996E-2</v>
      </c>
      <c r="AB138">
        <v>7.3999999999999996E-2</v>
      </c>
      <c r="AC138">
        <v>1.2999999999999999E-2</v>
      </c>
      <c r="AD138">
        <v>2.1999999999999999E-2</v>
      </c>
      <c r="AE138">
        <v>4.0000000000000001E-3</v>
      </c>
      <c r="AF138">
        <v>1.6E-2</v>
      </c>
      <c r="AG138">
        <v>467.4</v>
      </c>
      <c r="AH138">
        <v>454.2</v>
      </c>
      <c r="AI138">
        <v>451.9</v>
      </c>
      <c r="AJ138">
        <v>466.2</v>
      </c>
      <c r="AK138">
        <v>449.3</v>
      </c>
      <c r="AL138">
        <v>451</v>
      </c>
      <c r="AM138" s="157">
        <v>447.4</v>
      </c>
      <c r="AN138" s="157">
        <v>416.9</v>
      </c>
      <c r="AO138" s="157">
        <v>426.5</v>
      </c>
      <c r="AP138" s="157">
        <v>414.4</v>
      </c>
    </row>
    <row r="139" spans="1:42" ht="14.7" customHeight="1">
      <c r="A139" s="181" t="s">
        <v>83</v>
      </c>
      <c r="B139" s="181"/>
      <c r="C139">
        <v>535.6</v>
      </c>
      <c r="D139">
        <v>518.1</v>
      </c>
      <c r="E139">
        <v>520.9</v>
      </c>
      <c r="F139">
        <v>524.20000000000005</v>
      </c>
      <c r="G139">
        <v>534.20000000000005</v>
      </c>
      <c r="H139">
        <v>526.4</v>
      </c>
      <c r="I139">
        <v>493</v>
      </c>
      <c r="J139">
        <v>495.3</v>
      </c>
      <c r="K139">
        <v>502.1</v>
      </c>
      <c r="L139">
        <v>482.7</v>
      </c>
      <c r="M139">
        <v>0.25700000000000001</v>
      </c>
      <c r="N139">
        <v>0.25900000000000001</v>
      </c>
      <c r="O139">
        <v>0.23699999999999999</v>
      </c>
      <c r="P139">
        <v>0.27100000000000002</v>
      </c>
      <c r="Q139">
        <v>0.28000000000000003</v>
      </c>
      <c r="R139">
        <v>0.29599999999999999</v>
      </c>
      <c r="S139">
        <v>0.30299999999999999</v>
      </c>
      <c r="T139">
        <v>0.29599999999999999</v>
      </c>
      <c r="U139">
        <v>0.29499999999999998</v>
      </c>
      <c r="V139">
        <v>0.29899999999999999</v>
      </c>
      <c r="W139" t="s">
        <v>901</v>
      </c>
      <c r="X139" t="s">
        <v>901</v>
      </c>
      <c r="Y139" t="s">
        <v>901</v>
      </c>
      <c r="Z139" t="s">
        <v>901</v>
      </c>
      <c r="AA139" t="s">
        <v>901</v>
      </c>
      <c r="AB139" t="s">
        <v>901</v>
      </c>
      <c r="AC139" t="s">
        <v>901</v>
      </c>
      <c r="AD139" t="s">
        <v>901</v>
      </c>
      <c r="AE139" t="s">
        <v>910</v>
      </c>
      <c r="AF139">
        <v>0</v>
      </c>
      <c r="AG139">
        <v>352.7</v>
      </c>
      <c r="AH139">
        <v>340</v>
      </c>
      <c r="AI139">
        <v>322.10000000000002</v>
      </c>
      <c r="AJ139">
        <v>339.4</v>
      </c>
      <c r="AK139">
        <v>349</v>
      </c>
      <c r="AL139">
        <v>349.6</v>
      </c>
      <c r="AM139" s="157">
        <v>330.3</v>
      </c>
      <c r="AN139" s="157">
        <v>328</v>
      </c>
      <c r="AO139" s="157">
        <v>333.4</v>
      </c>
      <c r="AP139" s="157">
        <v>324.10000000000002</v>
      </c>
    </row>
    <row r="140" spans="1:42" ht="14.7" customHeight="1">
      <c r="A140" s="181" t="s">
        <v>84</v>
      </c>
      <c r="B140" s="181"/>
      <c r="C140">
        <v>500.6</v>
      </c>
      <c r="D140">
        <v>492.6</v>
      </c>
      <c r="E140">
        <v>491.2</v>
      </c>
      <c r="F140">
        <v>500.6</v>
      </c>
      <c r="G140">
        <v>503.5</v>
      </c>
      <c r="H140">
        <v>513.5</v>
      </c>
      <c r="I140">
        <v>511.2</v>
      </c>
      <c r="J140">
        <v>504.4</v>
      </c>
      <c r="K140">
        <v>502.1</v>
      </c>
      <c r="L140">
        <v>506.1</v>
      </c>
      <c r="M140">
        <v>0.30399999999999999</v>
      </c>
      <c r="N140">
        <v>0.309</v>
      </c>
      <c r="O140">
        <v>0.30299999999999999</v>
      </c>
      <c r="P140">
        <v>0.29199999999999998</v>
      </c>
      <c r="Q140">
        <v>0.29199999999999998</v>
      </c>
      <c r="R140">
        <v>0.28599999999999998</v>
      </c>
      <c r="S140">
        <v>0.29499999999999998</v>
      </c>
      <c r="T140">
        <v>0.307</v>
      </c>
      <c r="U140">
        <v>0.307</v>
      </c>
      <c r="V140">
        <v>0.318</v>
      </c>
      <c r="W140" t="s">
        <v>901</v>
      </c>
      <c r="X140" t="s">
        <v>901</v>
      </c>
      <c r="Y140" t="s">
        <v>901</v>
      </c>
      <c r="Z140" t="s">
        <v>901</v>
      </c>
      <c r="AA140" t="s">
        <v>901</v>
      </c>
      <c r="AB140" t="s">
        <v>901</v>
      </c>
      <c r="AC140" t="s">
        <v>901</v>
      </c>
      <c r="AD140" t="s">
        <v>901</v>
      </c>
      <c r="AE140" t="s">
        <v>910</v>
      </c>
      <c r="AF140">
        <v>0</v>
      </c>
      <c r="AG140">
        <v>323.60000000000002</v>
      </c>
      <c r="AH140">
        <v>321.8</v>
      </c>
      <c r="AI140">
        <v>308.39999999999998</v>
      </c>
      <c r="AJ140">
        <v>309.89999999999998</v>
      </c>
      <c r="AK140">
        <v>310.89999999999998</v>
      </c>
      <c r="AL140">
        <v>313.5</v>
      </c>
      <c r="AM140" s="157">
        <v>317.7</v>
      </c>
      <c r="AN140" s="157">
        <v>318.39999999999998</v>
      </c>
      <c r="AO140" s="157">
        <v>316.7</v>
      </c>
      <c r="AP140" s="157">
        <v>324.89999999999998</v>
      </c>
    </row>
    <row r="141" spans="1:42" ht="14.7" customHeight="1">
      <c r="A141" s="181" t="s">
        <v>209</v>
      </c>
      <c r="B141" s="181"/>
      <c r="C141">
        <v>727.1</v>
      </c>
      <c r="D141">
        <v>645.70000000000005</v>
      </c>
      <c r="E141">
        <v>636.4</v>
      </c>
      <c r="F141">
        <v>697.3</v>
      </c>
      <c r="G141">
        <v>671</v>
      </c>
      <c r="H141">
        <v>660.3</v>
      </c>
      <c r="I141">
        <v>618.70000000000005</v>
      </c>
      <c r="J141">
        <v>620.4</v>
      </c>
      <c r="K141">
        <v>609.4</v>
      </c>
      <c r="L141">
        <v>611.4</v>
      </c>
      <c r="M141">
        <v>0.309</v>
      </c>
      <c r="N141">
        <v>0.35499999999999998</v>
      </c>
      <c r="O141">
        <v>0.34599999999999997</v>
      </c>
      <c r="P141">
        <v>0.315</v>
      </c>
      <c r="Q141">
        <v>0.32400000000000001</v>
      </c>
      <c r="R141">
        <v>0.318</v>
      </c>
      <c r="S141">
        <v>0.373</v>
      </c>
      <c r="T141">
        <v>0.37</v>
      </c>
      <c r="U141">
        <v>0.374</v>
      </c>
      <c r="V141">
        <v>0.375</v>
      </c>
      <c r="W141" t="s">
        <v>901</v>
      </c>
      <c r="X141" t="s">
        <v>901</v>
      </c>
      <c r="Y141" t="s">
        <v>901</v>
      </c>
      <c r="Z141" t="s">
        <v>901</v>
      </c>
      <c r="AA141" t="s">
        <v>901</v>
      </c>
      <c r="AB141" t="s">
        <v>901</v>
      </c>
      <c r="AC141" t="s">
        <v>901</v>
      </c>
      <c r="AD141" t="s">
        <v>901</v>
      </c>
      <c r="AE141" t="s">
        <v>910</v>
      </c>
      <c r="AF141">
        <v>0</v>
      </c>
      <c r="AG141">
        <v>456.3</v>
      </c>
      <c r="AH141">
        <v>424.1</v>
      </c>
      <c r="AI141">
        <v>411.1</v>
      </c>
      <c r="AJ141">
        <v>429.9</v>
      </c>
      <c r="AK141">
        <v>416.4</v>
      </c>
      <c r="AL141">
        <v>398.5</v>
      </c>
      <c r="AM141" s="157">
        <v>404.8</v>
      </c>
      <c r="AN141" s="157">
        <v>401.6</v>
      </c>
      <c r="AO141" s="157">
        <v>395.3</v>
      </c>
      <c r="AP141" s="157">
        <v>395.4</v>
      </c>
    </row>
    <row r="142" spans="1:42" ht="14.7" customHeight="1">
      <c r="A142" s="181" t="s">
        <v>818</v>
      </c>
      <c r="B142" s="181"/>
      <c r="C142">
        <v>576.1</v>
      </c>
      <c r="D142">
        <v>562.29999999999995</v>
      </c>
      <c r="E142">
        <v>556.29999999999995</v>
      </c>
      <c r="F142">
        <v>568</v>
      </c>
      <c r="G142">
        <v>549.5</v>
      </c>
      <c r="H142">
        <v>559.20000000000005</v>
      </c>
      <c r="I142">
        <v>549.20000000000005</v>
      </c>
      <c r="J142">
        <v>545.20000000000005</v>
      </c>
      <c r="K142">
        <v>525.20000000000005</v>
      </c>
      <c r="L142">
        <v>515.70000000000005</v>
      </c>
      <c r="M142">
        <v>0.39800000000000002</v>
      </c>
      <c r="N142">
        <v>0.40100000000000002</v>
      </c>
      <c r="O142">
        <v>0.39700000000000002</v>
      </c>
      <c r="P142">
        <v>0.38600000000000001</v>
      </c>
      <c r="Q142">
        <v>0.4</v>
      </c>
      <c r="R142">
        <v>0.4</v>
      </c>
      <c r="S142">
        <v>0.41199999999999998</v>
      </c>
      <c r="T142">
        <v>0.39800000000000002</v>
      </c>
      <c r="U142">
        <v>0.41299999999999998</v>
      </c>
      <c r="V142">
        <v>0.41799999999999998</v>
      </c>
      <c r="W142">
        <v>0.57599999999999996</v>
      </c>
      <c r="X142">
        <v>0.56799999999999995</v>
      </c>
      <c r="Y142">
        <v>0.57899999999999996</v>
      </c>
      <c r="Z142">
        <v>0.57899999999999996</v>
      </c>
      <c r="AA142">
        <v>0.56899999999999995</v>
      </c>
      <c r="AB142">
        <v>0.56299999999999994</v>
      </c>
      <c r="AC142">
        <v>0.39900000000000002</v>
      </c>
      <c r="AD142">
        <v>7.9000000000000001E-2</v>
      </c>
      <c r="AE142">
        <v>0.19800000000000001</v>
      </c>
      <c r="AF142">
        <v>0.20200000000000001</v>
      </c>
      <c r="AG142">
        <v>437</v>
      </c>
      <c r="AH142">
        <v>429.3</v>
      </c>
      <c r="AI142">
        <v>413.4</v>
      </c>
      <c r="AJ142">
        <v>413.6</v>
      </c>
      <c r="AK142">
        <v>407.3</v>
      </c>
      <c r="AL142">
        <v>412.1</v>
      </c>
      <c r="AM142" s="157">
        <v>412.5</v>
      </c>
      <c r="AN142" s="157">
        <v>398.7</v>
      </c>
      <c r="AO142" s="157">
        <v>394.4</v>
      </c>
      <c r="AP142" s="157">
        <v>391.9</v>
      </c>
    </row>
    <row r="143" spans="1:42" ht="14.7" customHeight="1">
      <c r="A143" s="181" t="s">
        <v>315</v>
      </c>
      <c r="B143" s="181"/>
      <c r="C143">
        <v>546.1</v>
      </c>
      <c r="D143">
        <v>527.20000000000005</v>
      </c>
      <c r="E143">
        <v>563.9</v>
      </c>
      <c r="F143">
        <v>535.70000000000005</v>
      </c>
      <c r="G143">
        <v>534.4</v>
      </c>
      <c r="H143">
        <v>511.6</v>
      </c>
      <c r="I143">
        <v>489.7</v>
      </c>
      <c r="J143">
        <v>497.3</v>
      </c>
      <c r="K143">
        <v>475.6</v>
      </c>
      <c r="L143">
        <v>462.1</v>
      </c>
      <c r="M143">
        <v>0.48499999999999999</v>
      </c>
      <c r="N143">
        <v>0.504</v>
      </c>
      <c r="O143">
        <v>0.45600000000000002</v>
      </c>
      <c r="P143">
        <v>0.49299999999999999</v>
      </c>
      <c r="Q143">
        <v>0.49399999999999999</v>
      </c>
      <c r="R143">
        <v>0.504</v>
      </c>
      <c r="S143">
        <v>0.52200000000000002</v>
      </c>
      <c r="T143">
        <v>0.50900000000000001</v>
      </c>
      <c r="U143">
        <v>0.51700000000000002</v>
      </c>
      <c r="V143">
        <v>0.52300000000000002</v>
      </c>
      <c r="W143">
        <v>0.45100000000000001</v>
      </c>
      <c r="X143">
        <v>0.371</v>
      </c>
      <c r="Y143">
        <v>0.36099999999999999</v>
      </c>
      <c r="Z143">
        <v>0.35299999999999998</v>
      </c>
      <c r="AA143">
        <v>0.26500000000000001</v>
      </c>
      <c r="AB143">
        <v>0.18</v>
      </c>
      <c r="AC143">
        <v>0.111</v>
      </c>
      <c r="AD143">
        <v>0.13100000000000001</v>
      </c>
      <c r="AE143">
        <v>0.14599999999999999</v>
      </c>
      <c r="AF143">
        <v>0.157</v>
      </c>
      <c r="AG143">
        <v>458.7</v>
      </c>
      <c r="AH143">
        <v>448.4</v>
      </c>
      <c r="AI143">
        <v>434.4</v>
      </c>
      <c r="AJ143">
        <v>441.8</v>
      </c>
      <c r="AK143">
        <v>438.6</v>
      </c>
      <c r="AL143">
        <v>421.7</v>
      </c>
      <c r="AM143" s="157">
        <v>418.8</v>
      </c>
      <c r="AN143" s="157">
        <v>416.1</v>
      </c>
      <c r="AO143" s="157">
        <v>406</v>
      </c>
      <c r="AP143" s="157">
        <v>401.3</v>
      </c>
    </row>
    <row r="144" spans="1:42" ht="14.7" customHeight="1">
      <c r="A144" s="181" t="s">
        <v>85</v>
      </c>
      <c r="B144" s="181"/>
      <c r="C144">
        <v>532.79999999999995</v>
      </c>
      <c r="D144">
        <v>504.2</v>
      </c>
      <c r="E144">
        <v>534.9</v>
      </c>
      <c r="F144">
        <v>524.4</v>
      </c>
      <c r="G144">
        <v>522.1</v>
      </c>
      <c r="H144">
        <v>527.79999999999995</v>
      </c>
      <c r="I144">
        <v>511.8</v>
      </c>
      <c r="J144">
        <v>507</v>
      </c>
      <c r="K144">
        <v>480.7</v>
      </c>
      <c r="L144">
        <v>474.8</v>
      </c>
      <c r="M144">
        <v>0.42499999999999999</v>
      </c>
      <c r="N144">
        <v>0.46700000000000003</v>
      </c>
      <c r="O144">
        <v>0.40500000000000003</v>
      </c>
      <c r="P144">
        <v>0.432</v>
      </c>
      <c r="Q144">
        <v>0.433</v>
      </c>
      <c r="R144">
        <v>0.42099999999999999</v>
      </c>
      <c r="S144">
        <v>0.434</v>
      </c>
      <c r="T144">
        <v>0.436</v>
      </c>
      <c r="U144">
        <v>0.443</v>
      </c>
      <c r="V144">
        <v>0.44400000000000001</v>
      </c>
      <c r="W144" t="s">
        <v>901</v>
      </c>
      <c r="X144" t="s">
        <v>901</v>
      </c>
      <c r="Y144" t="s">
        <v>901</v>
      </c>
      <c r="Z144" t="s">
        <v>901</v>
      </c>
      <c r="AA144" t="s">
        <v>901</v>
      </c>
      <c r="AB144" t="s">
        <v>901</v>
      </c>
      <c r="AC144" t="s">
        <v>901</v>
      </c>
      <c r="AD144" t="s">
        <v>901</v>
      </c>
      <c r="AE144" t="s">
        <v>910</v>
      </c>
      <c r="AF144">
        <v>0</v>
      </c>
      <c r="AG144">
        <v>391</v>
      </c>
      <c r="AH144">
        <v>390.9</v>
      </c>
      <c r="AI144">
        <v>372.4</v>
      </c>
      <c r="AJ144">
        <v>383</v>
      </c>
      <c r="AK144">
        <v>380.5</v>
      </c>
      <c r="AL144">
        <v>373.9</v>
      </c>
      <c r="AM144" s="157">
        <v>372</v>
      </c>
      <c r="AN144" s="157">
        <v>371.2</v>
      </c>
      <c r="AO144" s="157">
        <v>359.1</v>
      </c>
      <c r="AP144" s="157">
        <v>358.4</v>
      </c>
    </row>
    <row r="145" spans="1:42" ht="14.7" customHeight="1">
      <c r="A145" s="181" t="s">
        <v>86</v>
      </c>
      <c r="B145" s="181"/>
      <c r="C145">
        <v>490</v>
      </c>
      <c r="D145">
        <v>426.7</v>
      </c>
      <c r="E145">
        <v>476.5</v>
      </c>
      <c r="F145">
        <v>477.9</v>
      </c>
      <c r="G145">
        <v>511.5</v>
      </c>
      <c r="H145">
        <v>454.7</v>
      </c>
      <c r="I145">
        <v>437.7</v>
      </c>
      <c r="J145">
        <v>430.1</v>
      </c>
      <c r="K145">
        <v>423.1</v>
      </c>
      <c r="L145">
        <v>411</v>
      </c>
      <c r="M145">
        <v>0.41799999999999998</v>
      </c>
      <c r="N145">
        <v>0.45200000000000001</v>
      </c>
      <c r="O145">
        <v>0.43</v>
      </c>
      <c r="P145">
        <v>0.443</v>
      </c>
      <c r="Q145">
        <v>0.42799999999999999</v>
      </c>
      <c r="R145">
        <v>0.47699999999999998</v>
      </c>
      <c r="S145">
        <v>0.48099999999999998</v>
      </c>
      <c r="T145">
        <v>0.47699999999999998</v>
      </c>
      <c r="U145">
        <v>0.48699999999999999</v>
      </c>
      <c r="V145">
        <v>0.505</v>
      </c>
      <c r="W145" t="s">
        <v>901</v>
      </c>
      <c r="X145" t="s">
        <v>901</v>
      </c>
      <c r="Y145" t="s">
        <v>901</v>
      </c>
      <c r="Z145" t="s">
        <v>901</v>
      </c>
      <c r="AA145" t="s">
        <v>901</v>
      </c>
      <c r="AB145" t="s">
        <v>901</v>
      </c>
      <c r="AC145" t="s">
        <v>901</v>
      </c>
      <c r="AD145" t="s">
        <v>901</v>
      </c>
      <c r="AE145" t="s">
        <v>910</v>
      </c>
      <c r="AF145">
        <v>0</v>
      </c>
      <c r="AG145">
        <v>366.1</v>
      </c>
      <c r="AH145">
        <v>340.5</v>
      </c>
      <c r="AI145">
        <v>373</v>
      </c>
      <c r="AJ145">
        <v>384.1</v>
      </c>
      <c r="AK145">
        <v>400.2</v>
      </c>
      <c r="AL145">
        <v>388.9</v>
      </c>
      <c r="AM145" s="157">
        <v>378.4</v>
      </c>
      <c r="AN145" s="157">
        <v>368.8</v>
      </c>
      <c r="AO145" s="157">
        <v>371.8</v>
      </c>
      <c r="AP145" s="157">
        <v>376.2</v>
      </c>
    </row>
    <row r="146" spans="1:42" ht="14.7" customHeight="1">
      <c r="A146" s="181" t="s">
        <v>210</v>
      </c>
      <c r="B146" s="181"/>
      <c r="C146">
        <v>566.70000000000005</v>
      </c>
      <c r="D146">
        <v>558.79999999999995</v>
      </c>
      <c r="E146">
        <v>531.1</v>
      </c>
      <c r="F146">
        <v>534.5</v>
      </c>
      <c r="G146">
        <v>494.6</v>
      </c>
      <c r="H146">
        <v>495.6</v>
      </c>
      <c r="I146">
        <v>502.5</v>
      </c>
      <c r="J146">
        <v>520.29999999999995</v>
      </c>
      <c r="K146">
        <v>567.6</v>
      </c>
      <c r="L146">
        <v>552.70000000000005</v>
      </c>
      <c r="M146">
        <v>0.432</v>
      </c>
      <c r="N146">
        <v>0.434</v>
      </c>
      <c r="O146">
        <v>0.43</v>
      </c>
      <c r="P146">
        <v>0.43099999999999999</v>
      </c>
      <c r="Q146">
        <v>0.438</v>
      </c>
      <c r="R146">
        <v>0.441</v>
      </c>
      <c r="S146">
        <v>0.434</v>
      </c>
      <c r="T146">
        <v>0.4</v>
      </c>
      <c r="U146">
        <v>0.36699999999999999</v>
      </c>
      <c r="V146">
        <v>0.374</v>
      </c>
      <c r="W146" t="s">
        <v>901</v>
      </c>
      <c r="X146" t="s">
        <v>901</v>
      </c>
      <c r="Y146" t="s">
        <v>901</v>
      </c>
      <c r="Z146" t="s">
        <v>901</v>
      </c>
      <c r="AA146" t="s">
        <v>901</v>
      </c>
      <c r="AB146" t="s">
        <v>901</v>
      </c>
      <c r="AC146" t="s">
        <v>901</v>
      </c>
      <c r="AD146" t="s">
        <v>901</v>
      </c>
      <c r="AE146" t="s">
        <v>910</v>
      </c>
      <c r="AF146">
        <v>0</v>
      </c>
      <c r="AG146">
        <v>413.2</v>
      </c>
      <c r="AH146">
        <v>393.8</v>
      </c>
      <c r="AI146">
        <v>361.3</v>
      </c>
      <c r="AJ146">
        <v>358.8</v>
      </c>
      <c r="AK146">
        <v>331.7</v>
      </c>
      <c r="AL146">
        <v>323.2</v>
      </c>
      <c r="AM146" s="157">
        <v>321.5</v>
      </c>
      <c r="AN146" s="157">
        <v>316.60000000000002</v>
      </c>
      <c r="AO146" s="157">
        <v>327.39999999999998</v>
      </c>
      <c r="AP146" s="157">
        <v>323.39999999999998</v>
      </c>
    </row>
    <row r="147" spans="1:42" ht="14.7" customHeight="1">
      <c r="A147" s="181" t="s">
        <v>922</v>
      </c>
      <c r="B147" s="181"/>
      <c r="C147">
        <v>454.4</v>
      </c>
      <c r="D147">
        <v>424.7</v>
      </c>
      <c r="E147">
        <v>401.8</v>
      </c>
      <c r="F147">
        <v>405.2</v>
      </c>
      <c r="G147">
        <v>431</v>
      </c>
      <c r="H147">
        <v>436.5</v>
      </c>
      <c r="I147">
        <v>442</v>
      </c>
      <c r="J147">
        <v>483.3</v>
      </c>
      <c r="K147">
        <v>494.1</v>
      </c>
      <c r="L147">
        <v>492.7</v>
      </c>
      <c r="M147">
        <v>0.50600000000000001</v>
      </c>
      <c r="N147">
        <v>0.53900000000000003</v>
      </c>
      <c r="O147">
        <v>0.55500000000000005</v>
      </c>
      <c r="P147">
        <v>0.56100000000000005</v>
      </c>
      <c r="Q147">
        <v>0.52700000000000002</v>
      </c>
      <c r="R147">
        <v>0.51600000000000001</v>
      </c>
      <c r="S147">
        <v>0.49399999999999999</v>
      </c>
      <c r="T147">
        <v>0.439</v>
      </c>
      <c r="U147">
        <v>0.42199999999999999</v>
      </c>
      <c r="V147">
        <v>0.439</v>
      </c>
      <c r="W147" t="s">
        <v>901</v>
      </c>
      <c r="X147" t="s">
        <v>901</v>
      </c>
      <c r="Y147" t="s">
        <v>901</v>
      </c>
      <c r="Z147" t="s">
        <v>901</v>
      </c>
      <c r="AA147" t="s">
        <v>901</v>
      </c>
      <c r="AB147" t="s">
        <v>901</v>
      </c>
      <c r="AC147" t="s">
        <v>901</v>
      </c>
      <c r="AD147" t="s">
        <v>901</v>
      </c>
      <c r="AE147" t="s">
        <v>910</v>
      </c>
      <c r="AF147">
        <v>0</v>
      </c>
      <c r="AG147">
        <v>407.4</v>
      </c>
      <c r="AH147">
        <v>408.7</v>
      </c>
      <c r="AI147">
        <v>401.7</v>
      </c>
      <c r="AJ147">
        <v>410.1</v>
      </c>
      <c r="AK147">
        <v>403.5</v>
      </c>
      <c r="AL147">
        <v>396.9</v>
      </c>
      <c r="AM147" s="157">
        <v>385.1</v>
      </c>
      <c r="AN147" s="157">
        <v>381.5</v>
      </c>
      <c r="AO147" s="157">
        <v>378.3</v>
      </c>
      <c r="AP147" s="157">
        <v>389.5</v>
      </c>
    </row>
    <row r="148" spans="1:42" ht="14.7" customHeight="1">
      <c r="A148" s="181" t="s">
        <v>87</v>
      </c>
      <c r="B148" s="181"/>
      <c r="C148">
        <v>493.2</v>
      </c>
      <c r="D148">
        <v>488.9</v>
      </c>
      <c r="E148">
        <v>408.5</v>
      </c>
      <c r="F148">
        <v>495.7</v>
      </c>
      <c r="G148">
        <v>517.79999999999995</v>
      </c>
      <c r="H148">
        <v>514.1</v>
      </c>
      <c r="I148">
        <v>521</v>
      </c>
      <c r="J148">
        <v>432.9</v>
      </c>
      <c r="K148">
        <v>380</v>
      </c>
      <c r="L148">
        <v>383.3</v>
      </c>
      <c r="M148">
        <v>0.47699999999999998</v>
      </c>
      <c r="N148">
        <v>0.48599999999999999</v>
      </c>
      <c r="O148">
        <v>0.52500000000000002</v>
      </c>
      <c r="P148">
        <v>0.45200000000000001</v>
      </c>
      <c r="Q148">
        <v>0.44500000000000001</v>
      </c>
      <c r="R148">
        <v>0.442</v>
      </c>
      <c r="S148">
        <v>0.44500000000000001</v>
      </c>
      <c r="T148">
        <v>0.498</v>
      </c>
      <c r="U148">
        <v>0.53500000000000003</v>
      </c>
      <c r="V148">
        <v>0.53300000000000003</v>
      </c>
      <c r="W148" t="s">
        <v>901</v>
      </c>
      <c r="X148" t="s">
        <v>901</v>
      </c>
      <c r="Y148" t="s">
        <v>901</v>
      </c>
      <c r="Z148" t="s">
        <v>901</v>
      </c>
      <c r="AA148" t="s">
        <v>901</v>
      </c>
      <c r="AB148" t="s">
        <v>901</v>
      </c>
      <c r="AC148" t="s">
        <v>901</v>
      </c>
      <c r="AD148" t="s">
        <v>901</v>
      </c>
      <c r="AE148" t="s">
        <v>910</v>
      </c>
      <c r="AF148">
        <v>0</v>
      </c>
      <c r="AG148">
        <v>407.1</v>
      </c>
      <c r="AH148">
        <v>409</v>
      </c>
      <c r="AI148">
        <v>370.5</v>
      </c>
      <c r="AJ148">
        <v>392.2</v>
      </c>
      <c r="AK148">
        <v>403.6</v>
      </c>
      <c r="AL148">
        <v>394.4</v>
      </c>
      <c r="AM148" s="157">
        <v>404.4</v>
      </c>
      <c r="AN148" s="157">
        <v>372</v>
      </c>
      <c r="AO148" s="157">
        <v>353.2</v>
      </c>
      <c r="AP148" s="157">
        <v>355.3</v>
      </c>
    </row>
    <row r="149" spans="1:42" ht="14.7" customHeight="1">
      <c r="A149" s="181" t="s">
        <v>211</v>
      </c>
      <c r="B149" s="181"/>
      <c r="C149">
        <v>635.20000000000005</v>
      </c>
      <c r="D149">
        <v>615.1</v>
      </c>
      <c r="E149">
        <v>611.29999999999995</v>
      </c>
      <c r="F149">
        <v>611.1</v>
      </c>
      <c r="G149">
        <v>596.6</v>
      </c>
      <c r="H149">
        <v>617.70000000000005</v>
      </c>
      <c r="I149">
        <v>619.20000000000005</v>
      </c>
      <c r="J149">
        <v>575</v>
      </c>
      <c r="K149">
        <v>574.5</v>
      </c>
      <c r="L149">
        <v>576.6</v>
      </c>
      <c r="M149">
        <v>0.34799999999999998</v>
      </c>
      <c r="N149">
        <v>0.35399999999999998</v>
      </c>
      <c r="O149">
        <v>0.35</v>
      </c>
      <c r="P149">
        <v>0.35099999999999998</v>
      </c>
      <c r="Q149">
        <v>0.34499999999999997</v>
      </c>
      <c r="R149">
        <v>0.33800000000000002</v>
      </c>
      <c r="S149">
        <v>0.30099999999999999</v>
      </c>
      <c r="T149">
        <v>0.29799999999999999</v>
      </c>
      <c r="U149">
        <v>0.314</v>
      </c>
      <c r="V149">
        <v>0.315</v>
      </c>
      <c r="W149" t="s">
        <v>901</v>
      </c>
      <c r="X149" t="s">
        <v>901</v>
      </c>
      <c r="Y149" t="s">
        <v>901</v>
      </c>
      <c r="Z149" t="s">
        <v>901</v>
      </c>
      <c r="AA149" t="s">
        <v>901</v>
      </c>
      <c r="AB149" t="s">
        <v>901</v>
      </c>
      <c r="AC149" t="s">
        <v>901</v>
      </c>
      <c r="AD149" t="s">
        <v>901</v>
      </c>
      <c r="AE149" t="s">
        <v>910</v>
      </c>
      <c r="AF149">
        <v>0</v>
      </c>
      <c r="AG149">
        <v>417.5</v>
      </c>
      <c r="AH149">
        <v>389.2</v>
      </c>
      <c r="AI149">
        <v>358.3</v>
      </c>
      <c r="AJ149">
        <v>355.5</v>
      </c>
      <c r="AK149">
        <v>340.2</v>
      </c>
      <c r="AL149">
        <v>343.1</v>
      </c>
      <c r="AM149" s="157">
        <v>326.8</v>
      </c>
      <c r="AN149" s="157">
        <v>309.10000000000002</v>
      </c>
      <c r="AO149" s="157">
        <v>317.3</v>
      </c>
      <c r="AP149" s="157">
        <v>321.7</v>
      </c>
    </row>
    <row r="150" spans="1:42" ht="14.7" customHeight="1">
      <c r="A150" s="181" t="s">
        <v>88</v>
      </c>
      <c r="B150" s="181"/>
      <c r="C150">
        <v>407.4</v>
      </c>
      <c r="D150">
        <v>399.7</v>
      </c>
      <c r="E150">
        <v>417.7</v>
      </c>
      <c r="F150">
        <v>396.8</v>
      </c>
      <c r="G150">
        <v>401.6</v>
      </c>
      <c r="H150">
        <v>393.5</v>
      </c>
      <c r="I150">
        <v>448.2</v>
      </c>
      <c r="J150">
        <v>381.3</v>
      </c>
      <c r="K150">
        <v>392.6</v>
      </c>
      <c r="L150">
        <v>386</v>
      </c>
      <c r="M150">
        <v>0.57999999999999996</v>
      </c>
      <c r="N150">
        <v>0.56899999999999995</v>
      </c>
      <c r="O150">
        <v>0.55900000000000005</v>
      </c>
      <c r="P150">
        <v>0.57499999999999996</v>
      </c>
      <c r="Q150">
        <v>0.56899999999999995</v>
      </c>
      <c r="R150">
        <v>0.56399999999999995</v>
      </c>
      <c r="S150">
        <v>0.50800000000000001</v>
      </c>
      <c r="T150">
        <v>0.55800000000000005</v>
      </c>
      <c r="U150">
        <v>0.54600000000000004</v>
      </c>
      <c r="V150">
        <v>0.56000000000000005</v>
      </c>
      <c r="W150" t="s">
        <v>901</v>
      </c>
      <c r="X150" t="s">
        <v>901</v>
      </c>
      <c r="Y150" t="s">
        <v>901</v>
      </c>
      <c r="Z150" t="s">
        <v>901</v>
      </c>
      <c r="AA150" t="s">
        <v>901</v>
      </c>
      <c r="AB150" t="s">
        <v>901</v>
      </c>
      <c r="AC150" t="s">
        <v>901</v>
      </c>
      <c r="AD150" t="s">
        <v>901</v>
      </c>
      <c r="AE150" t="s">
        <v>910</v>
      </c>
      <c r="AF150">
        <v>0</v>
      </c>
      <c r="AG150">
        <v>418.3</v>
      </c>
      <c r="AH150">
        <v>404.7</v>
      </c>
      <c r="AI150">
        <v>408.6</v>
      </c>
      <c r="AJ150">
        <v>402.8</v>
      </c>
      <c r="AK150">
        <v>396.9</v>
      </c>
      <c r="AL150">
        <v>384.9</v>
      </c>
      <c r="AM150" s="157">
        <v>389.5</v>
      </c>
      <c r="AN150" s="157">
        <v>370.1</v>
      </c>
      <c r="AO150" s="157">
        <v>373.6</v>
      </c>
      <c r="AP150" s="157">
        <v>380.9</v>
      </c>
    </row>
    <row r="151" spans="1:42" ht="14.7" customHeight="1">
      <c r="A151" s="181" t="s">
        <v>89</v>
      </c>
      <c r="B151" s="181"/>
      <c r="C151">
        <v>431.3</v>
      </c>
      <c r="D151">
        <v>420</v>
      </c>
      <c r="E151">
        <v>416.2</v>
      </c>
      <c r="F151">
        <v>423.1</v>
      </c>
      <c r="G151">
        <v>425.4</v>
      </c>
      <c r="H151">
        <v>445.3</v>
      </c>
      <c r="I151">
        <v>445.6</v>
      </c>
      <c r="J151">
        <v>406.3</v>
      </c>
      <c r="K151">
        <v>391.3</v>
      </c>
      <c r="L151">
        <v>404.1</v>
      </c>
      <c r="M151">
        <v>0.35299999999999998</v>
      </c>
      <c r="N151">
        <v>0.35599999999999998</v>
      </c>
      <c r="O151">
        <v>0.35799999999999998</v>
      </c>
      <c r="P151">
        <v>0.34499999999999997</v>
      </c>
      <c r="Q151">
        <v>0.34300000000000003</v>
      </c>
      <c r="R151">
        <v>0.32500000000000001</v>
      </c>
      <c r="S151">
        <v>0.32900000000000001</v>
      </c>
      <c r="T151">
        <v>0.33300000000000002</v>
      </c>
      <c r="U151">
        <v>0.33800000000000002</v>
      </c>
      <c r="V151">
        <v>0.34499999999999997</v>
      </c>
      <c r="W151" t="s">
        <v>901</v>
      </c>
      <c r="X151" t="s">
        <v>901</v>
      </c>
      <c r="Y151" t="s">
        <v>901</v>
      </c>
      <c r="Z151" t="s">
        <v>901</v>
      </c>
      <c r="AA151" t="s">
        <v>901</v>
      </c>
      <c r="AB151" t="s">
        <v>901</v>
      </c>
      <c r="AC151" t="s">
        <v>901</v>
      </c>
      <c r="AD151" t="s">
        <v>901</v>
      </c>
      <c r="AE151" t="s">
        <v>910</v>
      </c>
      <c r="AF151">
        <v>0</v>
      </c>
      <c r="AG151">
        <v>296.39999999999998</v>
      </c>
      <c r="AH151">
        <v>292.89999999999998</v>
      </c>
      <c r="AI151">
        <v>293.60000000000002</v>
      </c>
      <c r="AJ151">
        <v>294.3</v>
      </c>
      <c r="AK151">
        <v>294.89999999999998</v>
      </c>
      <c r="AL151">
        <v>300.8</v>
      </c>
      <c r="AM151" s="157">
        <v>302.39999999999998</v>
      </c>
      <c r="AN151" s="157">
        <v>279</v>
      </c>
      <c r="AO151" s="157">
        <v>269.60000000000002</v>
      </c>
      <c r="AP151" s="157">
        <v>281.2</v>
      </c>
    </row>
    <row r="152" spans="1:42" ht="14.7" customHeight="1">
      <c r="A152" s="181" t="s">
        <v>90</v>
      </c>
      <c r="B152" s="181"/>
      <c r="C152">
        <v>505.4</v>
      </c>
      <c r="D152">
        <v>492</v>
      </c>
      <c r="E152">
        <v>496.3</v>
      </c>
      <c r="F152">
        <v>501.3</v>
      </c>
      <c r="G152">
        <v>513.70000000000005</v>
      </c>
      <c r="H152">
        <v>515.6</v>
      </c>
      <c r="I152">
        <v>536.1</v>
      </c>
      <c r="J152">
        <v>542.29999999999995</v>
      </c>
      <c r="K152">
        <v>553.70000000000005</v>
      </c>
      <c r="L152">
        <v>558.29999999999995</v>
      </c>
      <c r="M152">
        <v>0.42</v>
      </c>
      <c r="N152">
        <v>0.42499999999999999</v>
      </c>
      <c r="O152">
        <v>0.40799999999999997</v>
      </c>
      <c r="P152">
        <v>0.41299999999999998</v>
      </c>
      <c r="Q152">
        <v>0.40899999999999997</v>
      </c>
      <c r="R152">
        <v>0.40799999999999997</v>
      </c>
      <c r="S152">
        <v>0.4</v>
      </c>
      <c r="T152">
        <v>0.38</v>
      </c>
      <c r="U152">
        <v>0.371</v>
      </c>
      <c r="V152">
        <v>0.35099999999999998</v>
      </c>
      <c r="W152" t="s">
        <v>901</v>
      </c>
      <c r="X152" t="s">
        <v>901</v>
      </c>
      <c r="Y152" t="s">
        <v>901</v>
      </c>
      <c r="Z152" t="s">
        <v>901</v>
      </c>
      <c r="AA152" t="s">
        <v>901</v>
      </c>
      <c r="AB152" t="s">
        <v>901</v>
      </c>
      <c r="AC152" t="s">
        <v>901</v>
      </c>
      <c r="AD152" t="s">
        <v>901</v>
      </c>
      <c r="AE152" t="s">
        <v>910</v>
      </c>
      <c r="AF152">
        <v>0</v>
      </c>
      <c r="AG152">
        <v>417.8</v>
      </c>
      <c r="AH152">
        <v>392.7</v>
      </c>
      <c r="AI152">
        <v>368.3</v>
      </c>
      <c r="AJ152">
        <v>374.6</v>
      </c>
      <c r="AK152">
        <v>381.9</v>
      </c>
      <c r="AL152">
        <v>382.6</v>
      </c>
      <c r="AM152" s="157">
        <v>396.3</v>
      </c>
      <c r="AN152" s="157">
        <v>383.1</v>
      </c>
      <c r="AO152" s="157">
        <v>389.1</v>
      </c>
      <c r="AP152" s="157">
        <v>383.1</v>
      </c>
    </row>
    <row r="153" spans="1:42" ht="14.7" customHeight="1">
      <c r="A153" s="181" t="s">
        <v>271</v>
      </c>
      <c r="B153" s="181"/>
      <c r="C153">
        <v>757</v>
      </c>
      <c r="D153">
        <v>671.9</v>
      </c>
      <c r="E153">
        <v>523.79999999999995</v>
      </c>
      <c r="F153">
        <v>519.5</v>
      </c>
      <c r="G153">
        <v>527.1</v>
      </c>
      <c r="H153">
        <v>543.1</v>
      </c>
      <c r="I153">
        <v>506.3</v>
      </c>
      <c r="J153">
        <v>418.4</v>
      </c>
      <c r="K153">
        <v>365.5</v>
      </c>
      <c r="L153">
        <v>389.9</v>
      </c>
      <c r="M153">
        <v>0.3</v>
      </c>
      <c r="N153">
        <v>0.31900000000000001</v>
      </c>
      <c r="O153">
        <v>0.46200000000000002</v>
      </c>
      <c r="P153">
        <v>0.48</v>
      </c>
      <c r="Q153">
        <v>0.49199999999999999</v>
      </c>
      <c r="R153">
        <v>0.45200000000000001</v>
      </c>
      <c r="S153">
        <v>0.46500000000000002</v>
      </c>
      <c r="T153">
        <v>0.53400000000000003</v>
      </c>
      <c r="U153">
        <v>0.55700000000000005</v>
      </c>
      <c r="V153">
        <v>0.55500000000000005</v>
      </c>
      <c r="W153">
        <v>0.50600000000000001</v>
      </c>
      <c r="X153">
        <v>0.44500000000000001</v>
      </c>
      <c r="Y153">
        <v>0.36899999999999999</v>
      </c>
      <c r="Z153">
        <v>0.32400000000000001</v>
      </c>
      <c r="AA153">
        <v>0.315</v>
      </c>
      <c r="AB153">
        <v>0.32</v>
      </c>
      <c r="AC153">
        <v>0.42199999999999999</v>
      </c>
      <c r="AD153">
        <v>0.38400000000000001</v>
      </c>
      <c r="AE153">
        <v>0.42</v>
      </c>
      <c r="AF153">
        <v>0.312</v>
      </c>
      <c r="AG153">
        <v>526.4</v>
      </c>
      <c r="AH153">
        <v>480.8</v>
      </c>
      <c r="AI153">
        <v>484.2</v>
      </c>
      <c r="AJ153">
        <v>499</v>
      </c>
      <c r="AK153">
        <v>519.6</v>
      </c>
      <c r="AL153">
        <v>495.7</v>
      </c>
      <c r="AM153" s="157">
        <v>476.4</v>
      </c>
      <c r="AN153" s="157">
        <v>449.8</v>
      </c>
      <c r="AO153" s="157">
        <v>413.2</v>
      </c>
      <c r="AP153" s="157">
        <v>440.4</v>
      </c>
    </row>
    <row r="154" spans="1:42" ht="14.7" customHeight="1">
      <c r="A154" s="181" t="s">
        <v>2</v>
      </c>
      <c r="B154" s="181"/>
      <c r="C154" t="s">
        <v>901</v>
      </c>
      <c r="D154" t="s">
        <v>901</v>
      </c>
      <c r="E154" t="s">
        <v>901</v>
      </c>
      <c r="F154" t="s">
        <v>901</v>
      </c>
      <c r="G154" t="s">
        <v>901</v>
      </c>
      <c r="H154" t="s">
        <v>901</v>
      </c>
      <c r="I154" t="s">
        <v>901</v>
      </c>
      <c r="J154" t="s">
        <v>901</v>
      </c>
      <c r="K154" t="s">
        <v>901</v>
      </c>
      <c r="L154" t="s">
        <v>901</v>
      </c>
      <c r="M154" t="s">
        <v>901</v>
      </c>
      <c r="N154" t="s">
        <v>901</v>
      </c>
      <c r="O154" t="s">
        <v>901</v>
      </c>
      <c r="P154" t="s">
        <v>901</v>
      </c>
      <c r="Q154" t="s">
        <v>901</v>
      </c>
      <c r="R154" t="s">
        <v>901</v>
      </c>
      <c r="S154" t="s">
        <v>901</v>
      </c>
      <c r="T154" t="s">
        <v>901</v>
      </c>
      <c r="U154" t="s">
        <v>901</v>
      </c>
      <c r="V154" t="s">
        <v>901</v>
      </c>
      <c r="W154" t="s">
        <v>901</v>
      </c>
      <c r="X154" t="s">
        <v>901</v>
      </c>
      <c r="Y154" t="s">
        <v>901</v>
      </c>
      <c r="Z154" t="s">
        <v>901</v>
      </c>
      <c r="AA154" t="s">
        <v>901</v>
      </c>
      <c r="AB154" t="s">
        <v>901</v>
      </c>
      <c r="AC154" t="s">
        <v>901</v>
      </c>
      <c r="AD154" t="s">
        <v>901</v>
      </c>
      <c r="AE154" t="s">
        <v>901</v>
      </c>
      <c r="AF154" t="s">
        <v>901</v>
      </c>
      <c r="AG154" t="s">
        <v>901</v>
      </c>
      <c r="AH154" t="s">
        <v>901</v>
      </c>
      <c r="AI154" t="s">
        <v>901</v>
      </c>
      <c r="AJ154" t="s">
        <v>901</v>
      </c>
      <c r="AK154" t="s">
        <v>901</v>
      </c>
      <c r="AL154" t="s">
        <v>901</v>
      </c>
      <c r="AM154" s="157" t="s">
        <v>901</v>
      </c>
      <c r="AN154" s="157" t="s">
        <v>901</v>
      </c>
      <c r="AO154" s="157" t="s">
        <v>901</v>
      </c>
      <c r="AP154" s="157" t="s">
        <v>901</v>
      </c>
    </row>
    <row r="155" spans="1:42" ht="14.7" customHeight="1">
      <c r="A155" s="181" t="s">
        <v>212</v>
      </c>
      <c r="B155" s="181"/>
      <c r="C155">
        <v>452.8</v>
      </c>
      <c r="D155">
        <v>415.8</v>
      </c>
      <c r="E155">
        <v>417.8</v>
      </c>
      <c r="F155">
        <v>394.6</v>
      </c>
      <c r="G155">
        <v>388.4</v>
      </c>
      <c r="H155">
        <v>411.7</v>
      </c>
      <c r="I155">
        <v>380.9</v>
      </c>
      <c r="J155">
        <v>375.1</v>
      </c>
      <c r="K155">
        <v>365.5</v>
      </c>
      <c r="L155">
        <v>353</v>
      </c>
      <c r="M155">
        <v>0.30399999999999999</v>
      </c>
      <c r="N155">
        <v>0.32200000000000001</v>
      </c>
      <c r="O155">
        <v>0.314</v>
      </c>
      <c r="P155">
        <v>0.32700000000000001</v>
      </c>
      <c r="Q155">
        <v>0.32800000000000001</v>
      </c>
      <c r="R155">
        <v>0.29399999999999998</v>
      </c>
      <c r="S155">
        <v>0.316</v>
      </c>
      <c r="T155">
        <v>0.29499999999999998</v>
      </c>
      <c r="U155">
        <v>0.28999999999999998</v>
      </c>
      <c r="V155">
        <v>0.29599999999999999</v>
      </c>
      <c r="W155" t="s">
        <v>901</v>
      </c>
      <c r="X155" t="s">
        <v>901</v>
      </c>
      <c r="Y155" t="s">
        <v>901</v>
      </c>
      <c r="Z155" t="s">
        <v>901</v>
      </c>
      <c r="AA155" t="s">
        <v>901</v>
      </c>
      <c r="AB155" t="s">
        <v>901</v>
      </c>
      <c r="AC155" t="s">
        <v>901</v>
      </c>
      <c r="AD155" t="s">
        <v>901</v>
      </c>
      <c r="AE155" t="s">
        <v>910</v>
      </c>
      <c r="AF155">
        <v>0</v>
      </c>
      <c r="AG155">
        <v>342.1</v>
      </c>
      <c r="AH155">
        <v>317.10000000000002</v>
      </c>
      <c r="AI155">
        <v>300.3</v>
      </c>
      <c r="AJ155">
        <v>285.89999999999998</v>
      </c>
      <c r="AK155">
        <v>277</v>
      </c>
      <c r="AL155">
        <v>268.5</v>
      </c>
      <c r="AM155" s="157">
        <v>253</v>
      </c>
      <c r="AN155" s="157">
        <v>242.2</v>
      </c>
      <c r="AO155" s="157">
        <v>230.3</v>
      </c>
      <c r="AP155" s="157">
        <v>224.1</v>
      </c>
    </row>
    <row r="156" spans="1:42" ht="14.7" customHeight="1">
      <c r="A156" s="181" t="s">
        <v>338</v>
      </c>
      <c r="B156" s="181"/>
      <c r="C156" t="s">
        <v>901</v>
      </c>
      <c r="D156" t="s">
        <v>901</v>
      </c>
      <c r="E156" t="s">
        <v>901</v>
      </c>
      <c r="F156" t="s">
        <v>901</v>
      </c>
      <c r="G156" t="s">
        <v>901</v>
      </c>
      <c r="H156" t="s">
        <v>901</v>
      </c>
      <c r="I156" t="s">
        <v>901</v>
      </c>
      <c r="J156" t="s">
        <v>901</v>
      </c>
      <c r="K156" t="s">
        <v>901</v>
      </c>
      <c r="L156" t="s">
        <v>901</v>
      </c>
      <c r="M156" t="s">
        <v>901</v>
      </c>
      <c r="N156" t="s">
        <v>901</v>
      </c>
      <c r="O156" t="s">
        <v>901</v>
      </c>
      <c r="P156" t="s">
        <v>901</v>
      </c>
      <c r="Q156" t="s">
        <v>901</v>
      </c>
      <c r="R156" t="s">
        <v>901</v>
      </c>
      <c r="S156" t="s">
        <v>901</v>
      </c>
      <c r="T156" t="s">
        <v>901</v>
      </c>
      <c r="U156" t="s">
        <v>901</v>
      </c>
      <c r="V156" t="s">
        <v>901</v>
      </c>
      <c r="W156" t="s">
        <v>901</v>
      </c>
      <c r="X156" t="s">
        <v>901</v>
      </c>
      <c r="Y156" t="s">
        <v>901</v>
      </c>
      <c r="Z156" t="s">
        <v>901</v>
      </c>
      <c r="AA156" t="s">
        <v>901</v>
      </c>
      <c r="AB156" t="s">
        <v>901</v>
      </c>
      <c r="AC156" t="s">
        <v>901</v>
      </c>
      <c r="AD156" t="s">
        <v>901</v>
      </c>
      <c r="AE156" t="s">
        <v>901</v>
      </c>
      <c r="AF156" t="s">
        <v>901</v>
      </c>
      <c r="AG156" t="s">
        <v>901</v>
      </c>
      <c r="AH156" t="s">
        <v>901</v>
      </c>
      <c r="AI156" t="s">
        <v>901</v>
      </c>
      <c r="AJ156" t="s">
        <v>901</v>
      </c>
      <c r="AK156" t="s">
        <v>901</v>
      </c>
      <c r="AL156" t="s">
        <v>901</v>
      </c>
      <c r="AM156" s="157" t="s">
        <v>901</v>
      </c>
      <c r="AN156" s="157" t="s">
        <v>901</v>
      </c>
      <c r="AO156" s="157" t="s">
        <v>901</v>
      </c>
      <c r="AP156" s="157" t="s">
        <v>901</v>
      </c>
    </row>
    <row r="157" spans="1:42" ht="14.7" customHeight="1">
      <c r="A157" s="181" t="s">
        <v>316</v>
      </c>
      <c r="B157" s="181"/>
      <c r="C157">
        <v>665.1</v>
      </c>
      <c r="D157">
        <v>616.4</v>
      </c>
      <c r="E157">
        <v>598.6</v>
      </c>
      <c r="F157">
        <v>580</v>
      </c>
      <c r="G157">
        <v>567.29999999999995</v>
      </c>
      <c r="H157">
        <v>584.5</v>
      </c>
      <c r="I157">
        <v>567</v>
      </c>
      <c r="J157">
        <v>540.9</v>
      </c>
      <c r="K157">
        <v>535.29999999999995</v>
      </c>
      <c r="L157">
        <v>528.6</v>
      </c>
      <c r="M157">
        <v>0.39</v>
      </c>
      <c r="N157">
        <v>0.41099999999999998</v>
      </c>
      <c r="O157">
        <v>0.41</v>
      </c>
      <c r="P157">
        <v>0.436</v>
      </c>
      <c r="Q157">
        <v>0.45600000000000002</v>
      </c>
      <c r="R157">
        <v>0.441</v>
      </c>
      <c r="S157">
        <v>0.46300000000000002</v>
      </c>
      <c r="T157">
        <v>0.46700000000000003</v>
      </c>
      <c r="U157">
        <v>0.47199999999999998</v>
      </c>
      <c r="V157">
        <v>0.46700000000000003</v>
      </c>
      <c r="W157">
        <v>0.29099999999999998</v>
      </c>
      <c r="X157">
        <v>0.22500000000000001</v>
      </c>
      <c r="Y157">
        <v>0.21</v>
      </c>
      <c r="Z157">
        <v>0.182</v>
      </c>
      <c r="AA157">
        <v>0.111</v>
      </c>
      <c r="AB157">
        <v>6.5000000000000002E-2</v>
      </c>
      <c r="AC157">
        <v>2.8000000000000001E-2</v>
      </c>
      <c r="AD157">
        <v>1.0999999999999999E-2</v>
      </c>
      <c r="AE157">
        <v>1.7000000000000001E-2</v>
      </c>
      <c r="AF157">
        <v>1.4999999999999999E-2</v>
      </c>
      <c r="AG157">
        <v>490.4</v>
      </c>
      <c r="AH157">
        <v>465.4</v>
      </c>
      <c r="AI157">
        <v>441.1</v>
      </c>
      <c r="AJ157">
        <v>445.5</v>
      </c>
      <c r="AK157">
        <v>449.5</v>
      </c>
      <c r="AL157">
        <v>442.9</v>
      </c>
      <c r="AM157" s="157">
        <v>446.8</v>
      </c>
      <c r="AN157" s="157">
        <v>430.2</v>
      </c>
      <c r="AO157" s="157">
        <v>430.6</v>
      </c>
      <c r="AP157" s="157">
        <v>422.4</v>
      </c>
    </row>
    <row r="158" spans="1:42" ht="14.7" customHeight="1">
      <c r="A158" s="181" t="s">
        <v>91</v>
      </c>
      <c r="B158" s="181"/>
      <c r="C158">
        <v>467.8</v>
      </c>
      <c r="D158">
        <v>456.8</v>
      </c>
      <c r="E158">
        <v>463.8</v>
      </c>
      <c r="F158">
        <v>478.9</v>
      </c>
      <c r="G158">
        <v>475.1</v>
      </c>
      <c r="H158">
        <v>473.5</v>
      </c>
      <c r="I158">
        <v>471.4</v>
      </c>
      <c r="J158">
        <v>463.8</v>
      </c>
      <c r="K158">
        <v>458.3</v>
      </c>
      <c r="L158" t="s">
        <v>901</v>
      </c>
      <c r="M158">
        <v>0.46800000000000003</v>
      </c>
      <c r="N158">
        <v>0.46700000000000003</v>
      </c>
      <c r="O158">
        <v>0.46300000000000002</v>
      </c>
      <c r="P158">
        <v>0.46</v>
      </c>
      <c r="Q158">
        <v>0.48299999999999998</v>
      </c>
      <c r="R158">
        <v>0.49099999999999999</v>
      </c>
      <c r="S158">
        <v>0.498</v>
      </c>
      <c r="T158">
        <v>0.48799999999999999</v>
      </c>
      <c r="U158">
        <v>0.48499999999999999</v>
      </c>
      <c r="V158" t="s">
        <v>901</v>
      </c>
      <c r="W158" t="s">
        <v>901</v>
      </c>
      <c r="X158" t="s">
        <v>901</v>
      </c>
      <c r="Y158" t="s">
        <v>901</v>
      </c>
      <c r="Z158" t="s">
        <v>901</v>
      </c>
      <c r="AA158" t="s">
        <v>901</v>
      </c>
      <c r="AB158" t="s">
        <v>901</v>
      </c>
      <c r="AC158" t="s">
        <v>901</v>
      </c>
      <c r="AD158" t="s">
        <v>901</v>
      </c>
      <c r="AE158" t="s">
        <v>910</v>
      </c>
      <c r="AF158" t="s">
        <v>901</v>
      </c>
      <c r="AG158">
        <v>407.1</v>
      </c>
      <c r="AH158">
        <v>394.9</v>
      </c>
      <c r="AI158">
        <v>387</v>
      </c>
      <c r="AJ158">
        <v>395.6</v>
      </c>
      <c r="AK158">
        <v>408</v>
      </c>
      <c r="AL158">
        <v>408.6</v>
      </c>
      <c r="AM158" s="157">
        <v>411.6</v>
      </c>
      <c r="AN158" s="157">
        <v>397.8</v>
      </c>
      <c r="AO158" s="157">
        <v>392.9</v>
      </c>
      <c r="AP158" s="157" t="s">
        <v>901</v>
      </c>
    </row>
    <row r="159" spans="1:42" ht="14.7" customHeight="1">
      <c r="A159" s="181" t="s">
        <v>923</v>
      </c>
      <c r="B159" s="181"/>
      <c r="C159">
        <v>502.1</v>
      </c>
      <c r="D159">
        <v>496.4</v>
      </c>
      <c r="E159">
        <v>508.5</v>
      </c>
      <c r="F159">
        <v>423.8</v>
      </c>
      <c r="G159">
        <v>450.6</v>
      </c>
      <c r="H159">
        <v>444.8</v>
      </c>
      <c r="I159">
        <v>442.6</v>
      </c>
      <c r="J159">
        <v>447.6</v>
      </c>
      <c r="K159">
        <v>469.5</v>
      </c>
      <c r="L159">
        <v>460.5</v>
      </c>
      <c r="M159">
        <v>0.377</v>
      </c>
      <c r="N159">
        <v>0.38200000000000001</v>
      </c>
      <c r="O159">
        <v>0.36</v>
      </c>
      <c r="P159">
        <v>0.439</v>
      </c>
      <c r="Q159">
        <v>0.41899999999999998</v>
      </c>
      <c r="R159">
        <v>0.443</v>
      </c>
      <c r="S159">
        <v>0.45700000000000002</v>
      </c>
      <c r="T159">
        <v>0.46400000000000002</v>
      </c>
      <c r="U159">
        <v>0.42099999999999999</v>
      </c>
      <c r="V159">
        <v>0.42499999999999999</v>
      </c>
      <c r="W159" t="s">
        <v>901</v>
      </c>
      <c r="X159" t="s">
        <v>901</v>
      </c>
      <c r="Y159" t="s">
        <v>901</v>
      </c>
      <c r="Z159" t="s">
        <v>901</v>
      </c>
      <c r="AA159" t="s">
        <v>901</v>
      </c>
      <c r="AB159" t="s">
        <v>901</v>
      </c>
      <c r="AC159" t="s">
        <v>901</v>
      </c>
      <c r="AD159" t="s">
        <v>901</v>
      </c>
      <c r="AE159" t="s">
        <v>910</v>
      </c>
      <c r="AF159">
        <v>0</v>
      </c>
      <c r="AG159">
        <v>392.6</v>
      </c>
      <c r="AH159">
        <v>393.9</v>
      </c>
      <c r="AI159">
        <v>380.2</v>
      </c>
      <c r="AJ159">
        <v>361.8</v>
      </c>
      <c r="AK159">
        <v>371.7</v>
      </c>
      <c r="AL159">
        <v>379</v>
      </c>
      <c r="AM159" s="157">
        <v>387.3</v>
      </c>
      <c r="AN159" s="157">
        <v>398.2</v>
      </c>
      <c r="AO159" s="157">
        <v>389.3</v>
      </c>
      <c r="AP159" s="157">
        <v>388.7</v>
      </c>
    </row>
    <row r="160" spans="1:42" ht="14.7" customHeight="1">
      <c r="A160" s="181" t="s">
        <v>394</v>
      </c>
      <c r="B160" s="181"/>
      <c r="C160" t="s">
        <v>901</v>
      </c>
      <c r="D160" t="s">
        <v>901</v>
      </c>
      <c r="E160" t="s">
        <v>901</v>
      </c>
      <c r="F160" t="s">
        <v>901</v>
      </c>
      <c r="G160" t="s">
        <v>901</v>
      </c>
      <c r="H160" t="s">
        <v>901</v>
      </c>
      <c r="I160" t="s">
        <v>901</v>
      </c>
      <c r="J160" t="s">
        <v>901</v>
      </c>
      <c r="K160" t="s">
        <v>901</v>
      </c>
      <c r="L160" t="s">
        <v>901</v>
      </c>
      <c r="M160" t="s">
        <v>901</v>
      </c>
      <c r="N160" t="s">
        <v>901</v>
      </c>
      <c r="O160" t="s">
        <v>901</v>
      </c>
      <c r="P160" t="s">
        <v>901</v>
      </c>
      <c r="Q160" t="s">
        <v>901</v>
      </c>
      <c r="R160" t="s">
        <v>901</v>
      </c>
      <c r="S160" t="s">
        <v>901</v>
      </c>
      <c r="T160" t="s">
        <v>901</v>
      </c>
      <c r="U160" t="s">
        <v>901</v>
      </c>
      <c r="V160" t="s">
        <v>901</v>
      </c>
      <c r="W160" t="s">
        <v>901</v>
      </c>
      <c r="X160" t="s">
        <v>901</v>
      </c>
      <c r="Y160" t="s">
        <v>901</v>
      </c>
      <c r="Z160" t="s">
        <v>901</v>
      </c>
      <c r="AA160" t="s">
        <v>901</v>
      </c>
      <c r="AB160" t="s">
        <v>901</v>
      </c>
      <c r="AC160" t="s">
        <v>901</v>
      </c>
      <c r="AD160" t="s">
        <v>901</v>
      </c>
      <c r="AE160" t="s">
        <v>901</v>
      </c>
      <c r="AF160" t="s">
        <v>901</v>
      </c>
      <c r="AG160" t="s">
        <v>901</v>
      </c>
      <c r="AH160" t="s">
        <v>901</v>
      </c>
      <c r="AI160" t="s">
        <v>901</v>
      </c>
      <c r="AJ160" t="s">
        <v>901</v>
      </c>
      <c r="AK160" t="s">
        <v>901</v>
      </c>
      <c r="AL160" t="s">
        <v>901</v>
      </c>
      <c r="AM160" s="157" t="s">
        <v>901</v>
      </c>
      <c r="AN160" s="157" t="s">
        <v>901</v>
      </c>
      <c r="AO160" s="157" t="s">
        <v>901</v>
      </c>
      <c r="AP160" s="157" t="s">
        <v>901</v>
      </c>
    </row>
    <row r="161" spans="1:42" ht="14.7" customHeight="1">
      <c r="A161" s="181" t="s">
        <v>924</v>
      </c>
      <c r="B161" s="181"/>
      <c r="C161">
        <v>502.1</v>
      </c>
      <c r="D161">
        <v>472.5</v>
      </c>
      <c r="E161">
        <v>460</v>
      </c>
      <c r="F161">
        <v>432.4</v>
      </c>
      <c r="G161">
        <v>485</v>
      </c>
      <c r="H161">
        <v>480.6</v>
      </c>
      <c r="I161">
        <v>460.4</v>
      </c>
      <c r="J161">
        <v>445.1</v>
      </c>
      <c r="K161">
        <v>452.7</v>
      </c>
      <c r="L161">
        <v>445.6</v>
      </c>
      <c r="M161">
        <v>0.48899999999999999</v>
      </c>
      <c r="N161">
        <v>0.49299999999999999</v>
      </c>
      <c r="O161">
        <v>0.48499999999999999</v>
      </c>
      <c r="P161">
        <v>0.502</v>
      </c>
      <c r="Q161">
        <v>0.45</v>
      </c>
      <c r="R161">
        <v>0.46600000000000003</v>
      </c>
      <c r="S161">
        <v>0.495</v>
      </c>
      <c r="T161">
        <v>0.49099999999999999</v>
      </c>
      <c r="U161">
        <v>0.48099999999999998</v>
      </c>
      <c r="V161">
        <v>0.48099999999999998</v>
      </c>
      <c r="W161">
        <v>0.50800000000000001</v>
      </c>
      <c r="X161">
        <v>0.47299999999999998</v>
      </c>
      <c r="Y161">
        <v>0.45800000000000002</v>
      </c>
      <c r="Z161">
        <v>0.33300000000000002</v>
      </c>
      <c r="AA161">
        <v>8.0000000000000002E-3</v>
      </c>
      <c r="AB161">
        <v>6.7000000000000004E-2</v>
      </c>
      <c r="AC161">
        <v>0.04</v>
      </c>
      <c r="AD161">
        <v>0</v>
      </c>
      <c r="AE161">
        <v>4.5999999999999999E-2</v>
      </c>
      <c r="AF161">
        <v>2.8000000000000001E-2</v>
      </c>
      <c r="AG161">
        <v>444.7</v>
      </c>
      <c r="AH161">
        <v>414</v>
      </c>
      <c r="AI161">
        <v>410</v>
      </c>
      <c r="AJ161">
        <v>397.1</v>
      </c>
      <c r="AK161">
        <v>402.7</v>
      </c>
      <c r="AL161">
        <v>410.4</v>
      </c>
      <c r="AM161" s="157">
        <v>416.6</v>
      </c>
      <c r="AN161" s="157">
        <v>400.6</v>
      </c>
      <c r="AO161" s="157">
        <v>403.6</v>
      </c>
      <c r="AP161" s="157">
        <v>402</v>
      </c>
    </row>
    <row r="162" spans="1:42" ht="14.7" customHeight="1">
      <c r="A162" s="181" t="s">
        <v>233</v>
      </c>
      <c r="B162" s="181"/>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v>0.27600000000000002</v>
      </c>
      <c r="R162">
        <v>0.28499999999999998</v>
      </c>
      <c r="S162">
        <v>0.30099999999999999</v>
      </c>
      <c r="T162">
        <v>0.27200000000000002</v>
      </c>
      <c r="U162">
        <v>0.24299999999999999</v>
      </c>
      <c r="V162">
        <v>0.26700000000000002</v>
      </c>
      <c r="W162">
        <v>4.5999999999999999E-2</v>
      </c>
      <c r="X162">
        <v>4.9000000000000002E-2</v>
      </c>
      <c r="Y162">
        <v>5.3999999999999999E-2</v>
      </c>
      <c r="Z162">
        <v>6.9000000000000006E-2</v>
      </c>
      <c r="AA162">
        <v>9.8000000000000004E-2</v>
      </c>
      <c r="AB162">
        <v>0.112</v>
      </c>
      <c r="AC162">
        <v>5.8999999999999997E-2</v>
      </c>
      <c r="AD162">
        <v>2.9000000000000001E-2</v>
      </c>
      <c r="AE162">
        <v>8.4000000000000005E-2</v>
      </c>
      <c r="AF162">
        <v>3.1E-2</v>
      </c>
      <c r="AG162">
        <v>420.9</v>
      </c>
      <c r="AH162">
        <v>405.3</v>
      </c>
      <c r="AI162">
        <v>383.5</v>
      </c>
      <c r="AJ162">
        <v>398.1</v>
      </c>
      <c r="AK162">
        <v>400</v>
      </c>
      <c r="AL162">
        <v>399.9</v>
      </c>
      <c r="AM162" s="157">
        <v>382.8</v>
      </c>
      <c r="AN162" s="157">
        <v>366.8</v>
      </c>
      <c r="AO162" s="157">
        <v>360.2</v>
      </c>
      <c r="AP162" s="157">
        <v>366</v>
      </c>
    </row>
    <row r="163" spans="1:42" ht="14.7" customHeight="1">
      <c r="A163" s="181" t="s">
        <v>234</v>
      </c>
      <c r="B163" s="181"/>
      <c r="C163">
        <v>648</v>
      </c>
      <c r="D163">
        <v>621.6</v>
      </c>
      <c r="E163">
        <v>620.70000000000005</v>
      </c>
      <c r="F163">
        <v>567.29999999999995</v>
      </c>
      <c r="G163">
        <v>532.6</v>
      </c>
      <c r="H163">
        <v>539</v>
      </c>
      <c r="I163">
        <v>559.70000000000005</v>
      </c>
      <c r="J163">
        <v>580.70000000000005</v>
      </c>
      <c r="K163">
        <v>567.1</v>
      </c>
      <c r="L163">
        <v>563</v>
      </c>
      <c r="M163">
        <v>0.312</v>
      </c>
      <c r="N163">
        <v>0.32</v>
      </c>
      <c r="O163">
        <v>0.309</v>
      </c>
      <c r="P163">
        <v>0.33100000000000002</v>
      </c>
      <c r="Q163">
        <v>0.36699999999999999</v>
      </c>
      <c r="R163">
        <v>0.35899999999999999</v>
      </c>
      <c r="S163">
        <v>0.32800000000000001</v>
      </c>
      <c r="T163">
        <v>0.30199999999999999</v>
      </c>
      <c r="U163">
        <v>0.30199999999999999</v>
      </c>
      <c r="V163">
        <v>0.307</v>
      </c>
      <c r="W163" t="s">
        <v>901</v>
      </c>
      <c r="X163" t="s">
        <v>901</v>
      </c>
      <c r="Y163" t="s">
        <v>901</v>
      </c>
      <c r="Z163" t="s">
        <v>901</v>
      </c>
      <c r="AA163" t="s">
        <v>901</v>
      </c>
      <c r="AB163" t="s">
        <v>901</v>
      </c>
      <c r="AC163" t="s">
        <v>901</v>
      </c>
      <c r="AD163" t="s">
        <v>901</v>
      </c>
      <c r="AE163" t="s">
        <v>910</v>
      </c>
      <c r="AF163">
        <v>0</v>
      </c>
      <c r="AG163">
        <v>404.2</v>
      </c>
      <c r="AH163">
        <v>396.4</v>
      </c>
      <c r="AI163">
        <v>399.7</v>
      </c>
      <c r="AJ163">
        <v>378.6</v>
      </c>
      <c r="AK163">
        <v>374.8</v>
      </c>
      <c r="AL163">
        <v>375</v>
      </c>
      <c r="AM163" s="157">
        <v>372.5</v>
      </c>
      <c r="AN163" s="157">
        <v>372.5</v>
      </c>
      <c r="AO163" s="157">
        <v>364.5</v>
      </c>
      <c r="AP163" s="157">
        <v>365.2</v>
      </c>
    </row>
    <row r="164" spans="1:42" ht="14.7" customHeight="1">
      <c r="A164" s="181" t="s">
        <v>213</v>
      </c>
      <c r="B164" s="181"/>
      <c r="C164">
        <v>457.5</v>
      </c>
      <c r="D164">
        <v>450</v>
      </c>
      <c r="E164">
        <v>531.9</v>
      </c>
      <c r="F164">
        <v>539.70000000000005</v>
      </c>
      <c r="G164">
        <v>448.6</v>
      </c>
      <c r="H164">
        <v>448.1</v>
      </c>
      <c r="I164">
        <v>437.1</v>
      </c>
      <c r="J164">
        <v>416.7</v>
      </c>
      <c r="K164">
        <v>399.1</v>
      </c>
      <c r="L164">
        <v>365.3</v>
      </c>
      <c r="M164">
        <v>0.28299999999999997</v>
      </c>
      <c r="N164">
        <v>0.27900000000000003</v>
      </c>
      <c r="O164">
        <v>0.22800000000000001</v>
      </c>
      <c r="P164">
        <v>0.21099999999999999</v>
      </c>
      <c r="Q164">
        <v>0.28299999999999997</v>
      </c>
      <c r="R164">
        <v>0.28699999999999998</v>
      </c>
      <c r="S164">
        <v>0.28799999999999998</v>
      </c>
      <c r="T164">
        <v>0.29799999999999999</v>
      </c>
      <c r="U164">
        <v>0.30099999999999999</v>
      </c>
      <c r="V164">
        <v>0.317</v>
      </c>
      <c r="W164" t="s">
        <v>901</v>
      </c>
      <c r="X164" t="s">
        <v>901</v>
      </c>
      <c r="Y164" t="s">
        <v>901</v>
      </c>
      <c r="Z164" t="s">
        <v>901</v>
      </c>
      <c r="AA164" t="s">
        <v>901</v>
      </c>
      <c r="AB164" t="s">
        <v>901</v>
      </c>
      <c r="AC164" t="s">
        <v>901</v>
      </c>
      <c r="AD164" t="s">
        <v>901</v>
      </c>
      <c r="AE164" t="s">
        <v>910</v>
      </c>
      <c r="AF164">
        <v>0</v>
      </c>
      <c r="AG164">
        <v>307.39999999999998</v>
      </c>
      <c r="AH164">
        <v>293.5</v>
      </c>
      <c r="AI164">
        <v>302.89999999999998</v>
      </c>
      <c r="AJ164">
        <v>299.5</v>
      </c>
      <c r="AK164">
        <v>271.39999999999998</v>
      </c>
      <c r="AL164">
        <v>266.89999999999998</v>
      </c>
      <c r="AM164" s="157">
        <v>260.7</v>
      </c>
      <c r="AN164" s="157">
        <v>257</v>
      </c>
      <c r="AO164" s="157">
        <v>248.3</v>
      </c>
      <c r="AP164" s="157">
        <v>235.2</v>
      </c>
    </row>
    <row r="165" spans="1:42" ht="14.7" customHeight="1">
      <c r="A165" s="182" t="s">
        <v>317</v>
      </c>
      <c r="B165" s="181"/>
      <c r="C165">
        <v>559.1</v>
      </c>
      <c r="D165">
        <v>537.5</v>
      </c>
      <c r="E165">
        <v>511.5</v>
      </c>
      <c r="F165">
        <v>520.5</v>
      </c>
      <c r="G165">
        <v>532.20000000000005</v>
      </c>
      <c r="H165">
        <v>496.2</v>
      </c>
      <c r="I165">
        <v>556.4</v>
      </c>
      <c r="J165">
        <v>572.9</v>
      </c>
      <c r="K165">
        <v>546.4</v>
      </c>
      <c r="L165">
        <v>532.20000000000005</v>
      </c>
      <c r="M165">
        <v>0.46100000000000002</v>
      </c>
      <c r="N165">
        <v>0.46800000000000003</v>
      </c>
      <c r="O165">
        <v>0.47599999999999998</v>
      </c>
      <c r="P165">
        <v>0.47399999999999998</v>
      </c>
      <c r="Q165">
        <v>0.47299999999999998</v>
      </c>
      <c r="R165">
        <v>0.51600000000000001</v>
      </c>
      <c r="S165">
        <v>0.45600000000000002</v>
      </c>
      <c r="T165">
        <v>0.42099999999999999</v>
      </c>
      <c r="U165">
        <v>0.44600000000000001</v>
      </c>
      <c r="V165">
        <v>0.45700000000000002</v>
      </c>
      <c r="W165">
        <v>0.54200000000000004</v>
      </c>
      <c r="X165">
        <v>0.51600000000000001</v>
      </c>
      <c r="Y165">
        <v>0.45200000000000001</v>
      </c>
      <c r="Z165">
        <v>0.40500000000000003</v>
      </c>
      <c r="AA165">
        <v>0.39400000000000002</v>
      </c>
      <c r="AB165">
        <v>0.309</v>
      </c>
      <c r="AC165">
        <v>0.51400000000000001</v>
      </c>
      <c r="AD165">
        <v>0.495</v>
      </c>
      <c r="AE165">
        <v>0.39</v>
      </c>
      <c r="AF165">
        <v>0.35199999999999998</v>
      </c>
      <c r="AG165">
        <v>461.7</v>
      </c>
      <c r="AH165">
        <v>450.6</v>
      </c>
      <c r="AI165">
        <v>436</v>
      </c>
      <c r="AJ165">
        <v>442.4</v>
      </c>
      <c r="AK165">
        <v>449.4</v>
      </c>
      <c r="AL165">
        <v>456.6</v>
      </c>
      <c r="AM165" s="157">
        <v>456.2</v>
      </c>
      <c r="AN165" s="157">
        <v>443.5</v>
      </c>
      <c r="AO165" s="157">
        <v>442.7</v>
      </c>
      <c r="AP165" s="157">
        <v>439.7</v>
      </c>
    </row>
    <row r="166" spans="1:42" ht="14.7" customHeight="1">
      <c r="A166" s="181" t="s">
        <v>92</v>
      </c>
      <c r="B166" s="181"/>
      <c r="C166">
        <v>497.3</v>
      </c>
      <c r="D166">
        <v>472.9</v>
      </c>
      <c r="E166">
        <v>470.3</v>
      </c>
      <c r="F166">
        <v>452.9</v>
      </c>
      <c r="G166">
        <v>453.9</v>
      </c>
      <c r="H166">
        <v>442.4</v>
      </c>
      <c r="I166">
        <v>481.6</v>
      </c>
      <c r="J166">
        <v>482.9</v>
      </c>
      <c r="K166">
        <v>454.6</v>
      </c>
      <c r="L166">
        <v>465.9</v>
      </c>
      <c r="M166">
        <v>0.38600000000000001</v>
      </c>
      <c r="N166">
        <v>0.41599999999999998</v>
      </c>
      <c r="O166">
        <v>0.40799999999999997</v>
      </c>
      <c r="P166">
        <v>0.42499999999999999</v>
      </c>
      <c r="Q166">
        <v>0.42899999999999999</v>
      </c>
      <c r="R166">
        <v>0.44500000000000001</v>
      </c>
      <c r="S166">
        <v>0.38900000000000001</v>
      </c>
      <c r="T166">
        <v>0.35599999999999998</v>
      </c>
      <c r="U166">
        <v>0.36</v>
      </c>
      <c r="V166">
        <v>0.36499999999999999</v>
      </c>
      <c r="W166" t="s">
        <v>901</v>
      </c>
      <c r="X166" t="s">
        <v>901</v>
      </c>
      <c r="Y166" t="s">
        <v>901</v>
      </c>
      <c r="Z166" t="s">
        <v>901</v>
      </c>
      <c r="AA166" t="s">
        <v>901</v>
      </c>
      <c r="AB166" t="s">
        <v>901</v>
      </c>
      <c r="AC166" t="s">
        <v>901</v>
      </c>
      <c r="AD166" t="s">
        <v>901</v>
      </c>
      <c r="AE166" t="s">
        <v>910</v>
      </c>
      <c r="AF166">
        <v>0</v>
      </c>
      <c r="AG166">
        <v>349.3</v>
      </c>
      <c r="AH166">
        <v>353.2</v>
      </c>
      <c r="AI166">
        <v>355.1</v>
      </c>
      <c r="AJ166">
        <v>349.5</v>
      </c>
      <c r="AK166">
        <v>350.6</v>
      </c>
      <c r="AL166">
        <v>351.5</v>
      </c>
      <c r="AM166" s="157">
        <v>347.4</v>
      </c>
      <c r="AN166" s="157">
        <v>337</v>
      </c>
      <c r="AO166" s="157">
        <v>317.2</v>
      </c>
      <c r="AP166" s="157">
        <v>325</v>
      </c>
    </row>
    <row r="167" spans="1:42" ht="14.7" customHeight="1">
      <c r="A167" s="181" t="s">
        <v>235</v>
      </c>
      <c r="B167" s="181"/>
      <c r="C167">
        <v>615.4</v>
      </c>
      <c r="D167">
        <v>575.4</v>
      </c>
      <c r="E167">
        <v>540.4</v>
      </c>
      <c r="F167">
        <v>503.8</v>
      </c>
      <c r="G167">
        <v>510.3</v>
      </c>
      <c r="H167">
        <v>553.79999999999995</v>
      </c>
      <c r="I167">
        <v>561.20000000000005</v>
      </c>
      <c r="J167">
        <v>554.5</v>
      </c>
      <c r="K167">
        <v>515.20000000000005</v>
      </c>
      <c r="L167">
        <v>527.6</v>
      </c>
      <c r="M167">
        <v>0.34699999999999998</v>
      </c>
      <c r="N167">
        <v>0.374</v>
      </c>
      <c r="O167">
        <v>0.40300000000000002</v>
      </c>
      <c r="P167">
        <v>0.437</v>
      </c>
      <c r="Q167">
        <v>0.42899999999999999</v>
      </c>
      <c r="R167">
        <v>0.38400000000000001</v>
      </c>
      <c r="S167">
        <v>0.379</v>
      </c>
      <c r="T167">
        <v>0.38400000000000001</v>
      </c>
      <c r="U167">
        <v>0.38700000000000001</v>
      </c>
      <c r="V167">
        <v>0.38200000000000001</v>
      </c>
      <c r="W167">
        <v>0.66100000000000003</v>
      </c>
      <c r="X167">
        <v>0.621</v>
      </c>
      <c r="Y167">
        <v>0.55500000000000005</v>
      </c>
      <c r="Z167">
        <v>0.48899999999999999</v>
      </c>
      <c r="AA167">
        <v>0.46</v>
      </c>
      <c r="AB167">
        <v>0.25800000000000001</v>
      </c>
      <c r="AC167">
        <v>0.111</v>
      </c>
      <c r="AD167">
        <v>8.4000000000000005E-2</v>
      </c>
      <c r="AE167">
        <v>3.3000000000000002E-2</v>
      </c>
      <c r="AF167">
        <v>8.0000000000000002E-3</v>
      </c>
      <c r="AG167">
        <v>411.9</v>
      </c>
      <c r="AH167">
        <v>388</v>
      </c>
      <c r="AI167">
        <v>407.3</v>
      </c>
      <c r="AJ167">
        <v>401.2</v>
      </c>
      <c r="AK167">
        <v>398.7</v>
      </c>
      <c r="AL167">
        <v>396.6</v>
      </c>
      <c r="AM167" s="157">
        <v>398.2</v>
      </c>
      <c r="AN167" s="157">
        <v>398.7</v>
      </c>
      <c r="AO167" s="157">
        <v>370.7</v>
      </c>
      <c r="AP167" s="157">
        <v>378.8</v>
      </c>
    </row>
    <row r="168" spans="1:42" ht="14.7" customHeight="1">
      <c r="A168" s="181" t="s">
        <v>272</v>
      </c>
      <c r="B168" s="181"/>
      <c r="C168">
        <v>533.1</v>
      </c>
      <c r="D168">
        <v>497.7</v>
      </c>
      <c r="E168">
        <v>497.5</v>
      </c>
      <c r="F168">
        <v>488.6</v>
      </c>
      <c r="G168">
        <v>579.20000000000005</v>
      </c>
      <c r="H168">
        <v>524.5</v>
      </c>
      <c r="I168">
        <v>547.4</v>
      </c>
      <c r="J168">
        <v>590.9</v>
      </c>
      <c r="K168">
        <v>557.5</v>
      </c>
      <c r="L168">
        <v>522.1</v>
      </c>
      <c r="M168">
        <v>0.40500000000000003</v>
      </c>
      <c r="N168">
        <v>0.41899999999999998</v>
      </c>
      <c r="O168">
        <v>0.41499999999999998</v>
      </c>
      <c r="P168">
        <v>0.43</v>
      </c>
      <c r="Q168">
        <v>0.34599999999999997</v>
      </c>
      <c r="R168">
        <v>0.41599999999999998</v>
      </c>
      <c r="S168">
        <v>0.40699999999999997</v>
      </c>
      <c r="T168">
        <v>0.35299999999999998</v>
      </c>
      <c r="U168">
        <v>0.39200000000000002</v>
      </c>
      <c r="V168">
        <v>0.42899999999999999</v>
      </c>
      <c r="W168">
        <v>0.497</v>
      </c>
      <c r="X168">
        <v>0.27100000000000002</v>
      </c>
      <c r="Y168">
        <v>0.28399999999999997</v>
      </c>
      <c r="Z168">
        <v>0.24099999999999999</v>
      </c>
      <c r="AA168">
        <v>0.217</v>
      </c>
      <c r="AB168">
        <v>0.26700000000000002</v>
      </c>
      <c r="AC168">
        <v>0.32700000000000001</v>
      </c>
      <c r="AD168">
        <v>0.36899999999999999</v>
      </c>
      <c r="AE168">
        <v>0.25800000000000001</v>
      </c>
      <c r="AF168">
        <v>0.28499999999999998</v>
      </c>
      <c r="AG168">
        <v>385.2</v>
      </c>
      <c r="AH168">
        <v>359.1</v>
      </c>
      <c r="AI168">
        <v>334.3</v>
      </c>
      <c r="AJ168">
        <v>338.4</v>
      </c>
      <c r="AK168">
        <v>348.3</v>
      </c>
      <c r="AL168">
        <v>346.1</v>
      </c>
      <c r="AM168" s="157">
        <v>352.5</v>
      </c>
      <c r="AN168" s="157">
        <v>348.1</v>
      </c>
      <c r="AO168" s="157">
        <v>354</v>
      </c>
      <c r="AP168" s="157">
        <v>357.3</v>
      </c>
    </row>
    <row r="169" spans="1:42" ht="14.7" customHeight="1">
      <c r="A169" s="181" t="s">
        <v>318</v>
      </c>
      <c r="B169" s="181"/>
      <c r="C169">
        <v>526.79999999999995</v>
      </c>
      <c r="D169">
        <v>483.9</v>
      </c>
      <c r="E169">
        <v>492.7</v>
      </c>
      <c r="F169">
        <v>521.9</v>
      </c>
      <c r="G169">
        <v>546.29999999999995</v>
      </c>
      <c r="H169">
        <v>559.9</v>
      </c>
      <c r="I169">
        <v>550.5</v>
      </c>
      <c r="J169">
        <v>569.9</v>
      </c>
      <c r="K169">
        <v>564</v>
      </c>
      <c r="L169">
        <v>562.4</v>
      </c>
      <c r="M169">
        <v>0.54</v>
      </c>
      <c r="N169">
        <v>0.56200000000000006</v>
      </c>
      <c r="O169">
        <v>0.55500000000000005</v>
      </c>
      <c r="P169">
        <v>0.53</v>
      </c>
      <c r="Q169">
        <v>0.505</v>
      </c>
      <c r="R169">
        <v>0.497</v>
      </c>
      <c r="S169">
        <v>0.497</v>
      </c>
      <c r="T169">
        <v>0.45800000000000002</v>
      </c>
      <c r="U169">
        <v>0.45300000000000001</v>
      </c>
      <c r="V169">
        <v>0.45500000000000002</v>
      </c>
      <c r="W169">
        <v>0.41899999999999998</v>
      </c>
      <c r="X169">
        <v>0.32300000000000001</v>
      </c>
      <c r="Y169">
        <v>0.315</v>
      </c>
      <c r="Z169">
        <v>0.314</v>
      </c>
      <c r="AA169">
        <v>0.28999999999999998</v>
      </c>
      <c r="AB169">
        <v>0.27600000000000002</v>
      </c>
      <c r="AC169">
        <v>0.29899999999999999</v>
      </c>
      <c r="AD169">
        <v>0.33600000000000002</v>
      </c>
      <c r="AE169">
        <v>0.33800000000000002</v>
      </c>
      <c r="AF169">
        <v>0.32200000000000001</v>
      </c>
      <c r="AG169">
        <v>488.7</v>
      </c>
      <c r="AH169">
        <v>470.5</v>
      </c>
      <c r="AI169">
        <v>470.9</v>
      </c>
      <c r="AJ169">
        <v>472.8</v>
      </c>
      <c r="AK169">
        <v>467.5</v>
      </c>
      <c r="AL169">
        <v>465.5</v>
      </c>
      <c r="AM169" s="157">
        <v>459.2</v>
      </c>
      <c r="AN169" s="157">
        <v>443</v>
      </c>
      <c r="AO169" s="157">
        <v>435.1</v>
      </c>
      <c r="AP169" s="157">
        <v>436</v>
      </c>
    </row>
    <row r="170" spans="1:42" ht="14.7" customHeight="1">
      <c r="A170" s="181" t="s">
        <v>93</v>
      </c>
      <c r="B170" s="181"/>
      <c r="C170">
        <v>526.6</v>
      </c>
      <c r="D170">
        <v>503.4</v>
      </c>
      <c r="E170">
        <v>508.8</v>
      </c>
      <c r="F170">
        <v>499.9</v>
      </c>
      <c r="G170">
        <v>506.5</v>
      </c>
      <c r="H170">
        <v>511.8</v>
      </c>
      <c r="I170">
        <v>489.8</v>
      </c>
      <c r="J170">
        <v>502.1</v>
      </c>
      <c r="K170">
        <v>384.1</v>
      </c>
      <c r="L170">
        <v>398.6</v>
      </c>
      <c r="M170">
        <v>0.23100000000000001</v>
      </c>
      <c r="N170">
        <v>0.23499999999999999</v>
      </c>
      <c r="O170">
        <v>0.223</v>
      </c>
      <c r="P170">
        <v>0.25</v>
      </c>
      <c r="Q170">
        <v>0.246</v>
      </c>
      <c r="R170">
        <v>0.215</v>
      </c>
      <c r="S170">
        <v>0.251</v>
      </c>
      <c r="T170">
        <v>0.26700000000000002</v>
      </c>
      <c r="U170">
        <v>0.39700000000000002</v>
      </c>
      <c r="V170">
        <v>0.39600000000000002</v>
      </c>
      <c r="W170" t="s">
        <v>901</v>
      </c>
      <c r="X170" t="s">
        <v>901</v>
      </c>
      <c r="Y170" t="s">
        <v>901</v>
      </c>
      <c r="Z170" t="s">
        <v>901</v>
      </c>
      <c r="AA170" t="s">
        <v>901</v>
      </c>
      <c r="AB170" t="s">
        <v>901</v>
      </c>
      <c r="AC170" t="s">
        <v>901</v>
      </c>
      <c r="AD170" t="s">
        <v>901</v>
      </c>
      <c r="AE170" t="s">
        <v>910</v>
      </c>
      <c r="AF170">
        <v>0</v>
      </c>
      <c r="AG170">
        <v>312</v>
      </c>
      <c r="AH170">
        <v>294</v>
      </c>
      <c r="AI170">
        <v>292.8</v>
      </c>
      <c r="AJ170">
        <v>295.89999999999998</v>
      </c>
      <c r="AK170">
        <v>296.7</v>
      </c>
      <c r="AL170">
        <v>286</v>
      </c>
      <c r="AM170" s="157">
        <v>286.2</v>
      </c>
      <c r="AN170" s="157">
        <v>299.5</v>
      </c>
      <c r="AO170" s="157">
        <v>278</v>
      </c>
      <c r="AP170" s="157">
        <v>288.39999999999998</v>
      </c>
    </row>
    <row r="171" spans="1:42" ht="14.7" customHeight="1">
      <c r="A171" s="181" t="s">
        <v>214</v>
      </c>
      <c r="B171" s="181"/>
      <c r="C171">
        <v>762</v>
      </c>
      <c r="D171">
        <v>768</v>
      </c>
      <c r="E171">
        <v>734.7</v>
      </c>
      <c r="F171">
        <v>725.3</v>
      </c>
      <c r="G171">
        <v>732.4</v>
      </c>
      <c r="H171">
        <v>698.4</v>
      </c>
      <c r="I171">
        <v>668.3</v>
      </c>
      <c r="J171">
        <v>616.29999999999995</v>
      </c>
      <c r="K171">
        <v>546.20000000000005</v>
      </c>
      <c r="L171">
        <v>557.29999999999995</v>
      </c>
      <c r="M171">
        <v>0.18099999999999999</v>
      </c>
      <c r="N171">
        <v>0.17199999999999999</v>
      </c>
      <c r="O171">
        <v>0.2</v>
      </c>
      <c r="P171">
        <v>0.17699999999999999</v>
      </c>
      <c r="Q171">
        <v>0.17100000000000001</v>
      </c>
      <c r="R171">
        <v>0.18</v>
      </c>
      <c r="S171">
        <v>0.17699999999999999</v>
      </c>
      <c r="T171">
        <v>0.218</v>
      </c>
      <c r="U171">
        <v>0.28000000000000003</v>
      </c>
      <c r="V171">
        <v>0.26600000000000001</v>
      </c>
      <c r="W171">
        <v>9.7000000000000003E-2</v>
      </c>
      <c r="X171">
        <v>9.4E-2</v>
      </c>
      <c r="Y171">
        <v>8.5999999999999993E-2</v>
      </c>
      <c r="Z171">
        <v>7.9000000000000001E-2</v>
      </c>
      <c r="AA171">
        <v>3.0000000000000001E-3</v>
      </c>
      <c r="AB171">
        <v>6.0000000000000001E-3</v>
      </c>
      <c r="AC171">
        <v>7.0000000000000001E-3</v>
      </c>
      <c r="AD171">
        <v>4.0000000000000001E-3</v>
      </c>
      <c r="AE171">
        <v>3.0000000000000001E-3</v>
      </c>
      <c r="AF171">
        <v>0</v>
      </c>
      <c r="AG171">
        <v>419.6</v>
      </c>
      <c r="AH171">
        <v>410.1</v>
      </c>
      <c r="AI171">
        <v>396.5</v>
      </c>
      <c r="AJ171">
        <v>377</v>
      </c>
      <c r="AK171">
        <v>373.5</v>
      </c>
      <c r="AL171">
        <v>349.2</v>
      </c>
      <c r="AM171" s="157">
        <v>333.6</v>
      </c>
      <c r="AN171" s="157">
        <v>328.7</v>
      </c>
      <c r="AO171" s="157">
        <v>317.5</v>
      </c>
      <c r="AP171" s="157">
        <v>319.89999999999998</v>
      </c>
    </row>
    <row r="172" spans="1:42" ht="14.7" customHeight="1">
      <c r="A172" s="181" t="s">
        <v>94</v>
      </c>
      <c r="B172" s="181"/>
      <c r="C172">
        <v>433.8</v>
      </c>
      <c r="D172">
        <v>423.9</v>
      </c>
      <c r="E172">
        <v>410.6</v>
      </c>
      <c r="F172">
        <v>407.5</v>
      </c>
      <c r="G172">
        <v>451.5</v>
      </c>
      <c r="H172">
        <v>487</v>
      </c>
      <c r="I172">
        <v>484.5</v>
      </c>
      <c r="J172">
        <v>481</v>
      </c>
      <c r="K172">
        <v>497.6</v>
      </c>
      <c r="L172">
        <v>471.8</v>
      </c>
      <c r="M172">
        <v>0.56599999999999995</v>
      </c>
      <c r="N172">
        <v>0.56599999999999995</v>
      </c>
      <c r="O172">
        <v>0.57799999999999996</v>
      </c>
      <c r="P172">
        <v>0.58099999999999996</v>
      </c>
      <c r="Q172">
        <v>0.54600000000000004</v>
      </c>
      <c r="R172">
        <v>0.50700000000000001</v>
      </c>
      <c r="S172">
        <v>0.52300000000000002</v>
      </c>
      <c r="T172">
        <v>0.504</v>
      </c>
      <c r="U172">
        <v>0.45</v>
      </c>
      <c r="V172">
        <v>0.48399999999999999</v>
      </c>
      <c r="W172" t="s">
        <v>901</v>
      </c>
      <c r="X172" t="s">
        <v>901</v>
      </c>
      <c r="Y172" t="s">
        <v>901</v>
      </c>
      <c r="Z172" t="s">
        <v>901</v>
      </c>
      <c r="AA172" t="s">
        <v>901</v>
      </c>
      <c r="AB172" t="s">
        <v>901</v>
      </c>
      <c r="AC172" t="s">
        <v>901</v>
      </c>
      <c r="AD172" t="s">
        <v>901</v>
      </c>
      <c r="AE172" t="s">
        <v>910</v>
      </c>
      <c r="AF172">
        <v>0</v>
      </c>
      <c r="AG172">
        <v>438.8</v>
      </c>
      <c r="AH172">
        <v>426</v>
      </c>
      <c r="AI172">
        <v>417.7</v>
      </c>
      <c r="AJ172">
        <v>418.8</v>
      </c>
      <c r="AK172">
        <v>426.3</v>
      </c>
      <c r="AL172">
        <v>421.3</v>
      </c>
      <c r="AM172" s="157">
        <v>433.8</v>
      </c>
      <c r="AN172" s="157">
        <v>415.3</v>
      </c>
      <c r="AO172" s="157">
        <v>391.5</v>
      </c>
      <c r="AP172" s="157">
        <v>398.6</v>
      </c>
    </row>
    <row r="173" spans="1:42" ht="14.7" customHeight="1">
      <c r="A173" s="181" t="s">
        <v>95</v>
      </c>
      <c r="B173" s="181"/>
      <c r="C173">
        <v>470.9</v>
      </c>
      <c r="D173">
        <v>472.6</v>
      </c>
      <c r="E173">
        <v>481.7</v>
      </c>
      <c r="F173">
        <v>488.2</v>
      </c>
      <c r="G173">
        <v>488.1</v>
      </c>
      <c r="H173">
        <v>520.9</v>
      </c>
      <c r="I173">
        <v>525.4</v>
      </c>
      <c r="J173">
        <v>507.2</v>
      </c>
      <c r="K173">
        <v>516.6</v>
      </c>
      <c r="L173">
        <v>507.5</v>
      </c>
      <c r="M173">
        <v>0.46</v>
      </c>
      <c r="N173">
        <v>0.44500000000000001</v>
      </c>
      <c r="O173">
        <v>0.441</v>
      </c>
      <c r="P173">
        <v>0.42199999999999999</v>
      </c>
      <c r="Q173">
        <v>0.40699999999999997</v>
      </c>
      <c r="R173">
        <v>0.35799999999999998</v>
      </c>
      <c r="S173">
        <v>0.36199999999999999</v>
      </c>
      <c r="T173">
        <v>0.35099999999999998</v>
      </c>
      <c r="U173">
        <v>0.33500000000000002</v>
      </c>
      <c r="V173">
        <v>0.34100000000000003</v>
      </c>
      <c r="W173" t="s">
        <v>901</v>
      </c>
      <c r="X173" t="s">
        <v>901</v>
      </c>
      <c r="Y173" t="s">
        <v>901</v>
      </c>
      <c r="Z173" t="s">
        <v>901</v>
      </c>
      <c r="AA173" t="s">
        <v>901</v>
      </c>
      <c r="AB173" t="s">
        <v>901</v>
      </c>
      <c r="AC173" t="s">
        <v>901</v>
      </c>
      <c r="AD173" t="s">
        <v>901</v>
      </c>
      <c r="AE173" t="s">
        <v>910</v>
      </c>
      <c r="AF173">
        <v>0</v>
      </c>
      <c r="AG173">
        <v>425.6</v>
      </c>
      <c r="AH173">
        <v>411.9</v>
      </c>
      <c r="AI173">
        <v>402.7</v>
      </c>
      <c r="AJ173">
        <v>393.7</v>
      </c>
      <c r="AK173">
        <v>381</v>
      </c>
      <c r="AL173">
        <v>371.2</v>
      </c>
      <c r="AM173" s="157">
        <v>376.3</v>
      </c>
      <c r="AN173" s="157">
        <v>359.3</v>
      </c>
      <c r="AO173" s="157">
        <v>356.5</v>
      </c>
      <c r="AP173" s="157">
        <v>356.8</v>
      </c>
    </row>
    <row r="174" spans="1:42" ht="14.7" customHeight="1">
      <c r="A174" s="181" t="s">
        <v>319</v>
      </c>
      <c r="B174" s="181"/>
      <c r="C174">
        <v>496.8</v>
      </c>
      <c r="D174">
        <v>486.7</v>
      </c>
      <c r="E174">
        <v>496.7</v>
      </c>
      <c r="F174">
        <v>511.4</v>
      </c>
      <c r="G174">
        <v>522</v>
      </c>
      <c r="H174">
        <v>547.6</v>
      </c>
      <c r="I174">
        <v>561.9</v>
      </c>
      <c r="J174">
        <v>578</v>
      </c>
      <c r="K174">
        <v>585.1</v>
      </c>
      <c r="L174">
        <v>568.20000000000005</v>
      </c>
      <c r="M174">
        <v>0.52900000000000003</v>
      </c>
      <c r="N174">
        <v>0.52800000000000002</v>
      </c>
      <c r="O174">
        <v>0.51300000000000001</v>
      </c>
      <c r="P174">
        <v>0.496</v>
      </c>
      <c r="Q174">
        <v>0.496</v>
      </c>
      <c r="R174">
        <v>0.47</v>
      </c>
      <c r="S174">
        <v>0.46700000000000003</v>
      </c>
      <c r="T174">
        <v>0.435</v>
      </c>
      <c r="U174">
        <v>0.41899999999999998</v>
      </c>
      <c r="V174">
        <v>0.438</v>
      </c>
      <c r="W174">
        <v>0.46800000000000003</v>
      </c>
      <c r="X174">
        <v>0.46400000000000002</v>
      </c>
      <c r="Y174">
        <v>0.47099999999999997</v>
      </c>
      <c r="Z174">
        <v>0.252</v>
      </c>
      <c r="AA174">
        <v>4.1000000000000002E-2</v>
      </c>
      <c r="AB174">
        <v>3.5999999999999997E-2</v>
      </c>
      <c r="AC174">
        <v>0.04</v>
      </c>
      <c r="AD174">
        <v>3.7999999999999999E-2</v>
      </c>
      <c r="AE174">
        <v>4.1000000000000002E-2</v>
      </c>
      <c r="AF174">
        <v>3.2000000000000001E-2</v>
      </c>
      <c r="AG174">
        <v>491.9</v>
      </c>
      <c r="AH174">
        <v>477.4</v>
      </c>
      <c r="AI174">
        <v>467.4</v>
      </c>
      <c r="AJ174">
        <v>464.7</v>
      </c>
      <c r="AK174">
        <v>472.6</v>
      </c>
      <c r="AL174">
        <v>465.9</v>
      </c>
      <c r="AM174" s="157">
        <v>475.6</v>
      </c>
      <c r="AN174" s="157">
        <v>460.5</v>
      </c>
      <c r="AO174" s="157">
        <v>455.3</v>
      </c>
      <c r="AP174" s="157">
        <v>458.8</v>
      </c>
    </row>
    <row r="175" spans="1:42" ht="14.7" customHeight="1">
      <c r="A175" s="181" t="s">
        <v>236</v>
      </c>
      <c r="B175" s="181"/>
      <c r="C175">
        <v>654.20000000000005</v>
      </c>
      <c r="D175">
        <v>629.1</v>
      </c>
      <c r="E175">
        <v>631.1</v>
      </c>
      <c r="F175">
        <v>592.79999999999995</v>
      </c>
      <c r="G175">
        <v>561.4</v>
      </c>
      <c r="H175">
        <v>564.1</v>
      </c>
      <c r="I175">
        <v>574.9</v>
      </c>
      <c r="J175">
        <v>539.9</v>
      </c>
      <c r="K175">
        <v>572.1</v>
      </c>
      <c r="L175">
        <v>583.29999999999995</v>
      </c>
      <c r="M175">
        <v>0.26800000000000002</v>
      </c>
      <c r="N175">
        <v>0.26200000000000001</v>
      </c>
      <c r="O175">
        <v>0.247</v>
      </c>
      <c r="P175">
        <v>0.26700000000000002</v>
      </c>
      <c r="Q175">
        <v>0.29599999999999999</v>
      </c>
      <c r="R175">
        <v>0.29199999999999998</v>
      </c>
      <c r="S175">
        <v>0.28100000000000003</v>
      </c>
      <c r="T175">
        <v>0.26600000000000001</v>
      </c>
      <c r="U175">
        <v>0.23599999999999999</v>
      </c>
      <c r="V175">
        <v>0.23599999999999999</v>
      </c>
      <c r="W175" t="s">
        <v>901</v>
      </c>
      <c r="X175" t="s">
        <v>901</v>
      </c>
      <c r="Y175" t="s">
        <v>901</v>
      </c>
      <c r="Z175" t="s">
        <v>901</v>
      </c>
      <c r="AA175" t="s">
        <v>901</v>
      </c>
      <c r="AB175" t="s">
        <v>901</v>
      </c>
      <c r="AC175" t="s">
        <v>901</v>
      </c>
      <c r="AD175" t="s">
        <v>901</v>
      </c>
      <c r="AE175" t="s">
        <v>910</v>
      </c>
      <c r="AF175">
        <v>0</v>
      </c>
      <c r="AG175">
        <v>437.9</v>
      </c>
      <c r="AH175">
        <v>412.2</v>
      </c>
      <c r="AI175">
        <v>388.5</v>
      </c>
      <c r="AJ175">
        <v>373.9</v>
      </c>
      <c r="AK175">
        <v>366.2</v>
      </c>
      <c r="AL175">
        <v>363.7</v>
      </c>
      <c r="AM175" s="157">
        <v>364.9</v>
      </c>
      <c r="AN175" s="157">
        <v>335.3</v>
      </c>
      <c r="AO175" s="157">
        <v>343.6</v>
      </c>
      <c r="AP175" s="157">
        <v>351.5</v>
      </c>
    </row>
    <row r="176" spans="1:42" ht="14.7" customHeight="1">
      <c r="A176" s="181" t="s">
        <v>273</v>
      </c>
      <c r="B176" s="181"/>
      <c r="C176">
        <v>711.1</v>
      </c>
      <c r="D176">
        <v>702.5</v>
      </c>
      <c r="E176">
        <v>687.4</v>
      </c>
      <c r="F176">
        <v>690.9</v>
      </c>
      <c r="G176">
        <v>681.4</v>
      </c>
      <c r="H176">
        <v>693.8</v>
      </c>
      <c r="I176">
        <v>689.1</v>
      </c>
      <c r="J176">
        <v>665.6</v>
      </c>
      <c r="K176">
        <v>632.5</v>
      </c>
      <c r="L176">
        <v>587.6</v>
      </c>
      <c r="M176">
        <v>0.35</v>
      </c>
      <c r="N176">
        <v>0.32500000000000001</v>
      </c>
      <c r="O176">
        <v>0.33600000000000002</v>
      </c>
      <c r="P176">
        <v>0.33300000000000002</v>
      </c>
      <c r="Q176">
        <v>0.34399999999999997</v>
      </c>
      <c r="R176">
        <v>0.33200000000000002</v>
      </c>
      <c r="S176">
        <v>0.33800000000000002</v>
      </c>
      <c r="T176">
        <v>0.33200000000000002</v>
      </c>
      <c r="U176">
        <v>0.34799999999999998</v>
      </c>
      <c r="V176">
        <v>0.36299999999999999</v>
      </c>
      <c r="W176">
        <v>0.499</v>
      </c>
      <c r="X176">
        <v>0.51400000000000001</v>
      </c>
      <c r="Y176">
        <v>0.626</v>
      </c>
      <c r="Z176">
        <v>0.64700000000000002</v>
      </c>
      <c r="AA176">
        <v>0.51200000000000001</v>
      </c>
      <c r="AB176">
        <v>0.39900000000000002</v>
      </c>
      <c r="AC176">
        <v>0.10199999999999999</v>
      </c>
      <c r="AD176">
        <v>0.13900000000000001</v>
      </c>
      <c r="AE176">
        <v>0.152</v>
      </c>
      <c r="AF176">
        <v>0.158</v>
      </c>
      <c r="AG176">
        <v>435.9</v>
      </c>
      <c r="AH176">
        <v>404.7</v>
      </c>
      <c r="AI176">
        <v>393.1</v>
      </c>
      <c r="AJ176">
        <v>388.5</v>
      </c>
      <c r="AK176">
        <v>385.9</v>
      </c>
      <c r="AL176">
        <v>376.8</v>
      </c>
      <c r="AM176" s="157">
        <v>378.2</v>
      </c>
      <c r="AN176" s="157">
        <v>369.2</v>
      </c>
      <c r="AO176" s="157">
        <v>361.2</v>
      </c>
      <c r="AP176" s="157">
        <v>350</v>
      </c>
    </row>
    <row r="177" spans="1:42" ht="14.7" customHeight="1">
      <c r="A177" s="181" t="s">
        <v>96</v>
      </c>
      <c r="B177" s="181"/>
      <c r="C177">
        <v>591.5</v>
      </c>
      <c r="D177">
        <v>441.6</v>
      </c>
      <c r="E177">
        <v>424.5</v>
      </c>
      <c r="F177">
        <v>443.4</v>
      </c>
      <c r="G177">
        <v>424.2</v>
      </c>
      <c r="H177">
        <v>441.5</v>
      </c>
      <c r="I177">
        <v>420.7</v>
      </c>
      <c r="J177">
        <v>403.6</v>
      </c>
      <c r="K177">
        <v>403.3</v>
      </c>
      <c r="L177">
        <v>410</v>
      </c>
      <c r="M177">
        <v>0.32200000000000001</v>
      </c>
      <c r="N177">
        <v>0.44600000000000001</v>
      </c>
      <c r="O177">
        <v>0.45400000000000001</v>
      </c>
      <c r="P177">
        <v>0.46600000000000003</v>
      </c>
      <c r="Q177">
        <v>0.49099999999999999</v>
      </c>
      <c r="R177">
        <v>0.47799999999999998</v>
      </c>
      <c r="S177">
        <v>0.499</v>
      </c>
      <c r="T177">
        <v>0.51100000000000001</v>
      </c>
      <c r="U177">
        <v>0.51400000000000001</v>
      </c>
      <c r="V177">
        <v>0.49199999999999999</v>
      </c>
      <c r="W177" t="s">
        <v>901</v>
      </c>
      <c r="X177" t="s">
        <v>901</v>
      </c>
      <c r="Y177" t="s">
        <v>901</v>
      </c>
      <c r="Z177" t="s">
        <v>901</v>
      </c>
      <c r="AA177" t="s">
        <v>901</v>
      </c>
      <c r="AB177" t="s">
        <v>901</v>
      </c>
      <c r="AC177" t="s">
        <v>901</v>
      </c>
      <c r="AD177" t="s">
        <v>901</v>
      </c>
      <c r="AE177" t="s">
        <v>910</v>
      </c>
      <c r="AF177">
        <v>0</v>
      </c>
      <c r="AG177">
        <v>391.7</v>
      </c>
      <c r="AH177">
        <v>350.5</v>
      </c>
      <c r="AI177">
        <v>332.2</v>
      </c>
      <c r="AJ177">
        <v>352.2</v>
      </c>
      <c r="AK177">
        <v>351.6</v>
      </c>
      <c r="AL177">
        <v>346.7</v>
      </c>
      <c r="AM177" s="157">
        <v>343.5</v>
      </c>
      <c r="AN177" s="157">
        <v>340.7</v>
      </c>
      <c r="AO177" s="157">
        <v>343.6</v>
      </c>
      <c r="AP177" s="157">
        <v>335.6</v>
      </c>
    </row>
    <row r="178" spans="1:42" ht="14.7" customHeight="1">
      <c r="A178" s="181" t="s">
        <v>97</v>
      </c>
      <c r="B178" s="181"/>
      <c r="C178">
        <v>520.5</v>
      </c>
      <c r="D178">
        <v>505.9</v>
      </c>
      <c r="E178">
        <v>429</v>
      </c>
      <c r="F178">
        <v>450.8</v>
      </c>
      <c r="G178">
        <v>455.3</v>
      </c>
      <c r="H178">
        <v>448.4</v>
      </c>
      <c r="I178">
        <v>343.5</v>
      </c>
      <c r="J178">
        <v>331.6</v>
      </c>
      <c r="K178">
        <v>335.3</v>
      </c>
      <c r="L178">
        <v>336.8</v>
      </c>
      <c r="M178">
        <v>0.37</v>
      </c>
      <c r="N178">
        <v>0.37</v>
      </c>
      <c r="O178">
        <v>0.47</v>
      </c>
      <c r="P178">
        <v>0.46200000000000002</v>
      </c>
      <c r="Q178">
        <v>0.46100000000000002</v>
      </c>
      <c r="R178">
        <v>0.47</v>
      </c>
      <c r="S178">
        <v>0.57999999999999996</v>
      </c>
      <c r="T178">
        <v>0.59299999999999997</v>
      </c>
      <c r="U178">
        <v>0.59399999999999997</v>
      </c>
      <c r="V178">
        <v>0.58899999999999997</v>
      </c>
      <c r="W178" t="s">
        <v>901</v>
      </c>
      <c r="X178" t="s">
        <v>901</v>
      </c>
      <c r="Y178" t="s">
        <v>901</v>
      </c>
      <c r="Z178" t="s">
        <v>901</v>
      </c>
      <c r="AA178" t="s">
        <v>901</v>
      </c>
      <c r="AB178" t="s">
        <v>901</v>
      </c>
      <c r="AC178" t="s">
        <v>901</v>
      </c>
      <c r="AD178" t="s">
        <v>901</v>
      </c>
      <c r="AE178" t="s">
        <v>910</v>
      </c>
      <c r="AF178">
        <v>0</v>
      </c>
      <c r="AG178">
        <v>355.4</v>
      </c>
      <c r="AH178">
        <v>343</v>
      </c>
      <c r="AI178">
        <v>354.3</v>
      </c>
      <c r="AJ178">
        <v>367.3</v>
      </c>
      <c r="AK178">
        <v>368.9</v>
      </c>
      <c r="AL178">
        <v>366.8</v>
      </c>
      <c r="AM178" s="157">
        <v>354.1</v>
      </c>
      <c r="AN178" s="157">
        <v>352.6</v>
      </c>
      <c r="AO178" s="157">
        <v>357.6</v>
      </c>
      <c r="AP178" s="157">
        <v>355.8</v>
      </c>
    </row>
    <row r="179" spans="1:42" ht="14.7" customHeight="1">
      <c r="A179" s="181" t="s">
        <v>98</v>
      </c>
      <c r="B179" s="181"/>
      <c r="C179">
        <v>463</v>
      </c>
      <c r="D179">
        <v>467.5</v>
      </c>
      <c r="E179">
        <v>464.3</v>
      </c>
      <c r="F179">
        <v>462</v>
      </c>
      <c r="G179">
        <v>445.7</v>
      </c>
      <c r="H179">
        <v>442.8</v>
      </c>
      <c r="I179">
        <v>452.8</v>
      </c>
      <c r="J179">
        <v>449.6</v>
      </c>
      <c r="K179">
        <v>401.5</v>
      </c>
      <c r="L179">
        <v>425.1</v>
      </c>
      <c r="M179">
        <v>0.317</v>
      </c>
      <c r="N179">
        <v>0.313</v>
      </c>
      <c r="O179">
        <v>0.314</v>
      </c>
      <c r="P179">
        <v>0.34399999999999997</v>
      </c>
      <c r="Q179">
        <v>0.38100000000000001</v>
      </c>
      <c r="R179">
        <v>0.38300000000000001</v>
      </c>
      <c r="S179">
        <v>0.377</v>
      </c>
      <c r="T179">
        <v>0.372</v>
      </c>
      <c r="U179">
        <v>0.40500000000000003</v>
      </c>
      <c r="V179">
        <v>0.39800000000000002</v>
      </c>
      <c r="W179" t="s">
        <v>901</v>
      </c>
      <c r="X179" t="s">
        <v>901</v>
      </c>
      <c r="Y179" t="s">
        <v>901</v>
      </c>
      <c r="Z179" t="s">
        <v>901</v>
      </c>
      <c r="AA179" t="s">
        <v>901</v>
      </c>
      <c r="AB179" t="s">
        <v>901</v>
      </c>
      <c r="AC179" t="s">
        <v>901</v>
      </c>
      <c r="AD179" t="s">
        <v>901</v>
      </c>
      <c r="AE179" t="s">
        <v>910</v>
      </c>
      <c r="AF179">
        <v>0</v>
      </c>
      <c r="AG179">
        <v>304.8</v>
      </c>
      <c r="AH179">
        <v>304.89999999999998</v>
      </c>
      <c r="AI179">
        <v>307.8</v>
      </c>
      <c r="AJ179">
        <v>321</v>
      </c>
      <c r="AK179">
        <v>327.10000000000002</v>
      </c>
      <c r="AL179">
        <v>326.3</v>
      </c>
      <c r="AM179" s="157">
        <v>331.1</v>
      </c>
      <c r="AN179" s="157">
        <v>324.8</v>
      </c>
      <c r="AO179" s="157">
        <v>305.89999999999998</v>
      </c>
      <c r="AP179" s="157">
        <v>321</v>
      </c>
    </row>
    <row r="180" spans="1:42" ht="14.7" customHeight="1">
      <c r="A180" s="181" t="s">
        <v>237</v>
      </c>
      <c r="B180" s="181"/>
      <c r="C180">
        <v>631.4</v>
      </c>
      <c r="D180">
        <v>517.9</v>
      </c>
      <c r="E180">
        <v>480.7</v>
      </c>
      <c r="F180">
        <v>485.2</v>
      </c>
      <c r="G180">
        <v>502.5</v>
      </c>
      <c r="H180">
        <v>519</v>
      </c>
      <c r="I180">
        <v>470.9</v>
      </c>
      <c r="J180">
        <v>437.9</v>
      </c>
      <c r="K180">
        <v>408.6</v>
      </c>
      <c r="L180">
        <v>412.6</v>
      </c>
      <c r="M180">
        <v>0.25800000000000001</v>
      </c>
      <c r="N180">
        <v>0.34</v>
      </c>
      <c r="O180">
        <v>0.36799999999999999</v>
      </c>
      <c r="P180">
        <v>0.34899999999999998</v>
      </c>
      <c r="Q180">
        <v>0.32800000000000001</v>
      </c>
      <c r="R180">
        <v>0.31900000000000001</v>
      </c>
      <c r="S180">
        <v>0.36</v>
      </c>
      <c r="T180">
        <v>0.38600000000000001</v>
      </c>
      <c r="U180">
        <v>0.40100000000000002</v>
      </c>
      <c r="V180">
        <v>0.40400000000000003</v>
      </c>
      <c r="W180" t="s">
        <v>901</v>
      </c>
      <c r="X180" t="s">
        <v>901</v>
      </c>
      <c r="Y180" t="s">
        <v>901</v>
      </c>
      <c r="Z180" t="s">
        <v>901</v>
      </c>
      <c r="AA180" t="s">
        <v>901</v>
      </c>
      <c r="AB180" t="s">
        <v>901</v>
      </c>
      <c r="AC180" t="s">
        <v>901</v>
      </c>
      <c r="AD180" t="s">
        <v>901</v>
      </c>
      <c r="AE180" t="s">
        <v>910</v>
      </c>
      <c r="AF180">
        <v>0</v>
      </c>
      <c r="AG180">
        <v>399.7</v>
      </c>
      <c r="AH180">
        <v>344.9</v>
      </c>
      <c r="AI180">
        <v>333.1</v>
      </c>
      <c r="AJ180">
        <v>322.89999999999998</v>
      </c>
      <c r="AK180">
        <v>317.89999999999998</v>
      </c>
      <c r="AL180">
        <v>319.2</v>
      </c>
      <c r="AM180" s="157">
        <v>304.60000000000002</v>
      </c>
      <c r="AN180" s="157">
        <v>295</v>
      </c>
      <c r="AO180" s="157">
        <v>283.2</v>
      </c>
      <c r="AP180" s="157">
        <v>288.39999999999998</v>
      </c>
    </row>
    <row r="181" spans="1:42" ht="14.7" customHeight="1">
      <c r="A181" s="181" t="s">
        <v>99</v>
      </c>
      <c r="B181" s="181"/>
      <c r="C181">
        <v>522.6</v>
      </c>
      <c r="D181">
        <v>521.4</v>
      </c>
      <c r="E181">
        <v>544.70000000000005</v>
      </c>
      <c r="F181">
        <v>548</v>
      </c>
      <c r="G181">
        <v>568.9</v>
      </c>
      <c r="H181">
        <v>567.5</v>
      </c>
      <c r="I181">
        <v>586.4</v>
      </c>
      <c r="J181">
        <v>600.1</v>
      </c>
      <c r="K181">
        <v>585.79999999999995</v>
      </c>
      <c r="L181">
        <v>601.79999999999995</v>
      </c>
      <c r="M181">
        <v>0.40699999999999997</v>
      </c>
      <c r="N181">
        <v>0.38900000000000001</v>
      </c>
      <c r="O181">
        <v>0.36099999999999999</v>
      </c>
      <c r="P181">
        <v>0.38100000000000001</v>
      </c>
      <c r="Q181">
        <v>0.35799999999999998</v>
      </c>
      <c r="R181">
        <v>0.34499999999999997</v>
      </c>
      <c r="S181">
        <v>0.34599999999999997</v>
      </c>
      <c r="T181">
        <v>0.32600000000000001</v>
      </c>
      <c r="U181">
        <v>0.32900000000000001</v>
      </c>
      <c r="V181">
        <v>0.33600000000000002</v>
      </c>
      <c r="W181" t="s">
        <v>901</v>
      </c>
      <c r="X181" t="s">
        <v>901</v>
      </c>
      <c r="Y181" t="s">
        <v>901</v>
      </c>
      <c r="Z181" t="s">
        <v>901</v>
      </c>
      <c r="AA181" t="s">
        <v>901</v>
      </c>
      <c r="AB181" t="s">
        <v>901</v>
      </c>
      <c r="AC181" t="s">
        <v>901</v>
      </c>
      <c r="AD181" t="s">
        <v>901</v>
      </c>
      <c r="AE181" t="s">
        <v>910</v>
      </c>
      <c r="AF181">
        <v>0</v>
      </c>
      <c r="AG181">
        <v>416.9</v>
      </c>
      <c r="AH181">
        <v>407.5</v>
      </c>
      <c r="AI181">
        <v>388.1</v>
      </c>
      <c r="AJ181">
        <v>404.6</v>
      </c>
      <c r="AK181">
        <v>403</v>
      </c>
      <c r="AL181">
        <v>392.5</v>
      </c>
      <c r="AM181" s="157">
        <v>405.7</v>
      </c>
      <c r="AN181" s="157">
        <v>400.9</v>
      </c>
      <c r="AO181" s="157">
        <v>394</v>
      </c>
      <c r="AP181" s="157">
        <v>410.4</v>
      </c>
    </row>
    <row r="182" spans="1:42" ht="14.7" customHeight="1">
      <c r="A182" s="181" t="s">
        <v>274</v>
      </c>
      <c r="B182" s="181"/>
      <c r="C182">
        <v>680.9</v>
      </c>
      <c r="D182">
        <v>639</v>
      </c>
      <c r="E182">
        <v>623.9</v>
      </c>
      <c r="F182">
        <v>639.70000000000005</v>
      </c>
      <c r="G182">
        <v>587.79999999999995</v>
      </c>
      <c r="H182">
        <v>628.1</v>
      </c>
      <c r="I182">
        <v>630.4</v>
      </c>
      <c r="J182">
        <v>616.79999999999995</v>
      </c>
      <c r="K182">
        <v>621.79999999999995</v>
      </c>
      <c r="L182">
        <v>567.20000000000005</v>
      </c>
      <c r="M182">
        <v>0.36299999999999999</v>
      </c>
      <c r="N182">
        <v>0.379</v>
      </c>
      <c r="O182">
        <v>0.41</v>
      </c>
      <c r="P182">
        <v>0.41199999999999998</v>
      </c>
      <c r="Q182">
        <v>0.46100000000000002</v>
      </c>
      <c r="R182">
        <v>0.42699999999999999</v>
      </c>
      <c r="S182">
        <v>0.42799999999999999</v>
      </c>
      <c r="T182">
        <v>0.42799999999999999</v>
      </c>
      <c r="U182">
        <v>0.42799999999999999</v>
      </c>
      <c r="V182">
        <v>0.46</v>
      </c>
      <c r="W182">
        <v>0.5</v>
      </c>
      <c r="X182">
        <v>0.24199999999999999</v>
      </c>
      <c r="Y182">
        <v>0.16300000000000001</v>
      </c>
      <c r="Z182">
        <v>0.16200000000000001</v>
      </c>
      <c r="AA182">
        <v>0.13800000000000001</v>
      </c>
      <c r="AB182">
        <v>0.111</v>
      </c>
      <c r="AC182">
        <v>0.104</v>
      </c>
      <c r="AD182">
        <v>9.5000000000000001E-2</v>
      </c>
      <c r="AE182">
        <v>0.108</v>
      </c>
      <c r="AF182">
        <v>0.04</v>
      </c>
      <c r="AG182">
        <v>465.8</v>
      </c>
      <c r="AH182">
        <v>445.1</v>
      </c>
      <c r="AI182">
        <v>444.4</v>
      </c>
      <c r="AJ182">
        <v>454.9</v>
      </c>
      <c r="AK182">
        <v>452.3</v>
      </c>
      <c r="AL182">
        <v>447.3</v>
      </c>
      <c r="AM182" s="157">
        <v>449.3</v>
      </c>
      <c r="AN182" s="157">
        <v>442.8</v>
      </c>
      <c r="AO182" s="157">
        <v>449.3</v>
      </c>
      <c r="AP182" s="157">
        <v>435.5</v>
      </c>
    </row>
    <row r="183" spans="1:42" ht="14.7" customHeight="1">
      <c r="A183" s="181" t="s">
        <v>100</v>
      </c>
      <c r="B183" s="181"/>
      <c r="C183">
        <v>512.29999999999995</v>
      </c>
      <c r="D183">
        <v>495.4</v>
      </c>
      <c r="E183">
        <v>483.1</v>
      </c>
      <c r="F183">
        <v>476.5</v>
      </c>
      <c r="G183">
        <v>480.7</v>
      </c>
      <c r="H183">
        <v>473.9</v>
      </c>
      <c r="I183">
        <v>480.1</v>
      </c>
      <c r="J183">
        <v>481.1</v>
      </c>
      <c r="K183">
        <v>495.1</v>
      </c>
      <c r="L183">
        <v>497.5</v>
      </c>
      <c r="M183">
        <v>0.503</v>
      </c>
      <c r="N183">
        <v>0.499</v>
      </c>
      <c r="O183">
        <v>0.44700000000000001</v>
      </c>
      <c r="P183">
        <v>0.46600000000000003</v>
      </c>
      <c r="Q183">
        <v>0.46600000000000003</v>
      </c>
      <c r="R183">
        <v>0.47599999999999998</v>
      </c>
      <c r="S183">
        <v>0.47699999999999998</v>
      </c>
      <c r="T183">
        <v>0.46</v>
      </c>
      <c r="U183">
        <v>0.44</v>
      </c>
      <c r="V183">
        <v>0.44700000000000001</v>
      </c>
      <c r="W183" t="s">
        <v>901</v>
      </c>
      <c r="X183" t="s">
        <v>901</v>
      </c>
      <c r="Y183" t="s">
        <v>901</v>
      </c>
      <c r="Z183" t="s">
        <v>901</v>
      </c>
      <c r="AA183" t="s">
        <v>901</v>
      </c>
      <c r="AB183" t="s">
        <v>901</v>
      </c>
      <c r="AC183" t="s">
        <v>901</v>
      </c>
      <c r="AD183" t="s">
        <v>901</v>
      </c>
      <c r="AE183" t="s">
        <v>910</v>
      </c>
      <c r="AF183">
        <v>0</v>
      </c>
      <c r="AG183">
        <v>460.4</v>
      </c>
      <c r="AH183">
        <v>441</v>
      </c>
      <c r="AI183">
        <v>383.2</v>
      </c>
      <c r="AJ183">
        <v>390.6</v>
      </c>
      <c r="AK183">
        <v>394.3</v>
      </c>
      <c r="AL183">
        <v>397.6</v>
      </c>
      <c r="AM183" s="157">
        <v>406.5</v>
      </c>
      <c r="AN183" s="157">
        <v>395.8</v>
      </c>
      <c r="AO183" s="157">
        <v>394.5</v>
      </c>
      <c r="AP183" s="157">
        <v>402.3</v>
      </c>
    </row>
    <row r="184" spans="1:42" ht="14.7" customHeight="1">
      <c r="A184" s="181" t="s">
        <v>101</v>
      </c>
      <c r="B184" s="181"/>
      <c r="C184">
        <v>442.7</v>
      </c>
      <c r="D184">
        <v>452.6</v>
      </c>
      <c r="E184">
        <v>464.3</v>
      </c>
      <c r="F184">
        <v>467.3</v>
      </c>
      <c r="G184">
        <v>460.1</v>
      </c>
      <c r="H184">
        <v>461.1</v>
      </c>
      <c r="I184">
        <v>463.1</v>
      </c>
      <c r="J184" t="s">
        <v>901</v>
      </c>
      <c r="K184" t="s">
        <v>901</v>
      </c>
      <c r="L184" t="s">
        <v>901</v>
      </c>
      <c r="M184">
        <v>0.40600000000000003</v>
      </c>
      <c r="N184">
        <v>0.42</v>
      </c>
      <c r="O184">
        <v>0.40799999999999997</v>
      </c>
      <c r="P184">
        <v>0.41499999999999998</v>
      </c>
      <c r="Q184">
        <v>0.42799999999999999</v>
      </c>
      <c r="R184">
        <v>0.42799999999999999</v>
      </c>
      <c r="S184">
        <v>0.434</v>
      </c>
      <c r="T184" t="s">
        <v>901</v>
      </c>
      <c r="U184" t="s">
        <v>901</v>
      </c>
      <c r="V184" t="s">
        <v>901</v>
      </c>
      <c r="W184" t="s">
        <v>901</v>
      </c>
      <c r="X184" t="s">
        <v>901</v>
      </c>
      <c r="Y184" t="s">
        <v>901</v>
      </c>
      <c r="Z184" t="s">
        <v>901</v>
      </c>
      <c r="AA184" t="s">
        <v>901</v>
      </c>
      <c r="AB184" t="s">
        <v>901</v>
      </c>
      <c r="AC184" t="s">
        <v>901</v>
      </c>
      <c r="AD184" t="s">
        <v>901</v>
      </c>
      <c r="AE184" t="s">
        <v>901</v>
      </c>
      <c r="AF184" t="s">
        <v>901</v>
      </c>
      <c r="AG184">
        <v>329.9</v>
      </c>
      <c r="AH184">
        <v>349.2</v>
      </c>
      <c r="AI184">
        <v>352.3</v>
      </c>
      <c r="AJ184">
        <v>359.6</v>
      </c>
      <c r="AK184">
        <v>359.2</v>
      </c>
      <c r="AL184">
        <v>360.7</v>
      </c>
      <c r="AM184" s="157">
        <v>368.1</v>
      </c>
      <c r="AN184" s="157" t="s">
        <v>901</v>
      </c>
      <c r="AO184" s="157" t="s">
        <v>901</v>
      </c>
      <c r="AP184" s="157" t="s">
        <v>901</v>
      </c>
    </row>
    <row r="185" spans="1:42" ht="14.7" customHeight="1">
      <c r="A185" s="181" t="s">
        <v>215</v>
      </c>
      <c r="B185" s="181"/>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v>0.375</v>
      </c>
      <c r="R185">
        <v>0.34799999999999998</v>
      </c>
      <c r="S185">
        <v>0.35699999999999998</v>
      </c>
      <c r="T185">
        <v>0.37</v>
      </c>
      <c r="U185">
        <v>0.38500000000000001</v>
      </c>
      <c r="V185">
        <v>0.42199999999999999</v>
      </c>
      <c r="W185">
        <v>0.61699999999999999</v>
      </c>
      <c r="X185">
        <v>0.55700000000000005</v>
      </c>
      <c r="Y185">
        <v>0.501</v>
      </c>
      <c r="Z185">
        <v>0.52400000000000002</v>
      </c>
      <c r="AA185">
        <v>0.55700000000000005</v>
      </c>
      <c r="AB185">
        <v>0.63100000000000001</v>
      </c>
      <c r="AC185">
        <v>0.56200000000000006</v>
      </c>
      <c r="AD185">
        <v>0.56799999999999995</v>
      </c>
      <c r="AE185">
        <v>0.35299999999999998</v>
      </c>
      <c r="AF185">
        <v>0.10299999999999999</v>
      </c>
      <c r="AG185">
        <v>353.3</v>
      </c>
      <c r="AH185">
        <v>332.2</v>
      </c>
      <c r="AI185">
        <v>335.8</v>
      </c>
      <c r="AJ185">
        <v>335.7</v>
      </c>
      <c r="AK185">
        <v>356.3</v>
      </c>
      <c r="AL185">
        <v>359.2</v>
      </c>
      <c r="AM185" s="157">
        <v>366</v>
      </c>
      <c r="AN185" s="157">
        <v>344.2</v>
      </c>
      <c r="AO185" s="157">
        <v>340.7</v>
      </c>
      <c r="AP185" s="157">
        <v>334.3</v>
      </c>
    </row>
    <row r="186" spans="1:42" ht="14.7" customHeight="1">
      <c r="A186" s="181" t="s">
        <v>102</v>
      </c>
      <c r="B186" s="181"/>
      <c r="C186">
        <v>480.1</v>
      </c>
      <c r="D186">
        <v>468.4</v>
      </c>
      <c r="E186">
        <v>472.8</v>
      </c>
      <c r="F186">
        <v>478.2</v>
      </c>
      <c r="G186">
        <v>462.6</v>
      </c>
      <c r="H186">
        <v>423</v>
      </c>
      <c r="I186">
        <v>374.2</v>
      </c>
      <c r="J186">
        <v>378.6</v>
      </c>
      <c r="K186">
        <v>363.7</v>
      </c>
      <c r="L186">
        <v>361.4</v>
      </c>
      <c r="M186">
        <v>0.48899999999999999</v>
      </c>
      <c r="N186">
        <v>0.49099999999999999</v>
      </c>
      <c r="O186">
        <v>0.46899999999999997</v>
      </c>
      <c r="P186">
        <v>0.46700000000000003</v>
      </c>
      <c r="Q186">
        <v>0.48199999999999998</v>
      </c>
      <c r="R186">
        <v>0.50800000000000001</v>
      </c>
      <c r="S186">
        <v>0.53400000000000003</v>
      </c>
      <c r="T186">
        <v>0.51800000000000002</v>
      </c>
      <c r="U186">
        <v>0.53500000000000003</v>
      </c>
      <c r="V186">
        <v>0.53100000000000003</v>
      </c>
      <c r="W186" t="s">
        <v>901</v>
      </c>
      <c r="X186" t="s">
        <v>901</v>
      </c>
      <c r="Y186" t="s">
        <v>901</v>
      </c>
      <c r="Z186" t="s">
        <v>901</v>
      </c>
      <c r="AA186" t="s">
        <v>901</v>
      </c>
      <c r="AB186" t="s">
        <v>901</v>
      </c>
      <c r="AC186" t="s">
        <v>901</v>
      </c>
      <c r="AD186" t="s">
        <v>901</v>
      </c>
      <c r="AE186" t="s">
        <v>910</v>
      </c>
      <c r="AF186">
        <v>0</v>
      </c>
      <c r="AG186">
        <v>417.9</v>
      </c>
      <c r="AH186">
        <v>411.5</v>
      </c>
      <c r="AI186">
        <v>391.6</v>
      </c>
      <c r="AJ186">
        <v>396.6</v>
      </c>
      <c r="AK186">
        <v>393.8</v>
      </c>
      <c r="AL186">
        <v>376.6</v>
      </c>
      <c r="AM186" s="157">
        <v>354.2</v>
      </c>
      <c r="AN186" s="157">
        <v>345.4</v>
      </c>
      <c r="AO186" s="157">
        <v>343.1</v>
      </c>
      <c r="AP186" s="157">
        <v>339.3</v>
      </c>
    </row>
    <row r="187" spans="1:42" ht="14.7" customHeight="1">
      <c r="A187" s="181" t="s">
        <v>103</v>
      </c>
      <c r="B187" s="181"/>
      <c r="C187" t="s">
        <v>901</v>
      </c>
      <c r="D187" t="s">
        <v>901</v>
      </c>
      <c r="E187">
        <v>458.7</v>
      </c>
      <c r="F187">
        <v>462.2</v>
      </c>
      <c r="G187">
        <v>458.3</v>
      </c>
      <c r="H187">
        <v>456.3</v>
      </c>
      <c r="I187" t="s">
        <v>901</v>
      </c>
      <c r="J187">
        <v>473.3</v>
      </c>
      <c r="K187">
        <v>468.7</v>
      </c>
      <c r="L187">
        <v>465</v>
      </c>
      <c r="M187" t="s">
        <v>901</v>
      </c>
      <c r="N187" t="s">
        <v>901</v>
      </c>
      <c r="O187">
        <v>0.41</v>
      </c>
      <c r="P187">
        <v>0.41699999999999998</v>
      </c>
      <c r="Q187">
        <v>0.43099999999999999</v>
      </c>
      <c r="R187">
        <v>0.434</v>
      </c>
      <c r="S187" t="s">
        <v>901</v>
      </c>
      <c r="T187">
        <v>0.42199999999999999</v>
      </c>
      <c r="U187">
        <v>0.42399999999999999</v>
      </c>
      <c r="V187">
        <v>0.42799999999999999</v>
      </c>
      <c r="W187" t="s">
        <v>901</v>
      </c>
      <c r="X187" t="s">
        <v>901</v>
      </c>
      <c r="Y187" t="s">
        <v>901</v>
      </c>
      <c r="Z187" t="s">
        <v>901</v>
      </c>
      <c r="AA187" t="s">
        <v>901</v>
      </c>
      <c r="AB187" t="s">
        <v>901</v>
      </c>
      <c r="AC187" t="s">
        <v>901</v>
      </c>
      <c r="AD187" t="s">
        <v>901</v>
      </c>
      <c r="AE187" t="s">
        <v>910</v>
      </c>
      <c r="AF187">
        <v>0</v>
      </c>
      <c r="AG187" t="s">
        <v>901</v>
      </c>
      <c r="AH187" t="s">
        <v>901</v>
      </c>
      <c r="AI187">
        <v>341.6</v>
      </c>
      <c r="AJ187">
        <v>350.4</v>
      </c>
      <c r="AK187">
        <v>355.2</v>
      </c>
      <c r="AL187">
        <v>352.6</v>
      </c>
      <c r="AM187" s="157" t="s">
        <v>901</v>
      </c>
      <c r="AN187" s="157">
        <v>355.7</v>
      </c>
      <c r="AO187" s="157">
        <v>355.8</v>
      </c>
      <c r="AP187" s="157">
        <v>357.1</v>
      </c>
    </row>
    <row r="188" spans="1:42" ht="14.7" customHeight="1">
      <c r="A188" s="181" t="s">
        <v>104</v>
      </c>
      <c r="B188" s="181"/>
      <c r="C188">
        <v>432</v>
      </c>
      <c r="D188">
        <v>433.7</v>
      </c>
      <c r="E188">
        <v>448.2</v>
      </c>
      <c r="F188">
        <v>416.9</v>
      </c>
      <c r="G188">
        <v>480.3</v>
      </c>
      <c r="H188">
        <v>461.6</v>
      </c>
      <c r="I188">
        <v>460.4</v>
      </c>
      <c r="J188">
        <v>441.1</v>
      </c>
      <c r="K188">
        <v>428.4</v>
      </c>
      <c r="L188">
        <v>430</v>
      </c>
      <c r="M188">
        <v>0.437</v>
      </c>
      <c r="N188">
        <v>0.434</v>
      </c>
      <c r="O188">
        <v>0.41</v>
      </c>
      <c r="P188">
        <v>0.42699999999999999</v>
      </c>
      <c r="Q188">
        <v>0.39500000000000002</v>
      </c>
      <c r="R188">
        <v>0.39200000000000002</v>
      </c>
      <c r="S188">
        <v>0.39600000000000002</v>
      </c>
      <c r="T188">
        <v>0.41799999999999998</v>
      </c>
      <c r="U188">
        <v>0.42399999999999999</v>
      </c>
      <c r="V188">
        <v>0.42899999999999999</v>
      </c>
      <c r="W188" t="s">
        <v>901</v>
      </c>
      <c r="X188" t="s">
        <v>901</v>
      </c>
      <c r="Y188" t="s">
        <v>901</v>
      </c>
      <c r="Z188" t="s">
        <v>901</v>
      </c>
      <c r="AA188" t="s">
        <v>901</v>
      </c>
      <c r="AB188" t="s">
        <v>901</v>
      </c>
      <c r="AC188" t="s">
        <v>901</v>
      </c>
      <c r="AD188" t="s">
        <v>901</v>
      </c>
      <c r="AE188" t="s">
        <v>910</v>
      </c>
      <c r="AF188">
        <v>0</v>
      </c>
      <c r="AG188">
        <v>341.6</v>
      </c>
      <c r="AH188">
        <v>339</v>
      </c>
      <c r="AI188">
        <v>320.60000000000002</v>
      </c>
      <c r="AJ188">
        <v>308.2</v>
      </c>
      <c r="AK188">
        <v>334.7</v>
      </c>
      <c r="AL188">
        <v>316.2</v>
      </c>
      <c r="AM188" s="157">
        <v>318.39999999999998</v>
      </c>
      <c r="AN188" s="157">
        <v>319.8</v>
      </c>
      <c r="AO188" s="157">
        <v>314.3</v>
      </c>
      <c r="AP188" s="157">
        <v>319.3</v>
      </c>
    </row>
    <row r="189" spans="1:42" ht="14.7" customHeight="1">
      <c r="A189" s="181" t="s">
        <v>275</v>
      </c>
      <c r="B189" s="181"/>
      <c r="C189">
        <v>789.2</v>
      </c>
      <c r="D189">
        <v>753</v>
      </c>
      <c r="E189">
        <v>740.4</v>
      </c>
      <c r="F189">
        <v>660</v>
      </c>
      <c r="G189">
        <v>581.70000000000005</v>
      </c>
      <c r="H189">
        <v>608.1</v>
      </c>
      <c r="I189">
        <v>633</v>
      </c>
      <c r="J189">
        <v>654.5</v>
      </c>
      <c r="K189">
        <v>649.4</v>
      </c>
      <c r="L189">
        <v>677.6</v>
      </c>
      <c r="M189">
        <v>0.23400000000000001</v>
      </c>
      <c r="N189">
        <v>0.22700000000000001</v>
      </c>
      <c r="O189">
        <v>0.215</v>
      </c>
      <c r="P189">
        <v>0.27700000000000002</v>
      </c>
      <c r="Q189">
        <v>0.36299999999999999</v>
      </c>
      <c r="R189">
        <v>0.33700000000000002</v>
      </c>
      <c r="S189">
        <v>0.33700000000000002</v>
      </c>
      <c r="T189">
        <v>0.33100000000000002</v>
      </c>
      <c r="U189">
        <v>0.33500000000000002</v>
      </c>
      <c r="V189">
        <v>0.317</v>
      </c>
      <c r="W189">
        <v>0.17399999999999999</v>
      </c>
      <c r="X189">
        <v>0.107</v>
      </c>
      <c r="Y189">
        <v>6.2E-2</v>
      </c>
      <c r="Z189">
        <v>0.02</v>
      </c>
      <c r="AA189">
        <v>5.1999999999999998E-2</v>
      </c>
      <c r="AB189">
        <v>0.14499999999999999</v>
      </c>
      <c r="AC189">
        <v>0.127</v>
      </c>
      <c r="AD189">
        <v>0.127</v>
      </c>
      <c r="AE189">
        <v>5.3999999999999999E-2</v>
      </c>
      <c r="AF189">
        <v>4.9000000000000002E-2</v>
      </c>
      <c r="AG189">
        <v>447.7</v>
      </c>
      <c r="AH189">
        <v>416.3</v>
      </c>
      <c r="AI189">
        <v>414.9</v>
      </c>
      <c r="AJ189">
        <v>401.3</v>
      </c>
      <c r="AK189">
        <v>401.1</v>
      </c>
      <c r="AL189">
        <v>405.6</v>
      </c>
      <c r="AM189" s="157">
        <v>425.1</v>
      </c>
      <c r="AN189" s="157">
        <v>438.3</v>
      </c>
      <c r="AO189" s="157">
        <v>440</v>
      </c>
      <c r="AP189" s="157">
        <v>447.2</v>
      </c>
    </row>
    <row r="190" spans="1:42" ht="14.7" customHeight="1">
      <c r="A190" s="181" t="s">
        <v>276</v>
      </c>
      <c r="B190" s="181"/>
      <c r="C190">
        <v>544.5</v>
      </c>
      <c r="D190">
        <v>486.5</v>
      </c>
      <c r="E190">
        <v>487.5</v>
      </c>
      <c r="F190">
        <v>519.20000000000005</v>
      </c>
      <c r="G190">
        <v>541.70000000000005</v>
      </c>
      <c r="H190">
        <v>592.4</v>
      </c>
      <c r="I190">
        <v>568.79999999999995</v>
      </c>
      <c r="J190">
        <v>544.4</v>
      </c>
      <c r="K190">
        <v>431.8</v>
      </c>
      <c r="L190">
        <v>462.6</v>
      </c>
      <c r="M190">
        <v>0.51900000000000002</v>
      </c>
      <c r="N190">
        <v>0.53800000000000003</v>
      </c>
      <c r="O190">
        <v>0.53500000000000003</v>
      </c>
      <c r="P190">
        <v>0.52700000000000002</v>
      </c>
      <c r="Q190">
        <v>0.51800000000000002</v>
      </c>
      <c r="R190">
        <v>0.49</v>
      </c>
      <c r="S190">
        <v>0.50600000000000001</v>
      </c>
      <c r="T190">
        <v>0.51700000000000002</v>
      </c>
      <c r="U190">
        <v>0.59099999999999997</v>
      </c>
      <c r="V190">
        <v>0.56299999999999994</v>
      </c>
      <c r="W190">
        <v>0.47299999999999998</v>
      </c>
      <c r="X190">
        <v>0.38200000000000001</v>
      </c>
      <c r="Y190">
        <v>0.36599999999999999</v>
      </c>
      <c r="Z190">
        <v>0.25800000000000001</v>
      </c>
      <c r="AA190">
        <v>0.214</v>
      </c>
      <c r="AB190">
        <v>0.27700000000000002</v>
      </c>
      <c r="AC190">
        <v>0.29399999999999998</v>
      </c>
      <c r="AD190">
        <v>0.13100000000000001</v>
      </c>
      <c r="AE190">
        <v>2.5999999999999999E-2</v>
      </c>
      <c r="AF190">
        <v>4.4999999999999998E-2</v>
      </c>
      <c r="AG190">
        <v>486.9</v>
      </c>
      <c r="AH190">
        <v>445.8</v>
      </c>
      <c r="AI190">
        <v>435.6</v>
      </c>
      <c r="AJ190">
        <v>456.6</v>
      </c>
      <c r="AK190">
        <v>464.1</v>
      </c>
      <c r="AL190">
        <v>471.9</v>
      </c>
      <c r="AM190" s="157">
        <v>469.9</v>
      </c>
      <c r="AN190" s="157">
        <v>459.8</v>
      </c>
      <c r="AO190" s="157">
        <v>433.9</v>
      </c>
      <c r="AP190" s="157">
        <v>441.2</v>
      </c>
    </row>
    <row r="191" spans="1:42" ht="14.7" customHeight="1">
      <c r="A191" s="181" t="s">
        <v>105</v>
      </c>
      <c r="B191" s="181"/>
      <c r="C191">
        <v>389.6</v>
      </c>
      <c r="D191">
        <v>364.7</v>
      </c>
      <c r="E191">
        <v>382.1</v>
      </c>
      <c r="F191">
        <v>431.6</v>
      </c>
      <c r="G191">
        <v>391.4</v>
      </c>
      <c r="H191">
        <v>371.2</v>
      </c>
      <c r="I191">
        <v>376.4</v>
      </c>
      <c r="J191">
        <v>369.2</v>
      </c>
      <c r="K191">
        <v>409.5</v>
      </c>
      <c r="L191">
        <v>407</v>
      </c>
      <c r="M191">
        <v>0.55400000000000005</v>
      </c>
      <c r="N191">
        <v>0.57899999999999996</v>
      </c>
      <c r="O191">
        <v>0.56699999999999995</v>
      </c>
      <c r="P191">
        <v>0.52800000000000002</v>
      </c>
      <c r="Q191">
        <v>0.55600000000000005</v>
      </c>
      <c r="R191">
        <v>0.59</v>
      </c>
      <c r="S191">
        <v>0.58199999999999996</v>
      </c>
      <c r="T191">
        <v>0.57899999999999996</v>
      </c>
      <c r="U191">
        <v>0.52900000000000003</v>
      </c>
      <c r="V191">
        <v>0.54800000000000004</v>
      </c>
      <c r="W191" t="s">
        <v>901</v>
      </c>
      <c r="X191" t="s">
        <v>901</v>
      </c>
      <c r="Y191" t="s">
        <v>901</v>
      </c>
      <c r="Z191" t="s">
        <v>901</v>
      </c>
      <c r="AA191" t="s">
        <v>901</v>
      </c>
      <c r="AB191" t="s">
        <v>901</v>
      </c>
      <c r="AC191" t="s">
        <v>901</v>
      </c>
      <c r="AD191" t="s">
        <v>901</v>
      </c>
      <c r="AE191" t="s">
        <v>910</v>
      </c>
      <c r="AF191">
        <v>0</v>
      </c>
      <c r="AG191">
        <v>391.5</v>
      </c>
      <c r="AH191">
        <v>377</v>
      </c>
      <c r="AI191">
        <v>382.5</v>
      </c>
      <c r="AJ191">
        <v>396</v>
      </c>
      <c r="AK191">
        <v>381</v>
      </c>
      <c r="AL191">
        <v>393.2</v>
      </c>
      <c r="AM191" s="157">
        <v>392.3</v>
      </c>
      <c r="AN191" s="157">
        <v>380.1</v>
      </c>
      <c r="AO191" s="157">
        <v>378.9</v>
      </c>
      <c r="AP191" s="157">
        <v>396.5</v>
      </c>
    </row>
    <row r="192" spans="1:42" ht="14.7" customHeight="1">
      <c r="A192" s="181" t="s">
        <v>106</v>
      </c>
      <c r="B192" s="181"/>
      <c r="C192">
        <v>514.6</v>
      </c>
      <c r="D192">
        <v>510.3</v>
      </c>
      <c r="E192">
        <v>507.6</v>
      </c>
      <c r="F192">
        <v>517.70000000000005</v>
      </c>
      <c r="G192">
        <v>512.20000000000005</v>
      </c>
      <c r="H192">
        <v>516.29999999999995</v>
      </c>
      <c r="I192">
        <v>498.3</v>
      </c>
      <c r="J192">
        <v>472.4</v>
      </c>
      <c r="K192">
        <v>471.9</v>
      </c>
      <c r="L192">
        <v>464.5</v>
      </c>
      <c r="M192">
        <v>0.313</v>
      </c>
      <c r="N192">
        <v>0.30599999999999999</v>
      </c>
      <c r="O192">
        <v>0.29699999999999999</v>
      </c>
      <c r="P192">
        <v>0.29099999999999998</v>
      </c>
      <c r="Q192">
        <v>0.29799999999999999</v>
      </c>
      <c r="R192">
        <v>0.3</v>
      </c>
      <c r="S192">
        <v>0.31</v>
      </c>
      <c r="T192">
        <v>0.34100000000000003</v>
      </c>
      <c r="U192">
        <v>0.32900000000000001</v>
      </c>
      <c r="V192">
        <v>0.34100000000000003</v>
      </c>
      <c r="W192" t="s">
        <v>901</v>
      </c>
      <c r="X192" t="s">
        <v>901</v>
      </c>
      <c r="Y192" t="s">
        <v>901</v>
      </c>
      <c r="Z192" t="s">
        <v>901</v>
      </c>
      <c r="AA192" t="s">
        <v>901</v>
      </c>
      <c r="AB192" t="s">
        <v>901</v>
      </c>
      <c r="AC192" t="s">
        <v>901</v>
      </c>
      <c r="AD192" t="s">
        <v>901</v>
      </c>
      <c r="AE192" t="s">
        <v>910</v>
      </c>
      <c r="AF192">
        <v>0</v>
      </c>
      <c r="AG192">
        <v>340.9</v>
      </c>
      <c r="AH192">
        <v>332.5</v>
      </c>
      <c r="AI192">
        <v>327.3</v>
      </c>
      <c r="AJ192">
        <v>331</v>
      </c>
      <c r="AK192">
        <v>329.9</v>
      </c>
      <c r="AL192">
        <v>332.6</v>
      </c>
      <c r="AM192" s="157">
        <v>326</v>
      </c>
      <c r="AN192" s="157">
        <v>324.3</v>
      </c>
      <c r="AO192" s="157">
        <v>318.60000000000002</v>
      </c>
      <c r="AP192" s="157">
        <v>318.8</v>
      </c>
    </row>
    <row r="193" spans="1:196" ht="14.7" customHeight="1">
      <c r="A193" s="181" t="s">
        <v>925</v>
      </c>
      <c r="B193" s="181"/>
      <c r="C193">
        <v>606.5</v>
      </c>
      <c r="D193">
        <v>603.4</v>
      </c>
      <c r="E193">
        <v>619.5</v>
      </c>
      <c r="F193">
        <v>592.79999999999995</v>
      </c>
      <c r="G193">
        <v>610.6</v>
      </c>
      <c r="H193">
        <v>585.1</v>
      </c>
      <c r="I193">
        <v>580</v>
      </c>
      <c r="J193">
        <v>574</v>
      </c>
      <c r="K193">
        <v>562.79999999999995</v>
      </c>
      <c r="L193">
        <v>565.9</v>
      </c>
      <c r="M193">
        <v>0.26500000000000001</v>
      </c>
      <c r="N193">
        <v>0.25900000000000001</v>
      </c>
      <c r="O193">
        <v>0.245</v>
      </c>
      <c r="P193">
        <v>0.26500000000000001</v>
      </c>
      <c r="Q193">
        <v>0.27</v>
      </c>
      <c r="R193">
        <v>0.30299999999999999</v>
      </c>
      <c r="S193">
        <v>0.31900000000000001</v>
      </c>
      <c r="T193">
        <v>0.31900000000000001</v>
      </c>
      <c r="U193">
        <v>0.32900000000000001</v>
      </c>
      <c r="V193">
        <v>0.32500000000000001</v>
      </c>
      <c r="W193" t="s">
        <v>901</v>
      </c>
      <c r="X193" t="s">
        <v>901</v>
      </c>
      <c r="Y193" t="s">
        <v>901</v>
      </c>
      <c r="Z193" t="s">
        <v>901</v>
      </c>
      <c r="AA193" t="s">
        <v>901</v>
      </c>
      <c r="AB193" t="s">
        <v>901</v>
      </c>
      <c r="AC193" t="s">
        <v>901</v>
      </c>
      <c r="AD193" t="s">
        <v>901</v>
      </c>
      <c r="AE193" t="s">
        <v>910</v>
      </c>
      <c r="AF193">
        <v>0</v>
      </c>
      <c r="AG193">
        <v>374.5</v>
      </c>
      <c r="AH193">
        <v>368.7</v>
      </c>
      <c r="AI193">
        <v>368.3</v>
      </c>
      <c r="AJ193">
        <v>361.2</v>
      </c>
      <c r="AK193">
        <v>373.3</v>
      </c>
      <c r="AL193">
        <v>370.3</v>
      </c>
      <c r="AM193" s="157">
        <v>375.9</v>
      </c>
      <c r="AN193" s="157">
        <v>371.3</v>
      </c>
      <c r="AO193" s="157">
        <v>371.7</v>
      </c>
      <c r="AP193" s="157">
        <v>373</v>
      </c>
    </row>
    <row r="194" spans="1:196" ht="14.7" customHeight="1">
      <c r="A194" s="181" t="s">
        <v>107</v>
      </c>
      <c r="B194" s="181"/>
      <c r="C194">
        <v>470.2</v>
      </c>
      <c r="D194">
        <v>436.6</v>
      </c>
      <c r="E194">
        <v>421.6</v>
      </c>
      <c r="F194">
        <v>433</v>
      </c>
      <c r="G194">
        <v>427.5</v>
      </c>
      <c r="H194">
        <v>437.5</v>
      </c>
      <c r="I194">
        <v>463.6</v>
      </c>
      <c r="J194">
        <v>468.6</v>
      </c>
      <c r="K194">
        <v>446.3</v>
      </c>
      <c r="L194">
        <v>456.8</v>
      </c>
      <c r="M194">
        <v>0.48099999999999998</v>
      </c>
      <c r="N194">
        <v>0.503</v>
      </c>
      <c r="O194">
        <v>0.51700000000000002</v>
      </c>
      <c r="P194">
        <v>0.50700000000000001</v>
      </c>
      <c r="Q194">
        <v>0.51600000000000001</v>
      </c>
      <c r="R194">
        <v>0.504</v>
      </c>
      <c r="S194">
        <v>0.48599999999999999</v>
      </c>
      <c r="T194">
        <v>0.47</v>
      </c>
      <c r="U194">
        <v>0.47099999999999997</v>
      </c>
      <c r="V194">
        <v>0.44500000000000001</v>
      </c>
      <c r="W194" t="s">
        <v>901</v>
      </c>
      <c r="X194" t="s">
        <v>901</v>
      </c>
      <c r="Y194" t="s">
        <v>901</v>
      </c>
      <c r="Z194" t="s">
        <v>901</v>
      </c>
      <c r="AA194" t="s">
        <v>901</v>
      </c>
      <c r="AB194" t="s">
        <v>901</v>
      </c>
      <c r="AC194" t="s">
        <v>901</v>
      </c>
      <c r="AD194" t="s">
        <v>901</v>
      </c>
      <c r="AE194" t="s">
        <v>910</v>
      </c>
      <c r="AF194">
        <v>0</v>
      </c>
      <c r="AG194">
        <v>393.7</v>
      </c>
      <c r="AH194">
        <v>382.7</v>
      </c>
      <c r="AI194">
        <v>384.5</v>
      </c>
      <c r="AJ194">
        <v>388</v>
      </c>
      <c r="AK194">
        <v>387.1</v>
      </c>
      <c r="AL194">
        <v>383.7</v>
      </c>
      <c r="AM194" s="157">
        <v>389.1</v>
      </c>
      <c r="AN194" s="157">
        <v>382.8</v>
      </c>
      <c r="AO194" s="157">
        <v>365</v>
      </c>
      <c r="AP194" s="157">
        <v>357.5</v>
      </c>
    </row>
    <row r="195" spans="1:196" ht="14.7" customHeight="1">
      <c r="A195" s="181" t="s">
        <v>926</v>
      </c>
      <c r="B195" s="181"/>
      <c r="C195">
        <v>597.9</v>
      </c>
      <c r="D195">
        <v>584.4</v>
      </c>
      <c r="E195">
        <v>542.1</v>
      </c>
      <c r="F195">
        <v>498.9</v>
      </c>
      <c r="G195">
        <v>523.5</v>
      </c>
      <c r="H195">
        <v>536.5</v>
      </c>
      <c r="I195">
        <v>536.5</v>
      </c>
      <c r="J195">
        <v>518.29999999999995</v>
      </c>
      <c r="K195">
        <v>509.1</v>
      </c>
      <c r="L195">
        <v>493.4</v>
      </c>
      <c r="M195">
        <v>0.33400000000000002</v>
      </c>
      <c r="N195">
        <v>0.34100000000000003</v>
      </c>
      <c r="O195">
        <v>0.36799999999999999</v>
      </c>
      <c r="P195">
        <v>0.41499999999999998</v>
      </c>
      <c r="Q195">
        <v>0.40799999999999997</v>
      </c>
      <c r="R195">
        <v>0.38500000000000001</v>
      </c>
      <c r="S195">
        <v>0.42299999999999999</v>
      </c>
      <c r="T195">
        <v>0.38</v>
      </c>
      <c r="U195">
        <v>0.379</v>
      </c>
      <c r="V195">
        <v>0.40200000000000002</v>
      </c>
      <c r="W195">
        <v>0.59899999999999998</v>
      </c>
      <c r="X195">
        <v>0.52200000000000002</v>
      </c>
      <c r="Y195">
        <v>0.39100000000000001</v>
      </c>
      <c r="Z195">
        <v>0.36</v>
      </c>
      <c r="AA195">
        <v>0.35299999999999998</v>
      </c>
      <c r="AB195">
        <v>0.36499999999999999</v>
      </c>
      <c r="AC195">
        <v>0.216</v>
      </c>
      <c r="AD195">
        <v>0.28000000000000003</v>
      </c>
      <c r="AE195">
        <v>0.249</v>
      </c>
      <c r="AF195">
        <v>0.156</v>
      </c>
      <c r="AG195">
        <v>402.3</v>
      </c>
      <c r="AH195">
        <v>377.2</v>
      </c>
      <c r="AI195">
        <v>380.3</v>
      </c>
      <c r="AJ195">
        <v>376.9</v>
      </c>
      <c r="AK195">
        <v>386.2</v>
      </c>
      <c r="AL195">
        <v>375.7</v>
      </c>
      <c r="AM195" s="157">
        <v>401.2</v>
      </c>
      <c r="AN195" s="157">
        <v>367.9</v>
      </c>
      <c r="AO195" s="157">
        <v>361.2</v>
      </c>
      <c r="AP195" s="157">
        <v>364.9</v>
      </c>
    </row>
    <row r="196" spans="1:196" ht="14.7" customHeight="1">
      <c r="A196" s="181" t="s">
        <v>216</v>
      </c>
      <c r="B196" s="181"/>
      <c r="C196">
        <v>906.3</v>
      </c>
      <c r="D196">
        <v>757.5</v>
      </c>
      <c r="E196">
        <v>776.1</v>
      </c>
      <c r="F196">
        <v>762.4</v>
      </c>
      <c r="G196">
        <v>897.2</v>
      </c>
      <c r="H196">
        <v>917</v>
      </c>
      <c r="I196">
        <v>916.5</v>
      </c>
      <c r="J196">
        <v>900.2</v>
      </c>
      <c r="K196">
        <v>867.3</v>
      </c>
      <c r="L196">
        <v>808.2</v>
      </c>
      <c r="M196">
        <v>0.14899999999999999</v>
      </c>
      <c r="N196">
        <v>0.22700000000000001</v>
      </c>
      <c r="O196">
        <v>0.21</v>
      </c>
      <c r="P196">
        <v>0.17699999999999999</v>
      </c>
      <c r="Q196">
        <v>0.17199999999999999</v>
      </c>
      <c r="R196">
        <v>0.14699999999999999</v>
      </c>
      <c r="S196">
        <v>0.14099999999999999</v>
      </c>
      <c r="T196">
        <v>0.14099999999999999</v>
      </c>
      <c r="U196">
        <v>0.16900000000000001</v>
      </c>
      <c r="V196">
        <v>0.20300000000000001</v>
      </c>
      <c r="W196" t="s">
        <v>901</v>
      </c>
      <c r="X196" t="s">
        <v>901</v>
      </c>
      <c r="Y196" t="s">
        <v>901</v>
      </c>
      <c r="Z196" t="s">
        <v>901</v>
      </c>
      <c r="AA196" t="s">
        <v>901</v>
      </c>
      <c r="AB196" t="s">
        <v>901</v>
      </c>
      <c r="AC196" t="s">
        <v>901</v>
      </c>
      <c r="AD196" t="s">
        <v>901</v>
      </c>
      <c r="AE196" t="s">
        <v>910</v>
      </c>
      <c r="AF196">
        <v>0</v>
      </c>
      <c r="AG196">
        <v>446.3</v>
      </c>
      <c r="AH196">
        <v>426.3</v>
      </c>
      <c r="AI196">
        <v>333.7</v>
      </c>
      <c r="AJ196">
        <v>316.2</v>
      </c>
      <c r="AK196">
        <v>367.5</v>
      </c>
      <c r="AL196">
        <v>353.8</v>
      </c>
      <c r="AM196" s="157">
        <v>346.5</v>
      </c>
      <c r="AN196" s="157">
        <v>338.7</v>
      </c>
      <c r="AO196" s="157">
        <v>341.1</v>
      </c>
      <c r="AP196" s="157">
        <v>339.9</v>
      </c>
    </row>
    <row r="197" spans="1:196" ht="14.7" customHeight="1">
      <c r="A197" s="181" t="s">
        <v>320</v>
      </c>
      <c r="B197" s="181"/>
      <c r="C197">
        <v>525.6</v>
      </c>
      <c r="D197">
        <v>511.3</v>
      </c>
      <c r="E197">
        <v>519.9</v>
      </c>
      <c r="F197">
        <v>534.20000000000005</v>
      </c>
      <c r="G197">
        <v>542.5</v>
      </c>
      <c r="H197">
        <v>519.70000000000005</v>
      </c>
      <c r="I197">
        <v>522.70000000000005</v>
      </c>
      <c r="J197">
        <v>519.6</v>
      </c>
      <c r="K197">
        <v>519.70000000000005</v>
      </c>
      <c r="L197">
        <v>512</v>
      </c>
      <c r="M197">
        <v>0.45</v>
      </c>
      <c r="N197">
        <v>0.45300000000000001</v>
      </c>
      <c r="O197">
        <v>0.44</v>
      </c>
      <c r="P197">
        <v>0.42799999999999999</v>
      </c>
      <c r="Q197">
        <v>0.432</v>
      </c>
      <c r="R197">
        <v>0.45800000000000002</v>
      </c>
      <c r="S197">
        <v>0.46700000000000003</v>
      </c>
      <c r="T197">
        <v>0.45800000000000002</v>
      </c>
      <c r="U197">
        <v>0.434</v>
      </c>
      <c r="V197">
        <v>0.44400000000000001</v>
      </c>
      <c r="W197">
        <v>0.54900000000000004</v>
      </c>
      <c r="X197">
        <v>0.54300000000000004</v>
      </c>
      <c r="Y197">
        <v>0.45800000000000002</v>
      </c>
      <c r="Z197">
        <v>0.45700000000000002</v>
      </c>
      <c r="AA197">
        <v>0.379</v>
      </c>
      <c r="AB197">
        <v>0.26</v>
      </c>
      <c r="AC197">
        <v>2.1000000000000001E-2</v>
      </c>
      <c r="AD197">
        <v>1.4999999999999999E-2</v>
      </c>
      <c r="AE197">
        <v>4.2999999999999997E-2</v>
      </c>
      <c r="AF197">
        <v>0.10199999999999999</v>
      </c>
      <c r="AG197">
        <v>450.6</v>
      </c>
      <c r="AH197">
        <v>434.5</v>
      </c>
      <c r="AI197">
        <v>434.8</v>
      </c>
      <c r="AJ197">
        <v>437.6</v>
      </c>
      <c r="AK197">
        <v>445.7</v>
      </c>
      <c r="AL197">
        <v>442.3</v>
      </c>
      <c r="AM197" s="157">
        <v>451.8</v>
      </c>
      <c r="AN197" s="157">
        <v>443.6</v>
      </c>
      <c r="AO197" s="157">
        <v>426</v>
      </c>
      <c r="AP197" s="157">
        <v>429.6</v>
      </c>
    </row>
    <row r="198" spans="1:196" ht="14.7" customHeight="1">
      <c r="A198" s="181" t="s">
        <v>108</v>
      </c>
      <c r="B198" s="181"/>
      <c r="C198">
        <v>532.1</v>
      </c>
      <c r="D198">
        <v>521.29999999999995</v>
      </c>
      <c r="E198">
        <v>507.6</v>
      </c>
      <c r="F198">
        <v>509.7</v>
      </c>
      <c r="G198">
        <v>509.1</v>
      </c>
      <c r="H198">
        <v>504.6</v>
      </c>
      <c r="I198">
        <v>492.5</v>
      </c>
      <c r="J198">
        <v>458</v>
      </c>
      <c r="K198">
        <v>434.9</v>
      </c>
      <c r="L198">
        <v>409.7</v>
      </c>
      <c r="M198">
        <v>0.44400000000000001</v>
      </c>
      <c r="N198">
        <v>0.44600000000000001</v>
      </c>
      <c r="O198">
        <v>0.442</v>
      </c>
      <c r="P198">
        <v>0.44</v>
      </c>
      <c r="Q198">
        <v>0.442</v>
      </c>
      <c r="R198">
        <v>0.44500000000000001</v>
      </c>
      <c r="S198">
        <v>0.44500000000000001</v>
      </c>
      <c r="T198">
        <v>0.45500000000000002</v>
      </c>
      <c r="U198">
        <v>0.45600000000000002</v>
      </c>
      <c r="V198">
        <v>0.495</v>
      </c>
      <c r="W198" t="s">
        <v>901</v>
      </c>
      <c r="X198" t="s">
        <v>901</v>
      </c>
      <c r="Y198" t="s">
        <v>901</v>
      </c>
      <c r="Z198" t="s">
        <v>901</v>
      </c>
      <c r="AA198" t="s">
        <v>901</v>
      </c>
      <c r="AB198" t="s">
        <v>901</v>
      </c>
      <c r="AC198" t="s">
        <v>901</v>
      </c>
      <c r="AD198" t="s">
        <v>901</v>
      </c>
      <c r="AE198" t="s">
        <v>910</v>
      </c>
      <c r="AF198">
        <v>0</v>
      </c>
      <c r="AG198">
        <v>453.7</v>
      </c>
      <c r="AH198">
        <v>450</v>
      </c>
      <c r="AI198">
        <v>425</v>
      </c>
      <c r="AJ198">
        <v>427.8</v>
      </c>
      <c r="AK198">
        <v>427.7</v>
      </c>
      <c r="AL198">
        <v>427.1</v>
      </c>
      <c r="AM198" s="157">
        <v>417</v>
      </c>
      <c r="AN198" s="157">
        <v>395.3</v>
      </c>
      <c r="AO198" s="157">
        <v>378.1</v>
      </c>
      <c r="AP198" s="157">
        <v>383.9</v>
      </c>
    </row>
    <row r="199" spans="1:196" ht="14.7" customHeight="1">
      <c r="A199" s="181" t="s">
        <v>110</v>
      </c>
      <c r="B199" s="181"/>
      <c r="C199">
        <v>524.9</v>
      </c>
      <c r="D199">
        <v>501.5</v>
      </c>
      <c r="E199">
        <v>485.1</v>
      </c>
      <c r="F199">
        <v>510.8</v>
      </c>
      <c r="G199">
        <v>511.4</v>
      </c>
      <c r="H199">
        <v>491.6</v>
      </c>
      <c r="I199">
        <v>492.1</v>
      </c>
      <c r="J199">
        <v>478.1</v>
      </c>
      <c r="K199">
        <v>463.3</v>
      </c>
      <c r="L199">
        <v>465.5</v>
      </c>
      <c r="M199">
        <v>0.42</v>
      </c>
      <c r="N199">
        <v>0.437</v>
      </c>
      <c r="O199">
        <v>0.44700000000000001</v>
      </c>
      <c r="P199">
        <v>0.441</v>
      </c>
      <c r="Q199">
        <v>0.44</v>
      </c>
      <c r="R199">
        <v>0.46200000000000002</v>
      </c>
      <c r="S199">
        <v>0.46300000000000002</v>
      </c>
      <c r="T199">
        <v>0.46600000000000003</v>
      </c>
      <c r="U199">
        <v>0.47199999999999998</v>
      </c>
      <c r="V199">
        <v>0.47</v>
      </c>
      <c r="W199" t="s">
        <v>901</v>
      </c>
      <c r="X199" t="s">
        <v>901</v>
      </c>
      <c r="Y199" t="s">
        <v>901</v>
      </c>
      <c r="Z199" t="s">
        <v>901</v>
      </c>
      <c r="AA199" t="s">
        <v>901</v>
      </c>
      <c r="AB199" t="s">
        <v>901</v>
      </c>
      <c r="AC199" t="s">
        <v>901</v>
      </c>
      <c r="AD199" t="s">
        <v>901</v>
      </c>
      <c r="AE199" t="s">
        <v>910</v>
      </c>
      <c r="AF199">
        <v>0</v>
      </c>
      <c r="AG199">
        <v>406.9</v>
      </c>
      <c r="AH199">
        <v>400.9</v>
      </c>
      <c r="AI199">
        <v>393</v>
      </c>
      <c r="AJ199">
        <v>408.9</v>
      </c>
      <c r="AK199">
        <v>408.7</v>
      </c>
      <c r="AL199">
        <v>409</v>
      </c>
      <c r="AM199" s="157">
        <v>411.1</v>
      </c>
      <c r="AN199" s="157">
        <v>402.9</v>
      </c>
      <c r="AO199" s="157">
        <v>396.2</v>
      </c>
      <c r="AP199" s="157">
        <v>398.8</v>
      </c>
    </row>
    <row r="200" spans="1:196" ht="14.7" customHeight="1">
      <c r="A200" s="181" t="s">
        <v>277</v>
      </c>
      <c r="B200" s="181"/>
      <c r="C200">
        <v>738.3</v>
      </c>
      <c r="D200">
        <v>720.3</v>
      </c>
      <c r="E200">
        <v>696</v>
      </c>
      <c r="F200">
        <v>705.8</v>
      </c>
      <c r="G200">
        <v>720.8</v>
      </c>
      <c r="H200">
        <v>715</v>
      </c>
      <c r="I200">
        <v>740.7</v>
      </c>
      <c r="J200">
        <v>685.5</v>
      </c>
      <c r="K200">
        <v>621.5</v>
      </c>
      <c r="L200">
        <v>627.4</v>
      </c>
      <c r="M200">
        <v>0.33500000000000002</v>
      </c>
      <c r="N200">
        <v>0.33500000000000002</v>
      </c>
      <c r="O200">
        <v>0.32400000000000001</v>
      </c>
      <c r="P200">
        <v>0.315</v>
      </c>
      <c r="Q200">
        <v>0.31900000000000001</v>
      </c>
      <c r="R200">
        <v>0.30299999999999999</v>
      </c>
      <c r="S200">
        <v>0.28899999999999998</v>
      </c>
      <c r="T200">
        <v>0.318</v>
      </c>
      <c r="U200">
        <v>0.35</v>
      </c>
      <c r="V200">
        <v>0.35099999999999998</v>
      </c>
      <c r="W200">
        <v>0.113</v>
      </c>
      <c r="X200">
        <v>7.9000000000000001E-2</v>
      </c>
      <c r="Y200">
        <v>7.3999999999999996E-2</v>
      </c>
      <c r="Z200">
        <v>3.2000000000000001E-2</v>
      </c>
      <c r="AA200">
        <v>7.4999999999999997E-2</v>
      </c>
      <c r="AB200">
        <v>7.1999999999999995E-2</v>
      </c>
      <c r="AC200">
        <v>7.9000000000000001E-2</v>
      </c>
      <c r="AD200">
        <v>6.9000000000000006E-2</v>
      </c>
      <c r="AE200">
        <v>6.4000000000000001E-2</v>
      </c>
      <c r="AF200">
        <v>5.3999999999999999E-2</v>
      </c>
      <c r="AG200">
        <v>501.7</v>
      </c>
      <c r="AH200">
        <v>493.7</v>
      </c>
      <c r="AI200">
        <v>465.2</v>
      </c>
      <c r="AJ200">
        <v>467.1</v>
      </c>
      <c r="AK200">
        <v>479.6</v>
      </c>
      <c r="AL200">
        <v>467.9</v>
      </c>
      <c r="AM200" s="157">
        <v>475.5</v>
      </c>
      <c r="AN200" s="157">
        <v>457.6</v>
      </c>
      <c r="AO200" s="157">
        <v>436</v>
      </c>
      <c r="AP200" s="157">
        <v>444.4</v>
      </c>
    </row>
    <row r="201" spans="1:196" ht="14.7" customHeight="1">
      <c r="A201" s="181" t="s">
        <v>111</v>
      </c>
      <c r="B201" s="181"/>
      <c r="C201">
        <v>450.1</v>
      </c>
      <c r="D201">
        <v>451.3</v>
      </c>
      <c r="E201">
        <v>458</v>
      </c>
      <c r="F201">
        <v>365.5</v>
      </c>
      <c r="G201">
        <v>359</v>
      </c>
      <c r="H201">
        <v>370.8</v>
      </c>
      <c r="I201">
        <v>358.1</v>
      </c>
      <c r="J201">
        <v>368</v>
      </c>
      <c r="K201">
        <v>347.2</v>
      </c>
      <c r="L201">
        <v>337.4</v>
      </c>
      <c r="M201">
        <v>0.5</v>
      </c>
      <c r="N201">
        <v>0.495</v>
      </c>
      <c r="O201">
        <v>0.47299999999999998</v>
      </c>
      <c r="P201">
        <v>0.57299999999999995</v>
      </c>
      <c r="Q201">
        <v>0.58499999999999996</v>
      </c>
      <c r="R201">
        <v>0.57599999999999996</v>
      </c>
      <c r="S201">
        <v>0.58899999999999997</v>
      </c>
      <c r="T201">
        <v>0.57499999999999996</v>
      </c>
      <c r="U201">
        <v>0.56799999999999995</v>
      </c>
      <c r="V201">
        <v>0.57499999999999996</v>
      </c>
      <c r="W201" t="s">
        <v>901</v>
      </c>
      <c r="X201" t="s">
        <v>901</v>
      </c>
      <c r="Y201" t="s">
        <v>901</v>
      </c>
      <c r="Z201" t="s">
        <v>901</v>
      </c>
      <c r="AA201" t="s">
        <v>901</v>
      </c>
      <c r="AB201" t="s">
        <v>901</v>
      </c>
      <c r="AC201" t="s">
        <v>901</v>
      </c>
      <c r="AD201" t="s">
        <v>901</v>
      </c>
      <c r="AE201" t="s">
        <v>910</v>
      </c>
      <c r="AF201">
        <v>0</v>
      </c>
      <c r="AG201">
        <v>402.6</v>
      </c>
      <c r="AH201">
        <v>392.7</v>
      </c>
      <c r="AI201">
        <v>378.2</v>
      </c>
      <c r="AJ201">
        <v>371.9</v>
      </c>
      <c r="AK201">
        <v>375.7</v>
      </c>
      <c r="AL201">
        <v>374.1</v>
      </c>
      <c r="AM201" s="157">
        <v>372.5</v>
      </c>
      <c r="AN201" s="157">
        <v>371.4</v>
      </c>
      <c r="AO201" s="157">
        <v>347.1</v>
      </c>
      <c r="AP201" s="157">
        <v>343.6</v>
      </c>
    </row>
    <row r="202" spans="1:196" ht="14.7" customHeight="1">
      <c r="A202" s="181" t="s">
        <v>112</v>
      </c>
      <c r="B202" s="181"/>
      <c r="C202">
        <v>458.2</v>
      </c>
      <c r="D202">
        <v>448.2</v>
      </c>
      <c r="E202">
        <v>471.1</v>
      </c>
      <c r="F202">
        <v>479.1</v>
      </c>
      <c r="G202">
        <v>488.7</v>
      </c>
      <c r="H202">
        <v>506.7</v>
      </c>
      <c r="I202">
        <v>511.3</v>
      </c>
      <c r="J202">
        <v>520.79999999999995</v>
      </c>
      <c r="K202">
        <v>526.29999999999995</v>
      </c>
      <c r="L202">
        <v>507.9</v>
      </c>
      <c r="M202">
        <v>0.53100000000000003</v>
      </c>
      <c r="N202">
        <v>0.52600000000000002</v>
      </c>
      <c r="O202">
        <v>0.50800000000000001</v>
      </c>
      <c r="P202">
        <v>0.47</v>
      </c>
      <c r="Q202">
        <v>0.47299999999999998</v>
      </c>
      <c r="R202">
        <v>0.46</v>
      </c>
      <c r="S202">
        <v>0.46100000000000002</v>
      </c>
      <c r="T202">
        <v>0.439</v>
      </c>
      <c r="U202">
        <v>0.42699999999999999</v>
      </c>
      <c r="V202">
        <v>0.441</v>
      </c>
      <c r="W202" t="s">
        <v>901</v>
      </c>
      <c r="X202" t="s">
        <v>901</v>
      </c>
      <c r="Y202" t="s">
        <v>901</v>
      </c>
      <c r="Z202" t="s">
        <v>901</v>
      </c>
      <c r="AA202" t="s">
        <v>901</v>
      </c>
      <c r="AB202" t="s">
        <v>901</v>
      </c>
      <c r="AC202" t="s">
        <v>901</v>
      </c>
      <c r="AD202" t="s">
        <v>901</v>
      </c>
      <c r="AE202" t="s">
        <v>910</v>
      </c>
      <c r="AF202">
        <v>0</v>
      </c>
      <c r="AG202">
        <v>442.9</v>
      </c>
      <c r="AH202">
        <v>426.7</v>
      </c>
      <c r="AI202">
        <v>426.1</v>
      </c>
      <c r="AJ202">
        <v>402</v>
      </c>
      <c r="AK202">
        <v>410.2</v>
      </c>
      <c r="AL202">
        <v>410.9</v>
      </c>
      <c r="AM202" s="157">
        <v>415.7</v>
      </c>
      <c r="AN202" s="157">
        <v>405.3</v>
      </c>
      <c r="AO202" s="157">
        <v>403.1</v>
      </c>
      <c r="AP202" s="157">
        <v>399.9</v>
      </c>
    </row>
    <row r="203" spans="1:196" ht="14.7" customHeight="1">
      <c r="A203" s="181" t="s">
        <v>278</v>
      </c>
      <c r="B203" s="181"/>
      <c r="C203">
        <v>578.29999999999995</v>
      </c>
      <c r="D203">
        <v>579.6</v>
      </c>
      <c r="E203">
        <v>621.1</v>
      </c>
      <c r="F203">
        <v>604.5</v>
      </c>
      <c r="G203">
        <v>566.6</v>
      </c>
      <c r="H203">
        <v>591.20000000000005</v>
      </c>
      <c r="I203">
        <v>611.6</v>
      </c>
      <c r="J203">
        <v>582.1</v>
      </c>
      <c r="K203">
        <v>497</v>
      </c>
      <c r="L203">
        <v>497.9</v>
      </c>
      <c r="M203">
        <v>0.51800000000000002</v>
      </c>
      <c r="N203">
        <v>0.47899999999999998</v>
      </c>
      <c r="O203">
        <v>0.439</v>
      </c>
      <c r="P203">
        <v>0.44500000000000001</v>
      </c>
      <c r="Q203">
        <v>0.501</v>
      </c>
      <c r="R203">
        <v>0.48399999999999999</v>
      </c>
      <c r="S203">
        <v>0.47799999999999998</v>
      </c>
      <c r="T203">
        <v>0.48199999999999998</v>
      </c>
      <c r="U203">
        <v>0.55600000000000005</v>
      </c>
      <c r="V203">
        <v>0.54200000000000004</v>
      </c>
      <c r="W203">
        <v>0.49099999999999999</v>
      </c>
      <c r="X203">
        <v>0.50600000000000001</v>
      </c>
      <c r="Y203">
        <v>0.53300000000000003</v>
      </c>
      <c r="Z203">
        <v>0.502</v>
      </c>
      <c r="AA203">
        <v>0.49199999999999999</v>
      </c>
      <c r="AB203">
        <v>0.502</v>
      </c>
      <c r="AC203">
        <v>0.47099999999999997</v>
      </c>
      <c r="AD203">
        <v>0.44900000000000001</v>
      </c>
      <c r="AE203">
        <v>7.0000000000000001E-3</v>
      </c>
      <c r="AF203">
        <v>3.0000000000000001E-3</v>
      </c>
      <c r="AG203">
        <v>545.4</v>
      </c>
      <c r="AH203">
        <v>504.4</v>
      </c>
      <c r="AI203">
        <v>485.4</v>
      </c>
      <c r="AJ203">
        <v>476.7</v>
      </c>
      <c r="AK203">
        <v>496.4</v>
      </c>
      <c r="AL203">
        <v>499.5</v>
      </c>
      <c r="AM203" s="157">
        <v>511.3</v>
      </c>
      <c r="AN203" s="157">
        <v>490.7</v>
      </c>
      <c r="AO203" s="157">
        <v>487.9</v>
      </c>
      <c r="AP203" s="157">
        <v>476.2</v>
      </c>
    </row>
    <row r="204" spans="1:196" ht="14.7" customHeight="1">
      <c r="A204" s="181" t="s">
        <v>113</v>
      </c>
      <c r="B204" s="181"/>
      <c r="C204">
        <v>442.2</v>
      </c>
      <c r="D204">
        <v>436.4</v>
      </c>
      <c r="E204">
        <v>432.3</v>
      </c>
      <c r="F204">
        <v>463.2</v>
      </c>
      <c r="G204">
        <v>463.1</v>
      </c>
      <c r="H204">
        <v>450.2</v>
      </c>
      <c r="I204">
        <v>460.7</v>
      </c>
      <c r="J204">
        <v>448.5</v>
      </c>
      <c r="K204">
        <v>464.8</v>
      </c>
      <c r="L204">
        <v>461</v>
      </c>
      <c r="M204">
        <v>0.44900000000000001</v>
      </c>
      <c r="N204">
        <v>0.42799999999999999</v>
      </c>
      <c r="O204">
        <v>0.43</v>
      </c>
      <c r="P204">
        <v>0.40100000000000002</v>
      </c>
      <c r="Q204">
        <v>0.41399999999999998</v>
      </c>
      <c r="R204">
        <v>0.41799999999999998</v>
      </c>
      <c r="S204">
        <v>0.41899999999999998</v>
      </c>
      <c r="T204">
        <v>0.41599999999999998</v>
      </c>
      <c r="U204">
        <v>0.39300000000000002</v>
      </c>
      <c r="V204">
        <v>0.40799999999999997</v>
      </c>
      <c r="W204" t="s">
        <v>901</v>
      </c>
      <c r="X204" t="s">
        <v>901</v>
      </c>
      <c r="Y204" t="s">
        <v>901</v>
      </c>
      <c r="Z204" t="s">
        <v>901</v>
      </c>
      <c r="AA204" t="s">
        <v>901</v>
      </c>
      <c r="AB204" t="s">
        <v>901</v>
      </c>
      <c r="AC204" t="s">
        <v>901</v>
      </c>
      <c r="AD204" t="s">
        <v>901</v>
      </c>
      <c r="AE204" t="s">
        <v>910</v>
      </c>
      <c r="AF204">
        <v>0</v>
      </c>
      <c r="AG204">
        <v>417.9</v>
      </c>
      <c r="AH204">
        <v>395.7</v>
      </c>
      <c r="AI204">
        <v>394.4</v>
      </c>
      <c r="AJ204">
        <v>402.8</v>
      </c>
      <c r="AK204">
        <v>410.6</v>
      </c>
      <c r="AL204">
        <v>399.3</v>
      </c>
      <c r="AM204" s="157">
        <v>410.3</v>
      </c>
      <c r="AN204" s="157">
        <v>400.2</v>
      </c>
      <c r="AO204" s="157">
        <v>399.5</v>
      </c>
      <c r="AP204" s="157">
        <v>408.4</v>
      </c>
    </row>
    <row r="205" spans="1:196" ht="14.7" customHeight="1">
      <c r="A205" s="181" t="s">
        <v>279</v>
      </c>
      <c r="B205" s="181"/>
      <c r="C205">
        <v>528</v>
      </c>
      <c r="D205">
        <v>450.4</v>
      </c>
      <c r="E205">
        <v>448.6</v>
      </c>
      <c r="F205">
        <v>443</v>
      </c>
      <c r="G205">
        <v>445.9</v>
      </c>
      <c r="H205">
        <v>452.8</v>
      </c>
      <c r="I205">
        <v>485.6</v>
      </c>
      <c r="J205">
        <v>448.3</v>
      </c>
      <c r="K205">
        <v>426.1</v>
      </c>
      <c r="L205">
        <v>399.7</v>
      </c>
      <c r="M205">
        <v>0.51200000000000001</v>
      </c>
      <c r="N205">
        <v>0.59699999999999998</v>
      </c>
      <c r="O205">
        <v>0.58399999999999996</v>
      </c>
      <c r="P205">
        <v>0.58099999999999996</v>
      </c>
      <c r="Q205">
        <v>0.60099999999999998</v>
      </c>
      <c r="R205">
        <v>0.58599999999999997</v>
      </c>
      <c r="S205">
        <v>0.56299999999999994</v>
      </c>
      <c r="T205">
        <v>0.57099999999999995</v>
      </c>
      <c r="U205">
        <v>0.58699999999999997</v>
      </c>
      <c r="V205">
        <v>0.60599999999999998</v>
      </c>
      <c r="W205">
        <v>0.46500000000000002</v>
      </c>
      <c r="X205">
        <v>0.27600000000000002</v>
      </c>
      <c r="Y205">
        <v>0.26700000000000002</v>
      </c>
      <c r="Z205">
        <v>0.23200000000000001</v>
      </c>
      <c r="AA205">
        <v>0.182</v>
      </c>
      <c r="AB205">
        <v>0.19900000000000001</v>
      </c>
      <c r="AC205">
        <v>0.28499999999999998</v>
      </c>
      <c r="AD205">
        <v>0.24</v>
      </c>
      <c r="AE205">
        <v>0.24099999999999999</v>
      </c>
      <c r="AF205">
        <v>0.221</v>
      </c>
      <c r="AG205">
        <v>479.1</v>
      </c>
      <c r="AH205">
        <v>484.1</v>
      </c>
      <c r="AI205">
        <v>490.4</v>
      </c>
      <c r="AJ205">
        <v>480.6</v>
      </c>
      <c r="AK205">
        <v>501</v>
      </c>
      <c r="AL205">
        <v>485.4</v>
      </c>
      <c r="AM205" s="157">
        <v>493.6</v>
      </c>
      <c r="AN205" s="157">
        <v>466.4</v>
      </c>
      <c r="AO205" s="157">
        <v>461.1</v>
      </c>
      <c r="AP205" s="157">
        <v>453.7</v>
      </c>
    </row>
    <row r="206" spans="1:196" ht="14.7" customHeight="1">
      <c r="A206" s="181" t="s">
        <v>239</v>
      </c>
      <c r="B206" s="181"/>
      <c r="C206">
        <v>622.6</v>
      </c>
      <c r="D206">
        <v>603.79999999999995</v>
      </c>
      <c r="E206">
        <v>603.4</v>
      </c>
      <c r="F206">
        <v>590</v>
      </c>
      <c r="G206">
        <v>600</v>
      </c>
      <c r="H206">
        <v>617.5</v>
      </c>
      <c r="I206">
        <v>646.9</v>
      </c>
      <c r="J206">
        <v>628.79999999999995</v>
      </c>
      <c r="K206">
        <v>576.5</v>
      </c>
      <c r="L206">
        <v>544.20000000000005</v>
      </c>
      <c r="M206">
        <v>0.36799999999999999</v>
      </c>
      <c r="N206">
        <v>0.373</v>
      </c>
      <c r="O206">
        <v>0.35599999999999998</v>
      </c>
      <c r="P206">
        <v>0.373</v>
      </c>
      <c r="Q206">
        <v>0.374</v>
      </c>
      <c r="R206">
        <v>0.36599999999999999</v>
      </c>
      <c r="S206">
        <v>0.35199999999999998</v>
      </c>
      <c r="T206">
        <v>0.33400000000000002</v>
      </c>
      <c r="U206">
        <v>0.34399999999999997</v>
      </c>
      <c r="V206">
        <v>0.36899999999999999</v>
      </c>
      <c r="W206">
        <v>0.42699999999999999</v>
      </c>
      <c r="X206">
        <v>0.495</v>
      </c>
      <c r="Y206">
        <v>0.193</v>
      </c>
      <c r="Z206">
        <v>0.08</v>
      </c>
      <c r="AA206">
        <v>8.3000000000000004E-2</v>
      </c>
      <c r="AB206">
        <v>9.7000000000000003E-2</v>
      </c>
      <c r="AC206">
        <v>0.10299999999999999</v>
      </c>
      <c r="AD206">
        <v>4.5999999999999999E-2</v>
      </c>
      <c r="AE206">
        <v>0.11</v>
      </c>
      <c r="AF206">
        <v>2E-3</v>
      </c>
      <c r="AG206">
        <v>471.6</v>
      </c>
      <c r="AH206">
        <v>458.3</v>
      </c>
      <c r="AI206">
        <v>440.9</v>
      </c>
      <c r="AJ206">
        <v>443.8</v>
      </c>
      <c r="AK206">
        <v>450.4</v>
      </c>
      <c r="AL206">
        <v>458.9</v>
      </c>
      <c r="AM206" s="157">
        <v>471.6</v>
      </c>
      <c r="AN206" s="157">
        <v>447</v>
      </c>
      <c r="AO206" s="157">
        <v>416.1</v>
      </c>
      <c r="AP206" s="157">
        <v>409.7</v>
      </c>
    </row>
    <row r="207" spans="1:196" ht="14.7" customHeight="1">
      <c r="A207" s="212" t="s">
        <v>114</v>
      </c>
      <c r="B207" s="212"/>
      <c r="C207">
        <v>690.8</v>
      </c>
      <c r="D207">
        <v>642.9</v>
      </c>
      <c r="E207">
        <v>666.6</v>
      </c>
      <c r="F207">
        <v>601.4</v>
      </c>
      <c r="G207">
        <v>512.6</v>
      </c>
      <c r="H207">
        <v>546.70000000000005</v>
      </c>
      <c r="I207">
        <v>556.70000000000005</v>
      </c>
      <c r="J207">
        <v>550.20000000000005</v>
      </c>
      <c r="K207">
        <v>515.29999999999995</v>
      </c>
      <c r="L207">
        <v>501.7</v>
      </c>
      <c r="M207">
        <v>0.313</v>
      </c>
      <c r="N207">
        <v>0.32700000000000001</v>
      </c>
      <c r="O207">
        <v>0.33700000000000002</v>
      </c>
      <c r="P207">
        <v>0.39800000000000002</v>
      </c>
      <c r="Q207">
        <v>0.48699999999999999</v>
      </c>
      <c r="R207">
        <v>0.45700000000000002</v>
      </c>
      <c r="S207">
        <v>0.46200000000000002</v>
      </c>
      <c r="T207">
        <v>0.45400000000000001</v>
      </c>
      <c r="U207">
        <v>0.45600000000000002</v>
      </c>
      <c r="V207">
        <v>0.47899999999999998</v>
      </c>
      <c r="W207" t="s">
        <v>901</v>
      </c>
      <c r="X207" t="s">
        <v>901</v>
      </c>
      <c r="Y207" t="s">
        <v>901</v>
      </c>
      <c r="Z207" t="s">
        <v>901</v>
      </c>
      <c r="AA207" t="s">
        <v>901</v>
      </c>
      <c r="AB207" t="s">
        <v>901</v>
      </c>
      <c r="AC207" t="s">
        <v>901</v>
      </c>
      <c r="AD207" t="s">
        <v>901</v>
      </c>
      <c r="AE207" t="s">
        <v>910</v>
      </c>
      <c r="AF207">
        <v>0</v>
      </c>
      <c r="AG207">
        <v>434.8</v>
      </c>
      <c r="AH207">
        <v>416.1</v>
      </c>
      <c r="AI207">
        <v>437.4</v>
      </c>
      <c r="AJ207">
        <v>435.7</v>
      </c>
      <c r="AK207">
        <v>436.1</v>
      </c>
      <c r="AL207">
        <v>438.5</v>
      </c>
      <c r="AM207" s="157">
        <v>450.2</v>
      </c>
      <c r="AN207" s="157">
        <v>437.9</v>
      </c>
      <c r="AO207" s="157">
        <v>410.4</v>
      </c>
      <c r="AP207" s="157">
        <v>417.8</v>
      </c>
    </row>
    <row r="208" spans="1:196" s="216" customFormat="1" ht="11.25" customHeight="1">
      <c r="A208" s="213" t="s">
        <v>115</v>
      </c>
      <c r="B208" s="213"/>
      <c r="C208">
        <v>544.70000000000005</v>
      </c>
      <c r="D208">
        <v>516.70000000000005</v>
      </c>
      <c r="E208">
        <v>518.5</v>
      </c>
      <c r="F208">
        <v>520.70000000000005</v>
      </c>
      <c r="G208">
        <v>511.3</v>
      </c>
      <c r="H208">
        <v>516</v>
      </c>
      <c r="I208">
        <v>524.20000000000005</v>
      </c>
      <c r="J208">
        <v>515.70000000000005</v>
      </c>
      <c r="K208">
        <v>516</v>
      </c>
      <c r="L208">
        <v>496.8</v>
      </c>
      <c r="M208">
        <v>0.45700000000000002</v>
      </c>
      <c r="N208">
        <v>0.46100000000000002</v>
      </c>
      <c r="O208">
        <v>0.46500000000000002</v>
      </c>
      <c r="P208">
        <v>0.46400000000000002</v>
      </c>
      <c r="Q208">
        <v>0.46600000000000003</v>
      </c>
      <c r="R208">
        <v>0.46500000000000002</v>
      </c>
      <c r="S208">
        <v>0.46700000000000003</v>
      </c>
      <c r="T208">
        <v>0.45900000000000002</v>
      </c>
      <c r="U208">
        <v>0.45</v>
      </c>
      <c r="V208">
        <v>0.46300000000000002</v>
      </c>
      <c r="W208" t="s">
        <v>901</v>
      </c>
      <c r="X208" t="s">
        <v>901</v>
      </c>
      <c r="Y208" t="s">
        <v>901</v>
      </c>
      <c r="Z208" t="s">
        <v>901</v>
      </c>
      <c r="AA208" t="s">
        <v>901</v>
      </c>
      <c r="AB208" t="s">
        <v>901</v>
      </c>
      <c r="AC208" t="s">
        <v>901</v>
      </c>
      <c r="AD208" t="s">
        <v>901</v>
      </c>
      <c r="AE208" t="s">
        <v>910</v>
      </c>
      <c r="AF208">
        <v>0</v>
      </c>
      <c r="AG208">
        <v>444.1</v>
      </c>
      <c r="AH208">
        <v>425.4</v>
      </c>
      <c r="AI208">
        <v>421.2</v>
      </c>
      <c r="AJ208">
        <v>424.2</v>
      </c>
      <c r="AK208">
        <v>415.4</v>
      </c>
      <c r="AL208">
        <v>413.5</v>
      </c>
      <c r="AM208" s="214">
        <v>422.8</v>
      </c>
      <c r="AN208" s="214">
        <v>410.7</v>
      </c>
      <c r="AO208" s="214">
        <v>405.8</v>
      </c>
      <c r="AP208" s="214">
        <v>401</v>
      </c>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5"/>
      <c r="BM208" s="215"/>
      <c r="BN208" s="215"/>
      <c r="BO208" s="214"/>
      <c r="BP208" s="214"/>
      <c r="BQ208" s="214"/>
      <c r="BR208" s="214"/>
      <c r="BS208" s="214"/>
      <c r="BT208" s="214"/>
      <c r="BU208" s="214"/>
      <c r="BV208" s="214"/>
      <c r="BW208" s="214"/>
      <c r="BX208" s="214"/>
      <c r="BY208" s="214"/>
      <c r="BZ208" s="214"/>
      <c r="CA208" s="214"/>
      <c r="CB208" s="214"/>
      <c r="CC208" s="214"/>
      <c r="CD208" s="214"/>
      <c r="CE208" s="214"/>
      <c r="CF208" s="214"/>
      <c r="CG208" s="214"/>
      <c r="CH208" s="214"/>
      <c r="CI208" s="214"/>
      <c r="CJ208" s="214"/>
      <c r="CK208" s="214"/>
      <c r="CL208" s="214"/>
      <c r="CM208" s="214"/>
      <c r="CN208" s="214"/>
      <c r="CO208" s="214"/>
      <c r="CP208" s="214"/>
      <c r="CQ208" s="214"/>
      <c r="CR208" s="214"/>
      <c r="CS208" s="214"/>
      <c r="CT208" s="214"/>
      <c r="CU208" s="214"/>
      <c r="CV208" s="214"/>
      <c r="CW208" s="214"/>
      <c r="CX208" s="214"/>
      <c r="CY208" s="214"/>
      <c r="CZ208" s="214"/>
      <c r="DA208" s="214"/>
      <c r="DB208" s="214"/>
      <c r="DC208" s="214"/>
      <c r="DD208" s="214"/>
      <c r="DE208" s="214"/>
      <c r="DF208" s="214"/>
      <c r="DG208" s="214"/>
      <c r="DH208" s="214"/>
      <c r="DI208" s="214"/>
      <c r="DJ208" s="214"/>
      <c r="DK208" s="214"/>
      <c r="DL208" s="214"/>
      <c r="DM208" s="214"/>
      <c r="DN208" s="214"/>
      <c r="DO208" s="214"/>
      <c r="DP208" s="214"/>
      <c r="DQ208" s="214"/>
      <c r="DR208" s="214"/>
      <c r="DS208" s="214"/>
      <c r="DT208" s="214"/>
      <c r="DU208" s="214"/>
      <c r="DV208" s="214"/>
      <c r="DW208" s="214"/>
      <c r="DX208" s="214"/>
      <c r="DY208" s="214"/>
      <c r="DZ208" s="214"/>
      <c r="EA208" s="214"/>
      <c r="EB208" s="214"/>
      <c r="EC208" s="214"/>
      <c r="ED208" s="214"/>
      <c r="EE208" s="214"/>
      <c r="EF208" s="214"/>
      <c r="EG208" s="214"/>
      <c r="EH208" s="214"/>
      <c r="EI208" s="214"/>
      <c r="EJ208" s="214"/>
      <c r="EK208" s="214"/>
      <c r="EL208" s="214"/>
      <c r="EM208" s="214"/>
      <c r="EN208" s="214"/>
      <c r="EO208" s="214"/>
      <c r="EP208" s="214"/>
      <c r="EQ208" s="214"/>
      <c r="ER208" s="214"/>
      <c r="ES208" s="214"/>
      <c r="ET208" s="214"/>
      <c r="EU208" s="214"/>
      <c r="EV208" s="214"/>
      <c r="EW208" s="214"/>
      <c r="EX208" s="214"/>
      <c r="EY208" s="214"/>
      <c r="EZ208" s="214"/>
      <c r="FA208" s="214"/>
      <c r="FB208" s="214"/>
      <c r="FC208" s="214"/>
      <c r="FD208" s="214"/>
      <c r="FE208" s="214"/>
      <c r="FF208" s="214"/>
      <c r="FG208" s="214"/>
      <c r="FH208" s="214"/>
      <c r="FI208" s="214"/>
      <c r="FJ208" s="214"/>
      <c r="FK208" s="214"/>
      <c r="FL208" s="214"/>
      <c r="FM208" s="214"/>
      <c r="FN208" s="214"/>
      <c r="FO208" s="214"/>
      <c r="FP208" s="214"/>
      <c r="FQ208" s="214"/>
      <c r="FR208" s="214"/>
      <c r="FS208" s="214"/>
      <c r="FT208" s="215"/>
      <c r="FU208" s="214"/>
      <c r="FV208" s="214"/>
      <c r="FW208" s="214"/>
      <c r="FX208" s="214"/>
      <c r="FY208" s="214"/>
      <c r="FZ208" s="214"/>
      <c r="GA208" s="214"/>
      <c r="GB208" s="214"/>
      <c r="GC208" s="214"/>
      <c r="GD208" s="214"/>
      <c r="GE208" s="214"/>
      <c r="GF208" s="214"/>
      <c r="GG208" s="214"/>
      <c r="GH208" s="214"/>
      <c r="GI208" s="214"/>
      <c r="GJ208" s="214"/>
      <c r="GK208" s="214"/>
      <c r="GL208" s="214"/>
      <c r="GM208" s="214"/>
      <c r="GN208" s="214"/>
    </row>
    <row r="209" spans="1:42" ht="14.7" customHeight="1">
      <c r="A209" s="161" t="s">
        <v>321</v>
      </c>
      <c r="B209" s="233"/>
      <c r="C209">
        <v>612.79999999999995</v>
      </c>
      <c r="D209">
        <v>588.79999999999995</v>
      </c>
      <c r="E209">
        <v>585.79999999999995</v>
      </c>
      <c r="F209">
        <v>580</v>
      </c>
      <c r="G209">
        <v>561.1</v>
      </c>
      <c r="H209">
        <v>559.20000000000005</v>
      </c>
      <c r="I209">
        <v>568</v>
      </c>
      <c r="J209">
        <v>554.4</v>
      </c>
      <c r="K209">
        <v>572.29999999999995</v>
      </c>
      <c r="L209">
        <v>525.5</v>
      </c>
      <c r="M209">
        <v>0.45100000000000001</v>
      </c>
      <c r="N209">
        <v>0.46200000000000002</v>
      </c>
      <c r="O209">
        <v>0.45700000000000002</v>
      </c>
      <c r="P209">
        <v>0.46899999999999997</v>
      </c>
      <c r="Q209">
        <v>0.48199999999999998</v>
      </c>
      <c r="R209">
        <v>0.48099999999999998</v>
      </c>
      <c r="S209">
        <v>0.46700000000000003</v>
      </c>
      <c r="T209">
        <v>0.44800000000000001</v>
      </c>
      <c r="U209">
        <v>0.436</v>
      </c>
      <c r="V209">
        <v>0.47399999999999998</v>
      </c>
      <c r="W209">
        <v>0.58299999999999996</v>
      </c>
      <c r="X209">
        <v>0.57099999999999995</v>
      </c>
      <c r="Y209">
        <v>0.56899999999999995</v>
      </c>
      <c r="Z209">
        <v>0.498</v>
      </c>
      <c r="AA209">
        <v>0.44500000000000001</v>
      </c>
      <c r="AB209">
        <v>0.42899999999999999</v>
      </c>
      <c r="AC209">
        <v>0.36099999999999999</v>
      </c>
      <c r="AD209">
        <v>0.19</v>
      </c>
      <c r="AE209">
        <v>8.7999999999999995E-2</v>
      </c>
      <c r="AF209">
        <v>8.6999999999999994E-2</v>
      </c>
      <c r="AG209">
        <v>510.5</v>
      </c>
      <c r="AH209">
        <v>499.7</v>
      </c>
      <c r="AI209">
        <v>493</v>
      </c>
      <c r="AJ209">
        <v>499.5</v>
      </c>
      <c r="AK209">
        <v>497.2</v>
      </c>
      <c r="AL209">
        <v>495.5</v>
      </c>
      <c r="AM209" s="157">
        <v>493.4</v>
      </c>
      <c r="AN209" s="157">
        <v>464.5</v>
      </c>
      <c r="AO209" s="157">
        <v>471.8</v>
      </c>
      <c r="AP209" s="157">
        <v>465.8</v>
      </c>
    </row>
    <row r="210" spans="1:42" ht="14.7" customHeight="1">
      <c r="A210" s="192" t="s">
        <v>116</v>
      </c>
      <c r="B210" s="233"/>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v>0.41599999999999998</v>
      </c>
      <c r="R210">
        <v>0.40300000000000002</v>
      </c>
      <c r="S210">
        <v>0.41499999999999998</v>
      </c>
      <c r="T210">
        <v>0.39900000000000002</v>
      </c>
      <c r="U210">
        <v>0.39300000000000002</v>
      </c>
      <c r="V210">
        <v>0.40200000000000002</v>
      </c>
      <c r="W210" t="s">
        <v>901</v>
      </c>
      <c r="X210" t="s">
        <v>901</v>
      </c>
      <c r="Y210" t="s">
        <v>901</v>
      </c>
      <c r="Z210" t="s">
        <v>901</v>
      </c>
      <c r="AA210" t="s">
        <v>901</v>
      </c>
      <c r="AB210" t="s">
        <v>901</v>
      </c>
      <c r="AC210" t="s">
        <v>901</v>
      </c>
      <c r="AD210" t="s">
        <v>901</v>
      </c>
      <c r="AE210" t="s">
        <v>910</v>
      </c>
      <c r="AF210">
        <v>0</v>
      </c>
      <c r="AG210">
        <v>368.4</v>
      </c>
      <c r="AH210">
        <v>366.6</v>
      </c>
      <c r="AI210">
        <v>383.2</v>
      </c>
      <c r="AJ210">
        <v>357.5</v>
      </c>
      <c r="AK210">
        <v>362.4</v>
      </c>
      <c r="AL210">
        <v>353.8</v>
      </c>
      <c r="AM210" s="157">
        <v>362.6</v>
      </c>
      <c r="AN210" s="157">
        <v>355.5</v>
      </c>
      <c r="AO210" s="157">
        <v>365.2</v>
      </c>
      <c r="AP210" s="157">
        <v>357.3</v>
      </c>
    </row>
    <row r="211" spans="1:42" ht="14.7" customHeight="1">
      <c r="A211" s="161" t="s">
        <v>322</v>
      </c>
      <c r="B211" s="233"/>
      <c r="C211">
        <v>628.29999999999995</v>
      </c>
      <c r="D211">
        <v>585.29999999999995</v>
      </c>
      <c r="E211">
        <v>562.29999999999995</v>
      </c>
      <c r="F211">
        <v>575.29999999999995</v>
      </c>
      <c r="G211">
        <v>576.6</v>
      </c>
      <c r="H211">
        <v>582</v>
      </c>
      <c r="I211">
        <v>554.70000000000005</v>
      </c>
      <c r="J211">
        <v>562.20000000000005</v>
      </c>
      <c r="K211">
        <v>550.4</v>
      </c>
      <c r="L211">
        <v>536.20000000000005</v>
      </c>
      <c r="M211">
        <v>0.432</v>
      </c>
      <c r="N211">
        <v>0.44500000000000001</v>
      </c>
      <c r="O211">
        <v>0.46200000000000002</v>
      </c>
      <c r="P211">
        <v>0.45700000000000002</v>
      </c>
      <c r="Q211">
        <v>0.46800000000000003</v>
      </c>
      <c r="R211">
        <v>0.46</v>
      </c>
      <c r="S211">
        <v>0.502</v>
      </c>
      <c r="T211">
        <v>0.48099999999999998</v>
      </c>
      <c r="U211">
        <v>0.47699999999999998</v>
      </c>
      <c r="V211">
        <v>0.47799999999999998</v>
      </c>
      <c r="W211">
        <v>0.50900000000000001</v>
      </c>
      <c r="X211">
        <v>0.48599999999999999</v>
      </c>
      <c r="Y211">
        <v>0.47</v>
      </c>
      <c r="Z211">
        <v>0.48299999999999998</v>
      </c>
      <c r="AA211">
        <v>0.43099999999999999</v>
      </c>
      <c r="AB211">
        <v>0.24099999999999999</v>
      </c>
      <c r="AC211">
        <v>0.123</v>
      </c>
      <c r="AD211">
        <v>0.14199999999999999</v>
      </c>
      <c r="AE211">
        <v>0.19400000000000001</v>
      </c>
      <c r="AF211">
        <v>0.153</v>
      </c>
      <c r="AG211">
        <v>477.8</v>
      </c>
      <c r="AH211">
        <v>460.7</v>
      </c>
      <c r="AI211">
        <v>453.8</v>
      </c>
      <c r="AJ211">
        <v>458.7</v>
      </c>
      <c r="AK211">
        <v>465.7</v>
      </c>
      <c r="AL211">
        <v>457.4</v>
      </c>
      <c r="AM211" s="157">
        <v>471.7</v>
      </c>
      <c r="AN211" s="157">
        <v>460</v>
      </c>
      <c r="AO211" s="157">
        <v>452.9</v>
      </c>
      <c r="AP211" s="157">
        <v>441.4</v>
      </c>
    </row>
    <row r="212" spans="1:42" ht="14.7" customHeight="1">
      <c r="A212" s="161" t="s">
        <v>323</v>
      </c>
      <c r="B212" s="233"/>
      <c r="C212">
        <v>630.29999999999995</v>
      </c>
      <c r="D212">
        <v>605.5</v>
      </c>
      <c r="E212">
        <v>591.70000000000005</v>
      </c>
      <c r="F212">
        <v>591.6</v>
      </c>
      <c r="G212">
        <v>609</v>
      </c>
      <c r="H212">
        <v>628.1</v>
      </c>
      <c r="I212">
        <v>625.70000000000005</v>
      </c>
      <c r="J212">
        <v>634.6</v>
      </c>
      <c r="K212">
        <v>638.4</v>
      </c>
      <c r="L212">
        <v>632.9</v>
      </c>
      <c r="M212">
        <v>0.39400000000000002</v>
      </c>
      <c r="N212">
        <v>0.40799999999999997</v>
      </c>
      <c r="O212">
        <v>0.40200000000000002</v>
      </c>
      <c r="P212">
        <v>0.40200000000000002</v>
      </c>
      <c r="Q212">
        <v>0.39600000000000002</v>
      </c>
      <c r="R212">
        <v>0.38100000000000001</v>
      </c>
      <c r="S212">
        <v>0.377</v>
      </c>
      <c r="T212">
        <v>0.36199999999999999</v>
      </c>
      <c r="U212">
        <v>0.35899999999999999</v>
      </c>
      <c r="V212">
        <v>0.36</v>
      </c>
      <c r="W212">
        <v>0.114</v>
      </c>
      <c r="X212">
        <v>0.35599999999999998</v>
      </c>
      <c r="Y212">
        <v>6.3E-2</v>
      </c>
      <c r="Z212">
        <v>8.1000000000000003E-2</v>
      </c>
      <c r="AA212">
        <v>5.2999999999999999E-2</v>
      </c>
      <c r="AB212">
        <v>0.14799999999999999</v>
      </c>
      <c r="AC212">
        <v>0.13500000000000001</v>
      </c>
      <c r="AD212">
        <v>0.14699999999999999</v>
      </c>
      <c r="AE212">
        <v>8.8999999999999996E-2</v>
      </c>
      <c r="AF212">
        <v>0.157</v>
      </c>
      <c r="AG212">
        <v>484.5</v>
      </c>
      <c r="AH212">
        <v>475</v>
      </c>
      <c r="AI212">
        <v>457.5</v>
      </c>
      <c r="AJ212">
        <v>459.4</v>
      </c>
      <c r="AK212">
        <v>468.8</v>
      </c>
      <c r="AL212">
        <v>475.4</v>
      </c>
      <c r="AM212" s="157">
        <v>473.4</v>
      </c>
      <c r="AN212" s="157">
        <v>468.5</v>
      </c>
      <c r="AO212" s="157">
        <v>470.9</v>
      </c>
      <c r="AP212" s="157">
        <v>469.6</v>
      </c>
    </row>
    <row r="213" spans="1:42" ht="14.7" customHeight="1">
      <c r="A213" s="161" t="s">
        <v>117</v>
      </c>
      <c r="B213" s="233"/>
      <c r="C213">
        <v>430.1</v>
      </c>
      <c r="D213">
        <v>396.5</v>
      </c>
      <c r="E213">
        <v>426.2</v>
      </c>
      <c r="F213">
        <v>440.3</v>
      </c>
      <c r="G213">
        <v>445.9</v>
      </c>
      <c r="H213">
        <v>430.9</v>
      </c>
      <c r="I213">
        <v>429.1</v>
      </c>
      <c r="J213">
        <v>430.6</v>
      </c>
      <c r="K213">
        <v>407.6</v>
      </c>
      <c r="L213">
        <v>404.1</v>
      </c>
      <c r="M213">
        <v>0.379</v>
      </c>
      <c r="N213">
        <v>0.40600000000000003</v>
      </c>
      <c r="O213">
        <v>0.37</v>
      </c>
      <c r="P213">
        <v>0.35099999999999998</v>
      </c>
      <c r="Q213">
        <v>0.35</v>
      </c>
      <c r="R213">
        <v>0.38300000000000001</v>
      </c>
      <c r="S213">
        <v>0.38300000000000001</v>
      </c>
      <c r="T213">
        <v>0.377</v>
      </c>
      <c r="U213">
        <v>0.38300000000000001</v>
      </c>
      <c r="V213">
        <v>0.39400000000000002</v>
      </c>
      <c r="W213" t="s">
        <v>901</v>
      </c>
      <c r="X213" t="s">
        <v>901</v>
      </c>
      <c r="Y213" t="s">
        <v>901</v>
      </c>
      <c r="Z213" t="s">
        <v>901</v>
      </c>
      <c r="AA213" t="s">
        <v>901</v>
      </c>
      <c r="AB213" t="s">
        <v>901</v>
      </c>
      <c r="AC213" t="s">
        <v>901</v>
      </c>
      <c r="AD213" t="s">
        <v>901</v>
      </c>
      <c r="AE213" t="s">
        <v>910</v>
      </c>
      <c r="AF213">
        <v>0</v>
      </c>
      <c r="AG213">
        <v>327.3</v>
      </c>
      <c r="AH213">
        <v>296.7</v>
      </c>
      <c r="AI213">
        <v>327.39999999999998</v>
      </c>
      <c r="AJ213">
        <v>324.5</v>
      </c>
      <c r="AK213">
        <v>326.10000000000002</v>
      </c>
      <c r="AL213">
        <v>325.5</v>
      </c>
      <c r="AM213" s="157">
        <v>320.8</v>
      </c>
      <c r="AN213" s="157">
        <v>322.39999999999998</v>
      </c>
      <c r="AO213" s="157">
        <v>308.2</v>
      </c>
      <c r="AP213" s="157">
        <v>316.3</v>
      </c>
    </row>
    <row r="214" spans="1:42" ht="14.7" customHeight="1">
      <c r="A214" s="161" t="s">
        <v>280</v>
      </c>
      <c r="B214" s="233"/>
      <c r="C214">
        <v>567.29999999999995</v>
      </c>
      <c r="D214">
        <v>566.5</v>
      </c>
      <c r="E214">
        <v>590.20000000000005</v>
      </c>
      <c r="F214">
        <v>576.20000000000005</v>
      </c>
      <c r="G214">
        <v>557.29999999999995</v>
      </c>
      <c r="H214">
        <v>578.9</v>
      </c>
      <c r="I214">
        <v>588.79999999999995</v>
      </c>
      <c r="J214">
        <v>582</v>
      </c>
      <c r="K214">
        <v>604.20000000000005</v>
      </c>
      <c r="L214">
        <v>606.70000000000005</v>
      </c>
      <c r="M214">
        <v>0.35599999999999998</v>
      </c>
      <c r="N214">
        <v>0.33100000000000002</v>
      </c>
      <c r="O214">
        <v>0.316</v>
      </c>
      <c r="P214">
        <v>0.32900000000000001</v>
      </c>
      <c r="Q214">
        <v>0.32900000000000001</v>
      </c>
      <c r="R214">
        <v>0.30599999999999999</v>
      </c>
      <c r="S214">
        <v>0.29799999999999999</v>
      </c>
      <c r="T214">
        <v>0.29899999999999999</v>
      </c>
      <c r="U214">
        <v>0.26500000000000001</v>
      </c>
      <c r="V214">
        <v>0.26200000000000001</v>
      </c>
      <c r="W214">
        <v>0.14099999999999999</v>
      </c>
      <c r="X214">
        <v>0.14799999999999999</v>
      </c>
      <c r="Y214">
        <v>0.13400000000000001</v>
      </c>
      <c r="Z214">
        <v>9.8000000000000004E-2</v>
      </c>
      <c r="AA214">
        <v>9.2999999999999999E-2</v>
      </c>
      <c r="AB214">
        <v>6.4000000000000001E-2</v>
      </c>
      <c r="AC214">
        <v>8.7999999999999995E-2</v>
      </c>
      <c r="AD214">
        <v>0.112</v>
      </c>
      <c r="AE214">
        <v>6.8000000000000005E-2</v>
      </c>
      <c r="AF214">
        <v>5.2999999999999999E-2</v>
      </c>
      <c r="AG214">
        <v>398</v>
      </c>
      <c r="AH214">
        <v>366.2</v>
      </c>
      <c r="AI214">
        <v>377.7</v>
      </c>
      <c r="AJ214">
        <v>370.8</v>
      </c>
      <c r="AK214">
        <v>357.5</v>
      </c>
      <c r="AL214">
        <v>351</v>
      </c>
      <c r="AM214" s="157">
        <v>348</v>
      </c>
      <c r="AN214" s="157">
        <v>342.6</v>
      </c>
      <c r="AO214" s="157">
        <v>342.8</v>
      </c>
      <c r="AP214" s="157">
        <v>343.8</v>
      </c>
    </row>
    <row r="215" spans="1:42" ht="14.7" customHeight="1">
      <c r="A215" s="161" t="s">
        <v>324</v>
      </c>
      <c r="B215" s="233"/>
      <c r="C215">
        <v>613.9</v>
      </c>
      <c r="D215">
        <v>588.20000000000005</v>
      </c>
      <c r="E215">
        <v>583.6</v>
      </c>
      <c r="F215">
        <v>585</v>
      </c>
      <c r="G215">
        <v>595.20000000000005</v>
      </c>
      <c r="H215">
        <v>604.6</v>
      </c>
      <c r="I215">
        <v>592</v>
      </c>
      <c r="J215">
        <v>582.4</v>
      </c>
      <c r="K215">
        <v>586.29999999999995</v>
      </c>
      <c r="L215">
        <v>595.29999999999995</v>
      </c>
      <c r="M215">
        <v>0.434</v>
      </c>
      <c r="N215">
        <v>0.42799999999999999</v>
      </c>
      <c r="O215">
        <v>0.42699999999999999</v>
      </c>
      <c r="P215">
        <v>0.433</v>
      </c>
      <c r="Q215">
        <v>0.42799999999999999</v>
      </c>
      <c r="R215">
        <v>0.42499999999999999</v>
      </c>
      <c r="S215">
        <v>0.442</v>
      </c>
      <c r="T215">
        <v>0.437</v>
      </c>
      <c r="U215">
        <v>0.432</v>
      </c>
      <c r="V215">
        <v>0.42899999999999999</v>
      </c>
      <c r="W215">
        <v>0.39900000000000002</v>
      </c>
      <c r="X215">
        <v>0.38800000000000001</v>
      </c>
      <c r="Y215">
        <v>0.39600000000000002</v>
      </c>
      <c r="Z215">
        <v>0.377</v>
      </c>
      <c r="AA215">
        <v>0.28899999999999998</v>
      </c>
      <c r="AB215">
        <v>8.4000000000000005E-2</v>
      </c>
      <c r="AC215">
        <v>8.8999999999999996E-2</v>
      </c>
      <c r="AD215">
        <v>0.06</v>
      </c>
      <c r="AE215">
        <v>4.8000000000000001E-2</v>
      </c>
      <c r="AF215">
        <v>5.0999999999999997E-2</v>
      </c>
      <c r="AG215">
        <v>487.9</v>
      </c>
      <c r="AH215">
        <v>461.5</v>
      </c>
      <c r="AI215">
        <v>454.7</v>
      </c>
      <c r="AJ215">
        <v>460.7</v>
      </c>
      <c r="AK215">
        <v>463</v>
      </c>
      <c r="AL215">
        <v>464.1</v>
      </c>
      <c r="AM215" s="157">
        <v>468.2</v>
      </c>
      <c r="AN215" s="157">
        <v>456.3</v>
      </c>
      <c r="AO215" s="157">
        <v>455.2</v>
      </c>
      <c r="AP215" s="157">
        <v>460.6</v>
      </c>
    </row>
    <row r="216" spans="1:42" ht="14.7" customHeight="1">
      <c r="A216" s="161" t="s">
        <v>927</v>
      </c>
      <c r="B216" s="233"/>
      <c r="C216">
        <v>644</v>
      </c>
      <c r="D216">
        <v>559.9</v>
      </c>
      <c r="E216">
        <v>466.6</v>
      </c>
      <c r="F216">
        <v>489</v>
      </c>
      <c r="G216">
        <v>485.9</v>
      </c>
      <c r="H216">
        <v>496</v>
      </c>
      <c r="I216">
        <v>494.8</v>
      </c>
      <c r="J216">
        <v>491.4</v>
      </c>
      <c r="K216">
        <v>481</v>
      </c>
      <c r="L216">
        <v>504.3</v>
      </c>
      <c r="M216">
        <v>0.32700000000000001</v>
      </c>
      <c r="N216">
        <v>0.36</v>
      </c>
      <c r="O216">
        <v>0.44900000000000001</v>
      </c>
      <c r="P216">
        <v>0.45</v>
      </c>
      <c r="Q216">
        <v>0.44900000000000001</v>
      </c>
      <c r="R216">
        <v>0.436</v>
      </c>
      <c r="S216">
        <v>0.438</v>
      </c>
      <c r="T216">
        <v>0.42899999999999999</v>
      </c>
      <c r="U216">
        <v>0.434</v>
      </c>
      <c r="V216">
        <v>0.38</v>
      </c>
      <c r="W216" t="s">
        <v>901</v>
      </c>
      <c r="X216" t="s">
        <v>901</v>
      </c>
      <c r="Y216" t="s">
        <v>901</v>
      </c>
      <c r="Z216" t="s">
        <v>901</v>
      </c>
      <c r="AA216" t="s">
        <v>901</v>
      </c>
      <c r="AB216" t="s">
        <v>901</v>
      </c>
      <c r="AC216" t="s">
        <v>901</v>
      </c>
      <c r="AD216" t="s">
        <v>901</v>
      </c>
      <c r="AE216" t="s">
        <v>910</v>
      </c>
      <c r="AF216">
        <v>0</v>
      </c>
      <c r="AG216">
        <v>426.6</v>
      </c>
      <c r="AH216">
        <v>390.1</v>
      </c>
      <c r="AI216">
        <v>369</v>
      </c>
      <c r="AJ216">
        <v>388</v>
      </c>
      <c r="AK216">
        <v>384.4</v>
      </c>
      <c r="AL216">
        <v>384.3</v>
      </c>
      <c r="AM216" s="157">
        <v>386.1</v>
      </c>
      <c r="AN216" s="157">
        <v>375.7</v>
      </c>
      <c r="AO216" s="157">
        <v>372.9</v>
      </c>
      <c r="AP216" s="157">
        <v>357.8</v>
      </c>
    </row>
    <row r="217" spans="1:42" ht="14.7" customHeight="1">
      <c r="A217" s="161" t="s">
        <v>928</v>
      </c>
      <c r="B217" s="233"/>
      <c r="C217">
        <v>398.2</v>
      </c>
      <c r="D217">
        <v>345.7</v>
      </c>
      <c r="E217">
        <v>349.6</v>
      </c>
      <c r="F217">
        <v>356.9</v>
      </c>
      <c r="G217">
        <v>361.6</v>
      </c>
      <c r="H217">
        <v>353.8</v>
      </c>
      <c r="I217">
        <v>375.9</v>
      </c>
      <c r="J217">
        <v>386.9</v>
      </c>
      <c r="K217">
        <v>391.1</v>
      </c>
      <c r="L217">
        <v>410.3</v>
      </c>
      <c r="M217">
        <v>0.45300000000000001</v>
      </c>
      <c r="N217">
        <v>0.51100000000000001</v>
      </c>
      <c r="O217">
        <v>0.52700000000000002</v>
      </c>
      <c r="P217">
        <v>0.503</v>
      </c>
      <c r="Q217">
        <v>0.48799999999999999</v>
      </c>
      <c r="R217">
        <v>0.48599999999999999</v>
      </c>
      <c r="S217">
        <v>0.48299999999999998</v>
      </c>
      <c r="T217">
        <v>0.45100000000000001</v>
      </c>
      <c r="U217">
        <v>0.434</v>
      </c>
      <c r="V217">
        <v>0.443</v>
      </c>
      <c r="W217" t="s">
        <v>901</v>
      </c>
      <c r="X217" t="s">
        <v>901</v>
      </c>
      <c r="Y217" t="s">
        <v>901</v>
      </c>
      <c r="Z217" t="s">
        <v>901</v>
      </c>
      <c r="AA217" t="s">
        <v>901</v>
      </c>
      <c r="AB217" t="s">
        <v>901</v>
      </c>
      <c r="AC217" t="s">
        <v>901</v>
      </c>
      <c r="AD217" t="s">
        <v>901</v>
      </c>
      <c r="AE217" t="s">
        <v>910</v>
      </c>
      <c r="AF217">
        <v>0</v>
      </c>
      <c r="AG217">
        <v>287.39999999999998</v>
      </c>
      <c r="AH217">
        <v>273.8</v>
      </c>
      <c r="AI217">
        <v>299.2</v>
      </c>
      <c r="AJ217">
        <v>291</v>
      </c>
      <c r="AK217">
        <v>286.39999999999998</v>
      </c>
      <c r="AL217">
        <v>281.2</v>
      </c>
      <c r="AM217" s="157">
        <v>299.39999999999998</v>
      </c>
      <c r="AN217" s="157">
        <v>286.8</v>
      </c>
      <c r="AO217" s="157">
        <v>281.2</v>
      </c>
      <c r="AP217" s="157">
        <v>301.5</v>
      </c>
    </row>
    <row r="218" spans="1:42" ht="14.7" customHeight="1">
      <c r="A218" s="161" t="s">
        <v>240</v>
      </c>
      <c r="B218" s="233"/>
      <c r="C218">
        <v>505.9</v>
      </c>
      <c r="D218">
        <v>501.2</v>
      </c>
      <c r="E218">
        <v>500.6</v>
      </c>
      <c r="F218">
        <v>508</v>
      </c>
      <c r="G218">
        <v>487.9</v>
      </c>
      <c r="H218">
        <v>503.7</v>
      </c>
      <c r="I218">
        <v>463.8</v>
      </c>
      <c r="J218">
        <v>426.7</v>
      </c>
      <c r="K218">
        <v>443.4</v>
      </c>
      <c r="L218">
        <v>430.1</v>
      </c>
      <c r="M218">
        <v>0.38900000000000001</v>
      </c>
      <c r="N218">
        <v>0.39200000000000002</v>
      </c>
      <c r="O218">
        <v>0.36</v>
      </c>
      <c r="P218">
        <v>0.35799999999999998</v>
      </c>
      <c r="Q218">
        <v>0.37</v>
      </c>
      <c r="R218">
        <v>0.36599999999999999</v>
      </c>
      <c r="S218">
        <v>0.39700000000000002</v>
      </c>
      <c r="T218">
        <v>0.42099999999999999</v>
      </c>
      <c r="U218">
        <v>0.4</v>
      </c>
      <c r="V218">
        <v>0.42199999999999999</v>
      </c>
      <c r="W218" t="s">
        <v>901</v>
      </c>
      <c r="X218" t="s">
        <v>901</v>
      </c>
      <c r="Y218" t="s">
        <v>901</v>
      </c>
      <c r="Z218" t="s">
        <v>901</v>
      </c>
      <c r="AA218" t="s">
        <v>901</v>
      </c>
      <c r="AB218" t="s">
        <v>901</v>
      </c>
      <c r="AC218" t="s">
        <v>901</v>
      </c>
      <c r="AD218" t="s">
        <v>901</v>
      </c>
      <c r="AE218" t="s">
        <v>910</v>
      </c>
      <c r="AF218">
        <v>0</v>
      </c>
      <c r="AG218">
        <v>355.4</v>
      </c>
      <c r="AH218">
        <v>352.8</v>
      </c>
      <c r="AI218">
        <v>326.60000000000002</v>
      </c>
      <c r="AJ218">
        <v>330.4</v>
      </c>
      <c r="AK218">
        <v>319.7</v>
      </c>
      <c r="AL218">
        <v>327</v>
      </c>
      <c r="AM218" s="157">
        <v>315.7</v>
      </c>
      <c r="AN218" s="157">
        <v>302.10000000000002</v>
      </c>
      <c r="AO218" s="157">
        <v>301.60000000000002</v>
      </c>
      <c r="AP218" s="157">
        <v>303.10000000000002</v>
      </c>
    </row>
    <row r="219" spans="1:42" ht="14.7" customHeight="1">
      <c r="A219" s="161" t="s">
        <v>118</v>
      </c>
      <c r="B219" s="233"/>
      <c r="C219">
        <v>431.5</v>
      </c>
      <c r="D219">
        <v>419.5</v>
      </c>
      <c r="E219">
        <v>421.4</v>
      </c>
      <c r="F219">
        <v>418.8</v>
      </c>
      <c r="G219">
        <v>421.1</v>
      </c>
      <c r="H219">
        <v>429.1</v>
      </c>
      <c r="I219">
        <v>396.4</v>
      </c>
      <c r="J219">
        <v>365.8</v>
      </c>
      <c r="K219">
        <v>338.6</v>
      </c>
      <c r="L219">
        <v>331.5</v>
      </c>
      <c r="M219">
        <v>0.432</v>
      </c>
      <c r="N219">
        <v>0.44400000000000001</v>
      </c>
      <c r="O219">
        <v>0.44800000000000001</v>
      </c>
      <c r="P219">
        <v>0.44400000000000001</v>
      </c>
      <c r="Q219">
        <v>0.45800000000000002</v>
      </c>
      <c r="R219">
        <v>0.45100000000000001</v>
      </c>
      <c r="S219">
        <v>0.49</v>
      </c>
      <c r="T219">
        <v>0.50800000000000001</v>
      </c>
      <c r="U219">
        <v>0.51900000000000002</v>
      </c>
      <c r="V219">
        <v>0.52600000000000002</v>
      </c>
      <c r="W219" t="s">
        <v>901</v>
      </c>
      <c r="X219" t="s">
        <v>901</v>
      </c>
      <c r="Y219" t="s">
        <v>901</v>
      </c>
      <c r="Z219" t="s">
        <v>901</v>
      </c>
      <c r="AA219" t="s">
        <v>901</v>
      </c>
      <c r="AB219" t="s">
        <v>901</v>
      </c>
      <c r="AC219" t="s">
        <v>901</v>
      </c>
      <c r="AD219" t="s">
        <v>901</v>
      </c>
      <c r="AE219" t="s">
        <v>910</v>
      </c>
      <c r="AF219">
        <v>0</v>
      </c>
      <c r="AG219">
        <v>295.39999999999998</v>
      </c>
      <c r="AH219">
        <v>288.7</v>
      </c>
      <c r="AI219">
        <v>299.7</v>
      </c>
      <c r="AJ219">
        <v>291.8</v>
      </c>
      <c r="AK219">
        <v>298.8</v>
      </c>
      <c r="AL219">
        <v>292.3</v>
      </c>
      <c r="AM219" s="157">
        <v>290.39999999999998</v>
      </c>
      <c r="AN219" s="157">
        <v>291.10000000000002</v>
      </c>
      <c r="AO219" s="157">
        <v>276.89999999999998</v>
      </c>
      <c r="AP219" s="157">
        <v>281</v>
      </c>
    </row>
    <row r="220" spans="1:42" ht="14.7" customHeight="1">
      <c r="A220" s="161" t="s">
        <v>325</v>
      </c>
      <c r="B220" s="233"/>
      <c r="C220">
        <v>470.9</v>
      </c>
      <c r="D220">
        <v>409.6</v>
      </c>
      <c r="E220">
        <v>409.9</v>
      </c>
      <c r="F220">
        <v>421</v>
      </c>
      <c r="G220">
        <v>412.1</v>
      </c>
      <c r="H220">
        <v>432.9</v>
      </c>
      <c r="I220">
        <v>450.4</v>
      </c>
      <c r="J220">
        <v>430.9</v>
      </c>
      <c r="K220">
        <v>407.5</v>
      </c>
      <c r="L220">
        <v>401.9</v>
      </c>
      <c r="M220">
        <v>0.54400000000000004</v>
      </c>
      <c r="N220">
        <v>0.59599999999999997</v>
      </c>
      <c r="O220">
        <v>0.59799999999999998</v>
      </c>
      <c r="P220">
        <v>0.59199999999999997</v>
      </c>
      <c r="Q220">
        <v>0.60499999999999998</v>
      </c>
      <c r="R220">
        <v>0.58499999999999996</v>
      </c>
      <c r="S220">
        <v>0.57699999999999996</v>
      </c>
      <c r="T220">
        <v>0.57199999999999995</v>
      </c>
      <c r="U220">
        <v>0.58199999999999996</v>
      </c>
      <c r="V220">
        <v>0.58799999999999997</v>
      </c>
      <c r="W220">
        <v>0.46300000000000002</v>
      </c>
      <c r="X220">
        <v>0.41599999999999998</v>
      </c>
      <c r="Y220">
        <v>0.42099999999999999</v>
      </c>
      <c r="Z220">
        <v>0.42199999999999999</v>
      </c>
      <c r="AA220">
        <v>0.19600000000000001</v>
      </c>
      <c r="AB220">
        <v>5.2999999999999999E-2</v>
      </c>
      <c r="AC220">
        <v>4.8000000000000001E-2</v>
      </c>
      <c r="AD220">
        <v>4.7E-2</v>
      </c>
      <c r="AE220">
        <v>4.7E-2</v>
      </c>
      <c r="AF220">
        <v>4.2999999999999997E-2</v>
      </c>
      <c r="AG220">
        <v>436.8</v>
      </c>
      <c r="AH220">
        <v>422.7</v>
      </c>
      <c r="AI220">
        <v>423.9</v>
      </c>
      <c r="AJ220">
        <v>428.3</v>
      </c>
      <c r="AK220">
        <v>430.8</v>
      </c>
      <c r="AL220">
        <v>426.1</v>
      </c>
      <c r="AM220" s="157">
        <v>437.3</v>
      </c>
      <c r="AN220" s="157">
        <v>419.2</v>
      </c>
      <c r="AO220" s="157">
        <v>407.7</v>
      </c>
      <c r="AP220" s="157">
        <v>412</v>
      </c>
    </row>
    <row r="221" spans="1:42" ht="14.7" customHeight="1">
      <c r="A221" s="161" t="s">
        <v>119</v>
      </c>
      <c r="B221" s="233"/>
      <c r="C221">
        <v>501</v>
      </c>
      <c r="D221">
        <v>512.1</v>
      </c>
      <c r="E221">
        <v>513.5</v>
      </c>
      <c r="F221">
        <v>524.9</v>
      </c>
      <c r="G221">
        <v>532.20000000000005</v>
      </c>
      <c r="H221">
        <v>544.29999999999995</v>
      </c>
      <c r="I221">
        <v>559.6</v>
      </c>
      <c r="J221">
        <v>556.6</v>
      </c>
      <c r="K221">
        <v>553.70000000000005</v>
      </c>
      <c r="L221">
        <v>549.79999999999995</v>
      </c>
      <c r="M221">
        <v>0.38400000000000001</v>
      </c>
      <c r="N221">
        <v>0.376</v>
      </c>
      <c r="O221">
        <v>0.35899999999999999</v>
      </c>
      <c r="P221">
        <v>0.36699999999999999</v>
      </c>
      <c r="Q221">
        <v>0.34200000000000003</v>
      </c>
      <c r="R221">
        <v>0.36499999999999999</v>
      </c>
      <c r="S221">
        <v>0.34100000000000003</v>
      </c>
      <c r="T221">
        <v>0.31900000000000001</v>
      </c>
      <c r="U221">
        <v>0.313</v>
      </c>
      <c r="V221">
        <v>0.32500000000000001</v>
      </c>
      <c r="W221" t="s">
        <v>901</v>
      </c>
      <c r="X221" t="s">
        <v>901</v>
      </c>
      <c r="Y221" t="s">
        <v>901</v>
      </c>
      <c r="Z221" t="s">
        <v>901</v>
      </c>
      <c r="AA221" t="s">
        <v>901</v>
      </c>
      <c r="AB221" t="s">
        <v>901</v>
      </c>
      <c r="AC221" t="s">
        <v>901</v>
      </c>
      <c r="AD221" t="s">
        <v>901</v>
      </c>
      <c r="AE221" t="s">
        <v>910</v>
      </c>
      <c r="AF221">
        <v>0</v>
      </c>
      <c r="AG221">
        <v>358.9</v>
      </c>
      <c r="AH221">
        <v>363.7</v>
      </c>
      <c r="AI221">
        <v>353.8</v>
      </c>
      <c r="AJ221">
        <v>365.3</v>
      </c>
      <c r="AK221">
        <v>356</v>
      </c>
      <c r="AL221">
        <v>376.5</v>
      </c>
      <c r="AM221" s="157">
        <v>372.4</v>
      </c>
      <c r="AN221" s="157">
        <v>359.1</v>
      </c>
      <c r="AO221" s="157">
        <v>353.2</v>
      </c>
      <c r="AP221" s="157">
        <v>355.7</v>
      </c>
    </row>
    <row r="222" spans="1:42" ht="14.7" customHeight="1">
      <c r="A222" s="161" t="s">
        <v>281</v>
      </c>
      <c r="B222" s="233"/>
      <c r="C222">
        <v>574.9</v>
      </c>
      <c r="D222">
        <v>560.9</v>
      </c>
      <c r="E222">
        <v>531.29999999999995</v>
      </c>
      <c r="F222">
        <v>494.9</v>
      </c>
      <c r="G222">
        <v>551.20000000000005</v>
      </c>
      <c r="H222">
        <v>566.9</v>
      </c>
      <c r="I222">
        <v>591.29999999999995</v>
      </c>
      <c r="J222">
        <v>552.5</v>
      </c>
      <c r="K222">
        <v>553.5</v>
      </c>
      <c r="L222">
        <v>557.20000000000005</v>
      </c>
      <c r="M222">
        <v>0.44500000000000001</v>
      </c>
      <c r="N222">
        <v>0.45</v>
      </c>
      <c r="O222">
        <v>0.48</v>
      </c>
      <c r="P222">
        <v>0.50800000000000001</v>
      </c>
      <c r="Q222">
        <v>0.46600000000000003</v>
      </c>
      <c r="R222">
        <v>0.44</v>
      </c>
      <c r="S222">
        <v>0.41899999999999998</v>
      </c>
      <c r="T222">
        <v>0.433</v>
      </c>
      <c r="U222">
        <v>0.43099999999999999</v>
      </c>
      <c r="V222">
        <v>0.433</v>
      </c>
      <c r="W222">
        <v>0.55000000000000004</v>
      </c>
      <c r="X222">
        <v>0.51</v>
      </c>
      <c r="Y222">
        <v>0.47799999999999998</v>
      </c>
      <c r="Z222">
        <v>0.45300000000000001</v>
      </c>
      <c r="AA222">
        <v>0.52400000000000002</v>
      </c>
      <c r="AB222">
        <v>0.29099999999999998</v>
      </c>
      <c r="AC222">
        <v>6.0999999999999999E-2</v>
      </c>
      <c r="AD222">
        <v>1.7999999999999999E-2</v>
      </c>
      <c r="AE222">
        <v>1.9E-2</v>
      </c>
      <c r="AF222">
        <v>5.0000000000000001E-3</v>
      </c>
      <c r="AG222">
        <v>479.6</v>
      </c>
      <c r="AH222">
        <v>455.1</v>
      </c>
      <c r="AI222">
        <v>432.8</v>
      </c>
      <c r="AJ222">
        <v>425.3</v>
      </c>
      <c r="AK222">
        <v>432.4</v>
      </c>
      <c r="AL222">
        <v>415.8</v>
      </c>
      <c r="AM222" s="157">
        <v>418.8</v>
      </c>
      <c r="AN222" s="157">
        <v>407.7</v>
      </c>
      <c r="AO222" s="157">
        <v>408</v>
      </c>
      <c r="AP222" s="157">
        <v>413.3</v>
      </c>
    </row>
    <row r="223" spans="1:42" ht="14.7" customHeight="1">
      <c r="A223" s="161" t="s">
        <v>282</v>
      </c>
      <c r="B223" s="233"/>
      <c r="C223">
        <v>661.3</v>
      </c>
      <c r="D223">
        <v>644.5</v>
      </c>
      <c r="E223">
        <v>634.20000000000005</v>
      </c>
      <c r="F223">
        <v>611.4</v>
      </c>
      <c r="G223">
        <v>600.70000000000005</v>
      </c>
      <c r="H223">
        <v>615.9</v>
      </c>
      <c r="I223">
        <v>607</v>
      </c>
      <c r="J223">
        <v>578.70000000000005</v>
      </c>
      <c r="K223">
        <v>571.20000000000005</v>
      </c>
      <c r="L223">
        <v>561</v>
      </c>
      <c r="M223">
        <v>0.32900000000000001</v>
      </c>
      <c r="N223">
        <v>0.318</v>
      </c>
      <c r="O223">
        <v>0.32800000000000001</v>
      </c>
      <c r="P223">
        <v>0.33700000000000002</v>
      </c>
      <c r="Q223">
        <v>0.35299999999999998</v>
      </c>
      <c r="R223">
        <v>0.33</v>
      </c>
      <c r="S223">
        <v>0.32</v>
      </c>
      <c r="T223">
        <v>0.33700000000000002</v>
      </c>
      <c r="U223">
        <v>0.35299999999999998</v>
      </c>
      <c r="V223">
        <v>0.34100000000000003</v>
      </c>
      <c r="W223">
        <v>0.61399999999999999</v>
      </c>
      <c r="X223">
        <v>0.63</v>
      </c>
      <c r="Y223">
        <v>0.623</v>
      </c>
      <c r="Z223">
        <v>0.63200000000000001</v>
      </c>
      <c r="AA223">
        <v>0.622</v>
      </c>
      <c r="AB223">
        <v>5.8000000000000003E-2</v>
      </c>
      <c r="AC223">
        <v>1E-3</v>
      </c>
      <c r="AD223">
        <v>1E-3</v>
      </c>
      <c r="AE223">
        <v>1E-3</v>
      </c>
      <c r="AF223">
        <v>1E-3</v>
      </c>
      <c r="AG223">
        <v>443.4</v>
      </c>
      <c r="AH223">
        <v>417.6</v>
      </c>
      <c r="AI223">
        <v>421</v>
      </c>
      <c r="AJ223">
        <v>412.3</v>
      </c>
      <c r="AK223">
        <v>414.8</v>
      </c>
      <c r="AL223">
        <v>407.2</v>
      </c>
      <c r="AM223" s="157">
        <v>397.1</v>
      </c>
      <c r="AN223" s="157">
        <v>392.9</v>
      </c>
      <c r="AO223" s="157">
        <v>400.9</v>
      </c>
      <c r="AP223" s="157">
        <v>391.2</v>
      </c>
    </row>
    <row r="224" spans="1:42" ht="14.7" customHeight="1">
      <c r="A224" s="161" t="s">
        <v>283</v>
      </c>
      <c r="B224" s="233"/>
      <c r="C224">
        <v>662.8</v>
      </c>
      <c r="D224">
        <v>645.4</v>
      </c>
      <c r="E224">
        <v>620.4</v>
      </c>
      <c r="F224">
        <v>648.5</v>
      </c>
      <c r="G224">
        <v>566.29999999999995</v>
      </c>
      <c r="H224">
        <v>537.4</v>
      </c>
      <c r="I224">
        <v>511.7</v>
      </c>
      <c r="J224">
        <v>483.7</v>
      </c>
      <c r="K224">
        <v>466.5</v>
      </c>
      <c r="L224" t="s">
        <v>901</v>
      </c>
      <c r="M224">
        <v>0.39700000000000002</v>
      </c>
      <c r="N224">
        <v>0.39400000000000002</v>
      </c>
      <c r="O224">
        <v>0.40200000000000002</v>
      </c>
      <c r="P224">
        <v>0.39800000000000002</v>
      </c>
      <c r="Q224">
        <v>0.45800000000000002</v>
      </c>
      <c r="R224">
        <v>0.47099999999999997</v>
      </c>
      <c r="S224">
        <v>0.495</v>
      </c>
      <c r="T224">
        <v>0.51100000000000001</v>
      </c>
      <c r="U224">
        <v>0.51700000000000002</v>
      </c>
      <c r="V224" t="s">
        <v>901</v>
      </c>
      <c r="W224">
        <v>0.47</v>
      </c>
      <c r="X224">
        <v>0.39100000000000001</v>
      </c>
      <c r="Y224">
        <v>0.41099999999999998</v>
      </c>
      <c r="Z224">
        <v>0.50900000000000001</v>
      </c>
      <c r="AA224">
        <v>0.21299999999999999</v>
      </c>
      <c r="AB224">
        <v>0.22800000000000001</v>
      </c>
      <c r="AC224">
        <v>0.13700000000000001</v>
      </c>
      <c r="AD224">
        <v>0.16800000000000001</v>
      </c>
      <c r="AE224">
        <v>0.17100000000000001</v>
      </c>
      <c r="AF224" t="s">
        <v>901</v>
      </c>
      <c r="AG224">
        <v>525.5</v>
      </c>
      <c r="AH224">
        <v>499.1</v>
      </c>
      <c r="AI224">
        <v>467.7</v>
      </c>
      <c r="AJ224">
        <v>485.2</v>
      </c>
      <c r="AK224">
        <v>470.8</v>
      </c>
      <c r="AL224">
        <v>453.2</v>
      </c>
      <c r="AM224" s="157">
        <v>452.3</v>
      </c>
      <c r="AN224" s="157">
        <v>445.2</v>
      </c>
      <c r="AO224" s="157">
        <v>437.6</v>
      </c>
      <c r="AP224" s="157" t="s">
        <v>901</v>
      </c>
    </row>
    <row r="225" spans="1:42" ht="14.7" customHeight="1">
      <c r="A225" s="161" t="s">
        <v>284</v>
      </c>
      <c r="B225" s="233"/>
      <c r="C225">
        <v>661.9</v>
      </c>
      <c r="D225">
        <v>659.1</v>
      </c>
      <c r="E225">
        <v>662.4</v>
      </c>
      <c r="F225">
        <v>673.4</v>
      </c>
      <c r="G225">
        <v>675.7</v>
      </c>
      <c r="H225">
        <v>680.1</v>
      </c>
      <c r="I225">
        <v>654.79999999999995</v>
      </c>
      <c r="J225">
        <v>636.4</v>
      </c>
      <c r="K225">
        <v>595</v>
      </c>
      <c r="L225">
        <v>571.9</v>
      </c>
      <c r="M225">
        <v>0.24399999999999999</v>
      </c>
      <c r="N225">
        <v>0.24299999999999999</v>
      </c>
      <c r="O225">
        <v>0.22800000000000001</v>
      </c>
      <c r="P225">
        <v>0.222</v>
      </c>
      <c r="Q225">
        <v>0.22700000000000001</v>
      </c>
      <c r="R225">
        <v>0.23400000000000001</v>
      </c>
      <c r="S225">
        <v>0.247</v>
      </c>
      <c r="T225">
        <v>0.248</v>
      </c>
      <c r="U225">
        <v>0.255</v>
      </c>
      <c r="V225">
        <v>0.26700000000000002</v>
      </c>
      <c r="W225">
        <v>0.10299999999999999</v>
      </c>
      <c r="X225">
        <v>0.104</v>
      </c>
      <c r="Y225">
        <v>8.5999999999999993E-2</v>
      </c>
      <c r="Z225">
        <v>9.1999999999999998E-2</v>
      </c>
      <c r="AA225">
        <v>6.5000000000000002E-2</v>
      </c>
      <c r="AB225">
        <v>6.3E-2</v>
      </c>
      <c r="AC225">
        <v>4.5999999999999999E-2</v>
      </c>
      <c r="AD225">
        <v>4.8000000000000001E-2</v>
      </c>
      <c r="AE225">
        <v>4.2000000000000003E-2</v>
      </c>
      <c r="AF225">
        <v>4.1000000000000002E-2</v>
      </c>
      <c r="AG225">
        <v>383</v>
      </c>
      <c r="AH225">
        <v>367.8</v>
      </c>
      <c r="AI225">
        <v>365.5</v>
      </c>
      <c r="AJ225">
        <v>367.9</v>
      </c>
      <c r="AK225">
        <v>371.4</v>
      </c>
      <c r="AL225">
        <v>372.3</v>
      </c>
      <c r="AM225" s="157">
        <v>361.5</v>
      </c>
      <c r="AN225" s="157">
        <v>354.9</v>
      </c>
      <c r="AO225" s="157">
        <v>337.3</v>
      </c>
      <c r="AP225" s="157">
        <v>330.4</v>
      </c>
    </row>
    <row r="226" spans="1:42" ht="14.7" customHeight="1">
      <c r="A226" s="161" t="s">
        <v>120</v>
      </c>
      <c r="B226" s="233"/>
      <c r="C226">
        <v>548.29999999999995</v>
      </c>
      <c r="D226">
        <v>513.79999999999995</v>
      </c>
      <c r="E226">
        <v>506.3</v>
      </c>
      <c r="F226">
        <v>489.1</v>
      </c>
      <c r="G226">
        <v>502.5</v>
      </c>
      <c r="H226">
        <v>541</v>
      </c>
      <c r="I226">
        <v>601</v>
      </c>
      <c r="J226">
        <v>576.9</v>
      </c>
      <c r="K226">
        <v>556.1</v>
      </c>
      <c r="L226">
        <v>554.70000000000005</v>
      </c>
      <c r="M226">
        <v>0.33200000000000002</v>
      </c>
      <c r="N226">
        <v>0.34499999999999997</v>
      </c>
      <c r="O226">
        <v>0.34699999999999998</v>
      </c>
      <c r="P226">
        <v>0.38100000000000001</v>
      </c>
      <c r="Q226">
        <v>0.39600000000000002</v>
      </c>
      <c r="R226">
        <v>0.38100000000000001</v>
      </c>
      <c r="S226">
        <v>0.314</v>
      </c>
      <c r="T226">
        <v>0.29799999999999999</v>
      </c>
      <c r="U226">
        <v>0.315</v>
      </c>
      <c r="V226">
        <v>0.312</v>
      </c>
      <c r="W226" t="s">
        <v>901</v>
      </c>
      <c r="X226" t="s">
        <v>901</v>
      </c>
      <c r="Y226" t="s">
        <v>901</v>
      </c>
      <c r="Z226" t="s">
        <v>901</v>
      </c>
      <c r="AA226" t="s">
        <v>901</v>
      </c>
      <c r="AB226" t="s">
        <v>901</v>
      </c>
      <c r="AC226" t="s">
        <v>901</v>
      </c>
      <c r="AD226" t="s">
        <v>901</v>
      </c>
      <c r="AE226" t="s">
        <v>910</v>
      </c>
      <c r="AF226">
        <v>0</v>
      </c>
      <c r="AG226">
        <v>371.1</v>
      </c>
      <c r="AH226">
        <v>349.5</v>
      </c>
      <c r="AI226">
        <v>334</v>
      </c>
      <c r="AJ226">
        <v>339.8</v>
      </c>
      <c r="AK226">
        <v>358.2</v>
      </c>
      <c r="AL226">
        <v>375.7</v>
      </c>
      <c r="AM226" s="157">
        <v>378.8</v>
      </c>
      <c r="AN226" s="157">
        <v>360.2</v>
      </c>
      <c r="AO226" s="157">
        <v>358.5</v>
      </c>
      <c r="AP226" s="157">
        <v>357.7</v>
      </c>
    </row>
    <row r="227" spans="1:42" ht="14.7" customHeight="1">
      <c r="A227" s="161" t="s">
        <v>285</v>
      </c>
      <c r="B227" s="233"/>
      <c r="C227">
        <v>616.70000000000005</v>
      </c>
      <c r="D227">
        <v>599.5</v>
      </c>
      <c r="E227">
        <v>593.29999999999995</v>
      </c>
      <c r="F227">
        <v>577.1</v>
      </c>
      <c r="G227">
        <v>588.5</v>
      </c>
      <c r="H227">
        <v>645.79999999999995</v>
      </c>
      <c r="I227">
        <v>638</v>
      </c>
      <c r="J227">
        <v>598.79999999999995</v>
      </c>
      <c r="K227">
        <v>549.9</v>
      </c>
      <c r="L227">
        <v>510.9</v>
      </c>
      <c r="M227">
        <v>0.34899999999999998</v>
      </c>
      <c r="N227">
        <v>0.36799999999999999</v>
      </c>
      <c r="O227">
        <v>0.36099999999999999</v>
      </c>
      <c r="P227">
        <v>0.34399999999999997</v>
      </c>
      <c r="Q227">
        <v>0.37</v>
      </c>
      <c r="R227">
        <v>0.32100000000000001</v>
      </c>
      <c r="S227">
        <v>0.32100000000000001</v>
      </c>
      <c r="T227">
        <v>0.307</v>
      </c>
      <c r="U227">
        <v>0.31900000000000001</v>
      </c>
      <c r="V227">
        <v>0.35299999999999998</v>
      </c>
      <c r="W227">
        <v>0.28599999999999998</v>
      </c>
      <c r="X227">
        <v>0.23899999999999999</v>
      </c>
      <c r="Y227">
        <v>0.247</v>
      </c>
      <c r="Z227">
        <v>0.24099999999999999</v>
      </c>
      <c r="AA227">
        <v>0.26700000000000002</v>
      </c>
      <c r="AB227">
        <v>0.246</v>
      </c>
      <c r="AC227">
        <v>0.217</v>
      </c>
      <c r="AD227">
        <v>0.20699999999999999</v>
      </c>
      <c r="AE227">
        <v>0.214</v>
      </c>
      <c r="AF227">
        <v>0.20499999999999999</v>
      </c>
      <c r="AG227">
        <v>427.9</v>
      </c>
      <c r="AH227">
        <v>408</v>
      </c>
      <c r="AI227">
        <v>397.5</v>
      </c>
      <c r="AJ227">
        <v>375.7</v>
      </c>
      <c r="AK227">
        <v>394</v>
      </c>
      <c r="AL227">
        <v>398</v>
      </c>
      <c r="AM227" s="157">
        <v>397.4</v>
      </c>
      <c r="AN227" s="157">
        <v>372.6</v>
      </c>
      <c r="AO227" s="157">
        <v>352.2</v>
      </c>
      <c r="AP227" s="157">
        <v>352.9</v>
      </c>
    </row>
    <row r="228" spans="1:42" ht="14.7" customHeight="1">
      <c r="A228" s="161" t="s">
        <v>217</v>
      </c>
      <c r="B228" s="233"/>
      <c r="C228">
        <v>739</v>
      </c>
      <c r="D228">
        <v>665.8</v>
      </c>
      <c r="E228">
        <v>684.1</v>
      </c>
      <c r="F228">
        <v>714.4</v>
      </c>
      <c r="G228">
        <v>744.1</v>
      </c>
      <c r="H228">
        <v>747.1</v>
      </c>
      <c r="I228">
        <v>756.6</v>
      </c>
      <c r="J228">
        <v>760</v>
      </c>
      <c r="K228">
        <v>767.8</v>
      </c>
      <c r="L228">
        <v>748.2</v>
      </c>
      <c r="M228">
        <v>0.27600000000000002</v>
      </c>
      <c r="N228">
        <v>0.32500000000000001</v>
      </c>
      <c r="O228">
        <v>0.29399999999999998</v>
      </c>
      <c r="P228">
        <v>0.29299999999999998</v>
      </c>
      <c r="Q228">
        <v>0.28699999999999998</v>
      </c>
      <c r="R228">
        <v>0.27700000000000002</v>
      </c>
      <c r="S228">
        <v>0.26700000000000002</v>
      </c>
      <c r="T228">
        <v>0.23899999999999999</v>
      </c>
      <c r="U228">
        <v>0.249</v>
      </c>
      <c r="V228">
        <v>0.254</v>
      </c>
      <c r="W228" t="s">
        <v>901</v>
      </c>
      <c r="X228" t="s">
        <v>901</v>
      </c>
      <c r="Y228" t="s">
        <v>901</v>
      </c>
      <c r="Z228" t="s">
        <v>901</v>
      </c>
      <c r="AA228" t="s">
        <v>901</v>
      </c>
      <c r="AB228" t="s">
        <v>901</v>
      </c>
      <c r="AC228" t="s">
        <v>901</v>
      </c>
      <c r="AD228" t="s">
        <v>901</v>
      </c>
      <c r="AE228" t="s">
        <v>910</v>
      </c>
      <c r="AF228">
        <v>0</v>
      </c>
      <c r="AG228">
        <v>399.5</v>
      </c>
      <c r="AH228">
        <v>369.2</v>
      </c>
      <c r="AI228">
        <v>349.1</v>
      </c>
      <c r="AJ228">
        <v>359.5</v>
      </c>
      <c r="AK228">
        <v>367.7</v>
      </c>
      <c r="AL228">
        <v>355.3</v>
      </c>
      <c r="AM228" s="157">
        <v>353.3</v>
      </c>
      <c r="AN228" s="157">
        <v>340.5</v>
      </c>
      <c r="AO228" s="157">
        <v>348</v>
      </c>
      <c r="AP228" s="157">
        <v>344.2</v>
      </c>
    </row>
    <row r="229" spans="1:42" ht="14.7" customHeight="1">
      <c r="A229" s="161" t="s">
        <v>929</v>
      </c>
      <c r="B229" s="233"/>
      <c r="C229">
        <v>564.9</v>
      </c>
      <c r="D229">
        <v>552.29999999999995</v>
      </c>
      <c r="E229">
        <v>543.5</v>
      </c>
      <c r="F229">
        <v>474.4</v>
      </c>
      <c r="G229">
        <v>484.3</v>
      </c>
      <c r="H229">
        <v>556.20000000000005</v>
      </c>
      <c r="I229">
        <v>520.70000000000005</v>
      </c>
      <c r="J229">
        <v>526.4</v>
      </c>
      <c r="K229">
        <v>543.79999999999995</v>
      </c>
      <c r="L229">
        <v>516.5</v>
      </c>
      <c r="M229">
        <v>0.41499999999999998</v>
      </c>
      <c r="N229">
        <v>0.40500000000000003</v>
      </c>
      <c r="O229">
        <v>0.379</v>
      </c>
      <c r="P229">
        <v>0.46700000000000003</v>
      </c>
      <c r="Q229">
        <v>0.47399999999999998</v>
      </c>
      <c r="R229">
        <v>0.39200000000000002</v>
      </c>
      <c r="S229">
        <v>0.42599999999999999</v>
      </c>
      <c r="T229">
        <v>0.39900000000000002</v>
      </c>
      <c r="U229">
        <v>0.38500000000000001</v>
      </c>
      <c r="V229">
        <v>0.40300000000000002</v>
      </c>
      <c r="W229">
        <v>0.12</v>
      </c>
      <c r="X229">
        <v>1.9E-2</v>
      </c>
      <c r="Y229">
        <v>1.2E-2</v>
      </c>
      <c r="Z229">
        <v>0.02</v>
      </c>
      <c r="AA229">
        <v>1.2999999999999999E-2</v>
      </c>
      <c r="AB229">
        <v>5.0000000000000001E-3</v>
      </c>
      <c r="AC229">
        <v>6.0000000000000001E-3</v>
      </c>
      <c r="AD229">
        <v>1.6E-2</v>
      </c>
      <c r="AE229">
        <v>1E-3</v>
      </c>
      <c r="AF229">
        <v>0</v>
      </c>
      <c r="AG229">
        <v>430.6</v>
      </c>
      <c r="AH229">
        <v>420.9</v>
      </c>
      <c r="AI229">
        <v>405.5</v>
      </c>
      <c r="AJ229">
        <v>412.6</v>
      </c>
      <c r="AK229">
        <v>426.8</v>
      </c>
      <c r="AL229">
        <v>426</v>
      </c>
      <c r="AM229" s="157">
        <v>424.5</v>
      </c>
      <c r="AN229" s="157">
        <v>410.5</v>
      </c>
      <c r="AO229" s="157">
        <v>415.1</v>
      </c>
      <c r="AP229" s="157">
        <v>407.7</v>
      </c>
    </row>
    <row r="230" spans="1:42" ht="14.7" customHeight="1">
      <c r="A230" s="161" t="s">
        <v>122</v>
      </c>
      <c r="B230" s="233"/>
      <c r="C230">
        <v>568.9</v>
      </c>
      <c r="D230">
        <v>558.9</v>
      </c>
      <c r="E230">
        <v>553.1</v>
      </c>
      <c r="F230">
        <v>558.9</v>
      </c>
      <c r="G230">
        <v>550.20000000000005</v>
      </c>
      <c r="H230">
        <v>544.79999999999995</v>
      </c>
      <c r="I230">
        <v>542.1</v>
      </c>
      <c r="J230">
        <v>535.4</v>
      </c>
      <c r="K230">
        <v>519.79999999999995</v>
      </c>
      <c r="L230">
        <v>509</v>
      </c>
      <c r="M230">
        <v>0.28599999999999998</v>
      </c>
      <c r="N230">
        <v>0.28599999999999998</v>
      </c>
      <c r="O230">
        <v>0.29299999999999998</v>
      </c>
      <c r="P230">
        <v>0.28999999999999998</v>
      </c>
      <c r="Q230">
        <v>0.30099999999999999</v>
      </c>
      <c r="R230">
        <v>0.315</v>
      </c>
      <c r="S230">
        <v>0.31</v>
      </c>
      <c r="T230">
        <v>0.29699999999999999</v>
      </c>
      <c r="U230">
        <v>0.30299999999999999</v>
      </c>
      <c r="V230">
        <v>0.28899999999999998</v>
      </c>
      <c r="W230" t="s">
        <v>901</v>
      </c>
      <c r="X230" t="s">
        <v>901</v>
      </c>
      <c r="Y230" t="s">
        <v>901</v>
      </c>
      <c r="Z230" t="s">
        <v>901</v>
      </c>
      <c r="AA230" t="s">
        <v>901</v>
      </c>
      <c r="AB230" t="s">
        <v>901</v>
      </c>
      <c r="AC230" t="s">
        <v>901</v>
      </c>
      <c r="AD230" t="s">
        <v>901</v>
      </c>
      <c r="AE230" t="s">
        <v>910</v>
      </c>
      <c r="AF230">
        <v>0</v>
      </c>
      <c r="AG230">
        <v>352</v>
      </c>
      <c r="AH230">
        <v>350.6</v>
      </c>
      <c r="AI230">
        <v>327</v>
      </c>
      <c r="AJ230">
        <v>330.3</v>
      </c>
      <c r="AK230">
        <v>330.3</v>
      </c>
      <c r="AL230">
        <v>334</v>
      </c>
      <c r="AM230" s="157">
        <v>332.5</v>
      </c>
      <c r="AN230" s="157">
        <v>322.60000000000002</v>
      </c>
      <c r="AO230" s="157">
        <v>317.8</v>
      </c>
      <c r="AP230" s="157">
        <v>308</v>
      </c>
    </row>
    <row r="231" spans="1:42" ht="14.7" customHeight="1">
      <c r="A231" s="161" t="s">
        <v>930</v>
      </c>
      <c r="B231" s="233"/>
      <c r="C231">
        <v>525.29999999999995</v>
      </c>
      <c r="D231">
        <v>510.3</v>
      </c>
      <c r="E231">
        <v>450</v>
      </c>
      <c r="F231">
        <v>392.4</v>
      </c>
      <c r="G231">
        <v>390.2</v>
      </c>
      <c r="H231">
        <v>429.8</v>
      </c>
      <c r="I231">
        <v>383.7</v>
      </c>
      <c r="J231">
        <v>396.8</v>
      </c>
      <c r="K231">
        <v>394.3</v>
      </c>
      <c r="L231">
        <v>392.9</v>
      </c>
      <c r="M231">
        <v>0.33300000000000002</v>
      </c>
      <c r="N231">
        <v>0.378</v>
      </c>
      <c r="O231">
        <v>0.45500000000000002</v>
      </c>
      <c r="P231">
        <v>0.52</v>
      </c>
      <c r="Q231">
        <v>0.52600000000000002</v>
      </c>
      <c r="R231">
        <v>0.48799999999999999</v>
      </c>
      <c r="S231">
        <v>0.55000000000000004</v>
      </c>
      <c r="T231">
        <v>0.53900000000000003</v>
      </c>
      <c r="U231">
        <v>0.53800000000000003</v>
      </c>
      <c r="V231">
        <v>0.54300000000000004</v>
      </c>
      <c r="W231" t="s">
        <v>901</v>
      </c>
      <c r="X231" t="s">
        <v>901</v>
      </c>
      <c r="Y231" t="s">
        <v>901</v>
      </c>
      <c r="Z231" t="s">
        <v>901</v>
      </c>
      <c r="AA231" t="s">
        <v>901</v>
      </c>
      <c r="AB231" t="s">
        <v>901</v>
      </c>
      <c r="AC231" t="s">
        <v>901</v>
      </c>
      <c r="AD231" t="s">
        <v>901</v>
      </c>
      <c r="AE231" t="s">
        <v>910</v>
      </c>
      <c r="AF231">
        <v>0</v>
      </c>
      <c r="AG231">
        <v>337</v>
      </c>
      <c r="AH231">
        <v>340.9</v>
      </c>
      <c r="AI231">
        <v>345.6</v>
      </c>
      <c r="AJ231">
        <v>341.4</v>
      </c>
      <c r="AK231">
        <v>341.6</v>
      </c>
      <c r="AL231">
        <v>343.4</v>
      </c>
      <c r="AM231" s="157">
        <v>348.1</v>
      </c>
      <c r="AN231" s="157">
        <v>353.4</v>
      </c>
      <c r="AO231" s="157">
        <v>349.8</v>
      </c>
      <c r="AP231" s="157">
        <v>353.3</v>
      </c>
    </row>
    <row r="232" spans="1:42" ht="14.7" customHeight="1">
      <c r="A232" s="161" t="s">
        <v>123</v>
      </c>
      <c r="B232" s="233"/>
      <c r="C232">
        <v>495.8</v>
      </c>
      <c r="D232">
        <v>478.7</v>
      </c>
      <c r="E232">
        <v>545</v>
      </c>
      <c r="F232">
        <v>539.70000000000005</v>
      </c>
      <c r="G232">
        <v>545.1</v>
      </c>
      <c r="H232">
        <v>544.79999999999995</v>
      </c>
      <c r="I232">
        <v>564.1</v>
      </c>
      <c r="J232">
        <v>621.20000000000005</v>
      </c>
      <c r="K232">
        <v>586.1</v>
      </c>
      <c r="L232">
        <v>580.5</v>
      </c>
      <c r="M232">
        <v>0.41199999999999998</v>
      </c>
      <c r="N232">
        <v>0.43099999999999999</v>
      </c>
      <c r="O232">
        <v>0.36599999999999999</v>
      </c>
      <c r="P232">
        <v>0.376</v>
      </c>
      <c r="Q232">
        <v>0.38600000000000001</v>
      </c>
      <c r="R232">
        <v>0.40100000000000002</v>
      </c>
      <c r="S232">
        <v>0.37</v>
      </c>
      <c r="T232">
        <v>0.308</v>
      </c>
      <c r="U232">
        <v>0.317</v>
      </c>
      <c r="V232">
        <v>0.34599999999999997</v>
      </c>
      <c r="W232" t="s">
        <v>901</v>
      </c>
      <c r="X232" t="s">
        <v>901</v>
      </c>
      <c r="Y232" t="s">
        <v>901</v>
      </c>
      <c r="Z232" t="s">
        <v>901</v>
      </c>
      <c r="AA232" t="s">
        <v>901</v>
      </c>
      <c r="AB232" t="s">
        <v>901</v>
      </c>
      <c r="AC232" t="s">
        <v>901</v>
      </c>
      <c r="AD232" t="s">
        <v>901</v>
      </c>
      <c r="AE232" t="s">
        <v>910</v>
      </c>
      <c r="AF232">
        <v>0</v>
      </c>
      <c r="AG232">
        <v>359.2</v>
      </c>
      <c r="AH232">
        <v>361.9</v>
      </c>
      <c r="AI232">
        <v>375.9</v>
      </c>
      <c r="AJ232">
        <v>378.5</v>
      </c>
      <c r="AK232">
        <v>385.7</v>
      </c>
      <c r="AL232">
        <v>397.1</v>
      </c>
      <c r="AM232" s="157">
        <v>394.1</v>
      </c>
      <c r="AN232" s="157">
        <v>396.6</v>
      </c>
      <c r="AO232" s="157">
        <v>380.8</v>
      </c>
      <c r="AP232" s="157">
        <v>394.3</v>
      </c>
    </row>
    <row r="233" spans="1:42" ht="14.7" customHeight="1">
      <c r="A233" s="161" t="s">
        <v>395</v>
      </c>
      <c r="B233" s="232"/>
      <c r="C233">
        <v>533.20000000000005</v>
      </c>
      <c r="D233">
        <v>505.8</v>
      </c>
      <c r="E233">
        <v>495.8</v>
      </c>
      <c r="F233">
        <v>534.5</v>
      </c>
      <c r="G233">
        <v>530.79999999999995</v>
      </c>
      <c r="H233">
        <v>536.9</v>
      </c>
      <c r="I233">
        <v>531.1</v>
      </c>
      <c r="J233">
        <v>528.20000000000005</v>
      </c>
      <c r="K233">
        <v>511.4</v>
      </c>
      <c r="L233">
        <v>499.5</v>
      </c>
      <c r="M233">
        <v>0.434</v>
      </c>
      <c r="N233">
        <v>0.44700000000000001</v>
      </c>
      <c r="O233">
        <v>0.46</v>
      </c>
      <c r="P233">
        <v>0.433</v>
      </c>
      <c r="Q233">
        <v>0.41199999999999998</v>
      </c>
      <c r="R233">
        <v>0.40500000000000003</v>
      </c>
      <c r="S233">
        <v>0.42399999999999999</v>
      </c>
      <c r="T233">
        <v>0.41899999999999998</v>
      </c>
      <c r="U233">
        <v>0.42499999999999999</v>
      </c>
      <c r="V233">
        <v>0.436</v>
      </c>
      <c r="W233" t="s">
        <v>901</v>
      </c>
      <c r="X233" t="s">
        <v>901</v>
      </c>
      <c r="Y233" t="s">
        <v>901</v>
      </c>
      <c r="Z233" t="s">
        <v>901</v>
      </c>
      <c r="AA233" t="s">
        <v>901</v>
      </c>
      <c r="AB233" t="s">
        <v>901</v>
      </c>
      <c r="AC233" t="s">
        <v>901</v>
      </c>
      <c r="AD233" t="s">
        <v>901</v>
      </c>
      <c r="AE233" t="s">
        <v>910</v>
      </c>
      <c r="AF233">
        <v>0</v>
      </c>
      <c r="AG233">
        <v>421.8</v>
      </c>
      <c r="AH233">
        <v>392.7</v>
      </c>
      <c r="AI233">
        <v>403.3</v>
      </c>
      <c r="AJ233">
        <v>408.6</v>
      </c>
      <c r="AK233">
        <v>387.4</v>
      </c>
      <c r="AL233">
        <v>381.7</v>
      </c>
      <c r="AM233" s="157">
        <v>390.2</v>
      </c>
      <c r="AN233" s="157">
        <v>387.4</v>
      </c>
      <c r="AO233" s="157">
        <v>377.5</v>
      </c>
      <c r="AP233" s="157">
        <v>375.7</v>
      </c>
    </row>
    <row r="234" spans="1:42" ht="14.7" customHeight="1">
      <c r="A234" s="161" t="s">
        <v>124</v>
      </c>
      <c r="B234" s="233"/>
      <c r="C234">
        <v>514.9</v>
      </c>
      <c r="D234">
        <v>491.4</v>
      </c>
      <c r="E234">
        <v>492</v>
      </c>
      <c r="F234">
        <v>493.1</v>
      </c>
      <c r="G234">
        <v>494.8</v>
      </c>
      <c r="H234">
        <v>380</v>
      </c>
      <c r="I234">
        <v>470.2</v>
      </c>
      <c r="J234">
        <v>485.3</v>
      </c>
      <c r="K234">
        <v>467.1</v>
      </c>
      <c r="L234">
        <v>484.5</v>
      </c>
      <c r="M234">
        <v>0.41699999999999998</v>
      </c>
      <c r="N234">
        <v>0.432</v>
      </c>
      <c r="O234">
        <v>0.41599999999999998</v>
      </c>
      <c r="P234">
        <v>0.41399999999999998</v>
      </c>
      <c r="Q234">
        <v>0.377</v>
      </c>
      <c r="R234">
        <v>0.52400000000000002</v>
      </c>
      <c r="S234">
        <v>0.41299999999999998</v>
      </c>
      <c r="T234">
        <v>0.377</v>
      </c>
      <c r="U234">
        <v>0.39200000000000002</v>
      </c>
      <c r="V234">
        <v>0.38200000000000001</v>
      </c>
      <c r="W234" t="s">
        <v>901</v>
      </c>
      <c r="X234" t="s">
        <v>901</v>
      </c>
      <c r="Y234" t="s">
        <v>901</v>
      </c>
      <c r="Z234" t="s">
        <v>901</v>
      </c>
      <c r="AA234" t="s">
        <v>901</v>
      </c>
      <c r="AB234" t="s">
        <v>901</v>
      </c>
      <c r="AC234" t="s">
        <v>901</v>
      </c>
      <c r="AD234" t="s">
        <v>901</v>
      </c>
      <c r="AE234" t="s">
        <v>910</v>
      </c>
      <c r="AF234">
        <v>0</v>
      </c>
      <c r="AG234">
        <v>379.7</v>
      </c>
      <c r="AH234">
        <v>367.6</v>
      </c>
      <c r="AI234">
        <v>356.6</v>
      </c>
      <c r="AJ234">
        <v>354.1</v>
      </c>
      <c r="AK234">
        <v>340.4</v>
      </c>
      <c r="AL234">
        <v>346.4</v>
      </c>
      <c r="AM234" s="157">
        <v>343.1</v>
      </c>
      <c r="AN234" s="157">
        <v>337</v>
      </c>
      <c r="AO234" s="157">
        <v>337.8</v>
      </c>
      <c r="AP234" s="157">
        <v>344.5</v>
      </c>
    </row>
    <row r="235" spans="1:42" ht="14.7" customHeight="1">
      <c r="A235" s="161" t="s">
        <v>241</v>
      </c>
      <c r="B235" s="233"/>
      <c r="C235">
        <v>528</v>
      </c>
      <c r="D235">
        <v>488.2</v>
      </c>
      <c r="E235">
        <v>480.9</v>
      </c>
      <c r="F235">
        <v>494</v>
      </c>
      <c r="G235">
        <v>500</v>
      </c>
      <c r="H235">
        <v>444.2</v>
      </c>
      <c r="I235">
        <v>390.7</v>
      </c>
      <c r="J235">
        <v>376.3</v>
      </c>
      <c r="K235">
        <v>372.6</v>
      </c>
      <c r="L235">
        <v>364.3</v>
      </c>
      <c r="M235">
        <v>0.30299999999999999</v>
      </c>
      <c r="N235">
        <v>0.35</v>
      </c>
      <c r="O235">
        <v>0.33400000000000002</v>
      </c>
      <c r="P235">
        <v>0.32900000000000001</v>
      </c>
      <c r="Q235">
        <v>0.33400000000000002</v>
      </c>
      <c r="R235">
        <v>0.40100000000000002</v>
      </c>
      <c r="S235">
        <v>0.47199999999999998</v>
      </c>
      <c r="T235">
        <v>0.47899999999999998</v>
      </c>
      <c r="U235">
        <v>0.48599999999999999</v>
      </c>
      <c r="V235">
        <v>0.499</v>
      </c>
      <c r="W235" t="s">
        <v>901</v>
      </c>
      <c r="X235" t="s">
        <v>901</v>
      </c>
      <c r="Y235" t="s">
        <v>901</v>
      </c>
      <c r="Z235" t="s">
        <v>901</v>
      </c>
      <c r="AA235" t="s">
        <v>901</v>
      </c>
      <c r="AB235" t="s">
        <v>901</v>
      </c>
      <c r="AC235" t="s">
        <v>901</v>
      </c>
      <c r="AD235" t="s">
        <v>901</v>
      </c>
      <c r="AE235" t="s">
        <v>910</v>
      </c>
      <c r="AF235">
        <v>0</v>
      </c>
      <c r="AG235">
        <v>334</v>
      </c>
      <c r="AH235">
        <v>333</v>
      </c>
      <c r="AI235">
        <v>311.2</v>
      </c>
      <c r="AJ235">
        <v>318.7</v>
      </c>
      <c r="AK235">
        <v>323.39999999999998</v>
      </c>
      <c r="AL235">
        <v>318.89999999999998</v>
      </c>
      <c r="AM235" s="157">
        <v>317.39999999999998</v>
      </c>
      <c r="AN235" s="157">
        <v>308.60000000000002</v>
      </c>
      <c r="AO235" s="157">
        <v>308.60000000000002</v>
      </c>
      <c r="AP235" s="157">
        <v>308.89999999999998</v>
      </c>
    </row>
    <row r="236" spans="1:42" ht="14.7" customHeight="1">
      <c r="A236" s="161" t="s">
        <v>125</v>
      </c>
      <c r="B236" s="233"/>
      <c r="C236">
        <v>318.8</v>
      </c>
      <c r="D236">
        <v>303.8</v>
      </c>
      <c r="E236">
        <v>305.5</v>
      </c>
      <c r="F236">
        <v>326</v>
      </c>
      <c r="G236">
        <v>334.7</v>
      </c>
      <c r="H236">
        <v>315.7</v>
      </c>
      <c r="I236">
        <v>343.7</v>
      </c>
      <c r="J236">
        <v>347.9</v>
      </c>
      <c r="K236">
        <v>367.1</v>
      </c>
      <c r="L236">
        <v>345</v>
      </c>
      <c r="M236">
        <v>0.65800000000000003</v>
      </c>
      <c r="N236">
        <v>0.67400000000000004</v>
      </c>
      <c r="O236">
        <v>0.66800000000000004</v>
      </c>
      <c r="P236">
        <v>0.65500000000000003</v>
      </c>
      <c r="Q236">
        <v>0.65200000000000002</v>
      </c>
      <c r="R236">
        <v>0.66</v>
      </c>
      <c r="S236">
        <v>0.63900000000000001</v>
      </c>
      <c r="T236">
        <v>0.63</v>
      </c>
      <c r="U236">
        <v>0.60899999999999999</v>
      </c>
      <c r="V236">
        <v>0.61299999999999999</v>
      </c>
      <c r="W236" t="s">
        <v>901</v>
      </c>
      <c r="X236" t="s">
        <v>901</v>
      </c>
      <c r="Y236" t="s">
        <v>901</v>
      </c>
      <c r="Z236" t="s">
        <v>901</v>
      </c>
      <c r="AA236" t="s">
        <v>901</v>
      </c>
      <c r="AB236" t="s">
        <v>901</v>
      </c>
      <c r="AC236" t="s">
        <v>901</v>
      </c>
      <c r="AD236" t="s">
        <v>901</v>
      </c>
      <c r="AE236" t="s">
        <v>910</v>
      </c>
      <c r="AF236">
        <v>0</v>
      </c>
      <c r="AG236">
        <v>387.8</v>
      </c>
      <c r="AH236">
        <v>384.6</v>
      </c>
      <c r="AI236">
        <v>380</v>
      </c>
      <c r="AJ236">
        <v>390.9</v>
      </c>
      <c r="AK236">
        <v>398.4</v>
      </c>
      <c r="AL236">
        <v>380.7</v>
      </c>
      <c r="AM236" s="157">
        <v>390.3</v>
      </c>
      <c r="AN236" s="157">
        <v>384.8</v>
      </c>
      <c r="AO236" s="157">
        <v>383.4</v>
      </c>
      <c r="AP236" s="157">
        <v>366</v>
      </c>
    </row>
    <row r="237" spans="1:42" ht="14.7" customHeight="1">
      <c r="A237" s="161" t="s">
        <v>126</v>
      </c>
      <c r="B237" s="233"/>
      <c r="C237">
        <v>542.20000000000005</v>
      </c>
      <c r="D237">
        <v>501</v>
      </c>
      <c r="E237">
        <v>511.2</v>
      </c>
      <c r="F237">
        <v>525.1</v>
      </c>
      <c r="G237">
        <v>510</v>
      </c>
      <c r="H237">
        <v>515.5</v>
      </c>
      <c r="I237">
        <v>507</v>
      </c>
      <c r="J237">
        <v>497.2</v>
      </c>
      <c r="K237">
        <v>506.4</v>
      </c>
      <c r="L237">
        <v>523.79999999999995</v>
      </c>
      <c r="M237">
        <v>0.35</v>
      </c>
      <c r="N237">
        <v>0.37</v>
      </c>
      <c r="O237">
        <v>0.34599999999999997</v>
      </c>
      <c r="P237">
        <v>0.32100000000000001</v>
      </c>
      <c r="Q237">
        <v>0.32800000000000001</v>
      </c>
      <c r="R237">
        <v>0.33700000000000002</v>
      </c>
      <c r="S237">
        <v>0.34499999999999997</v>
      </c>
      <c r="T237">
        <v>0.34100000000000003</v>
      </c>
      <c r="U237">
        <v>0.315</v>
      </c>
      <c r="V237">
        <v>0.29899999999999999</v>
      </c>
      <c r="W237" t="s">
        <v>901</v>
      </c>
      <c r="X237" t="s">
        <v>901</v>
      </c>
      <c r="Y237" t="s">
        <v>901</v>
      </c>
      <c r="Z237" t="s">
        <v>901</v>
      </c>
      <c r="AA237" t="s">
        <v>901</v>
      </c>
      <c r="AB237" t="s">
        <v>901</v>
      </c>
      <c r="AC237" t="s">
        <v>901</v>
      </c>
      <c r="AD237" t="s">
        <v>901</v>
      </c>
      <c r="AE237" t="s">
        <v>910</v>
      </c>
      <c r="AF237">
        <v>0</v>
      </c>
      <c r="AG237">
        <v>383</v>
      </c>
      <c r="AH237">
        <v>364.8</v>
      </c>
      <c r="AI237">
        <v>355.2</v>
      </c>
      <c r="AJ237">
        <v>353</v>
      </c>
      <c r="AK237">
        <v>343</v>
      </c>
      <c r="AL237">
        <v>351.1</v>
      </c>
      <c r="AM237" s="157">
        <v>350.1</v>
      </c>
      <c r="AN237" s="157">
        <v>340.8</v>
      </c>
      <c r="AO237" s="157">
        <v>332.9</v>
      </c>
      <c r="AP237" s="157">
        <v>335.2</v>
      </c>
    </row>
    <row r="238" spans="1:42" ht="14.7" customHeight="1">
      <c r="A238" s="161" t="s">
        <v>127</v>
      </c>
      <c r="B238" s="233"/>
      <c r="C238">
        <v>455.2</v>
      </c>
      <c r="D238">
        <v>436.4</v>
      </c>
      <c r="E238">
        <v>438.6</v>
      </c>
      <c r="F238">
        <v>447</v>
      </c>
      <c r="G238">
        <v>424.8</v>
      </c>
      <c r="H238">
        <v>442.1</v>
      </c>
      <c r="I238">
        <v>422</v>
      </c>
      <c r="J238">
        <v>400.2</v>
      </c>
      <c r="K238">
        <v>420.4</v>
      </c>
      <c r="L238">
        <v>445.3</v>
      </c>
      <c r="M238">
        <v>0.441</v>
      </c>
      <c r="N238">
        <v>0.45500000000000002</v>
      </c>
      <c r="O238">
        <v>0.45</v>
      </c>
      <c r="P238">
        <v>0.44400000000000001</v>
      </c>
      <c r="Q238">
        <v>0.45400000000000001</v>
      </c>
      <c r="R238">
        <v>0.45400000000000001</v>
      </c>
      <c r="S238">
        <v>0.48299999999999998</v>
      </c>
      <c r="T238">
        <v>0.502</v>
      </c>
      <c r="U238">
        <v>0.47399999999999998</v>
      </c>
      <c r="V238">
        <v>0.45500000000000002</v>
      </c>
      <c r="W238" t="s">
        <v>901</v>
      </c>
      <c r="X238" t="s">
        <v>901</v>
      </c>
      <c r="Y238" t="s">
        <v>901</v>
      </c>
      <c r="Z238" t="s">
        <v>901</v>
      </c>
      <c r="AA238" t="s">
        <v>901</v>
      </c>
      <c r="AB238" t="s">
        <v>901</v>
      </c>
      <c r="AC238" t="s">
        <v>901</v>
      </c>
      <c r="AD238" t="s">
        <v>901</v>
      </c>
      <c r="AE238" t="s">
        <v>910</v>
      </c>
      <c r="AF238">
        <v>0</v>
      </c>
      <c r="AG238">
        <v>402.2</v>
      </c>
      <c r="AH238">
        <v>391.6</v>
      </c>
      <c r="AI238">
        <v>386.3</v>
      </c>
      <c r="AJ238">
        <v>389.4</v>
      </c>
      <c r="AK238">
        <v>377</v>
      </c>
      <c r="AL238">
        <v>383.8</v>
      </c>
      <c r="AM238" s="157">
        <v>385.9</v>
      </c>
      <c r="AN238" s="157">
        <v>376</v>
      </c>
      <c r="AO238" s="157">
        <v>372.8</v>
      </c>
      <c r="AP238" s="157">
        <v>382.3</v>
      </c>
    </row>
    <row r="239" spans="1:42" ht="14.7" customHeight="1">
      <c r="A239" s="49" t="s">
        <v>242</v>
      </c>
      <c r="B239" s="233"/>
      <c r="C239">
        <v>569.70000000000005</v>
      </c>
      <c r="D239">
        <v>463.6</v>
      </c>
      <c r="E239">
        <v>553.79999999999995</v>
      </c>
      <c r="F239">
        <v>557.79999999999995</v>
      </c>
      <c r="G239">
        <v>601.1</v>
      </c>
      <c r="H239">
        <v>572.1</v>
      </c>
      <c r="I239">
        <v>569</v>
      </c>
      <c r="J239">
        <v>544.70000000000005</v>
      </c>
      <c r="K239">
        <v>521.79999999999995</v>
      </c>
      <c r="L239">
        <v>481.3</v>
      </c>
      <c r="M239">
        <v>0.41899999999999998</v>
      </c>
      <c r="N239">
        <v>0.504</v>
      </c>
      <c r="O239">
        <v>0.41499999999999998</v>
      </c>
      <c r="P239">
        <v>0.40899999999999997</v>
      </c>
      <c r="Q239">
        <v>0.376</v>
      </c>
      <c r="R239">
        <v>0.40899999999999997</v>
      </c>
      <c r="S239">
        <v>0.42099999999999999</v>
      </c>
      <c r="T239">
        <v>0.436</v>
      </c>
      <c r="U239">
        <v>0.44600000000000001</v>
      </c>
      <c r="V239">
        <v>0.45400000000000001</v>
      </c>
      <c r="W239">
        <v>0.29599999999999999</v>
      </c>
      <c r="X239">
        <v>0.28399999999999997</v>
      </c>
      <c r="Y239">
        <v>0.314</v>
      </c>
      <c r="Z239">
        <v>0.33900000000000002</v>
      </c>
      <c r="AA239">
        <v>0.33500000000000002</v>
      </c>
      <c r="AB239">
        <v>0.05</v>
      </c>
      <c r="AC239">
        <v>2.7E-2</v>
      </c>
      <c r="AD239">
        <v>3.1E-2</v>
      </c>
      <c r="AE239">
        <v>2.1999999999999999E-2</v>
      </c>
      <c r="AF239">
        <v>2.4E-2</v>
      </c>
      <c r="AG239">
        <v>433.8</v>
      </c>
      <c r="AH239">
        <v>415</v>
      </c>
      <c r="AI239">
        <v>417.2</v>
      </c>
      <c r="AJ239">
        <v>417.8</v>
      </c>
      <c r="AK239">
        <v>426.6</v>
      </c>
      <c r="AL239">
        <v>427.6</v>
      </c>
      <c r="AM239" s="157">
        <v>435.2</v>
      </c>
      <c r="AN239" s="157">
        <v>426.8</v>
      </c>
      <c r="AO239" s="157">
        <v>416</v>
      </c>
      <c r="AP239" s="157">
        <v>389.9</v>
      </c>
    </row>
    <row r="240" spans="1:42" ht="14.7" customHeight="1">
      <c r="A240" s="49" t="s">
        <v>128</v>
      </c>
      <c r="B240" s="233"/>
      <c r="C240">
        <v>458.9</v>
      </c>
      <c r="D240">
        <v>488.9</v>
      </c>
      <c r="E240">
        <v>470.8</v>
      </c>
      <c r="F240">
        <v>502.3</v>
      </c>
      <c r="G240">
        <v>534.70000000000005</v>
      </c>
      <c r="H240">
        <v>503</v>
      </c>
      <c r="I240">
        <v>471.3</v>
      </c>
      <c r="J240">
        <v>484.8</v>
      </c>
      <c r="K240">
        <v>490.5</v>
      </c>
      <c r="L240">
        <v>461.8</v>
      </c>
      <c r="M240">
        <v>0.51100000000000001</v>
      </c>
      <c r="N240">
        <v>0.48099999999999998</v>
      </c>
      <c r="O240">
        <v>0.503</v>
      </c>
      <c r="P240">
        <v>0.46899999999999997</v>
      </c>
      <c r="Q240">
        <v>0.46</v>
      </c>
      <c r="R240">
        <v>0.47699999999999998</v>
      </c>
      <c r="S240">
        <v>0.501</v>
      </c>
      <c r="T240">
        <v>0.44600000000000001</v>
      </c>
      <c r="U240">
        <v>0.442</v>
      </c>
      <c r="V240">
        <v>0.45300000000000001</v>
      </c>
      <c r="W240" t="s">
        <v>901</v>
      </c>
      <c r="X240" t="s">
        <v>901</v>
      </c>
      <c r="Y240" t="s">
        <v>901</v>
      </c>
      <c r="Z240" t="s">
        <v>901</v>
      </c>
      <c r="AA240" t="s">
        <v>901</v>
      </c>
      <c r="AB240" t="s">
        <v>901</v>
      </c>
      <c r="AC240" t="s">
        <v>901</v>
      </c>
      <c r="AD240" t="s">
        <v>901</v>
      </c>
      <c r="AE240" t="s">
        <v>910</v>
      </c>
      <c r="AF240">
        <v>0</v>
      </c>
      <c r="AG240">
        <v>440.5</v>
      </c>
      <c r="AH240">
        <v>434.1</v>
      </c>
      <c r="AI240">
        <v>411.8</v>
      </c>
      <c r="AJ240">
        <v>413.5</v>
      </c>
      <c r="AK240">
        <v>430.7</v>
      </c>
      <c r="AL240">
        <v>416.1</v>
      </c>
      <c r="AM240" s="157">
        <v>411.5</v>
      </c>
      <c r="AN240" s="157">
        <v>376.2</v>
      </c>
      <c r="AO240" s="157">
        <v>379.3</v>
      </c>
      <c r="AP240" s="157">
        <v>364.7</v>
      </c>
    </row>
    <row r="241" spans="1:42" ht="14.7" customHeight="1">
      <c r="A241" s="161" t="s">
        <v>129</v>
      </c>
      <c r="B241" s="233"/>
      <c r="C241">
        <v>546.1</v>
      </c>
      <c r="D241">
        <v>401.3</v>
      </c>
      <c r="E241">
        <v>427.2</v>
      </c>
      <c r="F241">
        <v>437.2</v>
      </c>
      <c r="G241">
        <v>427.9</v>
      </c>
      <c r="H241">
        <v>429.2</v>
      </c>
      <c r="I241">
        <v>425.1</v>
      </c>
      <c r="J241">
        <v>423.1</v>
      </c>
      <c r="K241">
        <v>427.4</v>
      </c>
      <c r="L241">
        <v>417.1</v>
      </c>
      <c r="M241">
        <v>0.28999999999999998</v>
      </c>
      <c r="N241">
        <v>0.47299999999999998</v>
      </c>
      <c r="O241">
        <v>0.433</v>
      </c>
      <c r="P241">
        <v>0.41799999999999998</v>
      </c>
      <c r="Q241">
        <v>0.437</v>
      </c>
      <c r="R241">
        <v>0.44500000000000001</v>
      </c>
      <c r="S241">
        <v>0.441</v>
      </c>
      <c r="T241">
        <v>0.435</v>
      </c>
      <c r="U241">
        <v>0.42</v>
      </c>
      <c r="V241">
        <v>0.438</v>
      </c>
      <c r="W241" t="s">
        <v>901</v>
      </c>
      <c r="X241" t="s">
        <v>901</v>
      </c>
      <c r="Y241" t="s">
        <v>901</v>
      </c>
      <c r="Z241" t="s">
        <v>901</v>
      </c>
      <c r="AA241" t="s">
        <v>901</v>
      </c>
      <c r="AB241" t="s">
        <v>901</v>
      </c>
      <c r="AC241" t="s">
        <v>901</v>
      </c>
      <c r="AD241" t="s">
        <v>901</v>
      </c>
      <c r="AE241" t="s">
        <v>910</v>
      </c>
      <c r="AF241">
        <v>0</v>
      </c>
      <c r="AG241">
        <v>315.89999999999998</v>
      </c>
      <c r="AH241">
        <v>303</v>
      </c>
      <c r="AI241">
        <v>321.5</v>
      </c>
      <c r="AJ241">
        <v>315.7</v>
      </c>
      <c r="AK241">
        <v>315.39999999999998</v>
      </c>
      <c r="AL241">
        <v>314.7</v>
      </c>
      <c r="AM241" s="157">
        <v>308.39999999999998</v>
      </c>
      <c r="AN241" s="157">
        <v>305.3</v>
      </c>
      <c r="AO241" s="157">
        <v>301.2</v>
      </c>
      <c r="AP241" s="157">
        <v>305</v>
      </c>
    </row>
    <row r="242" spans="1:42" ht="14.7" customHeight="1">
      <c r="A242" s="161" t="s">
        <v>130</v>
      </c>
      <c r="B242" s="233"/>
      <c r="C242">
        <v>439.3</v>
      </c>
      <c r="D242">
        <v>442.1</v>
      </c>
      <c r="E242">
        <v>444.2</v>
      </c>
      <c r="F242">
        <v>441.7</v>
      </c>
      <c r="G242">
        <v>470.5</v>
      </c>
      <c r="H242">
        <v>474.3</v>
      </c>
      <c r="I242">
        <v>468.3</v>
      </c>
      <c r="J242">
        <v>457.9</v>
      </c>
      <c r="K242">
        <v>457.6</v>
      </c>
      <c r="L242">
        <v>464.4</v>
      </c>
      <c r="M242">
        <v>0.54100000000000004</v>
      </c>
      <c r="N242">
        <v>0.51</v>
      </c>
      <c r="O242">
        <v>0.50800000000000001</v>
      </c>
      <c r="P242">
        <v>0.51200000000000001</v>
      </c>
      <c r="Q242">
        <v>0.49</v>
      </c>
      <c r="R242">
        <v>0.49</v>
      </c>
      <c r="S242">
        <v>0.504</v>
      </c>
      <c r="T242">
        <v>0.502</v>
      </c>
      <c r="U242">
        <v>0.48799999999999999</v>
      </c>
      <c r="V242">
        <v>0.498</v>
      </c>
      <c r="W242" t="s">
        <v>901</v>
      </c>
      <c r="X242" t="s">
        <v>901</v>
      </c>
      <c r="Y242" t="s">
        <v>901</v>
      </c>
      <c r="Z242" t="s">
        <v>901</v>
      </c>
      <c r="AA242" t="s">
        <v>901</v>
      </c>
      <c r="AB242" t="s">
        <v>901</v>
      </c>
      <c r="AC242" t="s">
        <v>901</v>
      </c>
      <c r="AD242" t="s">
        <v>901</v>
      </c>
      <c r="AE242" t="s">
        <v>910</v>
      </c>
      <c r="AF242">
        <v>0</v>
      </c>
      <c r="AG242">
        <v>412.3</v>
      </c>
      <c r="AH242">
        <v>379.8</v>
      </c>
      <c r="AI242">
        <v>388.1</v>
      </c>
      <c r="AJ242">
        <v>389.5</v>
      </c>
      <c r="AK242">
        <v>394.4</v>
      </c>
      <c r="AL242">
        <v>392</v>
      </c>
      <c r="AM242" s="157">
        <v>398.1</v>
      </c>
      <c r="AN242" s="157">
        <v>388.8</v>
      </c>
      <c r="AO242" s="157">
        <v>376.7</v>
      </c>
      <c r="AP242" s="157">
        <v>390.7</v>
      </c>
    </row>
    <row r="243" spans="1:42" ht="14.7" customHeight="1">
      <c r="A243" s="161" t="s">
        <v>131</v>
      </c>
      <c r="B243" s="233"/>
      <c r="C243">
        <v>601.1</v>
      </c>
      <c r="D243">
        <v>589.29999999999995</v>
      </c>
      <c r="E243">
        <v>591.5</v>
      </c>
      <c r="F243">
        <v>594.9</v>
      </c>
      <c r="G243">
        <v>589.29999999999995</v>
      </c>
      <c r="H243">
        <v>594.6</v>
      </c>
      <c r="I243">
        <v>590.9</v>
      </c>
      <c r="J243">
        <v>568.4</v>
      </c>
      <c r="K243">
        <v>555.1</v>
      </c>
      <c r="L243">
        <v>547</v>
      </c>
      <c r="M243">
        <v>0.27100000000000002</v>
      </c>
      <c r="N243">
        <v>0.26900000000000002</v>
      </c>
      <c r="O243">
        <v>0.25800000000000001</v>
      </c>
      <c r="P243">
        <v>0.255</v>
      </c>
      <c r="Q243">
        <v>0.25900000000000001</v>
      </c>
      <c r="R243">
        <v>0.25900000000000001</v>
      </c>
      <c r="S243">
        <v>0.26600000000000001</v>
      </c>
      <c r="T243">
        <v>0.28999999999999998</v>
      </c>
      <c r="U243">
        <v>0.28999999999999998</v>
      </c>
      <c r="V243">
        <v>0.29599999999999999</v>
      </c>
      <c r="W243" t="s">
        <v>901</v>
      </c>
      <c r="X243" t="s">
        <v>901</v>
      </c>
      <c r="Y243" t="s">
        <v>901</v>
      </c>
      <c r="Z243" t="s">
        <v>901</v>
      </c>
      <c r="AA243" t="s">
        <v>901</v>
      </c>
      <c r="AB243" t="s">
        <v>901</v>
      </c>
      <c r="AC243" t="s">
        <v>901</v>
      </c>
      <c r="AD243" t="s">
        <v>901</v>
      </c>
      <c r="AE243" t="s">
        <v>910</v>
      </c>
      <c r="AF243">
        <v>0</v>
      </c>
      <c r="AG243">
        <v>346.7</v>
      </c>
      <c r="AH243">
        <v>332.6</v>
      </c>
      <c r="AI243">
        <v>323.8</v>
      </c>
      <c r="AJ243">
        <v>324.60000000000002</v>
      </c>
      <c r="AK243">
        <v>322.7</v>
      </c>
      <c r="AL243">
        <v>326.7</v>
      </c>
      <c r="AM243" s="157">
        <v>326.10000000000002</v>
      </c>
      <c r="AN243" s="157">
        <v>330.1</v>
      </c>
      <c r="AO243" s="157">
        <v>327.60000000000002</v>
      </c>
      <c r="AP243" s="157">
        <v>329.4</v>
      </c>
    </row>
    <row r="244" spans="1:42" ht="14.7" customHeight="1">
      <c r="A244" s="161" t="s">
        <v>286</v>
      </c>
      <c r="B244" s="233"/>
      <c r="C244">
        <v>525.29999999999995</v>
      </c>
      <c r="D244">
        <v>448</v>
      </c>
      <c r="E244">
        <v>469.8</v>
      </c>
      <c r="F244">
        <v>478.7</v>
      </c>
      <c r="G244">
        <v>495.7</v>
      </c>
      <c r="H244">
        <v>496</v>
      </c>
      <c r="I244">
        <v>508.7</v>
      </c>
      <c r="J244">
        <v>505.1</v>
      </c>
      <c r="K244">
        <v>505.5</v>
      </c>
      <c r="L244">
        <v>504.9</v>
      </c>
      <c r="M244">
        <v>0.56799999999999995</v>
      </c>
      <c r="N244">
        <v>0.61299999999999999</v>
      </c>
      <c r="O244">
        <v>0.59799999999999998</v>
      </c>
      <c r="P244">
        <v>0.6</v>
      </c>
      <c r="Q244">
        <v>0.59099999999999997</v>
      </c>
      <c r="R244">
        <v>0.58099999999999996</v>
      </c>
      <c r="S244">
        <v>0.59299999999999997</v>
      </c>
      <c r="T244">
        <v>0.57799999999999996</v>
      </c>
      <c r="U244">
        <v>0.56000000000000005</v>
      </c>
      <c r="V244">
        <v>0.56399999999999995</v>
      </c>
      <c r="W244">
        <v>0.40799999999999997</v>
      </c>
      <c r="X244">
        <v>0.36099999999999999</v>
      </c>
      <c r="Y244">
        <v>0.36599999999999999</v>
      </c>
      <c r="Z244">
        <v>0.36299999999999999</v>
      </c>
      <c r="AA244">
        <v>0</v>
      </c>
      <c r="AB244">
        <v>1E-3</v>
      </c>
      <c r="AC244">
        <v>1E-3</v>
      </c>
      <c r="AD244">
        <v>0</v>
      </c>
      <c r="AE244">
        <v>0</v>
      </c>
      <c r="AF244">
        <v>0</v>
      </c>
      <c r="AG244">
        <v>504.9</v>
      </c>
      <c r="AH244">
        <v>480</v>
      </c>
      <c r="AI244">
        <v>502.6</v>
      </c>
      <c r="AJ244">
        <v>523</v>
      </c>
      <c r="AK244">
        <v>523</v>
      </c>
      <c r="AL244">
        <v>512.6</v>
      </c>
      <c r="AM244" s="157">
        <v>543.1</v>
      </c>
      <c r="AN244" s="157">
        <v>514.20000000000005</v>
      </c>
      <c r="AO244" s="157">
        <v>495</v>
      </c>
      <c r="AP244" s="157">
        <v>504.9</v>
      </c>
    </row>
    <row r="245" spans="1:42" ht="14.7" customHeight="1">
      <c r="A245" s="161" t="s">
        <v>132</v>
      </c>
      <c r="B245" s="233"/>
      <c r="C245">
        <v>487.5</v>
      </c>
      <c r="D245">
        <v>455</v>
      </c>
      <c r="E245">
        <v>458.1</v>
      </c>
      <c r="F245">
        <v>454</v>
      </c>
      <c r="G245">
        <v>463</v>
      </c>
      <c r="H245">
        <v>467</v>
      </c>
      <c r="I245">
        <v>462.7</v>
      </c>
      <c r="J245">
        <v>452.2</v>
      </c>
      <c r="K245">
        <v>450.5</v>
      </c>
      <c r="L245">
        <v>424.9</v>
      </c>
      <c r="M245">
        <v>0.50800000000000001</v>
      </c>
      <c r="N245">
        <v>0.51900000000000002</v>
      </c>
      <c r="O245">
        <v>0.52</v>
      </c>
      <c r="P245">
        <v>0.52700000000000002</v>
      </c>
      <c r="Q245">
        <v>0.48099999999999998</v>
      </c>
      <c r="R245">
        <v>0.45800000000000002</v>
      </c>
      <c r="S245">
        <v>0.46400000000000002</v>
      </c>
      <c r="T245">
        <v>0.46200000000000002</v>
      </c>
      <c r="U245">
        <v>0.46100000000000002</v>
      </c>
      <c r="V245">
        <v>0.48599999999999999</v>
      </c>
      <c r="W245" t="s">
        <v>901</v>
      </c>
      <c r="X245" t="s">
        <v>901</v>
      </c>
      <c r="Y245" t="s">
        <v>901</v>
      </c>
      <c r="Z245" t="s">
        <v>901</v>
      </c>
      <c r="AA245" t="s">
        <v>901</v>
      </c>
      <c r="AB245" t="s">
        <v>901</v>
      </c>
      <c r="AC245" t="s">
        <v>901</v>
      </c>
      <c r="AD245" t="s">
        <v>901</v>
      </c>
      <c r="AE245" t="s">
        <v>910</v>
      </c>
      <c r="AF245">
        <v>0</v>
      </c>
      <c r="AG245">
        <v>448.3</v>
      </c>
      <c r="AH245">
        <v>429.2</v>
      </c>
      <c r="AI245">
        <v>451.1</v>
      </c>
      <c r="AJ245">
        <v>456</v>
      </c>
      <c r="AK245">
        <v>419.7</v>
      </c>
      <c r="AL245">
        <v>406.1</v>
      </c>
      <c r="AM245" s="157">
        <v>406.7</v>
      </c>
      <c r="AN245" s="157">
        <v>393.9</v>
      </c>
      <c r="AO245" s="157">
        <v>391</v>
      </c>
      <c r="AP245" s="157">
        <v>387.9</v>
      </c>
    </row>
    <row r="246" spans="1:42" ht="14.7" customHeight="1">
      <c r="A246" s="161" t="s">
        <v>243</v>
      </c>
      <c r="B246" s="233"/>
      <c r="C246">
        <v>647</v>
      </c>
      <c r="D246">
        <v>574.29999999999995</v>
      </c>
      <c r="E246">
        <v>566.29999999999995</v>
      </c>
      <c r="F246">
        <v>442.3</v>
      </c>
      <c r="G246">
        <v>429.4</v>
      </c>
      <c r="H246">
        <v>419.8</v>
      </c>
      <c r="I246">
        <v>390.1</v>
      </c>
      <c r="J246">
        <v>382.7</v>
      </c>
      <c r="K246">
        <v>364.2</v>
      </c>
      <c r="L246">
        <v>345.3</v>
      </c>
      <c r="M246">
        <v>0.32600000000000001</v>
      </c>
      <c r="N246">
        <v>0.30399999999999999</v>
      </c>
      <c r="O246">
        <v>0.29199999999999998</v>
      </c>
      <c r="P246">
        <v>0.39800000000000002</v>
      </c>
      <c r="Q246">
        <v>0.41199999999999998</v>
      </c>
      <c r="R246">
        <v>0.42199999999999999</v>
      </c>
      <c r="S246">
        <v>0.44900000000000001</v>
      </c>
      <c r="T246">
        <v>0.45600000000000002</v>
      </c>
      <c r="U246">
        <v>0.46600000000000003</v>
      </c>
      <c r="V246">
        <v>0.47</v>
      </c>
      <c r="W246" t="s">
        <v>901</v>
      </c>
      <c r="X246" t="s">
        <v>901</v>
      </c>
      <c r="Y246" t="s">
        <v>901</v>
      </c>
      <c r="Z246" t="s">
        <v>901</v>
      </c>
      <c r="AA246" t="s">
        <v>901</v>
      </c>
      <c r="AB246" t="s">
        <v>901</v>
      </c>
      <c r="AC246" t="s">
        <v>901</v>
      </c>
      <c r="AD246" t="s">
        <v>901</v>
      </c>
      <c r="AE246" t="s">
        <v>910</v>
      </c>
      <c r="AF246">
        <v>0</v>
      </c>
      <c r="AG246">
        <v>472.9</v>
      </c>
      <c r="AH246">
        <v>395.9</v>
      </c>
      <c r="AI246">
        <v>375.8</v>
      </c>
      <c r="AJ246">
        <v>343.8</v>
      </c>
      <c r="AK246">
        <v>335.2</v>
      </c>
      <c r="AL246">
        <v>333</v>
      </c>
      <c r="AM246" s="157">
        <v>321.5</v>
      </c>
      <c r="AN246" s="157">
        <v>320.89999999999998</v>
      </c>
      <c r="AO246" s="157">
        <v>311.89999999999998</v>
      </c>
      <c r="AP246" s="157">
        <v>299.7</v>
      </c>
    </row>
    <row r="247" spans="1:42" ht="14.7" customHeight="1">
      <c r="A247" s="161" t="s">
        <v>244</v>
      </c>
      <c r="B247" s="233"/>
      <c r="C247">
        <v>659.8</v>
      </c>
      <c r="D247">
        <v>548.5</v>
      </c>
      <c r="E247">
        <v>474.5</v>
      </c>
      <c r="F247">
        <v>514.79999999999995</v>
      </c>
      <c r="G247">
        <v>564.5</v>
      </c>
      <c r="H247">
        <v>576</v>
      </c>
      <c r="I247">
        <v>566.79999999999995</v>
      </c>
      <c r="J247">
        <v>586.29999999999995</v>
      </c>
      <c r="K247">
        <v>623.5</v>
      </c>
      <c r="L247">
        <v>625.79999999999995</v>
      </c>
      <c r="M247">
        <v>0.32600000000000001</v>
      </c>
      <c r="N247">
        <v>0.40699999999999997</v>
      </c>
      <c r="O247">
        <v>0.47899999999999998</v>
      </c>
      <c r="P247">
        <v>0.44600000000000001</v>
      </c>
      <c r="Q247">
        <v>0.40899999999999997</v>
      </c>
      <c r="R247">
        <v>0.40899999999999997</v>
      </c>
      <c r="S247">
        <v>0.41</v>
      </c>
      <c r="T247">
        <v>0.39900000000000002</v>
      </c>
      <c r="U247">
        <v>0.35799999999999998</v>
      </c>
      <c r="V247">
        <v>0.34799999999999998</v>
      </c>
      <c r="W247">
        <v>0.35799999999999998</v>
      </c>
      <c r="X247">
        <v>0.17699999999999999</v>
      </c>
      <c r="Y247">
        <v>9.0999999999999998E-2</v>
      </c>
      <c r="Z247">
        <v>0.19</v>
      </c>
      <c r="AA247">
        <v>6.3E-2</v>
      </c>
      <c r="AB247">
        <v>7.4999999999999997E-2</v>
      </c>
      <c r="AC247">
        <v>4.2999999999999997E-2</v>
      </c>
      <c r="AD247">
        <v>4.5999999999999999E-2</v>
      </c>
      <c r="AE247">
        <v>6.6000000000000003E-2</v>
      </c>
      <c r="AF247">
        <v>4.3999999999999997E-2</v>
      </c>
      <c r="AG247">
        <v>433.9</v>
      </c>
      <c r="AH247">
        <v>405.6</v>
      </c>
      <c r="AI247">
        <v>379.3</v>
      </c>
      <c r="AJ247">
        <v>385.3</v>
      </c>
      <c r="AK247">
        <v>392.6</v>
      </c>
      <c r="AL247">
        <v>396.6</v>
      </c>
      <c r="AM247" s="157">
        <v>389.5</v>
      </c>
      <c r="AN247" s="157">
        <v>394.2</v>
      </c>
      <c r="AO247" s="157">
        <v>393.3</v>
      </c>
      <c r="AP247" s="157">
        <v>389.8</v>
      </c>
    </row>
    <row r="248" spans="1:42" ht="14.7" customHeight="1">
      <c r="A248" s="161" t="s">
        <v>133</v>
      </c>
      <c r="B248" s="233"/>
      <c r="C248">
        <v>491.2</v>
      </c>
      <c r="D248">
        <v>492.1</v>
      </c>
      <c r="E248">
        <v>488.3</v>
      </c>
      <c r="F248">
        <v>512.6</v>
      </c>
      <c r="G248">
        <v>496.4</v>
      </c>
      <c r="H248">
        <v>460.8</v>
      </c>
      <c r="I248">
        <v>429.6</v>
      </c>
      <c r="J248">
        <v>501.2</v>
      </c>
      <c r="K248">
        <v>487.1</v>
      </c>
      <c r="L248">
        <v>454.5</v>
      </c>
      <c r="M248">
        <v>0.39500000000000002</v>
      </c>
      <c r="N248">
        <v>0.40100000000000002</v>
      </c>
      <c r="O248">
        <v>0.40899999999999997</v>
      </c>
      <c r="P248">
        <v>0.38800000000000001</v>
      </c>
      <c r="Q248">
        <v>0.40699999999999997</v>
      </c>
      <c r="R248">
        <v>0.441</v>
      </c>
      <c r="S248">
        <v>0.39900000000000002</v>
      </c>
      <c r="T248">
        <v>0.37</v>
      </c>
      <c r="U248">
        <v>0.36099999999999999</v>
      </c>
      <c r="V248">
        <v>0.40400000000000003</v>
      </c>
      <c r="W248" t="s">
        <v>901</v>
      </c>
      <c r="X248" t="s">
        <v>901</v>
      </c>
      <c r="Y248" t="s">
        <v>901</v>
      </c>
      <c r="Z248" t="s">
        <v>901</v>
      </c>
      <c r="AA248" t="s">
        <v>901</v>
      </c>
      <c r="AB248" t="s">
        <v>901</v>
      </c>
      <c r="AC248" t="s">
        <v>901</v>
      </c>
      <c r="AD248" t="s">
        <v>901</v>
      </c>
      <c r="AE248" t="s">
        <v>910</v>
      </c>
      <c r="AF248">
        <v>0</v>
      </c>
      <c r="AG248">
        <v>417</v>
      </c>
      <c r="AH248">
        <v>420.4</v>
      </c>
      <c r="AI248">
        <v>422.5</v>
      </c>
      <c r="AJ248">
        <v>430.5</v>
      </c>
      <c r="AK248">
        <v>434.2</v>
      </c>
      <c r="AL248">
        <v>429.1</v>
      </c>
      <c r="AM248" s="157">
        <v>375.7</v>
      </c>
      <c r="AN248" s="157">
        <v>418.5</v>
      </c>
      <c r="AO248" s="157">
        <v>402.8</v>
      </c>
      <c r="AP248" s="157">
        <v>404.5</v>
      </c>
    </row>
    <row r="249" spans="1:42" ht="14.7" customHeight="1">
      <c r="A249" s="161" t="s">
        <v>134</v>
      </c>
      <c r="B249" s="233"/>
      <c r="C249">
        <v>439.5</v>
      </c>
      <c r="D249">
        <v>394.1</v>
      </c>
      <c r="E249">
        <v>422.2</v>
      </c>
      <c r="F249">
        <v>411</v>
      </c>
      <c r="G249">
        <v>407.3</v>
      </c>
      <c r="H249">
        <v>397.5</v>
      </c>
      <c r="I249">
        <v>401.5</v>
      </c>
      <c r="J249" t="s">
        <v>901</v>
      </c>
      <c r="K249" t="s">
        <v>901</v>
      </c>
      <c r="L249" t="s">
        <v>901</v>
      </c>
      <c r="M249">
        <v>0.42399999999999999</v>
      </c>
      <c r="N249">
        <v>0.48599999999999999</v>
      </c>
      <c r="O249">
        <v>0.45</v>
      </c>
      <c r="P249">
        <v>0.44700000000000001</v>
      </c>
      <c r="Q249">
        <v>0.46300000000000002</v>
      </c>
      <c r="R249">
        <v>0.47899999999999998</v>
      </c>
      <c r="S249">
        <v>0.46800000000000003</v>
      </c>
      <c r="T249" t="s">
        <v>901</v>
      </c>
      <c r="U249" t="s">
        <v>901</v>
      </c>
      <c r="V249" t="s">
        <v>901</v>
      </c>
      <c r="W249" t="s">
        <v>901</v>
      </c>
      <c r="X249" t="s">
        <v>901</v>
      </c>
      <c r="Y249" t="s">
        <v>901</v>
      </c>
      <c r="Z249" t="s">
        <v>901</v>
      </c>
      <c r="AA249" t="s">
        <v>901</v>
      </c>
      <c r="AB249" t="s">
        <v>901</v>
      </c>
      <c r="AC249" t="s">
        <v>901</v>
      </c>
      <c r="AD249" t="s">
        <v>901</v>
      </c>
      <c r="AE249" t="s">
        <v>901</v>
      </c>
      <c r="AF249" t="s">
        <v>901</v>
      </c>
      <c r="AG249">
        <v>344.6</v>
      </c>
      <c r="AH249">
        <v>348.9</v>
      </c>
      <c r="AI249">
        <v>347</v>
      </c>
      <c r="AJ249">
        <v>334.7</v>
      </c>
      <c r="AK249">
        <v>334.7</v>
      </c>
      <c r="AL249">
        <v>336.1</v>
      </c>
      <c r="AM249" s="157">
        <v>333.3</v>
      </c>
      <c r="AN249" s="157" t="s">
        <v>901</v>
      </c>
      <c r="AO249" s="157" t="s">
        <v>901</v>
      </c>
      <c r="AP249" s="157" t="s">
        <v>901</v>
      </c>
    </row>
    <row r="250" spans="1:42" ht="14.7" customHeight="1">
      <c r="A250" s="161" t="s">
        <v>245</v>
      </c>
      <c r="B250" s="233"/>
      <c r="C250">
        <v>516.9</v>
      </c>
      <c r="D250">
        <v>495.6</v>
      </c>
      <c r="E250">
        <v>507.6</v>
      </c>
      <c r="F250">
        <v>507.1</v>
      </c>
      <c r="G250">
        <v>499.2</v>
      </c>
      <c r="H250">
        <v>515.9</v>
      </c>
      <c r="I250">
        <v>535.29999999999995</v>
      </c>
      <c r="J250">
        <v>540.70000000000005</v>
      </c>
      <c r="K250">
        <v>555</v>
      </c>
      <c r="L250">
        <v>573.6</v>
      </c>
      <c r="M250">
        <v>0.40600000000000003</v>
      </c>
      <c r="N250">
        <v>0.40799999999999997</v>
      </c>
      <c r="O250">
        <v>0.39</v>
      </c>
      <c r="P250">
        <v>0.376</v>
      </c>
      <c r="Q250">
        <v>0.41099999999999998</v>
      </c>
      <c r="R250">
        <v>0.39500000000000002</v>
      </c>
      <c r="S250">
        <v>0.378</v>
      </c>
      <c r="T250">
        <v>0.36899999999999999</v>
      </c>
      <c r="U250">
        <v>0.35</v>
      </c>
      <c r="V250">
        <v>0.33700000000000002</v>
      </c>
      <c r="W250" t="s">
        <v>901</v>
      </c>
      <c r="X250" t="s">
        <v>901</v>
      </c>
      <c r="Y250" t="s">
        <v>901</v>
      </c>
      <c r="Z250" t="s">
        <v>901</v>
      </c>
      <c r="AA250" t="s">
        <v>901</v>
      </c>
      <c r="AB250" t="s">
        <v>901</v>
      </c>
      <c r="AC250" t="s">
        <v>901</v>
      </c>
      <c r="AD250" t="s">
        <v>901</v>
      </c>
      <c r="AE250" t="s">
        <v>910</v>
      </c>
      <c r="AF250">
        <v>0</v>
      </c>
      <c r="AG250">
        <v>391.9</v>
      </c>
      <c r="AH250">
        <v>382.2</v>
      </c>
      <c r="AI250">
        <v>379</v>
      </c>
      <c r="AJ250">
        <v>371.4</v>
      </c>
      <c r="AK250">
        <v>388.9</v>
      </c>
      <c r="AL250">
        <v>392.1</v>
      </c>
      <c r="AM250" s="157">
        <v>396.6</v>
      </c>
      <c r="AN250" s="157">
        <v>396.6</v>
      </c>
      <c r="AO250" s="157">
        <v>394.2</v>
      </c>
      <c r="AP250" s="157">
        <v>400</v>
      </c>
    </row>
    <row r="251" spans="1:42" ht="14.7" customHeight="1">
      <c r="A251" s="161" t="s">
        <v>135</v>
      </c>
      <c r="B251" s="233"/>
      <c r="C251">
        <v>563.79999999999995</v>
      </c>
      <c r="D251">
        <v>547.4</v>
      </c>
      <c r="E251">
        <v>550.20000000000005</v>
      </c>
      <c r="F251">
        <v>554.4</v>
      </c>
      <c r="G251">
        <v>555.79999999999995</v>
      </c>
      <c r="H251">
        <v>575</v>
      </c>
      <c r="I251">
        <v>568.9</v>
      </c>
      <c r="J251">
        <v>550.1</v>
      </c>
      <c r="K251">
        <v>544.20000000000005</v>
      </c>
      <c r="L251">
        <v>545.29999999999995</v>
      </c>
      <c r="M251">
        <v>0.43</v>
      </c>
      <c r="N251">
        <v>0.43</v>
      </c>
      <c r="O251">
        <v>0.433</v>
      </c>
      <c r="P251">
        <v>0.42899999999999999</v>
      </c>
      <c r="Q251">
        <v>0.438</v>
      </c>
      <c r="R251">
        <v>0.41899999999999998</v>
      </c>
      <c r="S251">
        <v>0.42599999999999999</v>
      </c>
      <c r="T251">
        <v>0.41599999999999998</v>
      </c>
      <c r="U251">
        <v>0.41199999999999998</v>
      </c>
      <c r="V251">
        <v>0.42699999999999999</v>
      </c>
      <c r="W251" t="s">
        <v>901</v>
      </c>
      <c r="X251" t="s">
        <v>901</v>
      </c>
      <c r="Y251" t="s">
        <v>901</v>
      </c>
      <c r="Z251" t="s">
        <v>901</v>
      </c>
      <c r="AA251" t="s">
        <v>901</v>
      </c>
      <c r="AB251" t="s">
        <v>901</v>
      </c>
      <c r="AC251" t="s">
        <v>901</v>
      </c>
      <c r="AD251" t="s">
        <v>901</v>
      </c>
      <c r="AE251" t="s">
        <v>910</v>
      </c>
      <c r="AF251">
        <v>0</v>
      </c>
      <c r="AG251">
        <v>438.6</v>
      </c>
      <c r="AH251">
        <v>421.6</v>
      </c>
      <c r="AI251">
        <v>425.6</v>
      </c>
      <c r="AJ251">
        <v>424.7</v>
      </c>
      <c r="AK251">
        <v>426.3</v>
      </c>
      <c r="AL251">
        <v>428.6</v>
      </c>
      <c r="AM251" s="157">
        <v>430.7</v>
      </c>
      <c r="AN251" s="157">
        <v>410.5</v>
      </c>
      <c r="AO251" s="157">
        <v>404.4</v>
      </c>
      <c r="AP251" s="157">
        <v>416.1</v>
      </c>
    </row>
    <row r="252" spans="1:42" ht="14.7" customHeight="1">
      <c r="A252" s="161" t="s">
        <v>136</v>
      </c>
      <c r="B252" s="233"/>
      <c r="C252">
        <v>619.5</v>
      </c>
      <c r="D252">
        <v>591.70000000000005</v>
      </c>
      <c r="E252">
        <v>582.6</v>
      </c>
      <c r="F252">
        <v>589.5</v>
      </c>
      <c r="G252">
        <v>596.29999999999995</v>
      </c>
      <c r="H252">
        <v>596.1</v>
      </c>
      <c r="I252">
        <v>567.29999999999995</v>
      </c>
      <c r="J252">
        <v>558.9</v>
      </c>
      <c r="K252">
        <v>553.20000000000005</v>
      </c>
      <c r="L252">
        <v>554.29999999999995</v>
      </c>
      <c r="M252">
        <v>0.314</v>
      </c>
      <c r="N252">
        <v>0.31900000000000001</v>
      </c>
      <c r="O252">
        <v>0.32300000000000001</v>
      </c>
      <c r="P252">
        <v>0.32800000000000001</v>
      </c>
      <c r="Q252">
        <v>0.33400000000000002</v>
      </c>
      <c r="R252">
        <v>0.31900000000000001</v>
      </c>
      <c r="S252">
        <v>0.38300000000000001</v>
      </c>
      <c r="T252">
        <v>0.38100000000000001</v>
      </c>
      <c r="U252">
        <v>0.375</v>
      </c>
      <c r="V252">
        <v>0.38</v>
      </c>
      <c r="W252" t="s">
        <v>901</v>
      </c>
      <c r="X252" t="s">
        <v>901</v>
      </c>
      <c r="Y252" t="s">
        <v>901</v>
      </c>
      <c r="Z252" t="s">
        <v>901</v>
      </c>
      <c r="AA252" t="s">
        <v>901</v>
      </c>
      <c r="AB252" t="s">
        <v>901</v>
      </c>
      <c r="AC252" t="s">
        <v>901</v>
      </c>
      <c r="AD252" t="s">
        <v>901</v>
      </c>
      <c r="AE252" t="s">
        <v>910</v>
      </c>
      <c r="AF252">
        <v>0</v>
      </c>
      <c r="AG252">
        <v>378.5</v>
      </c>
      <c r="AH252">
        <v>367.4</v>
      </c>
      <c r="AI252">
        <v>360.5</v>
      </c>
      <c r="AJ252">
        <v>366.7</v>
      </c>
      <c r="AK252">
        <v>372.7</v>
      </c>
      <c r="AL252">
        <v>361.4</v>
      </c>
      <c r="AM252" s="157">
        <v>380.2</v>
      </c>
      <c r="AN252" s="157">
        <v>374.8</v>
      </c>
      <c r="AO252" s="157">
        <v>367.3</v>
      </c>
      <c r="AP252" s="157">
        <v>373</v>
      </c>
    </row>
    <row r="253" spans="1:42" ht="14.7" customHeight="1">
      <c r="A253" s="161" t="s">
        <v>246</v>
      </c>
      <c r="B253" s="233"/>
      <c r="C253">
        <v>623.20000000000005</v>
      </c>
      <c r="D253">
        <v>594.6</v>
      </c>
      <c r="E253">
        <v>562.70000000000005</v>
      </c>
      <c r="F253">
        <v>534.79999999999995</v>
      </c>
      <c r="G253">
        <v>539.9</v>
      </c>
      <c r="H253">
        <v>563.20000000000005</v>
      </c>
      <c r="I253">
        <v>553.6</v>
      </c>
      <c r="J253">
        <v>530.70000000000005</v>
      </c>
      <c r="K253">
        <v>517.5</v>
      </c>
      <c r="L253">
        <v>509.3</v>
      </c>
      <c r="M253">
        <v>0.29299999999999998</v>
      </c>
      <c r="N253">
        <v>0.29099999999999998</v>
      </c>
      <c r="O253">
        <v>0.27700000000000002</v>
      </c>
      <c r="P253">
        <v>0.30199999999999999</v>
      </c>
      <c r="Q253">
        <v>0.3</v>
      </c>
      <c r="R253">
        <v>0.28899999999999998</v>
      </c>
      <c r="S253">
        <v>0.29599999999999999</v>
      </c>
      <c r="T253">
        <v>0.307</v>
      </c>
      <c r="U253">
        <v>0.31</v>
      </c>
      <c r="V253">
        <v>0.317</v>
      </c>
      <c r="W253">
        <v>0.159</v>
      </c>
      <c r="X253">
        <v>0.13900000000000001</v>
      </c>
      <c r="Y253">
        <v>6.5000000000000002E-2</v>
      </c>
      <c r="Z253">
        <v>7.3999999999999996E-2</v>
      </c>
      <c r="AA253">
        <v>6.9000000000000006E-2</v>
      </c>
      <c r="AB253">
        <v>5.8000000000000003E-2</v>
      </c>
      <c r="AC253">
        <v>5.1999999999999998E-2</v>
      </c>
      <c r="AD253">
        <v>4.8000000000000001E-2</v>
      </c>
      <c r="AE253">
        <v>1.6E-2</v>
      </c>
      <c r="AF253">
        <v>1.4E-2</v>
      </c>
      <c r="AG253">
        <v>393</v>
      </c>
      <c r="AH253">
        <v>360.5</v>
      </c>
      <c r="AI253">
        <v>337.2</v>
      </c>
      <c r="AJ253">
        <v>329.9</v>
      </c>
      <c r="AK253">
        <v>330.7</v>
      </c>
      <c r="AL253">
        <v>334.7</v>
      </c>
      <c r="AM253" s="157">
        <v>331.5</v>
      </c>
      <c r="AN253" s="157">
        <v>324.2</v>
      </c>
      <c r="AO253" s="157">
        <v>317.7</v>
      </c>
      <c r="AP253" s="157">
        <v>318.10000000000002</v>
      </c>
    </row>
    <row r="254" spans="1:42" ht="14.7" customHeight="1">
      <c r="A254" s="161" t="s">
        <v>326</v>
      </c>
      <c r="B254" s="233"/>
      <c r="C254">
        <v>548</v>
      </c>
      <c r="D254">
        <v>549.9</v>
      </c>
      <c r="E254">
        <v>547.1</v>
      </c>
      <c r="F254">
        <v>586.79999999999995</v>
      </c>
      <c r="G254">
        <v>568.5</v>
      </c>
      <c r="H254">
        <v>509.5</v>
      </c>
      <c r="I254">
        <v>519.20000000000005</v>
      </c>
      <c r="J254">
        <v>506.5</v>
      </c>
      <c r="K254">
        <v>494.5</v>
      </c>
      <c r="L254">
        <v>500.2</v>
      </c>
      <c r="M254">
        <v>0.52500000000000002</v>
      </c>
      <c r="N254">
        <v>0.504</v>
      </c>
      <c r="O254">
        <v>0.50600000000000001</v>
      </c>
      <c r="P254">
        <v>0.499</v>
      </c>
      <c r="Q254">
        <v>0.49199999999999999</v>
      </c>
      <c r="R254">
        <v>0.54600000000000004</v>
      </c>
      <c r="S254">
        <v>0.54800000000000004</v>
      </c>
      <c r="T254">
        <v>0.54100000000000004</v>
      </c>
      <c r="U254">
        <v>0.55500000000000005</v>
      </c>
      <c r="V254">
        <v>0.54600000000000004</v>
      </c>
      <c r="W254">
        <v>0.47099999999999997</v>
      </c>
      <c r="X254">
        <v>0.43</v>
      </c>
      <c r="Y254">
        <v>0.41399999999999998</v>
      </c>
      <c r="Z254">
        <v>0.38400000000000001</v>
      </c>
      <c r="AA254">
        <v>0.127</v>
      </c>
      <c r="AB254">
        <v>6.9000000000000006E-2</v>
      </c>
      <c r="AC254">
        <v>0.04</v>
      </c>
      <c r="AD254">
        <v>2.8000000000000001E-2</v>
      </c>
      <c r="AE254">
        <v>1.6E-2</v>
      </c>
      <c r="AF254">
        <v>1.7999999999999999E-2</v>
      </c>
      <c r="AG254">
        <v>526.20000000000005</v>
      </c>
      <c r="AH254">
        <v>503.9</v>
      </c>
      <c r="AI254">
        <v>484.8</v>
      </c>
      <c r="AJ254">
        <v>515.6</v>
      </c>
      <c r="AK254">
        <v>492.6</v>
      </c>
      <c r="AL254">
        <v>493.1</v>
      </c>
      <c r="AM254" s="157">
        <v>505.7</v>
      </c>
      <c r="AN254" s="157">
        <v>486.3</v>
      </c>
      <c r="AO254" s="157">
        <v>491.6</v>
      </c>
      <c r="AP254" s="157">
        <v>489.9</v>
      </c>
    </row>
    <row r="255" spans="1:42" ht="14.7" customHeight="1">
      <c r="A255" s="161" t="s">
        <v>287</v>
      </c>
      <c r="B255" s="233"/>
      <c r="C255">
        <v>697.3</v>
      </c>
      <c r="D255">
        <v>687.4</v>
      </c>
      <c r="E255">
        <v>656.2</v>
      </c>
      <c r="F255">
        <v>688.1</v>
      </c>
      <c r="G255">
        <v>715.2</v>
      </c>
      <c r="H255">
        <v>761.1</v>
      </c>
      <c r="I255">
        <v>767.6</v>
      </c>
      <c r="J255">
        <v>767.4</v>
      </c>
      <c r="K255">
        <v>756.3</v>
      </c>
      <c r="L255">
        <v>732.6</v>
      </c>
      <c r="M255">
        <v>0.314</v>
      </c>
      <c r="N255">
        <v>0.307</v>
      </c>
      <c r="O255">
        <v>0.29899999999999999</v>
      </c>
      <c r="P255">
        <v>0.29399999999999998</v>
      </c>
      <c r="Q255">
        <v>0.29199999999999998</v>
      </c>
      <c r="R255">
        <v>0.26800000000000002</v>
      </c>
      <c r="S255">
        <v>0.26300000000000001</v>
      </c>
      <c r="T255">
        <v>0.23899999999999999</v>
      </c>
      <c r="U255">
        <v>0.23300000000000001</v>
      </c>
      <c r="V255">
        <v>0.24</v>
      </c>
      <c r="W255">
        <v>7.0999999999999994E-2</v>
      </c>
      <c r="X255">
        <v>6.4000000000000001E-2</v>
      </c>
      <c r="Y255">
        <v>9.9000000000000005E-2</v>
      </c>
      <c r="Z255">
        <v>5.8000000000000003E-2</v>
      </c>
      <c r="AA255">
        <v>6.2E-2</v>
      </c>
      <c r="AB255">
        <v>8.0000000000000002E-3</v>
      </c>
      <c r="AC255">
        <v>2.4E-2</v>
      </c>
      <c r="AD255">
        <v>0.03</v>
      </c>
      <c r="AE255">
        <v>0</v>
      </c>
      <c r="AF255">
        <v>8.9999999999999993E-3</v>
      </c>
      <c r="AG255">
        <v>420.4</v>
      </c>
      <c r="AH255">
        <v>383.8</v>
      </c>
      <c r="AI255">
        <v>338.1</v>
      </c>
      <c r="AJ255">
        <v>351</v>
      </c>
      <c r="AK255">
        <v>361.1</v>
      </c>
      <c r="AL255">
        <v>369</v>
      </c>
      <c r="AM255" s="157">
        <v>371.6</v>
      </c>
      <c r="AN255" s="157">
        <v>359.8</v>
      </c>
      <c r="AO255" s="157">
        <v>355.7</v>
      </c>
      <c r="AP255" s="157">
        <v>350.6</v>
      </c>
    </row>
    <row r="256" spans="1:42" ht="14.7" customHeight="1">
      <c r="A256" s="161" t="s">
        <v>247</v>
      </c>
      <c r="B256" s="233"/>
      <c r="C256">
        <v>591.29999999999995</v>
      </c>
      <c r="D256">
        <v>551.9</v>
      </c>
      <c r="E256">
        <v>574.29999999999995</v>
      </c>
      <c r="F256">
        <v>621.5</v>
      </c>
      <c r="G256">
        <v>620.29999999999995</v>
      </c>
      <c r="H256">
        <v>586.4</v>
      </c>
      <c r="I256">
        <v>592.5</v>
      </c>
      <c r="J256">
        <v>596.70000000000005</v>
      </c>
      <c r="K256">
        <v>609.4</v>
      </c>
      <c r="L256">
        <v>629.29999999999995</v>
      </c>
      <c r="M256">
        <v>0.44400000000000001</v>
      </c>
      <c r="N256">
        <v>0.46100000000000002</v>
      </c>
      <c r="O256">
        <v>0.439</v>
      </c>
      <c r="P256">
        <v>0.39500000000000002</v>
      </c>
      <c r="Q256">
        <v>0.39800000000000002</v>
      </c>
      <c r="R256">
        <v>0.42799999999999999</v>
      </c>
      <c r="S256">
        <v>0.42399999999999999</v>
      </c>
      <c r="T256">
        <v>0.40600000000000003</v>
      </c>
      <c r="U256">
        <v>0.378</v>
      </c>
      <c r="V256">
        <v>0.36699999999999999</v>
      </c>
      <c r="W256">
        <v>0.11799999999999999</v>
      </c>
      <c r="X256">
        <v>8.1000000000000003E-2</v>
      </c>
      <c r="Y256">
        <v>8.6999999999999994E-2</v>
      </c>
      <c r="Z256">
        <v>0.115</v>
      </c>
      <c r="AA256">
        <v>0.09</v>
      </c>
      <c r="AB256">
        <v>8.5999999999999993E-2</v>
      </c>
      <c r="AC256">
        <v>9.0999999999999998E-2</v>
      </c>
      <c r="AD256">
        <v>9.5000000000000001E-2</v>
      </c>
      <c r="AE256">
        <v>9.6000000000000002E-2</v>
      </c>
      <c r="AF256">
        <v>9.4E-2</v>
      </c>
      <c r="AG256">
        <v>461.4</v>
      </c>
      <c r="AH256">
        <v>440.9</v>
      </c>
      <c r="AI256">
        <v>440.2</v>
      </c>
      <c r="AJ256">
        <v>441.1</v>
      </c>
      <c r="AK256">
        <v>439.8</v>
      </c>
      <c r="AL256">
        <v>437</v>
      </c>
      <c r="AM256" s="157">
        <v>438.9</v>
      </c>
      <c r="AN256" s="157">
        <v>427.6</v>
      </c>
      <c r="AO256" s="157">
        <v>417.5</v>
      </c>
      <c r="AP256" s="157">
        <v>424.6</v>
      </c>
    </row>
    <row r="257" spans="1:42" ht="14.7" customHeight="1">
      <c r="A257" s="161" t="s">
        <v>327</v>
      </c>
      <c r="B257" s="233"/>
      <c r="C257">
        <v>513.29999999999995</v>
      </c>
      <c r="D257">
        <v>485.9</v>
      </c>
      <c r="E257">
        <v>493</v>
      </c>
      <c r="F257">
        <v>497.8</v>
      </c>
      <c r="G257">
        <v>492.3</v>
      </c>
      <c r="H257">
        <v>489.4</v>
      </c>
      <c r="I257">
        <v>488.6</v>
      </c>
      <c r="J257" t="s">
        <v>901</v>
      </c>
      <c r="K257" t="s">
        <v>901</v>
      </c>
      <c r="L257" t="s">
        <v>901</v>
      </c>
      <c r="M257">
        <v>0.50900000000000001</v>
      </c>
      <c r="N257">
        <v>0.50900000000000001</v>
      </c>
      <c r="O257">
        <v>0.503</v>
      </c>
      <c r="P257">
        <v>0.501</v>
      </c>
      <c r="Q257">
        <v>0.52200000000000002</v>
      </c>
      <c r="R257">
        <v>0.52900000000000003</v>
      </c>
      <c r="S257">
        <v>0.52700000000000002</v>
      </c>
      <c r="T257" t="s">
        <v>901</v>
      </c>
      <c r="U257" t="s">
        <v>901</v>
      </c>
      <c r="V257" t="s">
        <v>901</v>
      </c>
      <c r="W257">
        <v>0.51900000000000002</v>
      </c>
      <c r="X257">
        <v>0.48099999999999998</v>
      </c>
      <c r="Y257">
        <v>0.48599999999999999</v>
      </c>
      <c r="Z257">
        <v>0.48099999999999998</v>
      </c>
      <c r="AA257">
        <v>0.46300000000000002</v>
      </c>
      <c r="AB257">
        <v>0.45800000000000002</v>
      </c>
      <c r="AC257">
        <v>0.45900000000000002</v>
      </c>
      <c r="AD257" t="s">
        <v>901</v>
      </c>
      <c r="AE257" t="s">
        <v>901</v>
      </c>
      <c r="AF257" t="s">
        <v>901</v>
      </c>
      <c r="AG257">
        <v>471.8</v>
      </c>
      <c r="AH257">
        <v>452</v>
      </c>
      <c r="AI257">
        <v>451.3</v>
      </c>
      <c r="AJ257">
        <v>455</v>
      </c>
      <c r="AK257">
        <v>464.6</v>
      </c>
      <c r="AL257">
        <v>468.8</v>
      </c>
      <c r="AM257" s="157">
        <v>469</v>
      </c>
      <c r="AN257" s="157" t="s">
        <v>901</v>
      </c>
      <c r="AO257" s="157" t="s">
        <v>901</v>
      </c>
      <c r="AP257" s="157" t="s">
        <v>901</v>
      </c>
    </row>
    <row r="258" spans="1:42" ht="14.7" customHeight="1">
      <c r="A258" s="161" t="s">
        <v>138</v>
      </c>
      <c r="B258" s="233"/>
      <c r="C258">
        <v>575.6</v>
      </c>
      <c r="D258">
        <v>555.79999999999995</v>
      </c>
      <c r="E258">
        <v>545.70000000000005</v>
      </c>
      <c r="F258">
        <v>513.4</v>
      </c>
      <c r="G258">
        <v>400.3</v>
      </c>
      <c r="H258">
        <v>401.6</v>
      </c>
      <c r="I258">
        <v>405.5</v>
      </c>
      <c r="J258">
        <v>394.6</v>
      </c>
      <c r="K258">
        <v>383.8</v>
      </c>
      <c r="L258">
        <v>391.8</v>
      </c>
      <c r="M258">
        <v>0.33400000000000002</v>
      </c>
      <c r="N258">
        <v>0.33200000000000002</v>
      </c>
      <c r="O258">
        <v>0.32400000000000001</v>
      </c>
      <c r="P258">
        <v>0.33400000000000002</v>
      </c>
      <c r="Q258">
        <v>0.50700000000000001</v>
      </c>
      <c r="R258">
        <v>0.50700000000000001</v>
      </c>
      <c r="S258">
        <v>0.51300000000000001</v>
      </c>
      <c r="T258">
        <v>0.51900000000000002</v>
      </c>
      <c r="U258">
        <v>0.51400000000000001</v>
      </c>
      <c r="V258">
        <v>0.505</v>
      </c>
      <c r="W258" t="s">
        <v>901</v>
      </c>
      <c r="X258" t="s">
        <v>901</v>
      </c>
      <c r="Y258" t="s">
        <v>901</v>
      </c>
      <c r="Z258" t="s">
        <v>901</v>
      </c>
      <c r="AA258" t="s">
        <v>901</v>
      </c>
      <c r="AB258" t="s">
        <v>901</v>
      </c>
      <c r="AC258" t="s">
        <v>901</v>
      </c>
      <c r="AD258" t="s">
        <v>901</v>
      </c>
      <c r="AE258" t="s">
        <v>910</v>
      </c>
      <c r="AF258">
        <v>0</v>
      </c>
      <c r="AG258">
        <v>367.9</v>
      </c>
      <c r="AH258">
        <v>342</v>
      </c>
      <c r="AI258">
        <v>335.8</v>
      </c>
      <c r="AJ258">
        <v>320.60000000000002</v>
      </c>
      <c r="AK258">
        <v>336</v>
      </c>
      <c r="AL258">
        <v>334</v>
      </c>
      <c r="AM258" s="157">
        <v>340.6</v>
      </c>
      <c r="AN258" s="157">
        <v>337.2</v>
      </c>
      <c r="AO258" s="157">
        <v>325.60000000000002</v>
      </c>
      <c r="AP258" s="157">
        <v>327.2</v>
      </c>
    </row>
    <row r="259" spans="1:42" ht="14.7" customHeight="1">
      <c r="A259" s="161" t="s">
        <v>139</v>
      </c>
      <c r="B259" s="233"/>
      <c r="C259">
        <v>412.4</v>
      </c>
      <c r="D259">
        <v>384.8</v>
      </c>
      <c r="E259">
        <v>416.6</v>
      </c>
      <c r="F259">
        <v>406.5</v>
      </c>
      <c r="G259">
        <v>401.3</v>
      </c>
      <c r="H259">
        <v>404.7</v>
      </c>
      <c r="I259" t="s">
        <v>901</v>
      </c>
      <c r="J259" t="s">
        <v>901</v>
      </c>
      <c r="K259" t="s">
        <v>901</v>
      </c>
      <c r="L259" t="s">
        <v>901</v>
      </c>
      <c r="M259">
        <v>0.56299999999999994</v>
      </c>
      <c r="N259">
        <v>0.58299999999999996</v>
      </c>
      <c r="O259">
        <v>0.56000000000000005</v>
      </c>
      <c r="P259">
        <v>0.56999999999999995</v>
      </c>
      <c r="Q259">
        <v>0.58099999999999996</v>
      </c>
      <c r="R259">
        <v>0.57499999999999996</v>
      </c>
      <c r="S259" t="s">
        <v>901</v>
      </c>
      <c r="T259" t="s">
        <v>901</v>
      </c>
      <c r="U259" t="s">
        <v>901</v>
      </c>
      <c r="V259" t="s">
        <v>901</v>
      </c>
      <c r="W259" t="s">
        <v>901</v>
      </c>
      <c r="X259" t="s">
        <v>901</v>
      </c>
      <c r="Y259" t="s">
        <v>901</v>
      </c>
      <c r="Z259" t="s">
        <v>901</v>
      </c>
      <c r="AA259" t="s">
        <v>901</v>
      </c>
      <c r="AB259" t="s">
        <v>901</v>
      </c>
      <c r="AC259" t="s">
        <v>901</v>
      </c>
      <c r="AD259" t="s">
        <v>901</v>
      </c>
      <c r="AE259" t="s">
        <v>901</v>
      </c>
      <c r="AF259" t="s">
        <v>901</v>
      </c>
      <c r="AG259">
        <v>419.3</v>
      </c>
      <c r="AH259">
        <v>392.5</v>
      </c>
      <c r="AI259">
        <v>396.7</v>
      </c>
      <c r="AJ259">
        <v>397.6</v>
      </c>
      <c r="AK259">
        <v>396.5</v>
      </c>
      <c r="AL259">
        <v>395.2</v>
      </c>
      <c r="AM259" s="157" t="s">
        <v>901</v>
      </c>
      <c r="AN259" s="157" t="s">
        <v>901</v>
      </c>
      <c r="AO259" s="157" t="s">
        <v>901</v>
      </c>
      <c r="AP259" s="157" t="s">
        <v>901</v>
      </c>
    </row>
    <row r="260" spans="1:42" ht="14.7" customHeight="1">
      <c r="A260" s="161" t="s">
        <v>140</v>
      </c>
      <c r="B260" s="233"/>
      <c r="C260">
        <v>492.8</v>
      </c>
      <c r="D260">
        <v>508.6</v>
      </c>
      <c r="E260">
        <v>522.6</v>
      </c>
      <c r="F260">
        <v>496.3</v>
      </c>
      <c r="G260">
        <v>497.5</v>
      </c>
      <c r="H260">
        <v>507.3</v>
      </c>
      <c r="I260">
        <v>497.9</v>
      </c>
      <c r="J260">
        <v>510.9</v>
      </c>
      <c r="K260">
        <v>522.5</v>
      </c>
      <c r="L260">
        <v>519</v>
      </c>
      <c r="M260">
        <v>0.49299999999999999</v>
      </c>
      <c r="N260">
        <v>0.46500000000000002</v>
      </c>
      <c r="O260">
        <v>0.45200000000000001</v>
      </c>
      <c r="P260">
        <v>0.48199999999999998</v>
      </c>
      <c r="Q260">
        <v>0.49</v>
      </c>
      <c r="R260">
        <v>0.47199999999999998</v>
      </c>
      <c r="S260">
        <v>0.48199999999999998</v>
      </c>
      <c r="T260">
        <v>0.45800000000000002</v>
      </c>
      <c r="U260">
        <v>0.438</v>
      </c>
      <c r="V260">
        <v>0.45200000000000001</v>
      </c>
      <c r="W260" t="s">
        <v>901</v>
      </c>
      <c r="X260" t="s">
        <v>901</v>
      </c>
      <c r="Y260" t="s">
        <v>901</v>
      </c>
      <c r="Z260" t="s">
        <v>901</v>
      </c>
      <c r="AA260" t="s">
        <v>901</v>
      </c>
      <c r="AB260" t="s">
        <v>901</v>
      </c>
      <c r="AC260" t="s">
        <v>901</v>
      </c>
      <c r="AD260" t="s">
        <v>901</v>
      </c>
      <c r="AE260" t="s">
        <v>910</v>
      </c>
      <c r="AF260">
        <v>0</v>
      </c>
      <c r="AG260">
        <v>419</v>
      </c>
      <c r="AH260">
        <v>403.6</v>
      </c>
      <c r="AI260">
        <v>403.4</v>
      </c>
      <c r="AJ260">
        <v>404.2</v>
      </c>
      <c r="AK260">
        <v>409.5</v>
      </c>
      <c r="AL260">
        <v>397.7</v>
      </c>
      <c r="AM260" s="157">
        <v>397.9</v>
      </c>
      <c r="AN260" s="157">
        <v>390.9</v>
      </c>
      <c r="AO260" s="157">
        <v>386.1</v>
      </c>
      <c r="AP260" s="157">
        <v>392.9</v>
      </c>
    </row>
    <row r="261" spans="1:42" ht="14.7" customHeight="1">
      <c r="A261" s="49" t="s">
        <v>288</v>
      </c>
      <c r="B261" s="233"/>
      <c r="C261">
        <v>623.20000000000005</v>
      </c>
      <c r="D261">
        <v>520.1</v>
      </c>
      <c r="E261">
        <v>528.20000000000005</v>
      </c>
      <c r="F261">
        <v>562.4</v>
      </c>
      <c r="G261">
        <v>562.29999999999995</v>
      </c>
      <c r="H261">
        <v>557.6</v>
      </c>
      <c r="I261">
        <v>528</v>
      </c>
      <c r="J261">
        <v>484.2</v>
      </c>
      <c r="K261">
        <v>407.8</v>
      </c>
      <c r="L261">
        <v>396.8</v>
      </c>
      <c r="M261">
        <v>0.45100000000000001</v>
      </c>
      <c r="N261">
        <v>0.53100000000000003</v>
      </c>
      <c r="O261">
        <v>0.51400000000000001</v>
      </c>
      <c r="P261">
        <v>0.49</v>
      </c>
      <c r="Q261">
        <v>0.47499999999999998</v>
      </c>
      <c r="R261">
        <v>0.47699999999999998</v>
      </c>
      <c r="S261">
        <v>0.49199999999999999</v>
      </c>
      <c r="T261">
        <v>0.51600000000000001</v>
      </c>
      <c r="U261">
        <v>0.57799999999999996</v>
      </c>
      <c r="V261">
        <v>0.59099999999999997</v>
      </c>
      <c r="W261">
        <v>0.51400000000000001</v>
      </c>
      <c r="X261">
        <v>0.26</v>
      </c>
      <c r="Y261">
        <v>0.19800000000000001</v>
      </c>
      <c r="Z261">
        <v>0.17299999999999999</v>
      </c>
      <c r="AA261">
        <v>0.14699999999999999</v>
      </c>
      <c r="AB261">
        <v>0.125</v>
      </c>
      <c r="AC261">
        <v>0.12</v>
      </c>
      <c r="AD261">
        <v>0.11600000000000001</v>
      </c>
      <c r="AE261">
        <v>0.10299999999999999</v>
      </c>
      <c r="AF261">
        <v>0.11899999999999999</v>
      </c>
      <c r="AG261">
        <v>480.7</v>
      </c>
      <c r="AH261">
        <v>461.4</v>
      </c>
      <c r="AI261">
        <v>456.3</v>
      </c>
      <c r="AJ261">
        <v>462.9</v>
      </c>
      <c r="AK261">
        <v>445.4</v>
      </c>
      <c r="AL261">
        <v>438.4</v>
      </c>
      <c r="AM261" s="157">
        <v>427.8</v>
      </c>
      <c r="AN261" s="157">
        <v>415.3</v>
      </c>
      <c r="AO261" s="157">
        <v>400.5</v>
      </c>
      <c r="AP261" s="157">
        <v>403.2</v>
      </c>
    </row>
    <row r="262" spans="1:42" ht="14.7" customHeight="1">
      <c r="A262" s="161" t="s">
        <v>141</v>
      </c>
      <c r="B262" s="233"/>
      <c r="C262">
        <v>365.7</v>
      </c>
      <c r="D262">
        <v>367.9</v>
      </c>
      <c r="E262">
        <v>382.1</v>
      </c>
      <c r="F262">
        <v>385</v>
      </c>
      <c r="G262">
        <v>375.5</v>
      </c>
      <c r="H262">
        <v>376.7</v>
      </c>
      <c r="I262">
        <v>360.5</v>
      </c>
      <c r="J262">
        <v>356.7</v>
      </c>
      <c r="K262">
        <v>349</v>
      </c>
      <c r="L262">
        <v>333.9</v>
      </c>
      <c r="M262">
        <v>0.54900000000000004</v>
      </c>
      <c r="N262">
        <v>0.54800000000000004</v>
      </c>
      <c r="O262">
        <v>0.53800000000000003</v>
      </c>
      <c r="P262">
        <v>0.53200000000000003</v>
      </c>
      <c r="Q262">
        <v>0.53400000000000003</v>
      </c>
      <c r="R262">
        <v>0.52900000000000003</v>
      </c>
      <c r="S262">
        <v>0.54700000000000004</v>
      </c>
      <c r="T262">
        <v>0.53900000000000003</v>
      </c>
      <c r="U262">
        <v>0.53900000000000003</v>
      </c>
      <c r="V262">
        <v>0.54400000000000004</v>
      </c>
      <c r="W262" t="s">
        <v>901</v>
      </c>
      <c r="X262" t="s">
        <v>901</v>
      </c>
      <c r="Y262" t="s">
        <v>901</v>
      </c>
      <c r="Z262" t="s">
        <v>901</v>
      </c>
      <c r="AA262" t="s">
        <v>901</v>
      </c>
      <c r="AB262" t="s">
        <v>901</v>
      </c>
      <c r="AC262" t="s">
        <v>901</v>
      </c>
      <c r="AD262" t="s">
        <v>901</v>
      </c>
      <c r="AE262" t="s">
        <v>910</v>
      </c>
      <c r="AF262">
        <v>0</v>
      </c>
      <c r="AG262">
        <v>410.9</v>
      </c>
      <c r="AH262">
        <v>411.9</v>
      </c>
      <c r="AI262">
        <v>421.8</v>
      </c>
      <c r="AJ262">
        <v>420.1</v>
      </c>
      <c r="AK262">
        <v>410.5</v>
      </c>
      <c r="AL262">
        <v>406.4</v>
      </c>
      <c r="AM262" s="157">
        <v>406.7</v>
      </c>
      <c r="AN262" s="157">
        <v>393.1</v>
      </c>
      <c r="AO262" s="157">
        <v>384</v>
      </c>
      <c r="AP262" s="157">
        <v>370.3</v>
      </c>
    </row>
    <row r="263" spans="1:42" ht="14.7" customHeight="1">
      <c r="A263" s="161" t="s">
        <v>142</v>
      </c>
      <c r="B263" s="233"/>
      <c r="C263">
        <v>511.2</v>
      </c>
      <c r="D263">
        <v>500.8</v>
      </c>
      <c r="E263">
        <v>519.70000000000005</v>
      </c>
      <c r="F263">
        <v>518.5</v>
      </c>
      <c r="G263">
        <v>532.79999999999995</v>
      </c>
      <c r="H263">
        <v>556.29999999999995</v>
      </c>
      <c r="I263">
        <v>561.20000000000005</v>
      </c>
      <c r="J263">
        <v>561.6</v>
      </c>
      <c r="K263">
        <v>569.79999999999995</v>
      </c>
      <c r="L263">
        <v>559.79999999999995</v>
      </c>
      <c r="M263">
        <v>0.33</v>
      </c>
      <c r="N263">
        <v>0.33700000000000002</v>
      </c>
      <c r="O263">
        <v>0.30099999999999999</v>
      </c>
      <c r="P263">
        <v>0.29699999999999999</v>
      </c>
      <c r="Q263">
        <v>0.308</v>
      </c>
      <c r="R263">
        <v>0.27900000000000003</v>
      </c>
      <c r="S263">
        <v>0.28299999999999997</v>
      </c>
      <c r="T263">
        <v>0.27200000000000002</v>
      </c>
      <c r="U263">
        <v>0.25900000000000001</v>
      </c>
      <c r="V263">
        <v>0.28100000000000003</v>
      </c>
      <c r="W263" t="s">
        <v>901</v>
      </c>
      <c r="X263" t="s">
        <v>901</v>
      </c>
      <c r="Y263" t="s">
        <v>901</v>
      </c>
      <c r="Z263" t="s">
        <v>901</v>
      </c>
      <c r="AA263" t="s">
        <v>901</v>
      </c>
      <c r="AB263" t="s">
        <v>901</v>
      </c>
      <c r="AC263" t="s">
        <v>901</v>
      </c>
      <c r="AD263" t="s">
        <v>901</v>
      </c>
      <c r="AE263" t="s">
        <v>910</v>
      </c>
      <c r="AF263">
        <v>0</v>
      </c>
      <c r="AG263">
        <v>353.4</v>
      </c>
      <c r="AH263">
        <v>345.6</v>
      </c>
      <c r="AI263">
        <v>327.10000000000002</v>
      </c>
      <c r="AJ263">
        <v>325.7</v>
      </c>
      <c r="AK263">
        <v>338.1</v>
      </c>
      <c r="AL263">
        <v>333.6</v>
      </c>
      <c r="AM263" s="157">
        <v>336.9</v>
      </c>
      <c r="AN263" s="157">
        <v>331.4</v>
      </c>
      <c r="AO263" s="157">
        <v>331.3</v>
      </c>
      <c r="AP263" s="157">
        <v>336.4</v>
      </c>
    </row>
    <row r="264" spans="1:42" ht="14.7" customHeight="1">
      <c r="A264" s="49" t="s">
        <v>143</v>
      </c>
      <c r="B264" s="233"/>
      <c r="C264">
        <v>430.7</v>
      </c>
      <c r="D264">
        <v>432.6</v>
      </c>
      <c r="E264">
        <v>445.4</v>
      </c>
      <c r="F264">
        <v>452.5</v>
      </c>
      <c r="G264">
        <v>455.2</v>
      </c>
      <c r="H264">
        <v>484.9</v>
      </c>
      <c r="I264">
        <v>495.4</v>
      </c>
      <c r="J264">
        <v>506.2</v>
      </c>
      <c r="K264">
        <v>507.5</v>
      </c>
      <c r="L264">
        <v>504.6</v>
      </c>
      <c r="M264">
        <v>0.50700000000000001</v>
      </c>
      <c r="N264">
        <v>0.48599999999999999</v>
      </c>
      <c r="O264">
        <v>0.48299999999999998</v>
      </c>
      <c r="P264">
        <v>0.47699999999999998</v>
      </c>
      <c r="Q264">
        <v>0.47599999999999998</v>
      </c>
      <c r="R264">
        <v>0.432</v>
      </c>
      <c r="S264">
        <v>0.432</v>
      </c>
      <c r="T264">
        <v>0.40899999999999997</v>
      </c>
      <c r="U264">
        <v>0.39200000000000002</v>
      </c>
      <c r="V264">
        <v>0.40300000000000002</v>
      </c>
      <c r="W264" t="s">
        <v>901</v>
      </c>
      <c r="X264" t="s">
        <v>901</v>
      </c>
      <c r="Y264" t="s">
        <v>901</v>
      </c>
      <c r="Z264" t="s">
        <v>901</v>
      </c>
      <c r="AA264" t="s">
        <v>901</v>
      </c>
      <c r="AB264" t="s">
        <v>901</v>
      </c>
      <c r="AC264" t="s">
        <v>901</v>
      </c>
      <c r="AD264" t="s">
        <v>901</v>
      </c>
      <c r="AE264" t="s">
        <v>910</v>
      </c>
      <c r="AF264">
        <v>0</v>
      </c>
      <c r="AG264">
        <v>397.8</v>
      </c>
      <c r="AH264">
        <v>382.7</v>
      </c>
      <c r="AI264">
        <v>389.2</v>
      </c>
      <c r="AJ264">
        <v>391.7</v>
      </c>
      <c r="AK264">
        <v>389.9</v>
      </c>
      <c r="AL264">
        <v>380.6</v>
      </c>
      <c r="AM264" s="157">
        <v>388.8</v>
      </c>
      <c r="AN264" s="157">
        <v>380.9</v>
      </c>
      <c r="AO264" s="157">
        <v>375</v>
      </c>
      <c r="AP264" s="157">
        <v>381.3</v>
      </c>
    </row>
    <row r="265" spans="1:42" ht="14.7" customHeight="1">
      <c r="A265" s="161" t="s">
        <v>144</v>
      </c>
      <c r="B265" s="233"/>
      <c r="C265">
        <v>490.5</v>
      </c>
      <c r="D265">
        <v>467.5</v>
      </c>
      <c r="E265">
        <v>489.7</v>
      </c>
      <c r="F265">
        <v>480</v>
      </c>
      <c r="G265">
        <v>483.6</v>
      </c>
      <c r="H265">
        <v>502.2</v>
      </c>
      <c r="I265">
        <v>507.2</v>
      </c>
      <c r="J265">
        <v>468.4</v>
      </c>
      <c r="K265">
        <v>468.8</v>
      </c>
      <c r="L265">
        <v>460.6</v>
      </c>
      <c r="M265">
        <v>0.441</v>
      </c>
      <c r="N265">
        <v>0.45200000000000001</v>
      </c>
      <c r="O265">
        <v>0.42699999999999999</v>
      </c>
      <c r="P265">
        <v>0.434</v>
      </c>
      <c r="Q265">
        <v>0.438</v>
      </c>
      <c r="R265">
        <v>0.41899999999999998</v>
      </c>
      <c r="S265">
        <v>0.42399999999999999</v>
      </c>
      <c r="T265">
        <v>0.44400000000000001</v>
      </c>
      <c r="U265">
        <v>0.442</v>
      </c>
      <c r="V265">
        <v>0.45</v>
      </c>
      <c r="W265" t="s">
        <v>901</v>
      </c>
      <c r="X265" t="s">
        <v>901</v>
      </c>
      <c r="Y265" t="s">
        <v>901</v>
      </c>
      <c r="Z265" t="s">
        <v>901</v>
      </c>
      <c r="AA265" t="s">
        <v>901</v>
      </c>
      <c r="AB265" t="s">
        <v>901</v>
      </c>
      <c r="AC265" t="s">
        <v>901</v>
      </c>
      <c r="AD265" t="s">
        <v>901</v>
      </c>
      <c r="AE265" t="s">
        <v>910</v>
      </c>
      <c r="AF265">
        <v>0</v>
      </c>
      <c r="AG265">
        <v>435.9</v>
      </c>
      <c r="AH265">
        <v>428.8</v>
      </c>
      <c r="AI265">
        <v>430.7</v>
      </c>
      <c r="AJ265">
        <v>429.4</v>
      </c>
      <c r="AK265">
        <v>435.9</v>
      </c>
      <c r="AL265">
        <v>439.8</v>
      </c>
      <c r="AM265" s="157">
        <v>451.2</v>
      </c>
      <c r="AN265" s="157">
        <v>429.1</v>
      </c>
      <c r="AO265" s="157">
        <v>428.9</v>
      </c>
      <c r="AP265" s="157">
        <v>427.1</v>
      </c>
    </row>
    <row r="266" spans="1:42" ht="14.7" customHeight="1">
      <c r="A266" s="49" t="s">
        <v>145</v>
      </c>
      <c r="B266" s="233"/>
      <c r="C266">
        <v>451.9</v>
      </c>
      <c r="D266">
        <v>445.4</v>
      </c>
      <c r="E266">
        <v>472.8</v>
      </c>
      <c r="F266">
        <v>480.6</v>
      </c>
      <c r="G266">
        <v>501.3</v>
      </c>
      <c r="H266">
        <v>479</v>
      </c>
      <c r="I266">
        <v>473.7</v>
      </c>
      <c r="J266">
        <v>498.2</v>
      </c>
      <c r="K266">
        <v>490.2</v>
      </c>
      <c r="L266">
        <v>476.5</v>
      </c>
      <c r="M266">
        <v>0.39600000000000002</v>
      </c>
      <c r="N266">
        <v>0.41099999999999998</v>
      </c>
      <c r="O266">
        <v>0.39200000000000002</v>
      </c>
      <c r="P266">
        <v>0.39200000000000002</v>
      </c>
      <c r="Q266">
        <v>0.40400000000000003</v>
      </c>
      <c r="R266">
        <v>0.436</v>
      </c>
      <c r="S266">
        <v>0.44900000000000001</v>
      </c>
      <c r="T266">
        <v>0.42899999999999999</v>
      </c>
      <c r="U266">
        <v>0.41299999999999998</v>
      </c>
      <c r="V266">
        <v>0.42499999999999999</v>
      </c>
      <c r="W266" t="s">
        <v>901</v>
      </c>
      <c r="X266" t="s">
        <v>901</v>
      </c>
      <c r="Y266" t="s">
        <v>901</v>
      </c>
      <c r="Z266" t="s">
        <v>901</v>
      </c>
      <c r="AA266" t="s">
        <v>901</v>
      </c>
      <c r="AB266" t="s">
        <v>901</v>
      </c>
      <c r="AC266" t="s">
        <v>901</v>
      </c>
      <c r="AD266" t="s">
        <v>901</v>
      </c>
      <c r="AE266" t="s">
        <v>910</v>
      </c>
      <c r="AF266">
        <v>0</v>
      </c>
      <c r="AG266">
        <v>347.2</v>
      </c>
      <c r="AH266">
        <v>344.6</v>
      </c>
      <c r="AI266">
        <v>349.9</v>
      </c>
      <c r="AJ266">
        <v>356.8</v>
      </c>
      <c r="AK266">
        <v>376.9</v>
      </c>
      <c r="AL266">
        <v>374.7</v>
      </c>
      <c r="AM266" s="157">
        <v>378.5</v>
      </c>
      <c r="AN266" s="157">
        <v>383.1</v>
      </c>
      <c r="AO266" s="157">
        <v>367.8</v>
      </c>
      <c r="AP266" s="157">
        <v>364.5</v>
      </c>
    </row>
    <row r="267" spans="1:42" ht="14.7" customHeight="1">
      <c r="A267" s="161" t="s">
        <v>146</v>
      </c>
      <c r="B267" s="233"/>
      <c r="C267">
        <v>510.7</v>
      </c>
      <c r="D267">
        <v>498.9</v>
      </c>
      <c r="E267">
        <v>515</v>
      </c>
      <c r="F267">
        <v>441.5</v>
      </c>
      <c r="G267">
        <v>419.2</v>
      </c>
      <c r="H267">
        <v>429.1</v>
      </c>
      <c r="I267">
        <v>408.8</v>
      </c>
      <c r="J267">
        <v>407.3</v>
      </c>
      <c r="K267">
        <v>403.1</v>
      </c>
      <c r="L267">
        <v>404.8</v>
      </c>
      <c r="M267">
        <v>0.499</v>
      </c>
      <c r="N267">
        <v>0.499</v>
      </c>
      <c r="O267">
        <v>0.48799999999999999</v>
      </c>
      <c r="P267">
        <v>0.56699999999999995</v>
      </c>
      <c r="Q267">
        <v>0.59899999999999998</v>
      </c>
      <c r="R267">
        <v>0.59</v>
      </c>
      <c r="S267">
        <v>0.61399999999999999</v>
      </c>
      <c r="T267">
        <v>0.60499999999999998</v>
      </c>
      <c r="U267">
        <v>0.59599999999999997</v>
      </c>
      <c r="V267">
        <v>0.59899999999999998</v>
      </c>
      <c r="W267" t="s">
        <v>901</v>
      </c>
      <c r="X267" t="s">
        <v>901</v>
      </c>
      <c r="Y267" t="s">
        <v>901</v>
      </c>
      <c r="Z267" t="s">
        <v>901</v>
      </c>
      <c r="AA267" t="s">
        <v>901</v>
      </c>
      <c r="AB267" t="s">
        <v>901</v>
      </c>
      <c r="AC267" t="s">
        <v>901</v>
      </c>
      <c r="AD267" t="s">
        <v>901</v>
      </c>
      <c r="AE267" t="s">
        <v>910</v>
      </c>
      <c r="AF267">
        <v>0</v>
      </c>
      <c r="AG267">
        <v>409.4</v>
      </c>
      <c r="AH267">
        <v>408.7</v>
      </c>
      <c r="AI267">
        <v>430.1</v>
      </c>
      <c r="AJ267">
        <v>435</v>
      </c>
      <c r="AK267">
        <v>443</v>
      </c>
      <c r="AL267">
        <v>437.7</v>
      </c>
      <c r="AM267" s="157">
        <v>444.8</v>
      </c>
      <c r="AN267" s="157">
        <v>434.2</v>
      </c>
      <c r="AO267" s="157">
        <v>421.5</v>
      </c>
      <c r="AP267" s="157">
        <v>425.6</v>
      </c>
    </row>
    <row r="268" spans="1:42" ht="14.7" customHeight="1">
      <c r="A268" s="161" t="s">
        <v>147</v>
      </c>
      <c r="B268" s="233"/>
      <c r="C268">
        <v>294.10000000000002</v>
      </c>
      <c r="D268">
        <v>274.8</v>
      </c>
      <c r="E268">
        <v>292.8</v>
      </c>
      <c r="F268">
        <v>290.7</v>
      </c>
      <c r="G268">
        <v>282.7</v>
      </c>
      <c r="H268">
        <v>286.2</v>
      </c>
      <c r="I268">
        <v>311.5</v>
      </c>
      <c r="J268">
        <v>308.7</v>
      </c>
      <c r="K268">
        <v>307.10000000000002</v>
      </c>
      <c r="L268">
        <v>306.89999999999998</v>
      </c>
      <c r="M268">
        <v>0.65100000000000002</v>
      </c>
      <c r="N268">
        <v>0.67900000000000005</v>
      </c>
      <c r="O268">
        <v>0.65300000000000002</v>
      </c>
      <c r="P268">
        <v>0.65700000000000003</v>
      </c>
      <c r="Q268">
        <v>0.67300000000000004</v>
      </c>
      <c r="R268">
        <v>0.66600000000000004</v>
      </c>
      <c r="S268">
        <v>0.63800000000000001</v>
      </c>
      <c r="T268">
        <v>0.63</v>
      </c>
      <c r="U268">
        <v>0.63300000000000001</v>
      </c>
      <c r="V268">
        <v>0.64</v>
      </c>
      <c r="W268" t="s">
        <v>901</v>
      </c>
      <c r="X268" t="s">
        <v>901</v>
      </c>
      <c r="Y268" t="s">
        <v>901</v>
      </c>
      <c r="Z268" t="s">
        <v>901</v>
      </c>
      <c r="AA268" t="s">
        <v>901</v>
      </c>
      <c r="AB268" t="s">
        <v>901</v>
      </c>
      <c r="AC268" t="s">
        <v>901</v>
      </c>
      <c r="AD268" t="s">
        <v>901</v>
      </c>
      <c r="AE268" t="s">
        <v>910</v>
      </c>
      <c r="AF268">
        <v>0</v>
      </c>
      <c r="AG268">
        <v>366.4</v>
      </c>
      <c r="AH268">
        <v>369.1</v>
      </c>
      <c r="AI268">
        <v>356.2</v>
      </c>
      <c r="AJ268">
        <v>360.1</v>
      </c>
      <c r="AK268">
        <v>365.6</v>
      </c>
      <c r="AL268">
        <v>361.7</v>
      </c>
      <c r="AM268" s="157">
        <v>365.3</v>
      </c>
      <c r="AN268" s="157">
        <v>354.1</v>
      </c>
      <c r="AO268" s="157">
        <v>355</v>
      </c>
      <c r="AP268" s="157">
        <v>362.5</v>
      </c>
    </row>
    <row r="269" spans="1:42" ht="14.7" customHeight="1">
      <c r="A269" s="161" t="s">
        <v>148</v>
      </c>
      <c r="B269" s="233"/>
      <c r="C269">
        <v>467.2</v>
      </c>
      <c r="D269">
        <v>460.9</v>
      </c>
      <c r="E269">
        <v>448.5</v>
      </c>
      <c r="F269">
        <v>438.8</v>
      </c>
      <c r="G269">
        <v>452.5</v>
      </c>
      <c r="H269">
        <v>459.9</v>
      </c>
      <c r="I269">
        <v>476.5</v>
      </c>
      <c r="J269">
        <v>473.2</v>
      </c>
      <c r="K269">
        <v>470.4</v>
      </c>
      <c r="L269">
        <v>445.3</v>
      </c>
      <c r="M269">
        <v>0.47799999999999998</v>
      </c>
      <c r="N269">
        <v>0.48699999999999999</v>
      </c>
      <c r="O269">
        <v>0.48899999999999999</v>
      </c>
      <c r="P269">
        <v>0.505</v>
      </c>
      <c r="Q269">
        <v>0.49399999999999999</v>
      </c>
      <c r="R269">
        <v>0.49399999999999999</v>
      </c>
      <c r="S269">
        <v>0.47399999999999998</v>
      </c>
      <c r="T269">
        <v>0.46500000000000002</v>
      </c>
      <c r="U269">
        <v>0.42699999999999999</v>
      </c>
      <c r="V269">
        <v>0.46200000000000002</v>
      </c>
      <c r="W269" t="s">
        <v>901</v>
      </c>
      <c r="X269" t="s">
        <v>901</v>
      </c>
      <c r="Y269" t="s">
        <v>901</v>
      </c>
      <c r="Z269" t="s">
        <v>901</v>
      </c>
      <c r="AA269" t="s">
        <v>901</v>
      </c>
      <c r="AB269" t="s">
        <v>901</v>
      </c>
      <c r="AC269" t="s">
        <v>901</v>
      </c>
      <c r="AD269" t="s">
        <v>901</v>
      </c>
      <c r="AE269" t="s">
        <v>910</v>
      </c>
      <c r="AF269">
        <v>0</v>
      </c>
      <c r="AG269">
        <v>396.4</v>
      </c>
      <c r="AH269">
        <v>395.2</v>
      </c>
      <c r="AI269">
        <v>384.3</v>
      </c>
      <c r="AJ269">
        <v>389.3</v>
      </c>
      <c r="AK269">
        <v>392.6</v>
      </c>
      <c r="AL269">
        <v>400.3</v>
      </c>
      <c r="AM269" s="157">
        <v>400.7</v>
      </c>
      <c r="AN269" s="157">
        <v>392.7</v>
      </c>
      <c r="AO269" s="157">
        <v>365.9</v>
      </c>
      <c r="AP269" s="157">
        <v>370.1</v>
      </c>
    </row>
    <row r="270" spans="1:42" ht="14.7" customHeight="1">
      <c r="A270" s="49" t="s">
        <v>149</v>
      </c>
      <c r="B270" s="233"/>
      <c r="C270">
        <v>388.1</v>
      </c>
      <c r="D270">
        <v>396.4</v>
      </c>
      <c r="E270">
        <v>412.6</v>
      </c>
      <c r="F270">
        <v>413.2</v>
      </c>
      <c r="G270">
        <v>409.2</v>
      </c>
      <c r="H270">
        <v>406.1</v>
      </c>
      <c r="I270">
        <v>402.9</v>
      </c>
      <c r="J270" t="s">
        <v>901</v>
      </c>
      <c r="K270" t="s">
        <v>901</v>
      </c>
      <c r="L270" t="s">
        <v>901</v>
      </c>
      <c r="M270">
        <v>0.41599999999999998</v>
      </c>
      <c r="N270">
        <v>0.443</v>
      </c>
      <c r="O270">
        <v>0.42899999999999999</v>
      </c>
      <c r="P270">
        <v>0.437</v>
      </c>
      <c r="Q270">
        <v>0.45100000000000001</v>
      </c>
      <c r="R270">
        <v>0.45600000000000002</v>
      </c>
      <c r="S270">
        <v>0.46200000000000002</v>
      </c>
      <c r="T270" t="s">
        <v>901</v>
      </c>
      <c r="U270" t="s">
        <v>901</v>
      </c>
      <c r="V270" t="s">
        <v>901</v>
      </c>
      <c r="W270" t="s">
        <v>901</v>
      </c>
      <c r="X270" t="s">
        <v>901</v>
      </c>
      <c r="Y270" t="s">
        <v>901</v>
      </c>
      <c r="Z270" t="s">
        <v>901</v>
      </c>
      <c r="AA270" t="s">
        <v>901</v>
      </c>
      <c r="AB270" t="s">
        <v>901</v>
      </c>
      <c r="AC270" t="s">
        <v>901</v>
      </c>
      <c r="AD270" t="s">
        <v>901</v>
      </c>
      <c r="AE270" t="s">
        <v>901</v>
      </c>
      <c r="AF270" t="s">
        <v>901</v>
      </c>
      <c r="AG270">
        <v>304.5</v>
      </c>
      <c r="AH270">
        <v>328.5</v>
      </c>
      <c r="AI270">
        <v>328.5</v>
      </c>
      <c r="AJ270">
        <v>333.9</v>
      </c>
      <c r="AK270">
        <v>336.7</v>
      </c>
      <c r="AL270">
        <v>338.7</v>
      </c>
      <c r="AM270" s="157">
        <v>341</v>
      </c>
      <c r="AN270" s="157" t="s">
        <v>901</v>
      </c>
      <c r="AO270" s="157" t="s">
        <v>901</v>
      </c>
      <c r="AP270" s="157" t="s">
        <v>901</v>
      </c>
    </row>
    <row r="271" spans="1:42" ht="14.7" customHeight="1">
      <c r="A271" s="49" t="s">
        <v>150</v>
      </c>
      <c r="B271" s="233"/>
      <c r="C271">
        <v>506.5</v>
      </c>
      <c r="D271">
        <v>491.3</v>
      </c>
      <c r="E271">
        <v>479.5</v>
      </c>
      <c r="F271">
        <v>446.7</v>
      </c>
      <c r="G271">
        <v>461</v>
      </c>
      <c r="H271">
        <v>469.3</v>
      </c>
      <c r="I271">
        <v>474</v>
      </c>
      <c r="J271">
        <v>462.7</v>
      </c>
      <c r="K271">
        <v>464</v>
      </c>
      <c r="L271">
        <v>461.1</v>
      </c>
      <c r="M271">
        <v>0.498</v>
      </c>
      <c r="N271">
        <v>0.5</v>
      </c>
      <c r="O271">
        <v>0.504</v>
      </c>
      <c r="P271">
        <v>0.55200000000000005</v>
      </c>
      <c r="Q271">
        <v>0.54100000000000004</v>
      </c>
      <c r="R271">
        <v>0.52500000000000002</v>
      </c>
      <c r="S271">
        <v>0.51900000000000002</v>
      </c>
      <c r="T271">
        <v>0.504</v>
      </c>
      <c r="U271">
        <v>0.501</v>
      </c>
      <c r="V271">
        <v>0.51</v>
      </c>
      <c r="W271" t="s">
        <v>901</v>
      </c>
      <c r="X271" t="s">
        <v>901</v>
      </c>
      <c r="Y271" t="s">
        <v>901</v>
      </c>
      <c r="Z271" t="s">
        <v>901</v>
      </c>
      <c r="AA271" t="s">
        <v>901</v>
      </c>
      <c r="AB271" t="s">
        <v>901</v>
      </c>
      <c r="AC271" t="s">
        <v>901</v>
      </c>
      <c r="AD271" t="s">
        <v>901</v>
      </c>
      <c r="AE271" t="s">
        <v>910</v>
      </c>
      <c r="AF271">
        <v>0</v>
      </c>
      <c r="AG271">
        <v>431.8</v>
      </c>
      <c r="AH271">
        <v>421</v>
      </c>
      <c r="AI271">
        <v>408.9</v>
      </c>
      <c r="AJ271">
        <v>421</v>
      </c>
      <c r="AK271">
        <v>421.1</v>
      </c>
      <c r="AL271">
        <v>413</v>
      </c>
      <c r="AM271" s="157">
        <v>411.7</v>
      </c>
      <c r="AN271" s="157">
        <v>389.8</v>
      </c>
      <c r="AO271" s="157">
        <v>389.3</v>
      </c>
      <c r="AP271" s="157">
        <v>395</v>
      </c>
    </row>
    <row r="272" spans="1:42" ht="14.7" customHeight="1">
      <c r="A272" s="161" t="s">
        <v>248</v>
      </c>
      <c r="B272" s="233"/>
      <c r="C272">
        <v>625.5</v>
      </c>
      <c r="D272">
        <v>560.4</v>
      </c>
      <c r="E272">
        <v>608.1</v>
      </c>
      <c r="F272">
        <v>568.29999999999995</v>
      </c>
      <c r="G272">
        <v>577.20000000000005</v>
      </c>
      <c r="H272">
        <v>604.29999999999995</v>
      </c>
      <c r="I272">
        <v>626.4</v>
      </c>
      <c r="J272">
        <v>647.6</v>
      </c>
      <c r="K272">
        <v>633.9</v>
      </c>
      <c r="L272">
        <v>630.6</v>
      </c>
      <c r="M272">
        <v>0.34599999999999997</v>
      </c>
      <c r="N272">
        <v>0.38600000000000001</v>
      </c>
      <c r="O272">
        <v>0.34899999999999998</v>
      </c>
      <c r="P272">
        <v>0.38100000000000001</v>
      </c>
      <c r="Q272">
        <v>0.39200000000000002</v>
      </c>
      <c r="R272">
        <v>0.37</v>
      </c>
      <c r="S272">
        <v>0.34699999999999998</v>
      </c>
      <c r="T272">
        <v>0.28899999999999998</v>
      </c>
      <c r="U272">
        <v>0.307</v>
      </c>
      <c r="V272">
        <v>0.32</v>
      </c>
      <c r="W272">
        <v>0.66300000000000003</v>
      </c>
      <c r="X272">
        <v>0.624</v>
      </c>
      <c r="Y272">
        <v>0.61799999999999999</v>
      </c>
      <c r="Z272">
        <v>0.21</v>
      </c>
      <c r="AA272">
        <v>0.03</v>
      </c>
      <c r="AB272">
        <v>5.0000000000000001E-3</v>
      </c>
      <c r="AC272">
        <v>6.0000000000000001E-3</v>
      </c>
      <c r="AD272">
        <v>6.0000000000000001E-3</v>
      </c>
      <c r="AE272">
        <v>5.0000000000000001E-3</v>
      </c>
      <c r="AF272">
        <v>6.0000000000000001E-3</v>
      </c>
      <c r="AG272">
        <v>439</v>
      </c>
      <c r="AH272">
        <v>413.8</v>
      </c>
      <c r="AI272">
        <v>440.6</v>
      </c>
      <c r="AJ272">
        <v>433.2</v>
      </c>
      <c r="AK272">
        <v>448.1</v>
      </c>
      <c r="AL272">
        <v>454.4</v>
      </c>
      <c r="AM272" s="157">
        <v>455</v>
      </c>
      <c r="AN272" s="157">
        <v>434.3</v>
      </c>
      <c r="AO272" s="157">
        <v>436.6</v>
      </c>
      <c r="AP272" s="157">
        <v>441.8</v>
      </c>
    </row>
    <row r="273" spans="1:42" ht="14.7" customHeight="1">
      <c r="A273" s="161" t="s">
        <v>289</v>
      </c>
      <c r="B273" s="233"/>
      <c r="C273">
        <v>677.8</v>
      </c>
      <c r="D273">
        <v>652.70000000000005</v>
      </c>
      <c r="E273">
        <v>671.2</v>
      </c>
      <c r="F273">
        <v>688.8</v>
      </c>
      <c r="G273">
        <v>683.1</v>
      </c>
      <c r="H273">
        <v>690.4</v>
      </c>
      <c r="I273">
        <v>648.4</v>
      </c>
      <c r="J273">
        <v>600.6</v>
      </c>
      <c r="K273">
        <v>584.1</v>
      </c>
      <c r="L273">
        <v>566.70000000000005</v>
      </c>
      <c r="M273">
        <v>0.251</v>
      </c>
      <c r="N273">
        <v>0.23300000000000001</v>
      </c>
      <c r="O273">
        <v>0.23899999999999999</v>
      </c>
      <c r="P273">
        <v>0.23499999999999999</v>
      </c>
      <c r="Q273">
        <v>0.26100000000000001</v>
      </c>
      <c r="R273">
        <v>0.27200000000000002</v>
      </c>
      <c r="S273">
        <v>0.28199999999999997</v>
      </c>
      <c r="T273">
        <v>0.29499999999999998</v>
      </c>
      <c r="U273">
        <v>0.29299999999999998</v>
      </c>
      <c r="V273">
        <v>0.29299999999999998</v>
      </c>
      <c r="W273">
        <v>0.16900000000000001</v>
      </c>
      <c r="X273">
        <v>0.154</v>
      </c>
      <c r="Y273">
        <v>0.161</v>
      </c>
      <c r="Z273">
        <v>0.16900000000000001</v>
      </c>
      <c r="AA273">
        <v>0.153</v>
      </c>
      <c r="AB273">
        <v>0.18099999999999999</v>
      </c>
      <c r="AC273">
        <v>0.129</v>
      </c>
      <c r="AD273">
        <v>9.6000000000000002E-2</v>
      </c>
      <c r="AE273">
        <v>7.1999999999999995E-2</v>
      </c>
      <c r="AF273">
        <v>5.0999999999999997E-2</v>
      </c>
      <c r="AG273">
        <v>386.6</v>
      </c>
      <c r="AH273">
        <v>355.3</v>
      </c>
      <c r="AI273">
        <v>373.9</v>
      </c>
      <c r="AJ273">
        <v>379.2</v>
      </c>
      <c r="AK273">
        <v>385.1</v>
      </c>
      <c r="AL273">
        <v>389.7</v>
      </c>
      <c r="AM273" s="157">
        <v>369.9</v>
      </c>
      <c r="AN273" s="157">
        <v>355.8</v>
      </c>
      <c r="AO273" s="157">
        <v>346.8</v>
      </c>
      <c r="AP273" s="157">
        <v>340.5</v>
      </c>
    </row>
    <row r="274" spans="1:42" ht="14.7" customHeight="1">
      <c r="A274" s="161" t="s">
        <v>290</v>
      </c>
      <c r="B274" s="233"/>
      <c r="C274">
        <v>525.70000000000005</v>
      </c>
      <c r="D274">
        <v>496</v>
      </c>
      <c r="E274">
        <v>469</v>
      </c>
      <c r="F274">
        <v>434.1</v>
      </c>
      <c r="G274">
        <v>446.3</v>
      </c>
      <c r="H274">
        <v>510.3</v>
      </c>
      <c r="I274">
        <v>513.29999999999995</v>
      </c>
      <c r="J274">
        <v>467</v>
      </c>
      <c r="K274">
        <v>478.6</v>
      </c>
      <c r="L274">
        <v>498.1</v>
      </c>
      <c r="M274">
        <v>0.45100000000000001</v>
      </c>
      <c r="N274">
        <v>0.46800000000000003</v>
      </c>
      <c r="O274">
        <v>0.48399999999999999</v>
      </c>
      <c r="P274">
        <v>0.52300000000000002</v>
      </c>
      <c r="Q274">
        <v>0.51400000000000001</v>
      </c>
      <c r="R274">
        <v>0.45700000000000002</v>
      </c>
      <c r="S274">
        <v>0.46</v>
      </c>
      <c r="T274">
        <v>0.47099999999999997</v>
      </c>
      <c r="U274">
        <v>0.48299999999999998</v>
      </c>
      <c r="V274">
        <v>0.46800000000000003</v>
      </c>
      <c r="W274">
        <v>0.52500000000000002</v>
      </c>
      <c r="X274">
        <v>0.52300000000000002</v>
      </c>
      <c r="Y274">
        <v>0.49099999999999999</v>
      </c>
      <c r="Z274">
        <v>0.45700000000000002</v>
      </c>
      <c r="AA274">
        <v>0.46600000000000003</v>
      </c>
      <c r="AB274">
        <v>0.433</v>
      </c>
      <c r="AC274">
        <v>0.17599999999999999</v>
      </c>
      <c r="AD274">
        <v>0.13200000000000001</v>
      </c>
      <c r="AE274">
        <v>0.24099999999999999</v>
      </c>
      <c r="AF274">
        <v>0.25700000000000001</v>
      </c>
      <c r="AG274">
        <v>461.9</v>
      </c>
      <c r="AH274">
        <v>444.6</v>
      </c>
      <c r="AI274">
        <v>412.5</v>
      </c>
      <c r="AJ274">
        <v>412.8</v>
      </c>
      <c r="AK274">
        <v>415</v>
      </c>
      <c r="AL274">
        <v>418.3</v>
      </c>
      <c r="AM274" s="157">
        <v>422.7</v>
      </c>
      <c r="AN274" s="157">
        <v>392.1</v>
      </c>
      <c r="AO274" s="157">
        <v>410.5</v>
      </c>
      <c r="AP274" s="157">
        <v>417.6</v>
      </c>
    </row>
    <row r="275" spans="1:42" ht="14.7" customHeight="1">
      <c r="A275" s="161" t="s">
        <v>218</v>
      </c>
      <c r="B275" s="233"/>
      <c r="C275">
        <v>648.79999999999995</v>
      </c>
      <c r="D275">
        <v>602</v>
      </c>
      <c r="E275">
        <v>572.5</v>
      </c>
      <c r="F275">
        <v>546.79999999999995</v>
      </c>
      <c r="G275">
        <v>554.6</v>
      </c>
      <c r="H275">
        <v>558.70000000000005</v>
      </c>
      <c r="I275">
        <v>557.20000000000005</v>
      </c>
      <c r="J275">
        <v>519.5</v>
      </c>
      <c r="K275">
        <v>512</v>
      </c>
      <c r="L275">
        <v>507</v>
      </c>
      <c r="M275">
        <v>0.251</v>
      </c>
      <c r="N275">
        <v>0.27300000000000002</v>
      </c>
      <c r="O275">
        <v>0.30399999999999999</v>
      </c>
      <c r="P275">
        <v>0.34300000000000003</v>
      </c>
      <c r="Q275">
        <v>0.34599999999999997</v>
      </c>
      <c r="R275">
        <v>0.35</v>
      </c>
      <c r="S275">
        <v>0.34</v>
      </c>
      <c r="T275">
        <v>0.34699999999999998</v>
      </c>
      <c r="U275">
        <v>0.35199999999999998</v>
      </c>
      <c r="V275">
        <v>0.35099999999999998</v>
      </c>
      <c r="W275">
        <v>0.373</v>
      </c>
      <c r="X275">
        <v>0.20300000000000001</v>
      </c>
      <c r="Y275">
        <v>0.30399999999999999</v>
      </c>
      <c r="Z275">
        <v>0.13600000000000001</v>
      </c>
      <c r="AA275">
        <v>4.7E-2</v>
      </c>
      <c r="AB275">
        <v>6.0000000000000001E-3</v>
      </c>
      <c r="AC275">
        <v>3.3000000000000002E-2</v>
      </c>
      <c r="AD275">
        <v>0.01</v>
      </c>
      <c r="AE275">
        <v>3.4000000000000002E-2</v>
      </c>
      <c r="AF275">
        <v>1.6E-2</v>
      </c>
      <c r="AG275">
        <v>396.6</v>
      </c>
      <c r="AH275">
        <v>368.8</v>
      </c>
      <c r="AI275">
        <v>366.1</v>
      </c>
      <c r="AJ275">
        <v>369.6</v>
      </c>
      <c r="AK275">
        <v>373.4</v>
      </c>
      <c r="AL275">
        <v>367.5</v>
      </c>
      <c r="AM275" s="157">
        <v>361.3</v>
      </c>
      <c r="AN275" s="157">
        <v>343.3</v>
      </c>
      <c r="AO275" s="157">
        <v>345.8</v>
      </c>
      <c r="AP275" s="157">
        <v>345.8</v>
      </c>
    </row>
    <row r="276" spans="1:42" ht="14.7" customHeight="1">
      <c r="A276" s="161" t="s">
        <v>151</v>
      </c>
      <c r="B276" s="233"/>
      <c r="C276">
        <v>508.1</v>
      </c>
      <c r="D276">
        <v>473.9</v>
      </c>
      <c r="E276">
        <v>459.5</v>
      </c>
      <c r="F276">
        <v>478.7</v>
      </c>
      <c r="G276">
        <v>460.9</v>
      </c>
      <c r="H276">
        <v>438.2</v>
      </c>
      <c r="I276">
        <v>437.2</v>
      </c>
      <c r="J276">
        <v>427.1</v>
      </c>
      <c r="K276">
        <v>442.6</v>
      </c>
      <c r="L276">
        <v>431.8</v>
      </c>
      <c r="M276">
        <v>0.36599999999999999</v>
      </c>
      <c r="N276">
        <v>0.40400000000000003</v>
      </c>
      <c r="O276">
        <v>0.42599999999999999</v>
      </c>
      <c r="P276">
        <v>0.41199999999999998</v>
      </c>
      <c r="Q276">
        <v>0.432</v>
      </c>
      <c r="R276">
        <v>0.45600000000000002</v>
      </c>
      <c r="S276">
        <v>0.46</v>
      </c>
      <c r="T276">
        <v>0.46400000000000002</v>
      </c>
      <c r="U276">
        <v>0.439</v>
      </c>
      <c r="V276">
        <v>0.46500000000000002</v>
      </c>
      <c r="W276" t="s">
        <v>901</v>
      </c>
      <c r="X276" t="s">
        <v>901</v>
      </c>
      <c r="Y276" t="s">
        <v>901</v>
      </c>
      <c r="Z276" t="s">
        <v>901</v>
      </c>
      <c r="AA276" t="s">
        <v>901</v>
      </c>
      <c r="AB276" t="s">
        <v>901</v>
      </c>
      <c r="AC276" t="s">
        <v>901</v>
      </c>
      <c r="AD276" t="s">
        <v>901</v>
      </c>
      <c r="AE276" t="s">
        <v>910</v>
      </c>
      <c r="AF276">
        <v>0</v>
      </c>
      <c r="AG276">
        <v>357.4</v>
      </c>
      <c r="AH276">
        <v>347.7</v>
      </c>
      <c r="AI276">
        <v>342.3</v>
      </c>
      <c r="AJ276">
        <v>346.4</v>
      </c>
      <c r="AK276">
        <v>343.5</v>
      </c>
      <c r="AL276">
        <v>339.4</v>
      </c>
      <c r="AM276" s="157">
        <v>342</v>
      </c>
      <c r="AN276" s="157">
        <v>337.9</v>
      </c>
      <c r="AO276" s="157">
        <v>335.3</v>
      </c>
      <c r="AP276" s="157">
        <v>344.8</v>
      </c>
    </row>
    <row r="277" spans="1:42" ht="14.7" customHeight="1">
      <c r="A277" s="161" t="s">
        <v>152</v>
      </c>
      <c r="B277" s="233"/>
      <c r="C277" t="s">
        <v>901</v>
      </c>
      <c r="D277" t="s">
        <v>901</v>
      </c>
      <c r="E277" t="s">
        <v>901</v>
      </c>
      <c r="F277" t="s">
        <v>901</v>
      </c>
      <c r="G277" t="s">
        <v>901</v>
      </c>
      <c r="H277" t="s">
        <v>901</v>
      </c>
      <c r="I277" t="s">
        <v>901</v>
      </c>
      <c r="J277" t="s">
        <v>901</v>
      </c>
      <c r="K277" t="s">
        <v>901</v>
      </c>
      <c r="L277" t="s">
        <v>901</v>
      </c>
      <c r="M277" t="s">
        <v>901</v>
      </c>
      <c r="N277" t="s">
        <v>901</v>
      </c>
      <c r="O277" t="s">
        <v>901</v>
      </c>
      <c r="P277" t="s">
        <v>901</v>
      </c>
      <c r="Q277" t="s">
        <v>901</v>
      </c>
      <c r="R277" t="s">
        <v>901</v>
      </c>
      <c r="S277" t="s">
        <v>901</v>
      </c>
      <c r="T277" t="s">
        <v>901</v>
      </c>
      <c r="U277" t="s">
        <v>901</v>
      </c>
      <c r="V277" t="s">
        <v>901</v>
      </c>
      <c r="W277" t="s">
        <v>901</v>
      </c>
      <c r="X277" t="s">
        <v>901</v>
      </c>
      <c r="Y277" t="s">
        <v>901</v>
      </c>
      <c r="Z277" t="s">
        <v>901</v>
      </c>
      <c r="AA277" t="s">
        <v>901</v>
      </c>
      <c r="AB277" t="s">
        <v>901</v>
      </c>
      <c r="AC277" t="s">
        <v>901</v>
      </c>
      <c r="AD277" t="s">
        <v>901</v>
      </c>
      <c r="AE277" t="s">
        <v>901</v>
      </c>
      <c r="AF277" t="s">
        <v>901</v>
      </c>
      <c r="AG277" t="s">
        <v>901</v>
      </c>
      <c r="AH277" t="s">
        <v>901</v>
      </c>
      <c r="AI277" t="s">
        <v>901</v>
      </c>
      <c r="AJ277" t="s">
        <v>901</v>
      </c>
      <c r="AK277" t="s">
        <v>901</v>
      </c>
      <c r="AL277" t="s">
        <v>901</v>
      </c>
      <c r="AM277" s="157" t="s">
        <v>901</v>
      </c>
      <c r="AN277" s="157" t="s">
        <v>901</v>
      </c>
      <c r="AO277" s="157" t="s">
        <v>901</v>
      </c>
      <c r="AP277" s="157" t="s">
        <v>901</v>
      </c>
    </row>
    <row r="278" spans="1:42" ht="14.7" customHeight="1">
      <c r="A278" s="49" t="s">
        <v>249</v>
      </c>
      <c r="B278" s="233"/>
      <c r="C278">
        <v>638.29999999999995</v>
      </c>
      <c r="D278">
        <v>631</v>
      </c>
      <c r="E278">
        <v>628.70000000000005</v>
      </c>
      <c r="F278">
        <v>543</v>
      </c>
      <c r="G278">
        <v>508.9</v>
      </c>
      <c r="H278">
        <v>516.70000000000005</v>
      </c>
      <c r="I278">
        <v>522.6</v>
      </c>
      <c r="J278">
        <v>504.8</v>
      </c>
      <c r="K278">
        <v>503.1</v>
      </c>
      <c r="L278">
        <v>482.3</v>
      </c>
      <c r="M278">
        <v>0.313</v>
      </c>
      <c r="N278">
        <v>0.317</v>
      </c>
      <c r="O278">
        <v>0.29299999999999998</v>
      </c>
      <c r="P278">
        <v>0.36799999999999999</v>
      </c>
      <c r="Q278">
        <v>0.40600000000000003</v>
      </c>
      <c r="R278">
        <v>0.39</v>
      </c>
      <c r="S278">
        <v>0.38900000000000001</v>
      </c>
      <c r="T278">
        <v>0.35899999999999999</v>
      </c>
      <c r="U278">
        <v>0.35399999999999998</v>
      </c>
      <c r="V278">
        <v>0.374</v>
      </c>
      <c r="W278" t="s">
        <v>901</v>
      </c>
      <c r="X278" t="s">
        <v>901</v>
      </c>
      <c r="Y278" t="s">
        <v>901</v>
      </c>
      <c r="Z278" t="s">
        <v>901</v>
      </c>
      <c r="AA278" t="s">
        <v>901</v>
      </c>
      <c r="AB278" t="s">
        <v>901</v>
      </c>
      <c r="AC278" t="s">
        <v>901</v>
      </c>
      <c r="AD278" t="s">
        <v>901</v>
      </c>
      <c r="AE278" t="s">
        <v>910</v>
      </c>
      <c r="AF278">
        <v>0</v>
      </c>
      <c r="AG278">
        <v>416.5</v>
      </c>
      <c r="AH278">
        <v>415.5</v>
      </c>
      <c r="AI278">
        <v>406.3</v>
      </c>
      <c r="AJ278">
        <v>393.2</v>
      </c>
      <c r="AK278">
        <v>390</v>
      </c>
      <c r="AL278">
        <v>387.1</v>
      </c>
      <c r="AM278" s="157">
        <v>392</v>
      </c>
      <c r="AN278" s="157">
        <v>361.6</v>
      </c>
      <c r="AO278" s="157">
        <v>357.8</v>
      </c>
      <c r="AP278" s="157">
        <v>355.4</v>
      </c>
    </row>
    <row r="279" spans="1:42" ht="14.7" customHeight="1">
      <c r="A279" s="161" t="s">
        <v>154</v>
      </c>
      <c r="B279" s="233"/>
      <c r="C279">
        <v>470.7</v>
      </c>
      <c r="D279">
        <v>433.3</v>
      </c>
      <c r="E279">
        <v>437.8</v>
      </c>
      <c r="F279">
        <v>441.3</v>
      </c>
      <c r="G279">
        <v>443.6</v>
      </c>
      <c r="H279">
        <v>446.8</v>
      </c>
      <c r="I279">
        <v>455.6</v>
      </c>
      <c r="J279">
        <v>455.2</v>
      </c>
      <c r="K279">
        <v>448.9</v>
      </c>
      <c r="L279">
        <v>451.5</v>
      </c>
      <c r="M279">
        <v>0.50600000000000001</v>
      </c>
      <c r="N279">
        <v>0.53800000000000003</v>
      </c>
      <c r="O279">
        <v>0.52300000000000002</v>
      </c>
      <c r="P279">
        <v>0.52600000000000002</v>
      </c>
      <c r="Q279">
        <v>0.52800000000000002</v>
      </c>
      <c r="R279">
        <v>0.52400000000000002</v>
      </c>
      <c r="S279">
        <v>0.51900000000000002</v>
      </c>
      <c r="T279">
        <v>0.5</v>
      </c>
      <c r="U279">
        <v>0.499</v>
      </c>
      <c r="V279">
        <v>0.502</v>
      </c>
      <c r="W279" t="s">
        <v>901</v>
      </c>
      <c r="X279" t="s">
        <v>901</v>
      </c>
      <c r="Y279" t="s">
        <v>901</v>
      </c>
      <c r="Z279" t="s">
        <v>901</v>
      </c>
      <c r="AA279" t="s">
        <v>901</v>
      </c>
      <c r="AB279" t="s">
        <v>901</v>
      </c>
      <c r="AC279" t="s">
        <v>901</v>
      </c>
      <c r="AD279" t="s">
        <v>901</v>
      </c>
      <c r="AE279" t="s">
        <v>910</v>
      </c>
      <c r="AF279">
        <v>0</v>
      </c>
      <c r="AG279">
        <v>429.7</v>
      </c>
      <c r="AH279">
        <v>420.1</v>
      </c>
      <c r="AI279">
        <v>396.3</v>
      </c>
      <c r="AJ279">
        <v>402.3</v>
      </c>
      <c r="AK279">
        <v>404.8</v>
      </c>
      <c r="AL279">
        <v>405.6</v>
      </c>
      <c r="AM279" s="157">
        <v>411.1</v>
      </c>
      <c r="AN279" s="157">
        <v>399.6</v>
      </c>
      <c r="AO279" s="157">
        <v>395</v>
      </c>
      <c r="AP279" s="157">
        <v>400.8</v>
      </c>
    </row>
    <row r="280" spans="1:42" ht="14.7" customHeight="1">
      <c r="A280" s="161" t="s">
        <v>328</v>
      </c>
      <c r="B280" s="233"/>
      <c r="C280">
        <v>523.9</v>
      </c>
      <c r="D280">
        <v>505</v>
      </c>
      <c r="E280">
        <v>495.8</v>
      </c>
      <c r="F280">
        <v>521.29999999999995</v>
      </c>
      <c r="G280">
        <v>528.29999999999995</v>
      </c>
      <c r="H280">
        <v>550.4</v>
      </c>
      <c r="I280">
        <v>568.9</v>
      </c>
      <c r="J280">
        <v>560.1</v>
      </c>
      <c r="K280">
        <v>552.9</v>
      </c>
      <c r="L280">
        <v>553.5</v>
      </c>
      <c r="M280">
        <v>0.53</v>
      </c>
      <c r="N280">
        <v>0.53700000000000003</v>
      </c>
      <c r="O280">
        <v>0.53600000000000003</v>
      </c>
      <c r="P280">
        <v>0.52400000000000002</v>
      </c>
      <c r="Q280">
        <v>0.51900000000000002</v>
      </c>
      <c r="R280">
        <v>0.503</v>
      </c>
      <c r="S280">
        <v>0.49199999999999999</v>
      </c>
      <c r="T280">
        <v>0.47499999999999998</v>
      </c>
      <c r="U280">
        <v>0.47499999999999998</v>
      </c>
      <c r="V280">
        <v>0.47799999999999998</v>
      </c>
      <c r="W280">
        <v>0.251</v>
      </c>
      <c r="X280">
        <v>0.22700000000000001</v>
      </c>
      <c r="Y280">
        <v>0.222</v>
      </c>
      <c r="Z280">
        <v>0.16700000000000001</v>
      </c>
      <c r="AA280">
        <v>2.3E-2</v>
      </c>
      <c r="AB280">
        <v>2.1999999999999999E-2</v>
      </c>
      <c r="AC280">
        <v>1.7000000000000001E-2</v>
      </c>
      <c r="AD280">
        <v>1.9E-2</v>
      </c>
      <c r="AE280">
        <v>1.6E-2</v>
      </c>
      <c r="AF280">
        <v>1.2999999999999999E-2</v>
      </c>
      <c r="AG280">
        <v>489.3</v>
      </c>
      <c r="AH280">
        <v>478.8</v>
      </c>
      <c r="AI280">
        <v>460.3</v>
      </c>
      <c r="AJ280">
        <v>471.7</v>
      </c>
      <c r="AK280">
        <v>471.8</v>
      </c>
      <c r="AL280">
        <v>473.9</v>
      </c>
      <c r="AM280" s="157">
        <v>480.4</v>
      </c>
      <c r="AN280" s="157">
        <v>459.6</v>
      </c>
      <c r="AO280" s="157">
        <v>454.8</v>
      </c>
      <c r="AP280" s="157">
        <v>459.5</v>
      </c>
    </row>
    <row r="281" spans="1:42" ht="14.7" customHeight="1">
      <c r="A281" s="49" t="s">
        <v>155</v>
      </c>
      <c r="B281" s="233"/>
      <c r="C281">
        <v>384.7</v>
      </c>
      <c r="D281">
        <v>402.3</v>
      </c>
      <c r="E281">
        <v>419.2</v>
      </c>
      <c r="F281">
        <v>450.6</v>
      </c>
      <c r="G281">
        <v>395.5</v>
      </c>
      <c r="H281">
        <v>393.5</v>
      </c>
      <c r="I281">
        <v>384.4</v>
      </c>
      <c r="J281">
        <v>380.6</v>
      </c>
      <c r="K281">
        <v>390.5</v>
      </c>
      <c r="L281">
        <v>379.3</v>
      </c>
      <c r="M281">
        <v>0.60199999999999998</v>
      </c>
      <c r="N281">
        <v>0.58899999999999997</v>
      </c>
      <c r="O281">
        <v>0.54</v>
      </c>
      <c r="P281">
        <v>0.50800000000000001</v>
      </c>
      <c r="Q281">
        <v>0.55200000000000005</v>
      </c>
      <c r="R281">
        <v>0.56399999999999995</v>
      </c>
      <c r="S281">
        <v>0.57399999999999995</v>
      </c>
      <c r="T281">
        <v>0.56000000000000005</v>
      </c>
      <c r="U281">
        <v>0.56000000000000005</v>
      </c>
      <c r="V281">
        <v>0.56399999999999995</v>
      </c>
      <c r="W281" t="s">
        <v>901</v>
      </c>
      <c r="X281" t="s">
        <v>901</v>
      </c>
      <c r="Y281" t="s">
        <v>901</v>
      </c>
      <c r="Z281" t="s">
        <v>901</v>
      </c>
      <c r="AA281" t="s">
        <v>901</v>
      </c>
      <c r="AB281" t="s">
        <v>901</v>
      </c>
      <c r="AC281" t="s">
        <v>901</v>
      </c>
      <c r="AD281" t="s">
        <v>901</v>
      </c>
      <c r="AE281" t="s">
        <v>910</v>
      </c>
      <c r="AF281">
        <v>0</v>
      </c>
      <c r="AG281">
        <v>435.5</v>
      </c>
      <c r="AH281">
        <v>441.5</v>
      </c>
      <c r="AI281">
        <v>403.3</v>
      </c>
      <c r="AJ281">
        <v>406.5</v>
      </c>
      <c r="AK281">
        <v>391.9</v>
      </c>
      <c r="AL281">
        <v>400.6</v>
      </c>
      <c r="AM281" s="157">
        <v>401.7</v>
      </c>
      <c r="AN281" s="157">
        <v>385</v>
      </c>
      <c r="AO281" s="157">
        <v>396</v>
      </c>
      <c r="AP281" s="157">
        <v>388.8</v>
      </c>
    </row>
    <row r="282" spans="1:42" ht="14.7" customHeight="1">
      <c r="A282" s="161" t="s">
        <v>156</v>
      </c>
      <c r="B282" s="233"/>
      <c r="C282">
        <v>524.4</v>
      </c>
      <c r="D282">
        <v>507.5</v>
      </c>
      <c r="E282">
        <v>532</v>
      </c>
      <c r="F282">
        <v>536.5</v>
      </c>
      <c r="G282">
        <v>550.20000000000005</v>
      </c>
      <c r="H282">
        <v>531.5</v>
      </c>
      <c r="I282">
        <v>518.6</v>
      </c>
      <c r="J282">
        <v>522.20000000000005</v>
      </c>
      <c r="K282">
        <v>497.7</v>
      </c>
      <c r="L282">
        <v>492.9</v>
      </c>
      <c r="M282">
        <v>0.39100000000000001</v>
      </c>
      <c r="N282">
        <v>0.4</v>
      </c>
      <c r="O282">
        <v>0.36799999999999999</v>
      </c>
      <c r="P282">
        <v>0.374</v>
      </c>
      <c r="Q282">
        <v>0.38200000000000001</v>
      </c>
      <c r="R282">
        <v>0.39400000000000002</v>
      </c>
      <c r="S282">
        <v>0.39800000000000002</v>
      </c>
      <c r="T282">
        <v>0.38300000000000001</v>
      </c>
      <c r="U282">
        <v>0.4</v>
      </c>
      <c r="V282">
        <v>0.39500000000000002</v>
      </c>
      <c r="W282" t="s">
        <v>901</v>
      </c>
      <c r="X282" t="s">
        <v>901</v>
      </c>
      <c r="Y282" t="s">
        <v>901</v>
      </c>
      <c r="Z282" t="s">
        <v>901</v>
      </c>
      <c r="AA282" t="s">
        <v>901</v>
      </c>
      <c r="AB282" t="s">
        <v>901</v>
      </c>
      <c r="AC282" t="s">
        <v>901</v>
      </c>
      <c r="AD282" t="s">
        <v>901</v>
      </c>
      <c r="AE282" t="s">
        <v>910</v>
      </c>
      <c r="AF282">
        <v>0</v>
      </c>
      <c r="AG282">
        <v>382.7</v>
      </c>
      <c r="AH282">
        <v>369.8</v>
      </c>
      <c r="AI282">
        <v>357.9</v>
      </c>
      <c r="AJ282">
        <v>363.8</v>
      </c>
      <c r="AK282">
        <v>375.9</v>
      </c>
      <c r="AL282">
        <v>367.8</v>
      </c>
      <c r="AM282" s="157">
        <v>360.4</v>
      </c>
      <c r="AN282" s="157">
        <v>358.2</v>
      </c>
      <c r="AO282" s="157">
        <v>351.5</v>
      </c>
      <c r="AP282" s="157">
        <v>347.5</v>
      </c>
    </row>
    <row r="283" spans="1:42" ht="14.7" customHeight="1">
      <c r="A283" s="161" t="s">
        <v>250</v>
      </c>
      <c r="B283" s="233"/>
      <c r="C283">
        <v>422.9</v>
      </c>
      <c r="D283">
        <v>300.7</v>
      </c>
      <c r="E283">
        <v>308.5</v>
      </c>
      <c r="F283">
        <v>312.89999999999998</v>
      </c>
      <c r="G283">
        <v>317.7</v>
      </c>
      <c r="H283">
        <v>330.5</v>
      </c>
      <c r="I283">
        <v>334.8</v>
      </c>
      <c r="J283">
        <v>337.2</v>
      </c>
      <c r="K283">
        <v>317</v>
      </c>
      <c r="L283">
        <v>319.89999999999998</v>
      </c>
      <c r="M283">
        <v>0.49299999999999999</v>
      </c>
      <c r="N283">
        <v>0.626</v>
      </c>
      <c r="O283">
        <v>0.61</v>
      </c>
      <c r="P283">
        <v>0.61099999999999999</v>
      </c>
      <c r="Q283">
        <v>0.60699999999999998</v>
      </c>
      <c r="R283">
        <v>0.59399999999999997</v>
      </c>
      <c r="S283">
        <v>0.59</v>
      </c>
      <c r="T283">
        <v>0.57499999999999996</v>
      </c>
      <c r="U283">
        <v>0.58299999999999996</v>
      </c>
      <c r="V283">
        <v>0.58499999999999996</v>
      </c>
      <c r="W283" t="s">
        <v>901</v>
      </c>
      <c r="X283" t="s">
        <v>901</v>
      </c>
      <c r="Y283" t="s">
        <v>901</v>
      </c>
      <c r="Z283" t="s">
        <v>901</v>
      </c>
      <c r="AA283" t="s">
        <v>901</v>
      </c>
      <c r="AB283" t="s">
        <v>901</v>
      </c>
      <c r="AC283" t="s">
        <v>901</v>
      </c>
      <c r="AD283" t="s">
        <v>901</v>
      </c>
      <c r="AE283" t="s">
        <v>910</v>
      </c>
      <c r="AF283">
        <v>0</v>
      </c>
      <c r="AG283">
        <v>372.5</v>
      </c>
      <c r="AH283">
        <v>355.9</v>
      </c>
      <c r="AI283">
        <v>352</v>
      </c>
      <c r="AJ283">
        <v>358.5</v>
      </c>
      <c r="AK283">
        <v>356.6</v>
      </c>
      <c r="AL283">
        <v>357.3</v>
      </c>
      <c r="AM283" s="157">
        <v>358.2</v>
      </c>
      <c r="AN283" s="157">
        <v>348.9</v>
      </c>
      <c r="AO283" s="157">
        <v>335.4</v>
      </c>
      <c r="AP283" s="157">
        <v>339.5</v>
      </c>
    </row>
    <row r="284" spans="1:42" ht="14.7" customHeight="1">
      <c r="A284" s="161" t="s">
        <v>291</v>
      </c>
      <c r="B284" s="233"/>
      <c r="C284">
        <v>706</v>
      </c>
      <c r="D284">
        <v>705.1</v>
      </c>
      <c r="E284">
        <v>690</v>
      </c>
      <c r="F284">
        <v>698.6</v>
      </c>
      <c r="G284">
        <v>718.8</v>
      </c>
      <c r="H284">
        <v>707.9</v>
      </c>
      <c r="I284">
        <v>719.6</v>
      </c>
      <c r="J284">
        <v>732</v>
      </c>
      <c r="K284">
        <v>702.1</v>
      </c>
      <c r="L284">
        <v>707.3</v>
      </c>
      <c r="M284">
        <v>0.29799999999999999</v>
      </c>
      <c r="N284">
        <v>0.28199999999999997</v>
      </c>
      <c r="O284">
        <v>0.28899999999999998</v>
      </c>
      <c r="P284">
        <v>0.28000000000000003</v>
      </c>
      <c r="Q284">
        <v>0.26600000000000001</v>
      </c>
      <c r="R284">
        <v>0.25700000000000001</v>
      </c>
      <c r="S284">
        <v>0.25800000000000001</v>
      </c>
      <c r="T284">
        <v>0.249</v>
      </c>
      <c r="U284">
        <v>0.26400000000000001</v>
      </c>
      <c r="V284">
        <v>0.26500000000000001</v>
      </c>
      <c r="W284">
        <v>0.14799999999999999</v>
      </c>
      <c r="X284">
        <v>7.9000000000000001E-2</v>
      </c>
      <c r="Y284">
        <v>7.0000000000000001E-3</v>
      </c>
      <c r="Z284">
        <v>3.0000000000000001E-3</v>
      </c>
      <c r="AA284">
        <v>6.3E-2</v>
      </c>
      <c r="AB284">
        <v>8.5999999999999993E-2</v>
      </c>
      <c r="AC284">
        <v>1.7000000000000001E-2</v>
      </c>
      <c r="AD284">
        <v>2.9000000000000001E-2</v>
      </c>
      <c r="AE284">
        <v>4.0000000000000001E-3</v>
      </c>
      <c r="AF284">
        <v>4.0000000000000001E-3</v>
      </c>
      <c r="AG284">
        <v>435.7</v>
      </c>
      <c r="AH284">
        <v>422.7</v>
      </c>
      <c r="AI284">
        <v>422</v>
      </c>
      <c r="AJ284">
        <v>423</v>
      </c>
      <c r="AK284">
        <v>425.9</v>
      </c>
      <c r="AL284">
        <v>413.1</v>
      </c>
      <c r="AM284" s="157">
        <v>420.7</v>
      </c>
      <c r="AN284" s="157">
        <v>424.9</v>
      </c>
      <c r="AO284" s="157">
        <v>418.2</v>
      </c>
      <c r="AP284" s="157">
        <v>425.8</v>
      </c>
    </row>
    <row r="285" spans="1:42" ht="14.7" customHeight="1">
      <c r="A285" s="161" t="s">
        <v>292</v>
      </c>
      <c r="B285" s="233"/>
      <c r="C285">
        <v>577.6</v>
      </c>
      <c r="D285">
        <v>565.6</v>
      </c>
      <c r="E285">
        <v>561.29999999999995</v>
      </c>
      <c r="F285">
        <v>603.4</v>
      </c>
      <c r="G285">
        <v>601.4</v>
      </c>
      <c r="H285">
        <v>616.20000000000005</v>
      </c>
      <c r="I285">
        <v>601.20000000000005</v>
      </c>
      <c r="J285">
        <v>575.20000000000005</v>
      </c>
      <c r="K285">
        <v>569</v>
      </c>
      <c r="L285">
        <v>579.5</v>
      </c>
      <c r="M285">
        <v>0.39300000000000002</v>
      </c>
      <c r="N285">
        <v>0.38500000000000001</v>
      </c>
      <c r="O285">
        <v>0.36599999999999999</v>
      </c>
      <c r="P285">
        <v>0.34300000000000003</v>
      </c>
      <c r="Q285">
        <v>0.33700000000000002</v>
      </c>
      <c r="R285">
        <v>0.36099999999999999</v>
      </c>
      <c r="S285">
        <v>0.34799999999999998</v>
      </c>
      <c r="T285">
        <v>0.34899999999999998</v>
      </c>
      <c r="U285">
        <v>0.36299999999999999</v>
      </c>
      <c r="V285">
        <v>0.34799999999999998</v>
      </c>
      <c r="W285">
        <v>0.14599999999999999</v>
      </c>
      <c r="X285">
        <v>0.17100000000000001</v>
      </c>
      <c r="Y285">
        <v>0.11</v>
      </c>
      <c r="Z285">
        <v>0.11</v>
      </c>
      <c r="AA285">
        <v>0.10100000000000001</v>
      </c>
      <c r="AB285">
        <v>5.5E-2</v>
      </c>
      <c r="AC285">
        <v>6.8000000000000005E-2</v>
      </c>
      <c r="AD285">
        <v>0.06</v>
      </c>
      <c r="AE285">
        <v>4.2000000000000003E-2</v>
      </c>
      <c r="AF285">
        <v>5.1999999999999998E-2</v>
      </c>
      <c r="AG285">
        <v>449.7</v>
      </c>
      <c r="AH285">
        <v>433</v>
      </c>
      <c r="AI285">
        <v>403.4</v>
      </c>
      <c r="AJ285">
        <v>417.8</v>
      </c>
      <c r="AK285">
        <v>412.5</v>
      </c>
      <c r="AL285">
        <v>437.3</v>
      </c>
      <c r="AM285" s="157">
        <v>417.4</v>
      </c>
      <c r="AN285" s="157">
        <v>398.8</v>
      </c>
      <c r="AO285" s="157">
        <v>404.9</v>
      </c>
      <c r="AP285" s="157">
        <v>403.7</v>
      </c>
    </row>
    <row r="286" spans="1:42" ht="14.7" customHeight="1">
      <c r="A286" s="161" t="s">
        <v>157</v>
      </c>
      <c r="B286" s="233"/>
      <c r="C286">
        <v>406.8</v>
      </c>
      <c r="D286">
        <v>404.5</v>
      </c>
      <c r="E286">
        <v>381.6</v>
      </c>
      <c r="F286">
        <v>392.5</v>
      </c>
      <c r="G286">
        <v>395.5</v>
      </c>
      <c r="H286">
        <v>387</v>
      </c>
      <c r="I286">
        <v>387.7</v>
      </c>
      <c r="J286">
        <v>385.7</v>
      </c>
      <c r="K286">
        <v>385.2</v>
      </c>
      <c r="L286">
        <v>381.1</v>
      </c>
      <c r="M286">
        <v>0.59299999999999997</v>
      </c>
      <c r="N286">
        <v>0.57299999999999995</v>
      </c>
      <c r="O286">
        <v>0.60299999999999998</v>
      </c>
      <c r="P286">
        <v>0.59099999999999997</v>
      </c>
      <c r="Q286">
        <v>0.60299999999999998</v>
      </c>
      <c r="R286">
        <v>0.60399999999999998</v>
      </c>
      <c r="S286">
        <v>0.61299999999999999</v>
      </c>
      <c r="T286">
        <v>0.60299999999999998</v>
      </c>
      <c r="U286">
        <v>0.59599999999999997</v>
      </c>
      <c r="V286">
        <v>0.60499999999999998</v>
      </c>
      <c r="W286" t="s">
        <v>901</v>
      </c>
      <c r="X286" t="s">
        <v>901</v>
      </c>
      <c r="Y286" t="s">
        <v>901</v>
      </c>
      <c r="Z286" t="s">
        <v>901</v>
      </c>
      <c r="AA286" t="s">
        <v>901</v>
      </c>
      <c r="AB286" t="s">
        <v>901</v>
      </c>
      <c r="AC286" t="s">
        <v>901</v>
      </c>
      <c r="AD286" t="s">
        <v>901</v>
      </c>
      <c r="AE286" t="s">
        <v>910</v>
      </c>
      <c r="AF286">
        <v>0</v>
      </c>
      <c r="AG286">
        <v>457.9</v>
      </c>
      <c r="AH286">
        <v>431.7</v>
      </c>
      <c r="AI286">
        <v>434.3</v>
      </c>
      <c r="AJ286">
        <v>436.5</v>
      </c>
      <c r="AK286">
        <v>452.7</v>
      </c>
      <c r="AL286">
        <v>447.2</v>
      </c>
      <c r="AM286" s="157">
        <v>461.2</v>
      </c>
      <c r="AN286" s="157">
        <v>444.6</v>
      </c>
      <c r="AO286" s="157">
        <v>438.2</v>
      </c>
      <c r="AP286" s="157">
        <v>443.4</v>
      </c>
    </row>
    <row r="287" spans="1:42" ht="14.7" customHeight="1">
      <c r="A287" s="161" t="s">
        <v>158</v>
      </c>
      <c r="B287" s="233"/>
      <c r="C287">
        <v>538.4</v>
      </c>
      <c r="D287">
        <v>520.79999999999995</v>
      </c>
      <c r="E287">
        <v>491.2</v>
      </c>
      <c r="F287">
        <v>489.2</v>
      </c>
      <c r="G287">
        <v>513.5</v>
      </c>
      <c r="H287">
        <v>502.8</v>
      </c>
      <c r="I287">
        <v>381.1</v>
      </c>
      <c r="J287">
        <v>258.60000000000002</v>
      </c>
      <c r="K287">
        <v>260.8</v>
      </c>
      <c r="L287">
        <v>272.39999999999998</v>
      </c>
      <c r="M287">
        <v>0.246</v>
      </c>
      <c r="N287">
        <v>0.246</v>
      </c>
      <c r="O287">
        <v>0.28899999999999998</v>
      </c>
      <c r="P287">
        <v>0.311</v>
      </c>
      <c r="Q287">
        <v>0.30399999999999999</v>
      </c>
      <c r="R287">
        <v>0.315</v>
      </c>
      <c r="S287">
        <v>0.45500000000000002</v>
      </c>
      <c r="T287">
        <v>0.61199999999999999</v>
      </c>
      <c r="U287">
        <v>0.60199999999999998</v>
      </c>
      <c r="V287">
        <v>0.59699999999999998</v>
      </c>
      <c r="W287" t="s">
        <v>901</v>
      </c>
      <c r="X287" t="s">
        <v>901</v>
      </c>
      <c r="Y287" t="s">
        <v>901</v>
      </c>
      <c r="Z287" t="s">
        <v>901</v>
      </c>
      <c r="AA287" t="s">
        <v>901</v>
      </c>
      <c r="AB287" t="s">
        <v>901</v>
      </c>
      <c r="AC287" t="s">
        <v>901</v>
      </c>
      <c r="AD287" t="s">
        <v>901</v>
      </c>
      <c r="AE287" t="s">
        <v>910</v>
      </c>
      <c r="AF287">
        <v>0</v>
      </c>
      <c r="AG287">
        <v>318.60000000000002</v>
      </c>
      <c r="AH287">
        <v>308.3</v>
      </c>
      <c r="AI287">
        <v>307.5</v>
      </c>
      <c r="AJ287">
        <v>316.7</v>
      </c>
      <c r="AK287">
        <v>324.5</v>
      </c>
      <c r="AL287">
        <v>317.39999999999998</v>
      </c>
      <c r="AM287" s="157">
        <v>303.10000000000002</v>
      </c>
      <c r="AN287" s="157">
        <v>288.7</v>
      </c>
      <c r="AO287" s="157">
        <v>285.60000000000002</v>
      </c>
      <c r="AP287" s="157">
        <v>295.10000000000002</v>
      </c>
    </row>
    <row r="288" spans="1:42" ht="14.7" customHeight="1">
      <c r="A288" s="161" t="s">
        <v>329</v>
      </c>
      <c r="B288" s="233"/>
      <c r="C288">
        <v>498.3</v>
      </c>
      <c r="D288">
        <v>481.5</v>
      </c>
      <c r="E288">
        <v>479.6</v>
      </c>
      <c r="F288">
        <v>485.2</v>
      </c>
      <c r="G288">
        <v>489.7</v>
      </c>
      <c r="H288">
        <v>492.3</v>
      </c>
      <c r="I288">
        <v>521.4</v>
      </c>
      <c r="J288">
        <v>528</v>
      </c>
      <c r="K288">
        <v>535.20000000000005</v>
      </c>
      <c r="L288">
        <v>567.79999999999995</v>
      </c>
      <c r="M288">
        <v>0.53800000000000003</v>
      </c>
      <c r="N288">
        <v>0.53200000000000003</v>
      </c>
      <c r="O288">
        <v>0.52400000000000002</v>
      </c>
      <c r="P288">
        <v>0.53</v>
      </c>
      <c r="Q288">
        <v>0.53100000000000003</v>
      </c>
      <c r="R288">
        <v>0.53</v>
      </c>
      <c r="S288">
        <v>0.501</v>
      </c>
      <c r="T288">
        <v>0.48</v>
      </c>
      <c r="U288">
        <v>0.47099999999999997</v>
      </c>
      <c r="V288">
        <v>0.436</v>
      </c>
      <c r="W288">
        <v>0.372</v>
      </c>
      <c r="X288">
        <v>0.40699999999999997</v>
      </c>
      <c r="Y288">
        <v>0.48199999999999998</v>
      </c>
      <c r="Z288">
        <v>0.47299999999999998</v>
      </c>
      <c r="AA288">
        <v>0.20899999999999999</v>
      </c>
      <c r="AB288">
        <v>0.01</v>
      </c>
      <c r="AC288">
        <v>0.01</v>
      </c>
      <c r="AD288">
        <v>1.2999999999999999E-2</v>
      </c>
      <c r="AE288">
        <v>0.03</v>
      </c>
      <c r="AF288">
        <v>3.1E-2</v>
      </c>
      <c r="AG288">
        <v>495.3</v>
      </c>
      <c r="AH288">
        <v>469.3</v>
      </c>
      <c r="AI288">
        <v>453.7</v>
      </c>
      <c r="AJ288">
        <v>465.6</v>
      </c>
      <c r="AK288">
        <v>470.1</v>
      </c>
      <c r="AL288">
        <v>470.3</v>
      </c>
      <c r="AM288" s="157">
        <v>470.5</v>
      </c>
      <c r="AN288" s="157">
        <v>452.9</v>
      </c>
      <c r="AO288" s="157">
        <v>452.9</v>
      </c>
      <c r="AP288" s="157">
        <v>453.4</v>
      </c>
    </row>
    <row r="289" spans="1:42" ht="14.7" customHeight="1">
      <c r="A289" s="161" t="s">
        <v>251</v>
      </c>
      <c r="B289" s="233"/>
      <c r="C289">
        <v>706.6</v>
      </c>
      <c r="D289">
        <v>641.5</v>
      </c>
      <c r="E289">
        <v>665.8</v>
      </c>
      <c r="F289">
        <v>666.7</v>
      </c>
      <c r="G289">
        <v>680.9</v>
      </c>
      <c r="H289">
        <v>689.3</v>
      </c>
      <c r="I289">
        <v>696.5</v>
      </c>
      <c r="J289">
        <v>645.9</v>
      </c>
      <c r="K289">
        <v>637.9</v>
      </c>
      <c r="L289">
        <v>635.79999999999995</v>
      </c>
      <c r="M289">
        <v>0.312</v>
      </c>
      <c r="N289">
        <v>0.36899999999999999</v>
      </c>
      <c r="O289">
        <v>0.34100000000000003</v>
      </c>
      <c r="P289">
        <v>0.32400000000000001</v>
      </c>
      <c r="Q289">
        <v>0.30599999999999999</v>
      </c>
      <c r="R289">
        <v>0.29399999999999998</v>
      </c>
      <c r="S289">
        <v>0.26500000000000001</v>
      </c>
      <c r="T289">
        <v>0.27100000000000002</v>
      </c>
      <c r="U289">
        <v>0.27100000000000002</v>
      </c>
      <c r="V289">
        <v>0.27300000000000002</v>
      </c>
      <c r="W289">
        <v>0.65200000000000002</v>
      </c>
      <c r="X289">
        <v>0.60599999999999998</v>
      </c>
      <c r="Y289">
        <v>0.65500000000000003</v>
      </c>
      <c r="Z289">
        <v>0.66</v>
      </c>
      <c r="AA289">
        <v>4.1000000000000002E-2</v>
      </c>
      <c r="AB289">
        <v>2.4E-2</v>
      </c>
      <c r="AC289">
        <v>7.0000000000000001E-3</v>
      </c>
      <c r="AD289">
        <v>5.0000000000000001E-3</v>
      </c>
      <c r="AE289">
        <v>5.0000000000000001E-3</v>
      </c>
      <c r="AF289">
        <v>5.0000000000000001E-3</v>
      </c>
      <c r="AG289">
        <v>454.5</v>
      </c>
      <c r="AH289">
        <v>446.8</v>
      </c>
      <c r="AI289">
        <v>457.5</v>
      </c>
      <c r="AJ289">
        <v>446.6</v>
      </c>
      <c r="AK289">
        <v>444.4</v>
      </c>
      <c r="AL289">
        <v>443.7</v>
      </c>
      <c r="AM289" s="157">
        <v>432.1</v>
      </c>
      <c r="AN289" s="157">
        <v>407.3</v>
      </c>
      <c r="AO289" s="157">
        <v>406.6</v>
      </c>
      <c r="AP289" s="157">
        <v>408.1</v>
      </c>
    </row>
    <row r="290" spans="1:42" ht="14.7" customHeight="1">
      <c r="A290" s="161" t="s">
        <v>330</v>
      </c>
      <c r="B290" s="233"/>
      <c r="C290">
        <v>582.70000000000005</v>
      </c>
      <c r="D290">
        <v>521.70000000000005</v>
      </c>
      <c r="E290">
        <v>504.2</v>
      </c>
      <c r="F290">
        <v>538.29999999999995</v>
      </c>
      <c r="G290">
        <v>519</v>
      </c>
      <c r="H290">
        <v>493.7</v>
      </c>
      <c r="I290">
        <v>452.6</v>
      </c>
      <c r="J290">
        <v>470.1</v>
      </c>
      <c r="K290">
        <v>459.9</v>
      </c>
      <c r="L290">
        <v>450.8</v>
      </c>
      <c r="M290">
        <v>0.46400000000000002</v>
      </c>
      <c r="N290">
        <v>0.51500000000000001</v>
      </c>
      <c r="O290">
        <v>0.52100000000000002</v>
      </c>
      <c r="P290">
        <v>0.51500000000000001</v>
      </c>
      <c r="Q290">
        <v>0.53200000000000003</v>
      </c>
      <c r="R290">
        <v>0.55000000000000004</v>
      </c>
      <c r="S290">
        <v>0.57699999999999996</v>
      </c>
      <c r="T290">
        <v>0.54800000000000004</v>
      </c>
      <c r="U290">
        <v>0.55300000000000005</v>
      </c>
      <c r="V290">
        <v>0.56000000000000005</v>
      </c>
      <c r="W290">
        <v>0.32400000000000001</v>
      </c>
      <c r="X290">
        <v>0.15</v>
      </c>
      <c r="Y290">
        <v>9.8000000000000004E-2</v>
      </c>
      <c r="Z290">
        <v>0.106</v>
      </c>
      <c r="AA290">
        <v>0.06</v>
      </c>
      <c r="AB290">
        <v>0.06</v>
      </c>
      <c r="AC290">
        <v>7.1999999999999995E-2</v>
      </c>
      <c r="AD290">
        <v>4.1000000000000002E-2</v>
      </c>
      <c r="AE290">
        <v>0.108</v>
      </c>
      <c r="AF290">
        <v>6.4000000000000001E-2</v>
      </c>
      <c r="AG290">
        <v>464.8</v>
      </c>
      <c r="AH290">
        <v>451.9</v>
      </c>
      <c r="AI290">
        <v>441.2</v>
      </c>
      <c r="AJ290">
        <v>463.8</v>
      </c>
      <c r="AK290">
        <v>461.1</v>
      </c>
      <c r="AL290">
        <v>451.6</v>
      </c>
      <c r="AM290" s="157">
        <v>439</v>
      </c>
      <c r="AN290" s="157">
        <v>426.6</v>
      </c>
      <c r="AO290" s="157">
        <v>423.3</v>
      </c>
      <c r="AP290" s="157">
        <v>424</v>
      </c>
    </row>
    <row r="291" spans="1:42" ht="14.7" customHeight="1">
      <c r="A291" s="161" t="s">
        <v>160</v>
      </c>
      <c r="B291" s="233"/>
      <c r="C291">
        <v>280.8</v>
      </c>
      <c r="D291">
        <v>278.5</v>
      </c>
      <c r="E291">
        <v>290.60000000000002</v>
      </c>
      <c r="F291">
        <v>352.3</v>
      </c>
      <c r="G291">
        <v>304.8</v>
      </c>
      <c r="H291">
        <v>315.5</v>
      </c>
      <c r="I291">
        <v>319.60000000000002</v>
      </c>
      <c r="J291">
        <v>318.5</v>
      </c>
      <c r="K291">
        <v>314.2</v>
      </c>
      <c r="L291">
        <v>324.89999999999998</v>
      </c>
      <c r="M291">
        <v>0.64700000000000002</v>
      </c>
      <c r="N291">
        <v>0.65</v>
      </c>
      <c r="O291">
        <v>0.63800000000000001</v>
      </c>
      <c r="P291">
        <v>0.58099999999999996</v>
      </c>
      <c r="Q291">
        <v>0.63300000000000001</v>
      </c>
      <c r="R291">
        <v>0.621</v>
      </c>
      <c r="S291">
        <v>0.623</v>
      </c>
      <c r="T291">
        <v>0.61399999999999999</v>
      </c>
      <c r="U291">
        <v>0.61899999999999999</v>
      </c>
      <c r="V291">
        <v>0.629</v>
      </c>
      <c r="W291" t="s">
        <v>901</v>
      </c>
      <c r="X291" t="s">
        <v>901</v>
      </c>
      <c r="Y291" t="s">
        <v>901</v>
      </c>
      <c r="Z291" t="s">
        <v>901</v>
      </c>
      <c r="AA291" t="s">
        <v>901</v>
      </c>
      <c r="AB291" t="s">
        <v>901</v>
      </c>
      <c r="AC291" t="s">
        <v>901</v>
      </c>
      <c r="AD291" t="s">
        <v>901</v>
      </c>
      <c r="AE291" t="s">
        <v>910</v>
      </c>
      <c r="AF291">
        <v>0</v>
      </c>
      <c r="AG291">
        <v>331.7</v>
      </c>
      <c r="AH291">
        <v>328.5</v>
      </c>
      <c r="AI291">
        <v>325.5</v>
      </c>
      <c r="AJ291">
        <v>342.5</v>
      </c>
      <c r="AK291">
        <v>337.7</v>
      </c>
      <c r="AL291">
        <v>334.3</v>
      </c>
      <c r="AM291" s="157">
        <v>341.7</v>
      </c>
      <c r="AN291" s="157">
        <v>334</v>
      </c>
      <c r="AO291" s="157">
        <v>335.4</v>
      </c>
      <c r="AP291" s="157">
        <v>358.2</v>
      </c>
    </row>
    <row r="292" spans="1:42" ht="14.7" customHeight="1">
      <c r="A292" s="161" t="s">
        <v>219</v>
      </c>
      <c r="B292" s="233"/>
      <c r="C292">
        <v>605.20000000000005</v>
      </c>
      <c r="D292">
        <v>590.70000000000005</v>
      </c>
      <c r="E292">
        <v>583.1</v>
      </c>
      <c r="F292">
        <v>576.79999999999995</v>
      </c>
      <c r="G292">
        <v>565.4</v>
      </c>
      <c r="H292">
        <v>602.79999999999995</v>
      </c>
      <c r="I292">
        <v>592</v>
      </c>
      <c r="J292">
        <v>434.2</v>
      </c>
      <c r="K292">
        <v>444.7</v>
      </c>
      <c r="L292">
        <v>450.4</v>
      </c>
      <c r="M292">
        <v>0.375</v>
      </c>
      <c r="N292">
        <v>0.374</v>
      </c>
      <c r="O292">
        <v>0.36499999999999999</v>
      </c>
      <c r="P292">
        <v>0.371</v>
      </c>
      <c r="Q292">
        <v>0.376</v>
      </c>
      <c r="R292">
        <v>0.34699999999999998</v>
      </c>
      <c r="S292">
        <v>0.36499999999999999</v>
      </c>
      <c r="T292">
        <v>0.5</v>
      </c>
      <c r="U292">
        <v>0.49099999999999999</v>
      </c>
      <c r="V292">
        <v>0.48499999999999999</v>
      </c>
      <c r="W292">
        <v>0.59399999999999997</v>
      </c>
      <c r="X292">
        <v>0.54300000000000004</v>
      </c>
      <c r="Y292">
        <v>0.51200000000000001</v>
      </c>
      <c r="Z292">
        <v>0.52400000000000002</v>
      </c>
      <c r="AA292">
        <v>0.61</v>
      </c>
      <c r="AB292">
        <v>0.63</v>
      </c>
      <c r="AC292">
        <v>0.57899999999999996</v>
      </c>
      <c r="AD292">
        <v>0.45600000000000002</v>
      </c>
      <c r="AE292">
        <v>0.26</v>
      </c>
      <c r="AF292">
        <v>3.7999999999999999E-2</v>
      </c>
      <c r="AG292">
        <v>412.2</v>
      </c>
      <c r="AH292">
        <v>390.3</v>
      </c>
      <c r="AI292">
        <v>386.6</v>
      </c>
      <c r="AJ292">
        <v>382.2</v>
      </c>
      <c r="AK292">
        <v>375.5</v>
      </c>
      <c r="AL292">
        <v>374.5</v>
      </c>
      <c r="AM292" s="157">
        <v>374.8</v>
      </c>
      <c r="AN292" s="157">
        <v>350.7</v>
      </c>
      <c r="AO292" s="157">
        <v>353</v>
      </c>
      <c r="AP292" s="157">
        <v>352.7</v>
      </c>
    </row>
    <row r="293" spans="1:42" ht="14.7" customHeight="1">
      <c r="A293" s="49" t="s">
        <v>161</v>
      </c>
      <c r="B293" s="233"/>
      <c r="C293">
        <v>570.9</v>
      </c>
      <c r="D293">
        <v>548.79999999999995</v>
      </c>
      <c r="E293">
        <v>560.4</v>
      </c>
      <c r="F293">
        <v>519.5</v>
      </c>
      <c r="G293">
        <v>491.3</v>
      </c>
      <c r="H293">
        <v>520</v>
      </c>
      <c r="I293">
        <v>498.6</v>
      </c>
      <c r="J293">
        <v>490.3</v>
      </c>
      <c r="K293">
        <v>489.9</v>
      </c>
      <c r="L293">
        <v>512.29999999999995</v>
      </c>
      <c r="M293">
        <v>0.32200000000000001</v>
      </c>
      <c r="N293">
        <v>0.32</v>
      </c>
      <c r="O293">
        <v>0.32200000000000001</v>
      </c>
      <c r="P293">
        <v>0.34200000000000003</v>
      </c>
      <c r="Q293">
        <v>0.40300000000000002</v>
      </c>
      <c r="R293">
        <v>0.36899999999999999</v>
      </c>
      <c r="S293">
        <v>0.41599999999999998</v>
      </c>
      <c r="T293">
        <v>0.41199999999999998</v>
      </c>
      <c r="U293">
        <v>0.42699999999999999</v>
      </c>
      <c r="V293">
        <v>0.40500000000000003</v>
      </c>
      <c r="W293" t="s">
        <v>901</v>
      </c>
      <c r="X293" t="s">
        <v>901</v>
      </c>
      <c r="Y293" t="s">
        <v>901</v>
      </c>
      <c r="Z293" t="s">
        <v>901</v>
      </c>
      <c r="AA293" t="s">
        <v>901</v>
      </c>
      <c r="AB293" t="s">
        <v>901</v>
      </c>
      <c r="AC293" t="s">
        <v>901</v>
      </c>
      <c r="AD293" t="s">
        <v>901</v>
      </c>
      <c r="AE293" t="s">
        <v>910</v>
      </c>
      <c r="AF293">
        <v>0</v>
      </c>
      <c r="AG293">
        <v>383.6</v>
      </c>
      <c r="AH293">
        <v>363.4</v>
      </c>
      <c r="AI293">
        <v>365</v>
      </c>
      <c r="AJ293">
        <v>347.4</v>
      </c>
      <c r="AK293">
        <v>360.1</v>
      </c>
      <c r="AL293">
        <v>354</v>
      </c>
      <c r="AM293" s="157">
        <v>363.3</v>
      </c>
      <c r="AN293" s="157">
        <v>353.9</v>
      </c>
      <c r="AO293" s="157">
        <v>361.9</v>
      </c>
      <c r="AP293" s="157">
        <v>363.6</v>
      </c>
    </row>
    <row r="294" spans="1:42" ht="14.7" customHeight="1">
      <c r="A294" s="161" t="s">
        <v>293</v>
      </c>
      <c r="B294" s="233"/>
      <c r="C294">
        <v>474</v>
      </c>
      <c r="D294">
        <v>477.9</v>
      </c>
      <c r="E294">
        <v>463.6</v>
      </c>
      <c r="F294">
        <v>524.4</v>
      </c>
      <c r="G294">
        <v>601.9</v>
      </c>
      <c r="H294">
        <v>625.29999999999995</v>
      </c>
      <c r="I294">
        <v>618.20000000000005</v>
      </c>
      <c r="J294">
        <v>560.1</v>
      </c>
      <c r="K294">
        <v>531.6</v>
      </c>
      <c r="L294">
        <v>513.70000000000005</v>
      </c>
      <c r="M294">
        <v>0.5</v>
      </c>
      <c r="N294">
        <v>0.48199999999999998</v>
      </c>
      <c r="O294">
        <v>0.443</v>
      </c>
      <c r="P294">
        <v>0.41799999999999998</v>
      </c>
      <c r="Q294">
        <v>0.35799999999999998</v>
      </c>
      <c r="R294">
        <v>0.371</v>
      </c>
      <c r="S294">
        <v>0.38400000000000001</v>
      </c>
      <c r="T294">
        <v>0.39300000000000002</v>
      </c>
      <c r="U294">
        <v>0.42099999999999999</v>
      </c>
      <c r="V294">
        <v>0.42799999999999999</v>
      </c>
      <c r="W294">
        <v>0.52500000000000002</v>
      </c>
      <c r="X294">
        <v>0.52100000000000002</v>
      </c>
      <c r="Y294">
        <v>0.55000000000000004</v>
      </c>
      <c r="Z294">
        <v>0.49199999999999999</v>
      </c>
      <c r="AA294">
        <v>0.38400000000000001</v>
      </c>
      <c r="AB294">
        <v>0.21099999999999999</v>
      </c>
      <c r="AC294">
        <v>0.105</v>
      </c>
      <c r="AD294">
        <v>0.113</v>
      </c>
      <c r="AE294">
        <v>7.6999999999999999E-2</v>
      </c>
      <c r="AF294">
        <v>9.0999999999999998E-2</v>
      </c>
      <c r="AG294">
        <v>441.3</v>
      </c>
      <c r="AH294">
        <v>415.7</v>
      </c>
      <c r="AI294">
        <v>363.2</v>
      </c>
      <c r="AJ294">
        <v>391.7</v>
      </c>
      <c r="AK294">
        <v>404.5</v>
      </c>
      <c r="AL294">
        <v>425</v>
      </c>
      <c r="AM294" s="157">
        <v>431.6</v>
      </c>
      <c r="AN294" s="157">
        <v>397.3</v>
      </c>
      <c r="AO294" s="157">
        <v>395.8</v>
      </c>
      <c r="AP294" s="157">
        <v>386.9</v>
      </c>
    </row>
    <row r="295" spans="1:42" ht="14.7" customHeight="1">
      <c r="A295" s="161" t="s">
        <v>252</v>
      </c>
      <c r="B295" s="233"/>
      <c r="C295">
        <v>478.2</v>
      </c>
      <c r="D295">
        <v>478.6</v>
      </c>
      <c r="E295">
        <v>449.4</v>
      </c>
      <c r="F295">
        <v>430.6</v>
      </c>
      <c r="G295">
        <v>418.7</v>
      </c>
      <c r="H295">
        <v>350.3</v>
      </c>
      <c r="I295">
        <v>323.3</v>
      </c>
      <c r="J295">
        <v>314</v>
      </c>
      <c r="K295">
        <v>320.60000000000002</v>
      </c>
      <c r="L295">
        <v>337.5</v>
      </c>
      <c r="M295">
        <v>0.35099999999999998</v>
      </c>
      <c r="N295">
        <v>0.34399999999999997</v>
      </c>
      <c r="O295">
        <v>0.37</v>
      </c>
      <c r="P295">
        <v>0.39500000000000002</v>
      </c>
      <c r="Q295">
        <v>0.40799999999999997</v>
      </c>
      <c r="R295">
        <v>0.48599999999999999</v>
      </c>
      <c r="S295">
        <v>0.52800000000000002</v>
      </c>
      <c r="T295">
        <v>0.52400000000000002</v>
      </c>
      <c r="U295">
        <v>0.50900000000000001</v>
      </c>
      <c r="V295">
        <v>0.49299999999999999</v>
      </c>
      <c r="W295" t="s">
        <v>901</v>
      </c>
      <c r="X295" t="s">
        <v>901</v>
      </c>
      <c r="Y295" t="s">
        <v>901</v>
      </c>
      <c r="Z295" t="s">
        <v>901</v>
      </c>
      <c r="AA295" t="s">
        <v>901</v>
      </c>
      <c r="AB295" t="s">
        <v>901</v>
      </c>
      <c r="AC295" t="s">
        <v>901</v>
      </c>
      <c r="AD295" t="s">
        <v>901</v>
      </c>
      <c r="AE295" t="s">
        <v>910</v>
      </c>
      <c r="AF295">
        <v>0</v>
      </c>
      <c r="AG295">
        <v>339.9</v>
      </c>
      <c r="AH295">
        <v>334.9</v>
      </c>
      <c r="AI295">
        <v>325</v>
      </c>
      <c r="AJ295">
        <v>324.3</v>
      </c>
      <c r="AK295">
        <v>321.5</v>
      </c>
      <c r="AL295">
        <v>309.5</v>
      </c>
      <c r="AM295" s="157">
        <v>310.89999999999998</v>
      </c>
      <c r="AN295" s="157">
        <v>299.5</v>
      </c>
      <c r="AO295" s="157">
        <v>296.2</v>
      </c>
      <c r="AP295" s="157">
        <v>302.60000000000002</v>
      </c>
    </row>
    <row r="296" spans="1:42" ht="14.7" customHeight="1">
      <c r="A296" s="49" t="s">
        <v>162</v>
      </c>
      <c r="B296" s="233"/>
      <c r="C296">
        <v>508.2</v>
      </c>
      <c r="D296">
        <v>465</v>
      </c>
      <c r="E296">
        <v>450.3</v>
      </c>
      <c r="F296">
        <v>447.2</v>
      </c>
      <c r="G296">
        <v>463.6</v>
      </c>
      <c r="H296">
        <v>493.4</v>
      </c>
      <c r="I296">
        <v>510.7</v>
      </c>
      <c r="J296">
        <v>525.4</v>
      </c>
      <c r="K296">
        <v>526.29999999999995</v>
      </c>
      <c r="L296">
        <v>539.9</v>
      </c>
      <c r="M296">
        <v>0.47199999999999998</v>
      </c>
      <c r="N296">
        <v>0.49199999999999999</v>
      </c>
      <c r="O296">
        <v>0.51100000000000001</v>
      </c>
      <c r="P296">
        <v>0.51800000000000002</v>
      </c>
      <c r="Q296">
        <v>0.49299999999999999</v>
      </c>
      <c r="R296">
        <v>0.45700000000000002</v>
      </c>
      <c r="S296">
        <v>0.45800000000000002</v>
      </c>
      <c r="T296">
        <v>0.42799999999999999</v>
      </c>
      <c r="U296">
        <v>0.39800000000000002</v>
      </c>
      <c r="V296">
        <v>0.40400000000000003</v>
      </c>
      <c r="W296" t="s">
        <v>901</v>
      </c>
      <c r="X296" t="s">
        <v>901</v>
      </c>
      <c r="Y296" t="s">
        <v>901</v>
      </c>
      <c r="Z296" t="s">
        <v>901</v>
      </c>
      <c r="AA296" t="s">
        <v>901</v>
      </c>
      <c r="AB296" t="s">
        <v>901</v>
      </c>
      <c r="AC296" t="s">
        <v>901</v>
      </c>
      <c r="AD296" t="s">
        <v>901</v>
      </c>
      <c r="AE296" t="s">
        <v>910</v>
      </c>
      <c r="AF296">
        <v>0</v>
      </c>
      <c r="AG296">
        <v>404.9</v>
      </c>
      <c r="AH296">
        <v>384.2</v>
      </c>
      <c r="AI296">
        <v>382.8</v>
      </c>
      <c r="AJ296">
        <v>384.9</v>
      </c>
      <c r="AK296">
        <v>379.2</v>
      </c>
      <c r="AL296">
        <v>378.1</v>
      </c>
      <c r="AM296" s="157">
        <v>394</v>
      </c>
      <c r="AN296" s="157">
        <v>387.4</v>
      </c>
      <c r="AO296" s="157">
        <v>369.2</v>
      </c>
      <c r="AP296" s="157">
        <v>386.3</v>
      </c>
    </row>
    <row r="297" spans="1:42" ht="14.7" customHeight="1">
      <c r="A297" s="161" t="s">
        <v>163</v>
      </c>
      <c r="B297" s="233"/>
      <c r="C297">
        <v>536.5</v>
      </c>
      <c r="D297">
        <v>541.79999999999995</v>
      </c>
      <c r="E297">
        <v>447.2</v>
      </c>
      <c r="F297">
        <v>405.9</v>
      </c>
      <c r="G297">
        <v>394</v>
      </c>
      <c r="H297">
        <v>398.7</v>
      </c>
      <c r="I297">
        <v>362.5</v>
      </c>
      <c r="J297">
        <v>362.7</v>
      </c>
      <c r="K297">
        <v>369.1</v>
      </c>
      <c r="L297">
        <v>362.9</v>
      </c>
      <c r="M297">
        <v>0.33300000000000002</v>
      </c>
      <c r="N297">
        <v>0.33600000000000002</v>
      </c>
      <c r="O297">
        <v>0.43</v>
      </c>
      <c r="P297">
        <v>0.51</v>
      </c>
      <c r="Q297">
        <v>0.51700000000000002</v>
      </c>
      <c r="R297">
        <v>0.53100000000000003</v>
      </c>
      <c r="S297">
        <v>0.57699999999999996</v>
      </c>
      <c r="T297">
        <v>0.58399999999999996</v>
      </c>
      <c r="U297">
        <v>0.58099999999999996</v>
      </c>
      <c r="V297">
        <v>0.59099999999999997</v>
      </c>
      <c r="W297" t="s">
        <v>901</v>
      </c>
      <c r="X297" t="s">
        <v>901</v>
      </c>
      <c r="Y297" t="s">
        <v>901</v>
      </c>
      <c r="Z297" t="s">
        <v>901</v>
      </c>
      <c r="AA297" t="s">
        <v>901</v>
      </c>
      <c r="AB297" t="s">
        <v>901</v>
      </c>
      <c r="AC297" t="s">
        <v>901</v>
      </c>
      <c r="AD297" t="s">
        <v>901</v>
      </c>
      <c r="AE297" t="s">
        <v>910</v>
      </c>
      <c r="AF297">
        <v>0</v>
      </c>
      <c r="AG297">
        <v>339.8</v>
      </c>
      <c r="AH297">
        <v>344.5</v>
      </c>
      <c r="AI297">
        <v>331.8</v>
      </c>
      <c r="AJ297">
        <v>349.8</v>
      </c>
      <c r="AK297">
        <v>342.6</v>
      </c>
      <c r="AL297">
        <v>352.3</v>
      </c>
      <c r="AM297" s="157">
        <v>355.3</v>
      </c>
      <c r="AN297" s="157">
        <v>362.7</v>
      </c>
      <c r="AO297" s="157">
        <v>368.5</v>
      </c>
      <c r="AP297" s="157">
        <v>371</v>
      </c>
    </row>
    <row r="298" spans="1:42" ht="14.7" customHeight="1">
      <c r="A298" s="49" t="s">
        <v>165</v>
      </c>
      <c r="B298" s="233"/>
      <c r="C298">
        <v>356.3</v>
      </c>
      <c r="D298">
        <v>349</v>
      </c>
      <c r="E298">
        <v>364.3</v>
      </c>
      <c r="F298">
        <v>375.9</v>
      </c>
      <c r="G298">
        <v>377.2</v>
      </c>
      <c r="H298">
        <v>368.8</v>
      </c>
      <c r="I298">
        <v>355.2</v>
      </c>
      <c r="J298">
        <v>350.4</v>
      </c>
      <c r="K298">
        <v>337.5</v>
      </c>
      <c r="L298">
        <v>341.5</v>
      </c>
      <c r="M298">
        <v>0.57099999999999995</v>
      </c>
      <c r="N298">
        <v>0.57299999999999995</v>
      </c>
      <c r="O298">
        <v>0.56399999999999995</v>
      </c>
      <c r="P298">
        <v>0.53600000000000003</v>
      </c>
      <c r="Q298">
        <v>0.53700000000000003</v>
      </c>
      <c r="R298">
        <v>0.54300000000000004</v>
      </c>
      <c r="S298">
        <v>0.55700000000000005</v>
      </c>
      <c r="T298">
        <v>0.55400000000000005</v>
      </c>
      <c r="U298">
        <v>0.56299999999999994</v>
      </c>
      <c r="V298">
        <v>0.56299999999999994</v>
      </c>
      <c r="W298" t="s">
        <v>901</v>
      </c>
      <c r="X298" t="s">
        <v>901</v>
      </c>
      <c r="Y298" t="s">
        <v>901</v>
      </c>
      <c r="Z298" t="s">
        <v>901</v>
      </c>
      <c r="AA298" t="s">
        <v>901</v>
      </c>
      <c r="AB298" t="s">
        <v>901</v>
      </c>
      <c r="AC298" t="s">
        <v>901</v>
      </c>
      <c r="AD298" t="s">
        <v>901</v>
      </c>
      <c r="AE298" t="s">
        <v>910</v>
      </c>
      <c r="AF298">
        <v>0</v>
      </c>
      <c r="AG298">
        <v>377.2</v>
      </c>
      <c r="AH298">
        <v>372.2</v>
      </c>
      <c r="AI298">
        <v>391.9</v>
      </c>
      <c r="AJ298">
        <v>382.3</v>
      </c>
      <c r="AK298">
        <v>383.1</v>
      </c>
      <c r="AL298">
        <v>373.7</v>
      </c>
      <c r="AM298" s="157">
        <v>371</v>
      </c>
      <c r="AN298" s="157">
        <v>363</v>
      </c>
      <c r="AO298" s="157">
        <v>357.3</v>
      </c>
      <c r="AP298" s="157">
        <v>361.8</v>
      </c>
    </row>
    <row r="299" spans="1:42" ht="14.7" customHeight="1">
      <c r="A299" s="161" t="s">
        <v>931</v>
      </c>
      <c r="B299" s="233"/>
      <c r="C299">
        <v>660.1</v>
      </c>
      <c r="D299">
        <v>635.29999999999995</v>
      </c>
      <c r="E299">
        <v>608.9</v>
      </c>
      <c r="F299">
        <v>587</v>
      </c>
      <c r="G299">
        <v>588.70000000000005</v>
      </c>
      <c r="H299">
        <v>583.70000000000005</v>
      </c>
      <c r="I299">
        <v>619.5</v>
      </c>
      <c r="J299">
        <v>609.70000000000005</v>
      </c>
      <c r="K299">
        <v>610.1</v>
      </c>
      <c r="L299">
        <v>588.6</v>
      </c>
      <c r="M299">
        <v>0.437</v>
      </c>
      <c r="N299">
        <v>0.432</v>
      </c>
      <c r="O299">
        <v>0.432</v>
      </c>
      <c r="P299">
        <v>0.44800000000000001</v>
      </c>
      <c r="Q299">
        <v>0.47599999999999998</v>
      </c>
      <c r="R299">
        <v>0.48</v>
      </c>
      <c r="S299">
        <v>0.45800000000000002</v>
      </c>
      <c r="T299">
        <v>0.432</v>
      </c>
      <c r="U299">
        <v>0.44800000000000001</v>
      </c>
      <c r="V299">
        <v>0.47</v>
      </c>
      <c r="W299">
        <v>0.58099999999999996</v>
      </c>
      <c r="X299">
        <v>0.58799999999999997</v>
      </c>
      <c r="Y299">
        <v>0.57099999999999995</v>
      </c>
      <c r="Z299">
        <v>0.55300000000000005</v>
      </c>
      <c r="AA299">
        <v>0.51500000000000001</v>
      </c>
      <c r="AB299">
        <v>0.51</v>
      </c>
      <c r="AC299">
        <v>0.27200000000000002</v>
      </c>
      <c r="AD299">
        <v>1.2999999999999999E-2</v>
      </c>
      <c r="AE299">
        <v>1.7000000000000001E-2</v>
      </c>
      <c r="AF299">
        <v>1.4E-2</v>
      </c>
      <c r="AG299">
        <v>498.3</v>
      </c>
      <c r="AH299">
        <v>478.2</v>
      </c>
      <c r="AI299">
        <v>449.7</v>
      </c>
      <c r="AJ299">
        <v>448</v>
      </c>
      <c r="AK299">
        <v>471.9</v>
      </c>
      <c r="AL299">
        <v>470.2</v>
      </c>
      <c r="AM299" s="157">
        <v>482.6</v>
      </c>
      <c r="AN299" s="157">
        <v>456.5</v>
      </c>
      <c r="AO299" s="157">
        <v>471</v>
      </c>
      <c r="AP299" s="157">
        <v>473.4</v>
      </c>
    </row>
    <row r="300" spans="1:42" ht="14.7" customHeight="1">
      <c r="A300" s="161" t="s">
        <v>166</v>
      </c>
      <c r="B300" s="233"/>
      <c r="C300">
        <v>482.3</v>
      </c>
      <c r="D300">
        <v>474.1</v>
      </c>
      <c r="E300">
        <v>455</v>
      </c>
      <c r="F300">
        <v>476.3</v>
      </c>
      <c r="G300">
        <v>489.5</v>
      </c>
      <c r="H300">
        <v>500.8</v>
      </c>
      <c r="I300">
        <v>515.9</v>
      </c>
      <c r="J300">
        <v>514.1</v>
      </c>
      <c r="K300">
        <v>511</v>
      </c>
      <c r="L300">
        <v>404.2</v>
      </c>
      <c r="M300">
        <v>0.28799999999999998</v>
      </c>
      <c r="N300">
        <v>0.28000000000000003</v>
      </c>
      <c r="O300">
        <v>0.28699999999999998</v>
      </c>
      <c r="P300">
        <v>0.27</v>
      </c>
      <c r="Q300">
        <v>0.26300000000000001</v>
      </c>
      <c r="R300">
        <v>0.26200000000000001</v>
      </c>
      <c r="S300">
        <v>0.26800000000000002</v>
      </c>
      <c r="T300">
        <v>0.27</v>
      </c>
      <c r="U300">
        <v>0.27300000000000002</v>
      </c>
      <c r="V300">
        <v>0.35099999999999998</v>
      </c>
      <c r="W300" t="s">
        <v>901</v>
      </c>
      <c r="X300" t="s">
        <v>901</v>
      </c>
      <c r="Y300" t="s">
        <v>901</v>
      </c>
      <c r="Z300" t="s">
        <v>901</v>
      </c>
      <c r="AA300" t="s">
        <v>901</v>
      </c>
      <c r="AB300" t="s">
        <v>901</v>
      </c>
      <c r="AC300" t="s">
        <v>901</v>
      </c>
      <c r="AD300" t="s">
        <v>901</v>
      </c>
      <c r="AE300" t="s">
        <v>910</v>
      </c>
      <c r="AF300">
        <v>0</v>
      </c>
      <c r="AG300">
        <v>309.3</v>
      </c>
      <c r="AH300">
        <v>299.10000000000002</v>
      </c>
      <c r="AI300">
        <v>313.10000000000002</v>
      </c>
      <c r="AJ300">
        <v>320.10000000000002</v>
      </c>
      <c r="AK300">
        <v>324.10000000000002</v>
      </c>
      <c r="AL300">
        <v>326.7</v>
      </c>
      <c r="AM300" s="157">
        <v>338</v>
      </c>
      <c r="AN300" s="157">
        <v>336.1</v>
      </c>
      <c r="AO300" s="157">
        <v>336</v>
      </c>
      <c r="AP300" s="157">
        <v>298.8</v>
      </c>
    </row>
    <row r="301" spans="1:42" ht="14.7" customHeight="1">
      <c r="A301" s="161" t="s">
        <v>167</v>
      </c>
      <c r="B301" s="232"/>
      <c r="C301">
        <v>513.29999999999995</v>
      </c>
      <c r="D301">
        <v>521.70000000000005</v>
      </c>
      <c r="E301">
        <v>505.6</v>
      </c>
      <c r="F301">
        <v>530.4</v>
      </c>
      <c r="G301">
        <v>537</v>
      </c>
      <c r="H301">
        <v>536.4</v>
      </c>
      <c r="I301">
        <v>536.4</v>
      </c>
      <c r="J301">
        <v>503.9</v>
      </c>
      <c r="K301">
        <v>495.6</v>
      </c>
      <c r="L301">
        <v>488.6</v>
      </c>
      <c r="M301">
        <v>0.36</v>
      </c>
      <c r="N301">
        <v>0.34699999999999998</v>
      </c>
      <c r="O301">
        <v>0.33600000000000002</v>
      </c>
      <c r="P301">
        <v>0.318</v>
      </c>
      <c r="Q301">
        <v>0.32</v>
      </c>
      <c r="R301">
        <v>0.32600000000000001</v>
      </c>
      <c r="S301">
        <v>0.33</v>
      </c>
      <c r="T301">
        <v>0.36</v>
      </c>
      <c r="U301">
        <v>0.36</v>
      </c>
      <c r="V301">
        <v>0.36899999999999999</v>
      </c>
      <c r="W301" t="s">
        <v>901</v>
      </c>
      <c r="X301" t="s">
        <v>901</v>
      </c>
      <c r="Y301" t="s">
        <v>901</v>
      </c>
      <c r="Z301" t="s">
        <v>901</v>
      </c>
      <c r="AA301" t="s">
        <v>901</v>
      </c>
      <c r="AB301" t="s">
        <v>901</v>
      </c>
      <c r="AC301" t="s">
        <v>901</v>
      </c>
      <c r="AD301" t="s">
        <v>901</v>
      </c>
      <c r="AE301" t="s">
        <v>910</v>
      </c>
      <c r="AF301">
        <v>0</v>
      </c>
      <c r="AG301">
        <v>342.6</v>
      </c>
      <c r="AH301">
        <v>346.7</v>
      </c>
      <c r="AI301">
        <v>325.8</v>
      </c>
      <c r="AJ301">
        <v>334.9</v>
      </c>
      <c r="AK301">
        <v>338.1</v>
      </c>
      <c r="AL301">
        <v>338.9</v>
      </c>
      <c r="AM301" s="157">
        <v>343.6</v>
      </c>
      <c r="AN301" s="157">
        <v>338.6</v>
      </c>
      <c r="AO301" s="157">
        <v>334.7</v>
      </c>
      <c r="AP301" s="157">
        <v>336.4</v>
      </c>
    </row>
    <row r="302" spans="1:42" ht="14.7" customHeight="1">
      <c r="A302" s="49" t="s">
        <v>168</v>
      </c>
      <c r="B302" s="233"/>
      <c r="C302">
        <v>389.5</v>
      </c>
      <c r="D302">
        <v>389.4</v>
      </c>
      <c r="E302">
        <v>394</v>
      </c>
      <c r="F302">
        <v>412.6</v>
      </c>
      <c r="G302">
        <v>429.1</v>
      </c>
      <c r="H302">
        <v>427.3</v>
      </c>
      <c r="I302">
        <v>403.8</v>
      </c>
      <c r="J302">
        <v>371.2</v>
      </c>
      <c r="K302">
        <v>394.1</v>
      </c>
      <c r="L302">
        <v>406.8</v>
      </c>
      <c r="M302">
        <v>0.53600000000000003</v>
      </c>
      <c r="N302">
        <v>0.53300000000000003</v>
      </c>
      <c r="O302">
        <v>0.53200000000000003</v>
      </c>
      <c r="P302">
        <v>0.51200000000000001</v>
      </c>
      <c r="Q302">
        <v>0.50700000000000001</v>
      </c>
      <c r="R302">
        <v>0.50700000000000001</v>
      </c>
      <c r="S302">
        <v>0.53300000000000003</v>
      </c>
      <c r="T302">
        <v>0.54500000000000004</v>
      </c>
      <c r="U302">
        <v>0.52600000000000002</v>
      </c>
      <c r="V302">
        <v>0.51500000000000001</v>
      </c>
      <c r="W302" t="s">
        <v>901</v>
      </c>
      <c r="X302" t="s">
        <v>901</v>
      </c>
      <c r="Y302" t="s">
        <v>901</v>
      </c>
      <c r="Z302" t="s">
        <v>901</v>
      </c>
      <c r="AA302" t="s">
        <v>901</v>
      </c>
      <c r="AB302" t="s">
        <v>901</v>
      </c>
      <c r="AC302" t="s">
        <v>901</v>
      </c>
      <c r="AD302" t="s">
        <v>901</v>
      </c>
      <c r="AE302" t="s">
        <v>910</v>
      </c>
      <c r="AF302">
        <v>0</v>
      </c>
      <c r="AG302">
        <v>386.3</v>
      </c>
      <c r="AH302">
        <v>375.6</v>
      </c>
      <c r="AI302">
        <v>379.8</v>
      </c>
      <c r="AJ302">
        <v>382.8</v>
      </c>
      <c r="AK302">
        <v>382.1</v>
      </c>
      <c r="AL302">
        <v>379.9</v>
      </c>
      <c r="AM302" s="157">
        <v>379.2</v>
      </c>
      <c r="AN302" s="157">
        <v>360</v>
      </c>
      <c r="AO302" s="157">
        <v>363.9</v>
      </c>
      <c r="AP302" s="157">
        <v>364.3</v>
      </c>
    </row>
    <row r="303" spans="1:42" ht="14.7" customHeight="1">
      <c r="A303" s="49" t="s">
        <v>169</v>
      </c>
      <c r="B303" s="233"/>
      <c r="C303">
        <v>450.7</v>
      </c>
      <c r="D303">
        <v>486</v>
      </c>
      <c r="E303">
        <v>502.1</v>
      </c>
      <c r="F303">
        <v>473.1</v>
      </c>
      <c r="G303">
        <v>468.9</v>
      </c>
      <c r="H303">
        <v>483.9</v>
      </c>
      <c r="I303">
        <v>475.7</v>
      </c>
      <c r="J303">
        <v>452.5</v>
      </c>
      <c r="K303">
        <v>437.7</v>
      </c>
      <c r="L303">
        <v>459.4</v>
      </c>
      <c r="M303">
        <v>0.28599999999999998</v>
      </c>
      <c r="N303">
        <v>0.26900000000000002</v>
      </c>
      <c r="O303">
        <v>0.26800000000000002</v>
      </c>
      <c r="P303">
        <v>0.30299999999999999</v>
      </c>
      <c r="Q303">
        <v>0.33900000000000002</v>
      </c>
      <c r="R303">
        <v>0.316</v>
      </c>
      <c r="S303">
        <v>0.33800000000000002</v>
      </c>
      <c r="T303">
        <v>0.34899999999999998</v>
      </c>
      <c r="U303">
        <v>0.36299999999999999</v>
      </c>
      <c r="V303">
        <v>0.34799999999999998</v>
      </c>
      <c r="W303" t="s">
        <v>901</v>
      </c>
      <c r="X303" t="s">
        <v>901</v>
      </c>
      <c r="Y303" t="s">
        <v>901</v>
      </c>
      <c r="Z303" t="s">
        <v>901</v>
      </c>
      <c r="AA303" t="s">
        <v>901</v>
      </c>
      <c r="AB303" t="s">
        <v>901</v>
      </c>
      <c r="AC303" t="s">
        <v>901</v>
      </c>
      <c r="AD303" t="s">
        <v>901</v>
      </c>
      <c r="AE303" t="s">
        <v>910</v>
      </c>
      <c r="AF303">
        <v>0</v>
      </c>
      <c r="AG303">
        <v>317.60000000000002</v>
      </c>
      <c r="AH303">
        <v>329.4</v>
      </c>
      <c r="AI303">
        <v>334.2</v>
      </c>
      <c r="AJ303">
        <v>329.1</v>
      </c>
      <c r="AK303">
        <v>342.8</v>
      </c>
      <c r="AL303">
        <v>335.8</v>
      </c>
      <c r="AM303" s="157">
        <v>340.4</v>
      </c>
      <c r="AN303" s="157">
        <v>328.9</v>
      </c>
      <c r="AO303" s="157">
        <v>325.5</v>
      </c>
      <c r="AP303" s="157">
        <v>334.3</v>
      </c>
    </row>
    <row r="304" spans="1:42" ht="14.7" customHeight="1">
      <c r="A304" s="49" t="s">
        <v>170</v>
      </c>
      <c r="B304" s="233"/>
      <c r="C304">
        <v>465.6</v>
      </c>
      <c r="D304">
        <v>385.4</v>
      </c>
      <c r="E304">
        <v>353.3</v>
      </c>
      <c r="F304">
        <v>357.9</v>
      </c>
      <c r="G304">
        <v>349.8</v>
      </c>
      <c r="H304">
        <v>376.6</v>
      </c>
      <c r="I304">
        <v>345.7</v>
      </c>
      <c r="J304">
        <v>337.6</v>
      </c>
      <c r="K304">
        <v>319.8</v>
      </c>
      <c r="L304">
        <v>309.5</v>
      </c>
      <c r="M304">
        <v>0.50900000000000001</v>
      </c>
      <c r="N304">
        <v>0.60499999999999998</v>
      </c>
      <c r="O304">
        <v>0.62</v>
      </c>
      <c r="P304">
        <v>0.624</v>
      </c>
      <c r="Q304">
        <v>0.63200000000000001</v>
      </c>
      <c r="R304">
        <v>0.59399999999999997</v>
      </c>
      <c r="S304">
        <v>0.61899999999999999</v>
      </c>
      <c r="T304">
        <v>0.624</v>
      </c>
      <c r="U304">
        <v>0.63</v>
      </c>
      <c r="V304">
        <v>0.64100000000000001</v>
      </c>
      <c r="W304" t="s">
        <v>901</v>
      </c>
      <c r="X304" t="s">
        <v>901</v>
      </c>
      <c r="Y304" t="s">
        <v>901</v>
      </c>
      <c r="Z304" t="s">
        <v>901</v>
      </c>
      <c r="AA304" t="s">
        <v>901</v>
      </c>
      <c r="AB304" t="s">
        <v>901</v>
      </c>
      <c r="AC304" t="s">
        <v>901</v>
      </c>
      <c r="AD304" t="s">
        <v>901</v>
      </c>
      <c r="AE304" t="s">
        <v>910</v>
      </c>
      <c r="AF304">
        <v>0</v>
      </c>
      <c r="AG304">
        <v>393.7</v>
      </c>
      <c r="AH304">
        <v>397.5</v>
      </c>
      <c r="AI304">
        <v>384.7</v>
      </c>
      <c r="AJ304">
        <v>393.2</v>
      </c>
      <c r="AK304">
        <v>389.7</v>
      </c>
      <c r="AL304">
        <v>374</v>
      </c>
      <c r="AM304" s="157">
        <v>365.3</v>
      </c>
      <c r="AN304" s="157">
        <v>363.2</v>
      </c>
      <c r="AO304" s="157">
        <v>349.4</v>
      </c>
      <c r="AP304" s="157">
        <v>349.5</v>
      </c>
    </row>
    <row r="305" spans="1:42" ht="14.7" customHeight="1">
      <c r="A305" s="161" t="s">
        <v>294</v>
      </c>
      <c r="B305" s="233"/>
      <c r="C305">
        <v>577.70000000000005</v>
      </c>
      <c r="D305">
        <v>595.79999999999995</v>
      </c>
      <c r="E305">
        <v>592</v>
      </c>
      <c r="F305">
        <v>663.4</v>
      </c>
      <c r="G305">
        <v>620.79999999999995</v>
      </c>
      <c r="H305">
        <v>716.1</v>
      </c>
      <c r="I305">
        <v>741.2</v>
      </c>
      <c r="J305">
        <v>741.1</v>
      </c>
      <c r="K305">
        <v>739.4</v>
      </c>
      <c r="L305">
        <v>744</v>
      </c>
      <c r="M305">
        <v>0.44500000000000001</v>
      </c>
      <c r="N305">
        <v>0.42399999999999999</v>
      </c>
      <c r="O305">
        <v>0.43</v>
      </c>
      <c r="P305">
        <v>0.40899999999999997</v>
      </c>
      <c r="Q305">
        <v>0.40400000000000003</v>
      </c>
      <c r="R305">
        <v>0.379</v>
      </c>
      <c r="S305">
        <v>0.371</v>
      </c>
      <c r="T305">
        <v>0.36</v>
      </c>
      <c r="U305">
        <v>0.35</v>
      </c>
      <c r="V305">
        <v>0.34799999999999998</v>
      </c>
      <c r="W305">
        <v>0.309</v>
      </c>
      <c r="X305">
        <v>0.28299999999999997</v>
      </c>
      <c r="Y305">
        <v>0.185</v>
      </c>
      <c r="Z305">
        <v>0.23300000000000001</v>
      </c>
      <c r="AA305">
        <v>0.188</v>
      </c>
      <c r="AB305">
        <v>0.16200000000000001</v>
      </c>
      <c r="AC305">
        <v>0.14699999999999999</v>
      </c>
      <c r="AD305">
        <v>0.10100000000000001</v>
      </c>
      <c r="AE305">
        <v>0.108</v>
      </c>
      <c r="AF305">
        <v>7.6999999999999999E-2</v>
      </c>
      <c r="AG305">
        <v>440.3</v>
      </c>
      <c r="AH305">
        <v>414.6</v>
      </c>
      <c r="AI305">
        <v>419.8</v>
      </c>
      <c r="AJ305">
        <v>452.8</v>
      </c>
      <c r="AK305">
        <v>417.7</v>
      </c>
      <c r="AL305">
        <v>450.9</v>
      </c>
      <c r="AM305" s="157">
        <v>462.3</v>
      </c>
      <c r="AN305" s="157">
        <v>448</v>
      </c>
      <c r="AO305" s="157">
        <v>440.8</v>
      </c>
      <c r="AP305" s="157">
        <v>441.4</v>
      </c>
    </row>
    <row r="306" spans="1:42" ht="14.7" customHeight="1">
      <c r="A306" s="161" t="s">
        <v>932</v>
      </c>
      <c r="B306" s="233"/>
      <c r="C306">
        <v>562</v>
      </c>
      <c r="D306">
        <v>526.20000000000005</v>
      </c>
      <c r="E306">
        <v>539.29999999999995</v>
      </c>
      <c r="F306">
        <v>553.79999999999995</v>
      </c>
      <c r="G306">
        <v>556.70000000000005</v>
      </c>
      <c r="H306">
        <v>569</v>
      </c>
      <c r="I306">
        <v>563.1</v>
      </c>
      <c r="J306">
        <v>548.29999999999995</v>
      </c>
      <c r="K306">
        <v>548.6</v>
      </c>
      <c r="L306">
        <v>487</v>
      </c>
      <c r="M306">
        <v>0.44600000000000001</v>
      </c>
      <c r="N306">
        <v>0.45</v>
      </c>
      <c r="O306">
        <v>0.433</v>
      </c>
      <c r="P306">
        <v>0.43099999999999999</v>
      </c>
      <c r="Q306">
        <v>0.42399999999999999</v>
      </c>
      <c r="R306">
        <v>0.41499999999999998</v>
      </c>
      <c r="S306">
        <v>0.42499999999999999</v>
      </c>
      <c r="T306">
        <v>0.41699999999999998</v>
      </c>
      <c r="U306">
        <v>0.41899999999999998</v>
      </c>
      <c r="V306">
        <v>0.46400000000000002</v>
      </c>
      <c r="W306" t="s">
        <v>901</v>
      </c>
      <c r="X306" t="s">
        <v>901</v>
      </c>
      <c r="Y306" t="s">
        <v>901</v>
      </c>
      <c r="Z306" t="s">
        <v>901</v>
      </c>
      <c r="AA306" t="s">
        <v>901</v>
      </c>
      <c r="AB306" t="s">
        <v>901</v>
      </c>
      <c r="AC306" t="s">
        <v>901</v>
      </c>
      <c r="AD306" t="s">
        <v>901</v>
      </c>
      <c r="AE306" t="s">
        <v>910</v>
      </c>
      <c r="AF306">
        <v>0</v>
      </c>
      <c r="AG306">
        <v>434.7</v>
      </c>
      <c r="AH306">
        <v>402.8</v>
      </c>
      <c r="AI306">
        <v>395.3</v>
      </c>
      <c r="AJ306">
        <v>406.2</v>
      </c>
      <c r="AK306">
        <v>401.3</v>
      </c>
      <c r="AL306">
        <v>399</v>
      </c>
      <c r="AM306" s="157">
        <v>400.7</v>
      </c>
      <c r="AN306" s="157">
        <v>387.3</v>
      </c>
      <c r="AO306" s="157">
        <v>389.5</v>
      </c>
      <c r="AP306" s="157">
        <v>375.7</v>
      </c>
    </row>
    <row r="307" spans="1:42" ht="14.7" customHeight="1">
      <c r="A307" s="49" t="s">
        <v>295</v>
      </c>
      <c r="B307" s="233"/>
      <c r="C307">
        <v>541.1</v>
      </c>
      <c r="D307">
        <v>500.5</v>
      </c>
      <c r="E307">
        <v>481.2</v>
      </c>
      <c r="F307">
        <v>509.1</v>
      </c>
      <c r="G307">
        <v>491.3</v>
      </c>
      <c r="H307">
        <v>517.6</v>
      </c>
      <c r="I307">
        <v>525.20000000000005</v>
      </c>
      <c r="J307">
        <v>514</v>
      </c>
      <c r="K307">
        <v>510.4</v>
      </c>
      <c r="L307">
        <v>521</v>
      </c>
      <c r="M307">
        <v>0.39500000000000002</v>
      </c>
      <c r="N307">
        <v>0.42699999999999999</v>
      </c>
      <c r="O307">
        <v>0.44600000000000001</v>
      </c>
      <c r="P307">
        <v>0.41299999999999998</v>
      </c>
      <c r="Q307">
        <v>0.42499999999999999</v>
      </c>
      <c r="R307">
        <v>0.42599999999999999</v>
      </c>
      <c r="S307">
        <v>0.41499999999999998</v>
      </c>
      <c r="T307">
        <v>0.42399999999999999</v>
      </c>
      <c r="U307">
        <v>0.41199999999999998</v>
      </c>
      <c r="V307">
        <v>0.40200000000000002</v>
      </c>
      <c r="W307">
        <v>0.59299999999999997</v>
      </c>
      <c r="X307">
        <v>0.57899999999999996</v>
      </c>
      <c r="Y307">
        <v>0.56200000000000006</v>
      </c>
      <c r="Z307">
        <v>0.59599999999999997</v>
      </c>
      <c r="AA307">
        <v>0.59399999999999997</v>
      </c>
      <c r="AB307">
        <v>5.0999999999999997E-2</v>
      </c>
      <c r="AC307">
        <v>1E-3</v>
      </c>
      <c r="AD307">
        <v>2E-3</v>
      </c>
      <c r="AE307">
        <v>1.7000000000000001E-2</v>
      </c>
      <c r="AF307">
        <v>8.9999999999999993E-3</v>
      </c>
      <c r="AG307">
        <v>430.5</v>
      </c>
      <c r="AH307">
        <v>422</v>
      </c>
      <c r="AI307">
        <v>430.8</v>
      </c>
      <c r="AJ307">
        <v>431.2</v>
      </c>
      <c r="AK307">
        <v>424</v>
      </c>
      <c r="AL307">
        <v>445.1</v>
      </c>
      <c r="AM307" s="157">
        <v>444.3</v>
      </c>
      <c r="AN307" s="157">
        <v>440.7</v>
      </c>
      <c r="AO307" s="157">
        <v>428.9</v>
      </c>
      <c r="AP307" s="157">
        <v>431.3</v>
      </c>
    </row>
    <row r="308" spans="1:42" ht="14.7" customHeight="1">
      <c r="A308" s="161" t="s">
        <v>171</v>
      </c>
      <c r="B308" s="233"/>
      <c r="C308">
        <v>492</v>
      </c>
      <c r="D308">
        <v>495.6</v>
      </c>
      <c r="E308">
        <v>492.1</v>
      </c>
      <c r="F308">
        <v>482.4</v>
      </c>
      <c r="G308">
        <v>489</v>
      </c>
      <c r="H308">
        <v>497.9</v>
      </c>
      <c r="I308">
        <v>502.6</v>
      </c>
      <c r="J308">
        <v>493.5</v>
      </c>
      <c r="K308">
        <v>370.2</v>
      </c>
      <c r="L308">
        <v>339.2</v>
      </c>
      <c r="M308">
        <v>0.441</v>
      </c>
      <c r="N308">
        <v>0.436</v>
      </c>
      <c r="O308">
        <v>0.43</v>
      </c>
      <c r="P308">
        <v>0.442</v>
      </c>
      <c r="Q308">
        <v>0.45</v>
      </c>
      <c r="R308">
        <v>0.42599999999999999</v>
      </c>
      <c r="S308">
        <v>0.42199999999999999</v>
      </c>
      <c r="T308">
        <v>0.41199999999999998</v>
      </c>
      <c r="U308">
        <v>0.51300000000000001</v>
      </c>
      <c r="V308">
        <v>0.54100000000000004</v>
      </c>
      <c r="W308" t="s">
        <v>901</v>
      </c>
      <c r="X308" t="s">
        <v>901</v>
      </c>
      <c r="Y308" t="s">
        <v>901</v>
      </c>
      <c r="Z308" t="s">
        <v>901</v>
      </c>
      <c r="AA308" t="s">
        <v>901</v>
      </c>
      <c r="AB308" t="s">
        <v>901</v>
      </c>
      <c r="AC308" t="s">
        <v>901</v>
      </c>
      <c r="AD308" t="s">
        <v>901</v>
      </c>
      <c r="AE308" t="s">
        <v>910</v>
      </c>
      <c r="AF308">
        <v>0</v>
      </c>
      <c r="AG308">
        <v>409.9</v>
      </c>
      <c r="AH308">
        <v>408.6</v>
      </c>
      <c r="AI308">
        <v>414.7</v>
      </c>
      <c r="AJ308">
        <v>413.2</v>
      </c>
      <c r="AK308">
        <v>423.7</v>
      </c>
      <c r="AL308">
        <v>411.5</v>
      </c>
      <c r="AM308" s="157">
        <v>412.4</v>
      </c>
      <c r="AN308" s="157">
        <v>398.2</v>
      </c>
      <c r="AO308" s="157">
        <v>361.4</v>
      </c>
      <c r="AP308" s="157">
        <v>353</v>
      </c>
    </row>
    <row r="309" spans="1:42" ht="14.7" customHeight="1">
      <c r="A309" s="161" t="s">
        <v>220</v>
      </c>
      <c r="B309" s="233"/>
      <c r="C309">
        <v>460.1</v>
      </c>
      <c r="D309">
        <v>422.7</v>
      </c>
      <c r="E309">
        <v>418.2</v>
      </c>
      <c r="F309">
        <v>418</v>
      </c>
      <c r="G309">
        <v>438.7</v>
      </c>
      <c r="H309">
        <v>457.4</v>
      </c>
      <c r="I309">
        <v>443.9</v>
      </c>
      <c r="J309">
        <v>429.3</v>
      </c>
      <c r="K309">
        <v>441.2</v>
      </c>
      <c r="L309">
        <v>443</v>
      </c>
      <c r="M309">
        <v>0.246</v>
      </c>
      <c r="N309">
        <v>0.27100000000000002</v>
      </c>
      <c r="O309">
        <v>0.27600000000000002</v>
      </c>
      <c r="P309">
        <v>0.28000000000000003</v>
      </c>
      <c r="Q309">
        <v>0.28100000000000003</v>
      </c>
      <c r="R309">
        <v>0.26700000000000002</v>
      </c>
      <c r="S309">
        <v>0.27600000000000002</v>
      </c>
      <c r="T309">
        <v>0.26400000000000001</v>
      </c>
      <c r="U309">
        <v>0.23200000000000001</v>
      </c>
      <c r="V309">
        <v>0.215</v>
      </c>
      <c r="W309">
        <v>0.60399999999999998</v>
      </c>
      <c r="X309">
        <v>0.52400000000000002</v>
      </c>
      <c r="Y309">
        <v>0.17499999999999999</v>
      </c>
      <c r="Z309">
        <v>0.08</v>
      </c>
      <c r="AA309">
        <v>1.7000000000000001E-2</v>
      </c>
      <c r="AB309">
        <v>1.4999999999999999E-2</v>
      </c>
      <c r="AC309">
        <v>3.0000000000000001E-3</v>
      </c>
      <c r="AD309">
        <v>0</v>
      </c>
      <c r="AE309">
        <v>0</v>
      </c>
      <c r="AF309">
        <v>0</v>
      </c>
      <c r="AG309">
        <v>298.5</v>
      </c>
      <c r="AH309">
        <v>271.60000000000002</v>
      </c>
      <c r="AI309">
        <v>256.10000000000002</v>
      </c>
      <c r="AJ309">
        <v>255.7</v>
      </c>
      <c r="AK309">
        <v>261.5</v>
      </c>
      <c r="AL309">
        <v>251.3</v>
      </c>
      <c r="AM309" s="157">
        <v>244.5</v>
      </c>
      <c r="AN309" s="157">
        <v>237.5</v>
      </c>
      <c r="AO309" s="157">
        <v>230.8</v>
      </c>
      <c r="AP309" s="157">
        <v>226.8</v>
      </c>
    </row>
    <row r="310" spans="1:42" ht="14.7" customHeight="1">
      <c r="A310" s="161" t="s">
        <v>253</v>
      </c>
      <c r="B310" s="233"/>
      <c r="C310">
        <v>533.20000000000005</v>
      </c>
      <c r="D310">
        <v>440.4</v>
      </c>
      <c r="E310">
        <v>448.1</v>
      </c>
      <c r="F310">
        <v>361.5</v>
      </c>
      <c r="G310">
        <v>321.10000000000002</v>
      </c>
      <c r="H310">
        <v>336.5</v>
      </c>
      <c r="I310">
        <v>328.7</v>
      </c>
      <c r="J310">
        <v>325.8</v>
      </c>
      <c r="K310">
        <v>326.10000000000002</v>
      </c>
      <c r="L310">
        <v>337.4</v>
      </c>
      <c r="M310">
        <v>0.40799999999999997</v>
      </c>
      <c r="N310">
        <v>0.49199999999999999</v>
      </c>
      <c r="O310">
        <v>0.47899999999999998</v>
      </c>
      <c r="P310">
        <v>0.57499999999999996</v>
      </c>
      <c r="Q310">
        <v>0.61899999999999999</v>
      </c>
      <c r="R310">
        <v>0.60399999999999998</v>
      </c>
      <c r="S310">
        <v>0.61299999999999999</v>
      </c>
      <c r="T310">
        <v>0.58499999999999996</v>
      </c>
      <c r="U310">
        <v>0.57299999999999995</v>
      </c>
      <c r="V310">
        <v>0.56899999999999995</v>
      </c>
      <c r="W310" t="s">
        <v>901</v>
      </c>
      <c r="X310" t="s">
        <v>901</v>
      </c>
      <c r="Y310" t="s">
        <v>901</v>
      </c>
      <c r="Z310" t="s">
        <v>901</v>
      </c>
      <c r="AA310" t="s">
        <v>901</v>
      </c>
      <c r="AB310" t="s">
        <v>901</v>
      </c>
      <c r="AC310" t="s">
        <v>901</v>
      </c>
      <c r="AD310" t="s">
        <v>901</v>
      </c>
      <c r="AE310" t="s">
        <v>910</v>
      </c>
      <c r="AF310">
        <v>0</v>
      </c>
      <c r="AG310">
        <v>408.2</v>
      </c>
      <c r="AH310">
        <v>386.2</v>
      </c>
      <c r="AI310">
        <v>366.5</v>
      </c>
      <c r="AJ310">
        <v>361</v>
      </c>
      <c r="AK310">
        <v>352.5</v>
      </c>
      <c r="AL310">
        <v>354.5</v>
      </c>
      <c r="AM310" s="157">
        <v>354.3</v>
      </c>
      <c r="AN310" s="157">
        <v>328.4</v>
      </c>
      <c r="AO310" s="157">
        <v>321.10000000000002</v>
      </c>
      <c r="AP310" s="157">
        <v>330.7</v>
      </c>
    </row>
    <row r="311" spans="1:42" ht="14.7" customHeight="1">
      <c r="A311" s="161" t="s">
        <v>172</v>
      </c>
      <c r="B311" s="233"/>
      <c r="C311">
        <v>539.29999999999995</v>
      </c>
      <c r="D311">
        <v>512.9</v>
      </c>
      <c r="E311">
        <v>512.1</v>
      </c>
      <c r="F311">
        <v>526.9</v>
      </c>
      <c r="G311">
        <v>515.79999999999995</v>
      </c>
      <c r="H311">
        <v>523.20000000000005</v>
      </c>
      <c r="I311">
        <v>479.2</v>
      </c>
      <c r="J311">
        <v>471.2</v>
      </c>
      <c r="K311">
        <v>456.2</v>
      </c>
      <c r="L311">
        <v>430</v>
      </c>
      <c r="M311">
        <v>0.45900000000000002</v>
      </c>
      <c r="N311">
        <v>0.46700000000000003</v>
      </c>
      <c r="O311">
        <v>0.46</v>
      </c>
      <c r="P311">
        <v>0.46300000000000002</v>
      </c>
      <c r="Q311">
        <v>0.46700000000000003</v>
      </c>
      <c r="R311">
        <v>0.45600000000000002</v>
      </c>
      <c r="S311">
        <v>0.49099999999999999</v>
      </c>
      <c r="T311">
        <v>0.48399999999999999</v>
      </c>
      <c r="U311">
        <v>0.47799999999999998</v>
      </c>
      <c r="V311">
        <v>0.502</v>
      </c>
      <c r="W311" t="s">
        <v>901</v>
      </c>
      <c r="X311" t="s">
        <v>901</v>
      </c>
      <c r="Y311" t="s">
        <v>901</v>
      </c>
      <c r="Z311" t="s">
        <v>901</v>
      </c>
      <c r="AA311" t="s">
        <v>901</v>
      </c>
      <c r="AB311" t="s">
        <v>901</v>
      </c>
      <c r="AC311" t="s">
        <v>901</v>
      </c>
      <c r="AD311" t="s">
        <v>901</v>
      </c>
      <c r="AE311" t="s">
        <v>910</v>
      </c>
      <c r="AF311">
        <v>0</v>
      </c>
      <c r="AG311">
        <v>447</v>
      </c>
      <c r="AH311">
        <v>425.6</v>
      </c>
      <c r="AI311">
        <v>394</v>
      </c>
      <c r="AJ311">
        <v>406.3</v>
      </c>
      <c r="AK311">
        <v>400.2</v>
      </c>
      <c r="AL311">
        <v>396.7</v>
      </c>
      <c r="AM311" s="157">
        <v>389.6</v>
      </c>
      <c r="AN311" s="157">
        <v>376.7</v>
      </c>
      <c r="AO311" s="157">
        <v>362.9</v>
      </c>
      <c r="AP311" s="157">
        <v>359.4</v>
      </c>
    </row>
    <row r="312" spans="1:42" ht="14.7" customHeight="1">
      <c r="A312" s="161" t="s">
        <v>173</v>
      </c>
      <c r="B312" s="233"/>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v>0.503</v>
      </c>
      <c r="R312">
        <v>0.502</v>
      </c>
      <c r="S312">
        <v>0.51500000000000001</v>
      </c>
      <c r="T312">
        <v>0.48599999999999999</v>
      </c>
      <c r="U312">
        <v>0.47099999999999997</v>
      </c>
      <c r="V312">
        <v>0.47899999999999998</v>
      </c>
      <c r="W312" t="s">
        <v>901</v>
      </c>
      <c r="X312" t="s">
        <v>901</v>
      </c>
      <c r="Y312" t="s">
        <v>901</v>
      </c>
      <c r="Z312" t="s">
        <v>901</v>
      </c>
      <c r="AA312" t="s">
        <v>901</v>
      </c>
      <c r="AB312" t="s">
        <v>901</v>
      </c>
      <c r="AC312" t="s">
        <v>901</v>
      </c>
      <c r="AD312" t="s">
        <v>901</v>
      </c>
      <c r="AE312" t="s">
        <v>910</v>
      </c>
      <c r="AF312">
        <v>0</v>
      </c>
      <c r="AG312">
        <v>377.1</v>
      </c>
      <c r="AH312">
        <v>362.3</v>
      </c>
      <c r="AI312">
        <v>345.8</v>
      </c>
      <c r="AJ312">
        <v>342.7</v>
      </c>
      <c r="AK312">
        <v>356</v>
      </c>
      <c r="AL312">
        <v>344</v>
      </c>
      <c r="AM312" s="157">
        <v>349</v>
      </c>
      <c r="AN312" s="157">
        <v>362.7</v>
      </c>
      <c r="AO312" s="157">
        <v>368.1</v>
      </c>
      <c r="AP312" s="157">
        <v>344.2</v>
      </c>
    </row>
    <row r="313" spans="1:42" ht="14.7" customHeight="1">
      <c r="A313" s="161" t="s">
        <v>174</v>
      </c>
      <c r="B313" s="233"/>
      <c r="C313">
        <v>366</v>
      </c>
      <c r="D313">
        <v>238</v>
      </c>
      <c r="E313">
        <v>267</v>
      </c>
      <c r="F313">
        <v>270.10000000000002</v>
      </c>
      <c r="G313">
        <v>274</v>
      </c>
      <c r="H313">
        <v>280.60000000000002</v>
      </c>
      <c r="I313">
        <v>295.2</v>
      </c>
      <c r="J313">
        <v>288.39999999999998</v>
      </c>
      <c r="K313">
        <v>295.7</v>
      </c>
      <c r="L313">
        <v>294.8</v>
      </c>
      <c r="M313">
        <v>0.51800000000000002</v>
      </c>
      <c r="N313">
        <v>0.68700000000000006</v>
      </c>
      <c r="O313">
        <v>0.65100000000000002</v>
      </c>
      <c r="P313">
        <v>0.65300000000000002</v>
      </c>
      <c r="Q313">
        <v>0.65600000000000003</v>
      </c>
      <c r="R313">
        <v>0.64800000000000002</v>
      </c>
      <c r="S313">
        <v>0.625</v>
      </c>
      <c r="T313">
        <v>0.625</v>
      </c>
      <c r="U313">
        <v>0.625</v>
      </c>
      <c r="V313">
        <v>0.63300000000000001</v>
      </c>
      <c r="W313" t="s">
        <v>901</v>
      </c>
      <c r="X313" t="s">
        <v>901</v>
      </c>
      <c r="Y313" t="s">
        <v>901</v>
      </c>
      <c r="Z313" t="s">
        <v>901</v>
      </c>
      <c r="AA313" t="s">
        <v>901</v>
      </c>
      <c r="AB313" t="s">
        <v>901</v>
      </c>
      <c r="AC313" t="s">
        <v>901</v>
      </c>
      <c r="AD313" t="s">
        <v>901</v>
      </c>
      <c r="AE313" t="s">
        <v>910</v>
      </c>
      <c r="AF313">
        <v>0</v>
      </c>
      <c r="AG313">
        <v>329.1</v>
      </c>
      <c r="AH313">
        <v>323.89999999999998</v>
      </c>
      <c r="AI313">
        <v>322.5</v>
      </c>
      <c r="AJ313">
        <v>329.3</v>
      </c>
      <c r="AK313">
        <v>335.1</v>
      </c>
      <c r="AL313">
        <v>332</v>
      </c>
      <c r="AM313" s="157">
        <v>328.1</v>
      </c>
      <c r="AN313" s="157">
        <v>321</v>
      </c>
      <c r="AO313" s="157">
        <v>329.6</v>
      </c>
      <c r="AP313" s="157">
        <v>335.9</v>
      </c>
    </row>
    <row r="314" spans="1:42" ht="14.7" customHeight="1">
      <c r="A314" s="161" t="s">
        <v>254</v>
      </c>
      <c r="B314" s="232"/>
      <c r="C314">
        <v>613.20000000000005</v>
      </c>
      <c r="D314">
        <v>593.5</v>
      </c>
      <c r="E314">
        <v>592</v>
      </c>
      <c r="F314">
        <v>601</v>
      </c>
      <c r="G314">
        <v>611.9</v>
      </c>
      <c r="H314">
        <v>600.9</v>
      </c>
      <c r="I314">
        <v>532.70000000000005</v>
      </c>
      <c r="J314">
        <v>508.6</v>
      </c>
      <c r="K314">
        <v>523.1</v>
      </c>
      <c r="L314">
        <v>491.3</v>
      </c>
      <c r="M314">
        <v>0.39900000000000002</v>
      </c>
      <c r="N314">
        <v>0.39300000000000002</v>
      </c>
      <c r="O314">
        <v>0.39500000000000002</v>
      </c>
      <c r="P314">
        <v>0.39</v>
      </c>
      <c r="Q314">
        <v>0.38800000000000001</v>
      </c>
      <c r="R314">
        <v>0.38900000000000001</v>
      </c>
      <c r="S314">
        <v>0.47499999999999998</v>
      </c>
      <c r="T314">
        <v>0.47799999999999998</v>
      </c>
      <c r="U314">
        <v>0.45400000000000001</v>
      </c>
      <c r="V314">
        <v>0.49299999999999999</v>
      </c>
      <c r="W314">
        <v>0.64200000000000002</v>
      </c>
      <c r="X314">
        <v>0.64900000000000002</v>
      </c>
      <c r="Y314">
        <v>0.64600000000000002</v>
      </c>
      <c r="Z314">
        <v>0.65200000000000002</v>
      </c>
      <c r="AA314">
        <v>0.65200000000000002</v>
      </c>
      <c r="AB314">
        <v>0.45400000000000001</v>
      </c>
      <c r="AC314">
        <v>0.20300000000000001</v>
      </c>
      <c r="AD314">
        <v>0.129</v>
      </c>
      <c r="AE314">
        <v>0.14599999999999999</v>
      </c>
      <c r="AF314">
        <v>0.14399999999999999</v>
      </c>
      <c r="AG314">
        <v>463.8</v>
      </c>
      <c r="AH314">
        <v>442.3</v>
      </c>
      <c r="AI314">
        <v>443.5</v>
      </c>
      <c r="AJ314">
        <v>445.8</v>
      </c>
      <c r="AK314">
        <v>450.2</v>
      </c>
      <c r="AL314">
        <v>440.3</v>
      </c>
      <c r="AM314" s="157">
        <v>455.7</v>
      </c>
      <c r="AN314" s="157">
        <v>438</v>
      </c>
      <c r="AO314" s="157">
        <v>430.6</v>
      </c>
      <c r="AP314" s="157">
        <v>437.4</v>
      </c>
    </row>
    <row r="315" spans="1:42" ht="14.7" customHeight="1">
      <c r="A315" s="161" t="s">
        <v>255</v>
      </c>
      <c r="B315" s="233"/>
      <c r="C315">
        <v>517.79999999999995</v>
      </c>
      <c r="D315">
        <v>529.29999999999995</v>
      </c>
      <c r="E315">
        <v>564.20000000000005</v>
      </c>
      <c r="F315">
        <v>579</v>
      </c>
      <c r="G315">
        <v>579.79999999999995</v>
      </c>
      <c r="H315">
        <v>572</v>
      </c>
      <c r="I315">
        <v>577.9</v>
      </c>
      <c r="J315">
        <v>561.29999999999995</v>
      </c>
      <c r="K315">
        <v>557.6</v>
      </c>
      <c r="L315">
        <v>574.1</v>
      </c>
      <c r="M315">
        <v>0.48699999999999999</v>
      </c>
      <c r="N315">
        <v>0.46</v>
      </c>
      <c r="O315">
        <v>0.40400000000000003</v>
      </c>
      <c r="P315">
        <v>0.41099999999999998</v>
      </c>
      <c r="Q315">
        <v>0.42</v>
      </c>
      <c r="R315">
        <v>0.41699999999999998</v>
      </c>
      <c r="S315">
        <v>0.41299999999999998</v>
      </c>
      <c r="T315">
        <v>0.41299999999999998</v>
      </c>
      <c r="U315">
        <v>0.39800000000000002</v>
      </c>
      <c r="V315">
        <v>0.40100000000000002</v>
      </c>
      <c r="W315">
        <v>0.38</v>
      </c>
      <c r="X315">
        <v>0.48399999999999999</v>
      </c>
      <c r="Y315">
        <v>0.48699999999999999</v>
      </c>
      <c r="Z315">
        <v>0.41699999999999998</v>
      </c>
      <c r="AA315">
        <v>9.4E-2</v>
      </c>
      <c r="AB315">
        <v>0.06</v>
      </c>
      <c r="AC315">
        <v>7.0999999999999994E-2</v>
      </c>
      <c r="AD315">
        <v>4.9000000000000002E-2</v>
      </c>
      <c r="AE315">
        <v>4.2000000000000003E-2</v>
      </c>
      <c r="AF315">
        <v>4.1000000000000002E-2</v>
      </c>
      <c r="AG315">
        <v>437</v>
      </c>
      <c r="AH315">
        <v>423</v>
      </c>
      <c r="AI315">
        <v>391</v>
      </c>
      <c r="AJ315">
        <v>407.7</v>
      </c>
      <c r="AK315">
        <v>413.3</v>
      </c>
      <c r="AL315">
        <v>401.5</v>
      </c>
      <c r="AM315" s="157">
        <v>401.5</v>
      </c>
      <c r="AN315" s="157">
        <v>389</v>
      </c>
      <c r="AO315" s="157">
        <v>376.6</v>
      </c>
      <c r="AP315" s="157">
        <v>389.5</v>
      </c>
    </row>
    <row r="316" spans="1:42" ht="14.7" customHeight="1">
      <c r="A316" s="161" t="s">
        <v>221</v>
      </c>
      <c r="B316" s="233"/>
      <c r="C316">
        <v>737</v>
      </c>
      <c r="D316">
        <v>751.7</v>
      </c>
      <c r="E316">
        <v>673.1</v>
      </c>
      <c r="F316">
        <v>668.7</v>
      </c>
      <c r="G316">
        <v>640.1</v>
      </c>
      <c r="H316">
        <v>650.1</v>
      </c>
      <c r="I316">
        <v>640.70000000000005</v>
      </c>
      <c r="J316">
        <v>647.4</v>
      </c>
      <c r="K316">
        <v>637.4</v>
      </c>
      <c r="L316">
        <v>618.70000000000005</v>
      </c>
      <c r="M316">
        <v>0.27300000000000002</v>
      </c>
      <c r="N316">
        <v>0.27100000000000002</v>
      </c>
      <c r="O316">
        <v>0.308</v>
      </c>
      <c r="P316">
        <v>0.32600000000000001</v>
      </c>
      <c r="Q316">
        <v>0.35499999999999998</v>
      </c>
      <c r="R316">
        <v>0.34599999999999997</v>
      </c>
      <c r="S316">
        <v>0.34399999999999997</v>
      </c>
      <c r="T316">
        <v>0.32500000000000001</v>
      </c>
      <c r="U316">
        <v>0.316</v>
      </c>
      <c r="V316">
        <v>0.32300000000000001</v>
      </c>
      <c r="W316" t="s">
        <v>901</v>
      </c>
      <c r="X316" t="s">
        <v>901</v>
      </c>
      <c r="Y316" t="s">
        <v>901</v>
      </c>
      <c r="Z316" t="s">
        <v>901</v>
      </c>
      <c r="AA316" t="s">
        <v>901</v>
      </c>
      <c r="AB316" t="s">
        <v>901</v>
      </c>
      <c r="AC316" t="s">
        <v>901</v>
      </c>
      <c r="AD316" t="s">
        <v>901</v>
      </c>
      <c r="AE316" t="s">
        <v>910</v>
      </c>
      <c r="AF316">
        <v>0</v>
      </c>
      <c r="AG316">
        <v>447</v>
      </c>
      <c r="AH316">
        <v>447.7</v>
      </c>
      <c r="AI316">
        <v>370.9</v>
      </c>
      <c r="AJ316">
        <v>376.1</v>
      </c>
      <c r="AK316">
        <v>373</v>
      </c>
      <c r="AL316">
        <v>368.3</v>
      </c>
      <c r="AM316" s="157">
        <v>360.2</v>
      </c>
      <c r="AN316" s="157">
        <v>356.4</v>
      </c>
      <c r="AO316" s="157">
        <v>348.4</v>
      </c>
      <c r="AP316" s="157">
        <v>343.3</v>
      </c>
    </row>
    <row r="317" spans="1:42" ht="14.7" customHeight="1">
      <c r="A317" s="161" t="s">
        <v>222</v>
      </c>
      <c r="B317" s="233"/>
      <c r="C317">
        <v>526.9</v>
      </c>
      <c r="D317">
        <v>501.7</v>
      </c>
      <c r="E317">
        <v>542.1</v>
      </c>
      <c r="F317">
        <v>544.5</v>
      </c>
      <c r="G317">
        <v>547.79999999999995</v>
      </c>
      <c r="H317">
        <v>550.9</v>
      </c>
      <c r="I317">
        <v>535.20000000000005</v>
      </c>
      <c r="J317">
        <v>518.20000000000005</v>
      </c>
      <c r="K317">
        <v>504</v>
      </c>
      <c r="L317">
        <v>489.3</v>
      </c>
      <c r="M317">
        <v>0.26700000000000002</v>
      </c>
      <c r="N317">
        <v>0.28399999999999997</v>
      </c>
      <c r="O317">
        <v>0.23499999999999999</v>
      </c>
      <c r="P317">
        <v>0.20399999999999999</v>
      </c>
      <c r="Q317">
        <v>0.20699999999999999</v>
      </c>
      <c r="R317">
        <v>0.21099999999999999</v>
      </c>
      <c r="S317">
        <v>0.219</v>
      </c>
      <c r="T317">
        <v>0.221</v>
      </c>
      <c r="U317">
        <v>0.23200000000000001</v>
      </c>
      <c r="V317">
        <v>0.23699999999999999</v>
      </c>
      <c r="W317" t="s">
        <v>901</v>
      </c>
      <c r="X317" t="s">
        <v>901</v>
      </c>
      <c r="Y317" t="s">
        <v>901</v>
      </c>
      <c r="Z317" t="s">
        <v>901</v>
      </c>
      <c r="AA317" t="s">
        <v>901</v>
      </c>
      <c r="AB317" t="s">
        <v>901</v>
      </c>
      <c r="AC317" t="s">
        <v>901</v>
      </c>
      <c r="AD317" t="s">
        <v>901</v>
      </c>
      <c r="AE317" t="s">
        <v>910</v>
      </c>
      <c r="AF317">
        <v>0</v>
      </c>
      <c r="AG317">
        <v>340.8</v>
      </c>
      <c r="AH317">
        <v>328.2</v>
      </c>
      <c r="AI317">
        <v>313.8</v>
      </c>
      <c r="AJ317">
        <v>304.8</v>
      </c>
      <c r="AK317">
        <v>306.7</v>
      </c>
      <c r="AL317">
        <v>308</v>
      </c>
      <c r="AM317" s="157">
        <v>305.2</v>
      </c>
      <c r="AN317" s="157">
        <v>293.5</v>
      </c>
      <c r="AO317" s="157">
        <v>290.3</v>
      </c>
      <c r="AP317" s="157">
        <v>284.39999999999998</v>
      </c>
    </row>
    <row r="318" spans="1:42" ht="14.7" customHeight="1">
      <c r="A318" s="161" t="s">
        <v>296</v>
      </c>
      <c r="B318" s="233"/>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v>0.505</v>
      </c>
      <c r="R318">
        <v>0.52700000000000002</v>
      </c>
      <c r="S318">
        <v>0.54300000000000004</v>
      </c>
      <c r="T318">
        <v>0.42799999999999999</v>
      </c>
      <c r="U318">
        <v>0.442</v>
      </c>
      <c r="V318">
        <v>0.47499999999999998</v>
      </c>
      <c r="W318">
        <v>0.53400000000000003</v>
      </c>
      <c r="X318">
        <v>0.53500000000000003</v>
      </c>
      <c r="Y318">
        <v>0.50900000000000001</v>
      </c>
      <c r="Z318">
        <v>0.02</v>
      </c>
      <c r="AA318">
        <v>1.7999999999999999E-2</v>
      </c>
      <c r="AB318">
        <v>1.9E-2</v>
      </c>
      <c r="AC318">
        <v>2.8000000000000001E-2</v>
      </c>
      <c r="AD318">
        <v>0.435</v>
      </c>
      <c r="AE318">
        <v>0.16700000000000001</v>
      </c>
      <c r="AF318">
        <v>5.0000000000000001E-3</v>
      </c>
      <c r="AG318">
        <v>477</v>
      </c>
      <c r="AH318">
        <v>463.9</v>
      </c>
      <c r="AI318">
        <v>448.1</v>
      </c>
      <c r="AJ318">
        <v>434.9</v>
      </c>
      <c r="AK318">
        <v>436.1</v>
      </c>
      <c r="AL318">
        <v>444.5</v>
      </c>
      <c r="AM318" s="157">
        <v>434.4</v>
      </c>
      <c r="AN318" s="157">
        <v>415</v>
      </c>
      <c r="AO318" s="157">
        <v>409.4</v>
      </c>
      <c r="AP318" s="157">
        <v>417.9</v>
      </c>
    </row>
    <row r="319" spans="1:42" ht="14.7" customHeight="1">
      <c r="A319" s="49" t="s">
        <v>175</v>
      </c>
      <c r="B319" s="233"/>
      <c r="C319">
        <v>423.6</v>
      </c>
      <c r="D319">
        <v>398.7</v>
      </c>
      <c r="E319">
        <v>344.8</v>
      </c>
      <c r="F319">
        <v>368.4</v>
      </c>
      <c r="G319">
        <v>370.5</v>
      </c>
      <c r="H319">
        <v>362.9</v>
      </c>
      <c r="I319">
        <v>386.7</v>
      </c>
      <c r="J319">
        <v>394.9</v>
      </c>
      <c r="K319">
        <v>370.1</v>
      </c>
      <c r="L319">
        <v>376.8</v>
      </c>
      <c r="M319">
        <v>0.49099999999999999</v>
      </c>
      <c r="N319">
        <v>0.503</v>
      </c>
      <c r="O319">
        <v>0.56499999999999995</v>
      </c>
      <c r="P319">
        <v>0.54700000000000004</v>
      </c>
      <c r="Q319">
        <v>0.54800000000000004</v>
      </c>
      <c r="R319">
        <v>0.56399999999999995</v>
      </c>
      <c r="S319">
        <v>0.54700000000000004</v>
      </c>
      <c r="T319">
        <v>0.52300000000000002</v>
      </c>
      <c r="U319">
        <v>0.53700000000000003</v>
      </c>
      <c r="V319">
        <v>0.53800000000000003</v>
      </c>
      <c r="W319" t="s">
        <v>901</v>
      </c>
      <c r="X319" t="s">
        <v>901</v>
      </c>
      <c r="Y319" t="s">
        <v>901</v>
      </c>
      <c r="Z319" t="s">
        <v>901</v>
      </c>
      <c r="AA319" t="s">
        <v>901</v>
      </c>
      <c r="AB319" t="s">
        <v>901</v>
      </c>
      <c r="AC319" t="s">
        <v>901</v>
      </c>
      <c r="AD319" t="s">
        <v>901</v>
      </c>
      <c r="AE319" t="s">
        <v>910</v>
      </c>
      <c r="AF319">
        <v>0</v>
      </c>
      <c r="AG319">
        <v>368.8</v>
      </c>
      <c r="AH319">
        <v>348.6</v>
      </c>
      <c r="AI319">
        <v>348.2</v>
      </c>
      <c r="AJ319">
        <v>357</v>
      </c>
      <c r="AK319">
        <v>359.8</v>
      </c>
      <c r="AL319">
        <v>363.4</v>
      </c>
      <c r="AM319" s="157">
        <v>375.2</v>
      </c>
      <c r="AN319" s="157">
        <v>368.8</v>
      </c>
      <c r="AO319" s="157">
        <v>357.3</v>
      </c>
      <c r="AP319" s="157">
        <v>367.3</v>
      </c>
    </row>
    <row r="320" spans="1:42" ht="14.7" customHeight="1">
      <c r="A320" s="49" t="s">
        <v>331</v>
      </c>
      <c r="B320" s="233"/>
      <c r="C320">
        <v>563.4</v>
      </c>
      <c r="D320">
        <v>542.79999999999995</v>
      </c>
      <c r="E320">
        <v>500.4</v>
      </c>
      <c r="F320">
        <v>497.1</v>
      </c>
      <c r="G320">
        <v>493.5</v>
      </c>
      <c r="H320">
        <v>489</v>
      </c>
      <c r="I320">
        <v>478.6</v>
      </c>
      <c r="J320">
        <v>495.1</v>
      </c>
      <c r="K320">
        <v>486.7</v>
      </c>
      <c r="L320">
        <v>485.7</v>
      </c>
      <c r="M320">
        <v>0.49099999999999999</v>
      </c>
      <c r="N320">
        <v>0.48599999999999999</v>
      </c>
      <c r="O320">
        <v>0.52300000000000002</v>
      </c>
      <c r="P320">
        <v>0.53300000000000003</v>
      </c>
      <c r="Q320">
        <v>0.54200000000000004</v>
      </c>
      <c r="R320">
        <v>0.54100000000000004</v>
      </c>
      <c r="S320">
        <v>0.54400000000000004</v>
      </c>
      <c r="T320">
        <v>0.51400000000000001</v>
      </c>
      <c r="U320">
        <v>0.51400000000000001</v>
      </c>
      <c r="V320">
        <v>0.51100000000000001</v>
      </c>
      <c r="W320">
        <v>0.33800000000000002</v>
      </c>
      <c r="X320">
        <v>0.374</v>
      </c>
      <c r="Y320">
        <v>0.32800000000000001</v>
      </c>
      <c r="Z320">
        <v>0.246</v>
      </c>
      <c r="AA320">
        <v>0.13900000000000001</v>
      </c>
      <c r="AB320">
        <v>0.13100000000000001</v>
      </c>
      <c r="AC320">
        <v>0.128</v>
      </c>
      <c r="AD320">
        <v>0.157</v>
      </c>
      <c r="AE320">
        <v>0.14399999999999999</v>
      </c>
      <c r="AF320">
        <v>0.123</v>
      </c>
      <c r="AG320">
        <v>499</v>
      </c>
      <c r="AH320">
        <v>471.8</v>
      </c>
      <c r="AI320">
        <v>461.5</v>
      </c>
      <c r="AJ320">
        <v>468.6</v>
      </c>
      <c r="AK320">
        <v>474.9</v>
      </c>
      <c r="AL320">
        <v>469.3</v>
      </c>
      <c r="AM320" s="157">
        <v>464.5</v>
      </c>
      <c r="AN320" s="157">
        <v>449.8</v>
      </c>
      <c r="AO320" s="157">
        <v>443.4</v>
      </c>
      <c r="AP320" s="157">
        <v>440.3</v>
      </c>
    </row>
    <row r="321" spans="1:42" ht="14.7" customHeight="1">
      <c r="A321" s="49" t="s">
        <v>176</v>
      </c>
      <c r="B321" s="233"/>
      <c r="C321">
        <v>504.3</v>
      </c>
      <c r="D321">
        <v>506</v>
      </c>
      <c r="E321">
        <v>499.8</v>
      </c>
      <c r="F321">
        <v>501.8</v>
      </c>
      <c r="G321">
        <v>498.9</v>
      </c>
      <c r="H321">
        <v>513.9</v>
      </c>
      <c r="I321">
        <v>490.8</v>
      </c>
      <c r="J321">
        <v>468.4</v>
      </c>
      <c r="K321">
        <v>444.6</v>
      </c>
      <c r="L321">
        <v>438.3</v>
      </c>
      <c r="M321">
        <v>0.40200000000000002</v>
      </c>
      <c r="N321">
        <v>0.41199999999999998</v>
      </c>
      <c r="O321">
        <v>0.39700000000000002</v>
      </c>
      <c r="P321">
        <v>0.40600000000000003</v>
      </c>
      <c r="Q321">
        <v>0.41699999999999998</v>
      </c>
      <c r="R321">
        <v>0.40100000000000002</v>
      </c>
      <c r="S321">
        <v>0.42899999999999999</v>
      </c>
      <c r="T321">
        <v>0.443</v>
      </c>
      <c r="U321">
        <v>0.45100000000000001</v>
      </c>
      <c r="V321">
        <v>0.45300000000000001</v>
      </c>
      <c r="W321" t="s">
        <v>901</v>
      </c>
      <c r="X321" t="s">
        <v>901</v>
      </c>
      <c r="Y321" t="s">
        <v>901</v>
      </c>
      <c r="Z321" t="s">
        <v>901</v>
      </c>
      <c r="AA321" t="s">
        <v>901</v>
      </c>
      <c r="AB321" t="s">
        <v>901</v>
      </c>
      <c r="AC321" t="s">
        <v>901</v>
      </c>
      <c r="AD321" t="s">
        <v>901</v>
      </c>
      <c r="AE321" t="s">
        <v>910</v>
      </c>
      <c r="AF321">
        <v>0</v>
      </c>
      <c r="AG321">
        <v>385.7</v>
      </c>
      <c r="AH321">
        <v>371.6</v>
      </c>
      <c r="AI321">
        <v>344.2</v>
      </c>
      <c r="AJ321">
        <v>349.7</v>
      </c>
      <c r="AK321">
        <v>350.2</v>
      </c>
      <c r="AL321">
        <v>342.2</v>
      </c>
      <c r="AM321" s="157">
        <v>343.6</v>
      </c>
      <c r="AN321" s="157">
        <v>340.4</v>
      </c>
      <c r="AO321" s="157">
        <v>331</v>
      </c>
      <c r="AP321" s="157">
        <v>331.2</v>
      </c>
    </row>
    <row r="322" spans="1:42" ht="14.7" customHeight="1">
      <c r="A322" s="161" t="s">
        <v>178</v>
      </c>
      <c r="B322" s="233"/>
      <c r="C322">
        <v>448.7</v>
      </c>
      <c r="D322">
        <v>415.8</v>
      </c>
      <c r="E322">
        <v>359.6</v>
      </c>
      <c r="F322">
        <v>420.7</v>
      </c>
      <c r="G322">
        <v>395.6</v>
      </c>
      <c r="H322">
        <v>362.7</v>
      </c>
      <c r="I322">
        <v>398.5</v>
      </c>
      <c r="J322">
        <v>366.5</v>
      </c>
      <c r="K322">
        <v>382.2</v>
      </c>
      <c r="L322">
        <v>380.2</v>
      </c>
      <c r="M322">
        <v>0.379</v>
      </c>
      <c r="N322">
        <v>0.41199999999999998</v>
      </c>
      <c r="O322">
        <v>0.50600000000000001</v>
      </c>
      <c r="P322">
        <v>0.45200000000000001</v>
      </c>
      <c r="Q322">
        <v>0.51700000000000002</v>
      </c>
      <c r="R322">
        <v>0.54800000000000004</v>
      </c>
      <c r="S322">
        <v>0.51300000000000001</v>
      </c>
      <c r="T322">
        <v>0.54900000000000004</v>
      </c>
      <c r="U322">
        <v>0.54600000000000004</v>
      </c>
      <c r="V322">
        <v>0.54400000000000004</v>
      </c>
      <c r="W322" t="s">
        <v>901</v>
      </c>
      <c r="X322" t="s">
        <v>901</v>
      </c>
      <c r="Y322" t="s">
        <v>901</v>
      </c>
      <c r="Z322" t="s">
        <v>901</v>
      </c>
      <c r="AA322" t="s">
        <v>901</v>
      </c>
      <c r="AB322" t="s">
        <v>901</v>
      </c>
      <c r="AC322" t="s">
        <v>901</v>
      </c>
      <c r="AD322" t="s">
        <v>901</v>
      </c>
      <c r="AE322" t="s">
        <v>910</v>
      </c>
      <c r="AF322">
        <v>0</v>
      </c>
      <c r="AG322">
        <v>311.8</v>
      </c>
      <c r="AH322">
        <v>300.2</v>
      </c>
      <c r="AI322">
        <v>306.8</v>
      </c>
      <c r="AJ322">
        <v>324.10000000000002</v>
      </c>
      <c r="AK322">
        <v>344.8</v>
      </c>
      <c r="AL322">
        <v>337.5</v>
      </c>
      <c r="AM322" s="157">
        <v>345.8</v>
      </c>
      <c r="AN322" s="157">
        <v>342.3</v>
      </c>
      <c r="AO322" s="157">
        <v>354.6</v>
      </c>
      <c r="AP322" s="157">
        <v>353.1</v>
      </c>
    </row>
    <row r="323" spans="1:42" ht="14.7" customHeight="1">
      <c r="A323" s="161" t="s">
        <v>179</v>
      </c>
      <c r="B323" s="233"/>
      <c r="C323">
        <v>524.6</v>
      </c>
      <c r="D323">
        <v>494.7</v>
      </c>
      <c r="E323">
        <v>497.3</v>
      </c>
      <c r="F323">
        <v>452.9</v>
      </c>
      <c r="G323">
        <v>461</v>
      </c>
      <c r="H323">
        <v>449.4</v>
      </c>
      <c r="I323">
        <v>425.5</v>
      </c>
      <c r="J323">
        <v>432.2</v>
      </c>
      <c r="K323">
        <v>427</v>
      </c>
      <c r="L323">
        <v>429.3</v>
      </c>
      <c r="M323">
        <v>0.41699999999999998</v>
      </c>
      <c r="N323">
        <v>0.443</v>
      </c>
      <c r="O323">
        <v>0.439</v>
      </c>
      <c r="P323">
        <v>0.46899999999999997</v>
      </c>
      <c r="Q323">
        <v>0.48899999999999999</v>
      </c>
      <c r="R323">
        <v>0.49099999999999999</v>
      </c>
      <c r="S323">
        <v>0.51900000000000002</v>
      </c>
      <c r="T323">
        <v>0.51300000000000001</v>
      </c>
      <c r="U323">
        <v>0.50800000000000001</v>
      </c>
      <c r="V323">
        <v>0.495</v>
      </c>
      <c r="W323" t="s">
        <v>901</v>
      </c>
      <c r="X323" t="s">
        <v>901</v>
      </c>
      <c r="Y323" t="s">
        <v>901</v>
      </c>
      <c r="Z323" t="s">
        <v>901</v>
      </c>
      <c r="AA323" t="s">
        <v>901</v>
      </c>
      <c r="AB323" t="s">
        <v>901</v>
      </c>
      <c r="AC323" t="s">
        <v>901</v>
      </c>
      <c r="AD323" t="s">
        <v>901</v>
      </c>
      <c r="AE323" t="s">
        <v>910</v>
      </c>
      <c r="AF323">
        <v>0</v>
      </c>
      <c r="AG323">
        <v>404.9</v>
      </c>
      <c r="AH323">
        <v>402.3</v>
      </c>
      <c r="AI323">
        <v>390.2</v>
      </c>
      <c r="AJ323">
        <v>376</v>
      </c>
      <c r="AK323">
        <v>395.7</v>
      </c>
      <c r="AL323">
        <v>380.5</v>
      </c>
      <c r="AM323" s="157">
        <v>382.2</v>
      </c>
      <c r="AN323" s="157">
        <v>382.5</v>
      </c>
      <c r="AO323" s="157">
        <v>374.1</v>
      </c>
      <c r="AP323" s="157">
        <v>366.3</v>
      </c>
    </row>
    <row r="324" spans="1:42" ht="14.7" customHeight="1">
      <c r="A324" s="49" t="s">
        <v>180</v>
      </c>
      <c r="B324" s="233"/>
      <c r="C324">
        <v>569.70000000000005</v>
      </c>
      <c r="D324">
        <v>506.3</v>
      </c>
      <c r="E324">
        <v>510.7</v>
      </c>
      <c r="F324">
        <v>548.6</v>
      </c>
      <c r="G324">
        <v>533.1</v>
      </c>
      <c r="H324">
        <v>541.5</v>
      </c>
      <c r="I324">
        <v>530.4</v>
      </c>
      <c r="J324">
        <v>516.4</v>
      </c>
      <c r="K324">
        <v>519.1</v>
      </c>
      <c r="L324">
        <v>497.4</v>
      </c>
      <c r="M324">
        <v>0.34499999999999997</v>
      </c>
      <c r="N324">
        <v>0.4</v>
      </c>
      <c r="O324">
        <v>0.41599999999999998</v>
      </c>
      <c r="P324">
        <v>0.35899999999999999</v>
      </c>
      <c r="Q324">
        <v>0.40200000000000002</v>
      </c>
      <c r="R324">
        <v>0.40799999999999997</v>
      </c>
      <c r="S324">
        <v>0.42699999999999999</v>
      </c>
      <c r="T324">
        <v>0.41399999999999998</v>
      </c>
      <c r="U324">
        <v>0.40200000000000002</v>
      </c>
      <c r="V324">
        <v>0.41799999999999998</v>
      </c>
      <c r="W324" t="s">
        <v>901</v>
      </c>
      <c r="X324" t="s">
        <v>901</v>
      </c>
      <c r="Y324" t="s">
        <v>901</v>
      </c>
      <c r="Z324" t="s">
        <v>901</v>
      </c>
      <c r="AA324" t="s">
        <v>901</v>
      </c>
      <c r="AB324" t="s">
        <v>901</v>
      </c>
      <c r="AC324" t="s">
        <v>901</v>
      </c>
      <c r="AD324" t="s">
        <v>901</v>
      </c>
      <c r="AE324" t="s">
        <v>910</v>
      </c>
      <c r="AF324">
        <v>0</v>
      </c>
      <c r="AG324">
        <v>381.1</v>
      </c>
      <c r="AH324">
        <v>371.9</v>
      </c>
      <c r="AI324">
        <v>386.2</v>
      </c>
      <c r="AJ324">
        <v>378.8</v>
      </c>
      <c r="AK324">
        <v>394.9</v>
      </c>
      <c r="AL324">
        <v>401.7</v>
      </c>
      <c r="AM324" s="157">
        <v>407</v>
      </c>
      <c r="AN324" s="157">
        <v>387.4</v>
      </c>
      <c r="AO324" s="157">
        <v>381.7</v>
      </c>
      <c r="AP324" s="157">
        <v>377.6</v>
      </c>
    </row>
    <row r="325" spans="1:42" ht="14.7" customHeight="1">
      <c r="A325" s="161" t="s">
        <v>181</v>
      </c>
      <c r="B325" s="233"/>
      <c r="C325">
        <v>652.79999999999995</v>
      </c>
      <c r="D325">
        <v>478.5</v>
      </c>
      <c r="E325">
        <v>522.6</v>
      </c>
      <c r="F325">
        <v>513.5</v>
      </c>
      <c r="G325">
        <v>483.7</v>
      </c>
      <c r="H325">
        <v>448.6</v>
      </c>
      <c r="I325">
        <v>385.8</v>
      </c>
      <c r="J325">
        <v>445.7</v>
      </c>
      <c r="K325">
        <v>436.8</v>
      </c>
      <c r="L325">
        <v>417.3</v>
      </c>
      <c r="M325">
        <v>0.36499999999999999</v>
      </c>
      <c r="N325">
        <v>0.499</v>
      </c>
      <c r="O325">
        <v>0.438</v>
      </c>
      <c r="P325">
        <v>0.46600000000000003</v>
      </c>
      <c r="Q325">
        <v>0.48</v>
      </c>
      <c r="R325">
        <v>0.48499999999999999</v>
      </c>
      <c r="S325">
        <v>0.53</v>
      </c>
      <c r="T325">
        <v>0.434</v>
      </c>
      <c r="U325">
        <v>0.45400000000000001</v>
      </c>
      <c r="V325">
        <v>0.46600000000000003</v>
      </c>
      <c r="W325" t="s">
        <v>901</v>
      </c>
      <c r="X325" t="s">
        <v>901</v>
      </c>
      <c r="Y325" t="s">
        <v>901</v>
      </c>
      <c r="Z325" t="s">
        <v>901</v>
      </c>
      <c r="AA325" t="s">
        <v>901</v>
      </c>
      <c r="AB325" t="s">
        <v>901</v>
      </c>
      <c r="AC325" t="s">
        <v>901</v>
      </c>
      <c r="AD325" t="s">
        <v>901</v>
      </c>
      <c r="AE325" t="s">
        <v>910</v>
      </c>
      <c r="AF325">
        <v>0</v>
      </c>
      <c r="AG325">
        <v>433.3</v>
      </c>
      <c r="AH325">
        <v>383.9</v>
      </c>
      <c r="AI325">
        <v>386.6</v>
      </c>
      <c r="AJ325">
        <v>396.8</v>
      </c>
      <c r="AK325">
        <v>380.5</v>
      </c>
      <c r="AL325">
        <v>342.9</v>
      </c>
      <c r="AM325" s="157">
        <v>319.39999999999998</v>
      </c>
      <c r="AN325" s="157">
        <v>308</v>
      </c>
      <c r="AO325" s="157">
        <v>313.7</v>
      </c>
      <c r="AP325" s="157">
        <v>308.10000000000002</v>
      </c>
    </row>
    <row r="326" spans="1:42" ht="14.7" customHeight="1">
      <c r="A326" s="161" t="s">
        <v>297</v>
      </c>
      <c r="B326" s="233"/>
      <c r="C326">
        <v>701.9</v>
      </c>
      <c r="D326">
        <v>645.79999999999995</v>
      </c>
      <c r="E326">
        <v>586.1</v>
      </c>
      <c r="F326">
        <v>619.70000000000005</v>
      </c>
      <c r="G326">
        <v>588.9</v>
      </c>
      <c r="H326">
        <v>597.20000000000005</v>
      </c>
      <c r="I326">
        <v>580.9</v>
      </c>
      <c r="J326">
        <v>557.5</v>
      </c>
      <c r="K326">
        <v>555.20000000000005</v>
      </c>
      <c r="L326">
        <v>550.70000000000005</v>
      </c>
      <c r="M326">
        <v>0.42</v>
      </c>
      <c r="N326">
        <v>0.46200000000000002</v>
      </c>
      <c r="O326">
        <v>0.501</v>
      </c>
      <c r="P326">
        <v>0.49299999999999999</v>
      </c>
      <c r="Q326">
        <v>0.51900000000000002</v>
      </c>
      <c r="R326">
        <v>0.51800000000000002</v>
      </c>
      <c r="S326">
        <v>0.51800000000000002</v>
      </c>
      <c r="T326">
        <v>0.51500000000000001</v>
      </c>
      <c r="U326">
        <v>0.495</v>
      </c>
      <c r="V326">
        <v>0.49399999999999999</v>
      </c>
      <c r="W326">
        <v>0.438</v>
      </c>
      <c r="X326">
        <v>0.20899999999999999</v>
      </c>
      <c r="Y326">
        <v>0.17399999999999999</v>
      </c>
      <c r="Z326">
        <v>0.182</v>
      </c>
      <c r="AA326">
        <v>0.156</v>
      </c>
      <c r="AB326">
        <v>0.16400000000000001</v>
      </c>
      <c r="AC326">
        <v>0.158</v>
      </c>
      <c r="AD326">
        <v>0.15</v>
      </c>
      <c r="AE326">
        <v>0.161</v>
      </c>
      <c r="AF326">
        <v>0.14899999999999999</v>
      </c>
      <c r="AG326">
        <v>517</v>
      </c>
      <c r="AH326">
        <v>506.3</v>
      </c>
      <c r="AI326">
        <v>498.2</v>
      </c>
      <c r="AJ326">
        <v>521</v>
      </c>
      <c r="AK326">
        <v>518.9</v>
      </c>
      <c r="AL326">
        <v>526.4</v>
      </c>
      <c r="AM326" s="157">
        <v>514.6</v>
      </c>
      <c r="AN326" s="157">
        <v>483.8</v>
      </c>
      <c r="AO326" s="157">
        <v>470.3</v>
      </c>
      <c r="AP326" s="157">
        <v>469.8</v>
      </c>
    </row>
    <row r="327" spans="1:42" ht="14.7" customHeight="1">
      <c r="A327" s="161" t="s">
        <v>182</v>
      </c>
      <c r="B327" s="233"/>
      <c r="C327">
        <v>379.4</v>
      </c>
      <c r="D327">
        <v>317.60000000000002</v>
      </c>
      <c r="E327">
        <v>325.10000000000002</v>
      </c>
      <c r="F327">
        <v>327.60000000000002</v>
      </c>
      <c r="G327">
        <v>345.6</v>
      </c>
      <c r="H327">
        <v>345.5</v>
      </c>
      <c r="I327">
        <v>346.6</v>
      </c>
      <c r="J327">
        <v>345.4</v>
      </c>
      <c r="K327">
        <v>327.8</v>
      </c>
      <c r="L327">
        <v>310.7</v>
      </c>
      <c r="M327">
        <v>0.51600000000000001</v>
      </c>
      <c r="N327">
        <v>0.59899999999999998</v>
      </c>
      <c r="O327">
        <v>0.56999999999999995</v>
      </c>
      <c r="P327">
        <v>0.57899999999999996</v>
      </c>
      <c r="Q327">
        <v>0.56499999999999995</v>
      </c>
      <c r="R327">
        <v>0.54500000000000004</v>
      </c>
      <c r="S327">
        <v>0.53800000000000003</v>
      </c>
      <c r="T327">
        <v>0.51200000000000001</v>
      </c>
      <c r="U327">
        <v>0.51300000000000001</v>
      </c>
      <c r="V327">
        <v>0.53700000000000003</v>
      </c>
      <c r="W327" t="s">
        <v>901</v>
      </c>
      <c r="X327" t="s">
        <v>901</v>
      </c>
      <c r="Y327" t="s">
        <v>901</v>
      </c>
      <c r="Z327" t="s">
        <v>901</v>
      </c>
      <c r="AA327" t="s">
        <v>901</v>
      </c>
      <c r="AB327" t="s">
        <v>901</v>
      </c>
      <c r="AC327" t="s">
        <v>901</v>
      </c>
      <c r="AD327" t="s">
        <v>901</v>
      </c>
      <c r="AE327" t="s">
        <v>910</v>
      </c>
      <c r="AF327">
        <v>0</v>
      </c>
      <c r="AG327">
        <v>362.8</v>
      </c>
      <c r="AH327">
        <v>365.5</v>
      </c>
      <c r="AI327">
        <v>345.5</v>
      </c>
      <c r="AJ327">
        <v>358.1</v>
      </c>
      <c r="AK327">
        <v>365.4</v>
      </c>
      <c r="AL327">
        <v>348.7</v>
      </c>
      <c r="AM327" s="157">
        <v>346.4</v>
      </c>
      <c r="AN327" s="157">
        <v>323.7</v>
      </c>
      <c r="AO327" s="157">
        <v>307.8</v>
      </c>
      <c r="AP327" s="157">
        <v>307.10000000000002</v>
      </c>
    </row>
    <row r="328" spans="1:42" ht="14.7" customHeight="1">
      <c r="A328" s="49" t="s">
        <v>183</v>
      </c>
      <c r="B328" s="233"/>
      <c r="C328">
        <v>447.3</v>
      </c>
      <c r="D328" t="s">
        <v>901</v>
      </c>
      <c r="E328" t="s">
        <v>901</v>
      </c>
      <c r="F328" t="s">
        <v>901</v>
      </c>
      <c r="G328" t="s">
        <v>901</v>
      </c>
      <c r="H328" t="s">
        <v>901</v>
      </c>
      <c r="I328" t="s">
        <v>901</v>
      </c>
      <c r="J328" t="s">
        <v>901</v>
      </c>
      <c r="K328" t="s">
        <v>901</v>
      </c>
      <c r="L328" t="s">
        <v>901</v>
      </c>
      <c r="M328">
        <v>0.34399999999999997</v>
      </c>
      <c r="N328" t="s">
        <v>901</v>
      </c>
      <c r="O328" t="s">
        <v>901</v>
      </c>
      <c r="P328" t="s">
        <v>901</v>
      </c>
      <c r="Q328" t="s">
        <v>901</v>
      </c>
      <c r="R328" t="s">
        <v>901</v>
      </c>
      <c r="S328" t="s">
        <v>901</v>
      </c>
      <c r="T328" t="s">
        <v>901</v>
      </c>
      <c r="U328" t="s">
        <v>901</v>
      </c>
      <c r="V328" t="s">
        <v>901</v>
      </c>
      <c r="W328" t="s">
        <v>901</v>
      </c>
      <c r="X328" t="s">
        <v>901</v>
      </c>
      <c r="Y328" t="s">
        <v>901</v>
      </c>
      <c r="Z328" t="s">
        <v>901</v>
      </c>
      <c r="AA328" t="s">
        <v>901</v>
      </c>
      <c r="AB328" t="s">
        <v>901</v>
      </c>
      <c r="AC328" t="s">
        <v>901</v>
      </c>
      <c r="AD328" t="s">
        <v>901</v>
      </c>
      <c r="AE328" t="s">
        <v>901</v>
      </c>
      <c r="AF328" t="s">
        <v>901</v>
      </c>
      <c r="AG328">
        <v>341.7</v>
      </c>
      <c r="AH328" t="s">
        <v>901</v>
      </c>
      <c r="AI328" t="s">
        <v>901</v>
      </c>
      <c r="AJ328" t="s">
        <v>901</v>
      </c>
      <c r="AK328" t="s">
        <v>901</v>
      </c>
      <c r="AL328" t="s">
        <v>901</v>
      </c>
      <c r="AM328" s="157" t="s">
        <v>901</v>
      </c>
      <c r="AN328" s="157" t="s">
        <v>901</v>
      </c>
      <c r="AO328" s="157" t="s">
        <v>901</v>
      </c>
      <c r="AP328" s="157" t="s">
        <v>901</v>
      </c>
    </row>
    <row r="329" spans="1:42" ht="14.7" customHeight="1">
      <c r="A329" s="161" t="s">
        <v>184</v>
      </c>
      <c r="B329" s="233"/>
      <c r="C329">
        <v>513.29999999999995</v>
      </c>
      <c r="D329">
        <v>491.7</v>
      </c>
      <c r="E329">
        <v>495.3</v>
      </c>
      <c r="F329">
        <v>525.5</v>
      </c>
      <c r="G329">
        <v>517.5</v>
      </c>
      <c r="H329">
        <v>512.5</v>
      </c>
      <c r="I329">
        <v>510</v>
      </c>
      <c r="J329">
        <v>502.5</v>
      </c>
      <c r="K329">
        <v>488.3</v>
      </c>
      <c r="L329">
        <v>477.2</v>
      </c>
      <c r="M329">
        <v>0.45900000000000002</v>
      </c>
      <c r="N329">
        <v>0.47699999999999998</v>
      </c>
      <c r="O329">
        <v>0.47499999999999998</v>
      </c>
      <c r="P329">
        <v>0.433</v>
      </c>
      <c r="Q329">
        <v>0.45300000000000001</v>
      </c>
      <c r="R329">
        <v>0.47399999999999998</v>
      </c>
      <c r="S329">
        <v>0.47099999999999997</v>
      </c>
      <c r="T329">
        <v>0.42899999999999999</v>
      </c>
      <c r="U329">
        <v>0.438</v>
      </c>
      <c r="V329">
        <v>0.46700000000000003</v>
      </c>
      <c r="W329" t="s">
        <v>901</v>
      </c>
      <c r="X329" t="s">
        <v>901</v>
      </c>
      <c r="Y329" t="s">
        <v>901</v>
      </c>
      <c r="Z329" t="s">
        <v>901</v>
      </c>
      <c r="AA329" t="s">
        <v>901</v>
      </c>
      <c r="AB329" t="s">
        <v>901</v>
      </c>
      <c r="AC329" t="s">
        <v>901</v>
      </c>
      <c r="AD329" t="s">
        <v>901</v>
      </c>
      <c r="AE329" t="s">
        <v>910</v>
      </c>
      <c r="AF329">
        <v>0</v>
      </c>
      <c r="AG329">
        <v>409.2</v>
      </c>
      <c r="AH329">
        <v>405.5</v>
      </c>
      <c r="AI329">
        <v>407.8</v>
      </c>
      <c r="AJ329">
        <v>401.9</v>
      </c>
      <c r="AK329">
        <v>407</v>
      </c>
      <c r="AL329">
        <v>417.4</v>
      </c>
      <c r="AM329" s="157">
        <v>412.9</v>
      </c>
      <c r="AN329" s="157">
        <v>379.3</v>
      </c>
      <c r="AO329" s="157">
        <v>376.2</v>
      </c>
      <c r="AP329" s="157">
        <v>388.6</v>
      </c>
    </row>
    <row r="330" spans="1:42" ht="14.7" customHeight="1">
      <c r="A330" s="161" t="s">
        <v>185</v>
      </c>
      <c r="B330" s="233"/>
      <c r="C330">
        <v>419.5</v>
      </c>
      <c r="D330">
        <v>415.4</v>
      </c>
      <c r="E330">
        <v>431.9</v>
      </c>
      <c r="F330">
        <v>422.7</v>
      </c>
      <c r="G330">
        <v>440.5</v>
      </c>
      <c r="H330">
        <v>478.8</v>
      </c>
      <c r="I330">
        <v>496.6</v>
      </c>
      <c r="J330">
        <v>514.5</v>
      </c>
      <c r="K330">
        <v>530</v>
      </c>
      <c r="L330">
        <v>515.4</v>
      </c>
      <c r="M330">
        <v>0.56299999999999994</v>
      </c>
      <c r="N330">
        <v>0.55200000000000005</v>
      </c>
      <c r="O330">
        <v>0.54</v>
      </c>
      <c r="P330">
        <v>0.53200000000000003</v>
      </c>
      <c r="Q330">
        <v>0.54200000000000004</v>
      </c>
      <c r="R330">
        <v>0.5</v>
      </c>
      <c r="S330">
        <v>0.48899999999999999</v>
      </c>
      <c r="T330">
        <v>0.46</v>
      </c>
      <c r="U330">
        <v>0.41</v>
      </c>
      <c r="V330">
        <v>0.42899999999999999</v>
      </c>
      <c r="W330" t="s">
        <v>901</v>
      </c>
      <c r="X330" t="s">
        <v>901</v>
      </c>
      <c r="Y330" t="s">
        <v>901</v>
      </c>
      <c r="Z330" t="s">
        <v>901</v>
      </c>
      <c r="AA330" t="s">
        <v>901</v>
      </c>
      <c r="AB330" t="s">
        <v>901</v>
      </c>
      <c r="AC330" t="s">
        <v>901</v>
      </c>
      <c r="AD330" t="s">
        <v>901</v>
      </c>
      <c r="AE330" t="s">
        <v>910</v>
      </c>
      <c r="AF330">
        <v>0</v>
      </c>
      <c r="AG330">
        <v>443</v>
      </c>
      <c r="AH330">
        <v>425.4</v>
      </c>
      <c r="AI330">
        <v>431.8</v>
      </c>
      <c r="AJ330">
        <v>415.5</v>
      </c>
      <c r="AK330">
        <v>440.9</v>
      </c>
      <c r="AL330">
        <v>432.3</v>
      </c>
      <c r="AM330" s="157">
        <v>438.7</v>
      </c>
      <c r="AN330" s="157">
        <v>430.3</v>
      </c>
      <c r="AO330" s="157">
        <v>406.8</v>
      </c>
      <c r="AP330" s="157">
        <v>408.4</v>
      </c>
    </row>
    <row r="331" spans="1:42" ht="14.7" customHeight="1">
      <c r="A331" s="161" t="s">
        <v>186</v>
      </c>
      <c r="B331" s="233"/>
      <c r="C331">
        <v>530.29999999999995</v>
      </c>
      <c r="D331">
        <v>350.7</v>
      </c>
      <c r="E331">
        <v>376.6</v>
      </c>
      <c r="F331">
        <v>405.5</v>
      </c>
      <c r="G331">
        <v>385.3</v>
      </c>
      <c r="H331">
        <v>377.3</v>
      </c>
      <c r="I331">
        <v>363.7</v>
      </c>
      <c r="J331">
        <v>358.1</v>
      </c>
      <c r="K331">
        <v>365.1</v>
      </c>
      <c r="L331">
        <v>375.6</v>
      </c>
      <c r="M331">
        <v>0.42399999999999999</v>
      </c>
      <c r="N331">
        <v>0.61199999999999999</v>
      </c>
      <c r="O331">
        <v>0.60099999999999998</v>
      </c>
      <c r="P331">
        <v>0.57399999999999995</v>
      </c>
      <c r="Q331">
        <v>0.59499999999999997</v>
      </c>
      <c r="R331">
        <v>0.60799999999999998</v>
      </c>
      <c r="S331">
        <v>0.63400000000000001</v>
      </c>
      <c r="T331">
        <v>0.59599999999999997</v>
      </c>
      <c r="U331">
        <v>0.57799999999999996</v>
      </c>
      <c r="V331">
        <v>0.57899999999999996</v>
      </c>
      <c r="W331" t="s">
        <v>901</v>
      </c>
      <c r="X331" t="s">
        <v>901</v>
      </c>
      <c r="Y331" t="s">
        <v>901</v>
      </c>
      <c r="Z331" t="s">
        <v>901</v>
      </c>
      <c r="AA331" t="s">
        <v>901</v>
      </c>
      <c r="AB331" t="s">
        <v>901</v>
      </c>
      <c r="AC331" t="s">
        <v>901</v>
      </c>
      <c r="AD331" t="s">
        <v>901</v>
      </c>
      <c r="AE331" t="s">
        <v>910</v>
      </c>
      <c r="AF331">
        <v>0</v>
      </c>
      <c r="AG331">
        <v>411.7</v>
      </c>
      <c r="AH331">
        <v>399.9</v>
      </c>
      <c r="AI331">
        <v>412.3</v>
      </c>
      <c r="AJ331">
        <v>411.7</v>
      </c>
      <c r="AK331">
        <v>409.2</v>
      </c>
      <c r="AL331">
        <v>412.6</v>
      </c>
      <c r="AM331" s="157">
        <v>430.4</v>
      </c>
      <c r="AN331" s="157">
        <v>385.4</v>
      </c>
      <c r="AO331" s="157">
        <v>378.5</v>
      </c>
      <c r="AP331" s="157">
        <v>392.1</v>
      </c>
    </row>
    <row r="332" spans="1:42" ht="14.7" customHeight="1">
      <c r="A332" s="49" t="s">
        <v>912</v>
      </c>
      <c r="B332" s="233"/>
      <c r="C332" t="s">
        <v>901</v>
      </c>
      <c r="D332" t="s">
        <v>901</v>
      </c>
      <c r="E332" t="s">
        <v>901</v>
      </c>
      <c r="F332" t="s">
        <v>901</v>
      </c>
      <c r="G332" t="s">
        <v>901</v>
      </c>
      <c r="H332" t="s">
        <v>901</v>
      </c>
      <c r="I332" t="s">
        <v>901</v>
      </c>
      <c r="J332" t="s">
        <v>901</v>
      </c>
      <c r="K332" t="s">
        <v>901</v>
      </c>
      <c r="L332">
        <v>506.4</v>
      </c>
      <c r="M332" t="s">
        <v>901</v>
      </c>
      <c r="N332" t="s">
        <v>901</v>
      </c>
      <c r="O332" t="s">
        <v>901</v>
      </c>
      <c r="P332" t="s">
        <v>901</v>
      </c>
      <c r="Q332" t="s">
        <v>901</v>
      </c>
      <c r="R332" t="s">
        <v>901</v>
      </c>
      <c r="S332" t="s">
        <v>901</v>
      </c>
      <c r="T332" t="s">
        <v>901</v>
      </c>
      <c r="U332" t="s">
        <v>901</v>
      </c>
      <c r="V332">
        <v>0.40100000000000002</v>
      </c>
      <c r="W332" t="s">
        <v>901</v>
      </c>
      <c r="X332" t="s">
        <v>901</v>
      </c>
      <c r="Y332" t="s">
        <v>901</v>
      </c>
      <c r="Z332" t="s">
        <v>901</v>
      </c>
      <c r="AA332" t="s">
        <v>901</v>
      </c>
      <c r="AB332" t="s">
        <v>901</v>
      </c>
      <c r="AC332" t="s">
        <v>901</v>
      </c>
      <c r="AD332" t="s">
        <v>901</v>
      </c>
      <c r="AE332" t="s">
        <v>901</v>
      </c>
      <c r="AF332">
        <v>0</v>
      </c>
      <c r="AG332" t="s">
        <v>901</v>
      </c>
      <c r="AH332" t="s">
        <v>901</v>
      </c>
      <c r="AI332" t="s">
        <v>901</v>
      </c>
      <c r="AJ332" t="s">
        <v>901</v>
      </c>
      <c r="AK332" t="s">
        <v>901</v>
      </c>
      <c r="AL332" t="s">
        <v>901</v>
      </c>
      <c r="AM332" s="157" t="s">
        <v>901</v>
      </c>
      <c r="AN332" s="157" t="s">
        <v>901</v>
      </c>
      <c r="AO332" s="157" t="s">
        <v>901</v>
      </c>
      <c r="AP332" s="157">
        <v>374.6</v>
      </c>
    </row>
    <row r="333" spans="1:42" ht="14.7" customHeight="1">
      <c r="A333" s="161" t="s">
        <v>332</v>
      </c>
      <c r="B333" s="233"/>
      <c r="C333">
        <v>610.9</v>
      </c>
      <c r="D333">
        <v>602.29999999999995</v>
      </c>
      <c r="E333">
        <v>594.4</v>
      </c>
      <c r="F333">
        <v>633.5</v>
      </c>
      <c r="G333">
        <v>640.6</v>
      </c>
      <c r="H333">
        <v>629.6</v>
      </c>
      <c r="I333">
        <v>600</v>
      </c>
      <c r="J333">
        <v>507.1</v>
      </c>
      <c r="K333">
        <v>492.4</v>
      </c>
      <c r="L333">
        <v>462</v>
      </c>
      <c r="M333">
        <v>0.44</v>
      </c>
      <c r="N333">
        <v>0.44</v>
      </c>
      <c r="O333">
        <v>0.42599999999999999</v>
      </c>
      <c r="P333">
        <v>0.41099999999999998</v>
      </c>
      <c r="Q333">
        <v>0.41599999999999998</v>
      </c>
      <c r="R333">
        <v>0.42099999999999999</v>
      </c>
      <c r="S333">
        <v>0.443</v>
      </c>
      <c r="T333">
        <v>0.51300000000000001</v>
      </c>
      <c r="U333">
        <v>0.51900000000000002</v>
      </c>
      <c r="V333">
        <v>0.53100000000000003</v>
      </c>
      <c r="W333">
        <v>0.40500000000000003</v>
      </c>
      <c r="X333">
        <v>0.40200000000000002</v>
      </c>
      <c r="Y333">
        <v>0.38200000000000001</v>
      </c>
      <c r="Z333">
        <v>0.39100000000000001</v>
      </c>
      <c r="AA333">
        <v>0.38200000000000001</v>
      </c>
      <c r="AB333">
        <v>0.36599999999999999</v>
      </c>
      <c r="AC333">
        <v>0.45100000000000001</v>
      </c>
      <c r="AD333">
        <v>0.39200000000000002</v>
      </c>
      <c r="AE333">
        <v>0.29899999999999999</v>
      </c>
      <c r="AF333">
        <v>0.17899999999999999</v>
      </c>
      <c r="AG333">
        <v>497.3</v>
      </c>
      <c r="AH333">
        <v>481.9</v>
      </c>
      <c r="AI333">
        <v>460.3</v>
      </c>
      <c r="AJ333">
        <v>477.6</v>
      </c>
      <c r="AK333">
        <v>484.7</v>
      </c>
      <c r="AL333">
        <v>475.1</v>
      </c>
      <c r="AM333" s="157">
        <v>471.5</v>
      </c>
      <c r="AN333" s="157">
        <v>457</v>
      </c>
      <c r="AO333" s="157">
        <v>450.6</v>
      </c>
      <c r="AP333" s="157">
        <v>435</v>
      </c>
    </row>
    <row r="334" spans="1:42" ht="14.7" customHeight="1">
      <c r="A334" s="161" t="s">
        <v>188</v>
      </c>
      <c r="B334" s="197"/>
      <c r="C334" s="201">
        <v>502.4</v>
      </c>
      <c r="D334" s="201">
        <v>476.3</v>
      </c>
      <c r="E334" s="201">
        <v>567.70000000000005</v>
      </c>
      <c r="F334" s="201">
        <v>580.1</v>
      </c>
      <c r="G334" s="201">
        <v>596.4</v>
      </c>
      <c r="H334" s="201">
        <v>623.1</v>
      </c>
      <c r="I334" s="201">
        <v>605.5</v>
      </c>
      <c r="J334" s="201">
        <v>566.4</v>
      </c>
      <c r="K334" s="201">
        <v>562.70000000000005</v>
      </c>
      <c r="L334" s="201">
        <v>553.70000000000005</v>
      </c>
      <c r="M334" s="201">
        <v>0.253</v>
      </c>
      <c r="N334" s="201">
        <v>0.251</v>
      </c>
      <c r="O334" s="201">
        <v>0.217</v>
      </c>
      <c r="P334" s="201">
        <v>0.21099999999999999</v>
      </c>
      <c r="Q334" s="201">
        <v>0.191</v>
      </c>
      <c r="R334" s="201">
        <v>0.17299999999999999</v>
      </c>
      <c r="S334" s="201">
        <v>0.17399999999999999</v>
      </c>
      <c r="T334" s="201">
        <v>0.188</v>
      </c>
      <c r="U334" s="201">
        <v>0.217</v>
      </c>
      <c r="V334" s="201">
        <v>0.20399999999999999</v>
      </c>
      <c r="W334" s="201">
        <v>0.13500000000000001</v>
      </c>
      <c r="X334" s="201">
        <v>8.5000000000000006E-2</v>
      </c>
      <c r="Y334" s="201">
        <v>4.3999999999999997E-2</v>
      </c>
      <c r="Z334" s="201">
        <v>2.9000000000000001E-2</v>
      </c>
      <c r="AA334" s="201">
        <v>0.02</v>
      </c>
      <c r="AB334" s="201">
        <v>0.02</v>
      </c>
      <c r="AC334" s="201">
        <v>1.9E-2</v>
      </c>
      <c r="AD334" s="201">
        <v>8.9999999999999993E-3</v>
      </c>
      <c r="AE334" s="201">
        <v>0</v>
      </c>
      <c r="AF334" s="201">
        <v>0</v>
      </c>
      <c r="AG334" s="201">
        <v>343</v>
      </c>
      <c r="AH334" s="201">
        <v>306.3</v>
      </c>
      <c r="AI334" s="201">
        <v>402.3</v>
      </c>
      <c r="AJ334" s="201">
        <v>401</v>
      </c>
      <c r="AK334" s="201">
        <v>398.1</v>
      </c>
      <c r="AL334" s="201">
        <v>382.8</v>
      </c>
      <c r="AM334" s="157">
        <v>366.8</v>
      </c>
      <c r="AN334" s="157">
        <v>356.2</v>
      </c>
      <c r="AO334" s="157">
        <v>354.4</v>
      </c>
      <c r="AP334" s="157">
        <v>337.8</v>
      </c>
    </row>
    <row r="335" spans="1:42" ht="14.7" customHeight="1">
      <c r="A335" s="161" t="s">
        <v>352</v>
      </c>
      <c r="B335" s="197"/>
      <c r="C335" s="201" t="s">
        <v>901</v>
      </c>
      <c r="D335" s="201" t="s">
        <v>901</v>
      </c>
      <c r="E335" s="201" t="s">
        <v>901</v>
      </c>
      <c r="F335" s="201" t="s">
        <v>901</v>
      </c>
      <c r="G335" s="201" t="s">
        <v>901</v>
      </c>
      <c r="H335" s="201" t="s">
        <v>901</v>
      </c>
      <c r="I335" s="201" t="s">
        <v>901</v>
      </c>
      <c r="J335" s="201" t="s">
        <v>901</v>
      </c>
      <c r="K335" s="201" t="s">
        <v>901</v>
      </c>
      <c r="L335" s="201" t="s">
        <v>901</v>
      </c>
      <c r="M335" s="201" t="s">
        <v>901</v>
      </c>
      <c r="N335" s="201" t="s">
        <v>901</v>
      </c>
      <c r="O335" s="201" t="s">
        <v>901</v>
      </c>
      <c r="P335" s="201" t="s">
        <v>901</v>
      </c>
      <c r="Q335" s="201" t="s">
        <v>901</v>
      </c>
      <c r="R335" s="201" t="s">
        <v>901</v>
      </c>
      <c r="S335" s="201" t="s">
        <v>901</v>
      </c>
      <c r="T335" s="201" t="s">
        <v>901</v>
      </c>
      <c r="U335" s="201" t="s">
        <v>901</v>
      </c>
      <c r="V335" s="201" t="s">
        <v>901</v>
      </c>
      <c r="W335" s="201" t="s">
        <v>901</v>
      </c>
      <c r="X335" s="201" t="s">
        <v>901</v>
      </c>
      <c r="Y335" s="201" t="s">
        <v>901</v>
      </c>
      <c r="Z335" s="201" t="s">
        <v>901</v>
      </c>
      <c r="AA335" s="201" t="s">
        <v>901</v>
      </c>
      <c r="AB335" s="201" t="s">
        <v>901</v>
      </c>
      <c r="AC335" s="201" t="s">
        <v>901</v>
      </c>
      <c r="AD335" s="201" t="s">
        <v>901</v>
      </c>
      <c r="AE335" s="201" t="s">
        <v>901</v>
      </c>
      <c r="AF335" s="201" t="s">
        <v>901</v>
      </c>
      <c r="AG335" s="201" t="s">
        <v>901</v>
      </c>
      <c r="AH335" s="201" t="s">
        <v>901</v>
      </c>
      <c r="AI335" s="201" t="s">
        <v>901</v>
      </c>
      <c r="AJ335" s="201" t="s">
        <v>901</v>
      </c>
      <c r="AK335" s="201" t="s">
        <v>901</v>
      </c>
      <c r="AL335" s="201" t="s">
        <v>901</v>
      </c>
      <c r="AM335" s="157" t="s">
        <v>901</v>
      </c>
      <c r="AN335" s="157" t="s">
        <v>901</v>
      </c>
      <c r="AO335" s="157" t="s">
        <v>901</v>
      </c>
      <c r="AP335" s="157" t="s">
        <v>901</v>
      </c>
    </row>
    <row r="336" spans="1:42" ht="14.7" customHeight="1">
      <c r="A336" s="161" t="s">
        <v>256</v>
      </c>
      <c r="B336" s="197"/>
      <c r="C336" s="201">
        <v>663.4</v>
      </c>
      <c r="D336" s="201">
        <v>626.6</v>
      </c>
      <c r="E336" s="201">
        <v>485.1</v>
      </c>
      <c r="F336" s="201">
        <v>473.7</v>
      </c>
      <c r="G336" s="201">
        <v>523.5</v>
      </c>
      <c r="H336" s="201">
        <v>560.9</v>
      </c>
      <c r="I336" s="201">
        <v>552.6</v>
      </c>
      <c r="J336" s="201">
        <v>473.4</v>
      </c>
      <c r="K336" s="201">
        <v>441.3</v>
      </c>
      <c r="L336" s="201">
        <v>430.4</v>
      </c>
      <c r="M336" s="201">
        <v>0.36099999999999999</v>
      </c>
      <c r="N336" s="201">
        <v>0.36799999999999999</v>
      </c>
      <c r="O336" s="201">
        <v>0.48499999999999999</v>
      </c>
      <c r="P336" s="201">
        <v>0.5</v>
      </c>
      <c r="Q336" s="201">
        <v>0.45300000000000001</v>
      </c>
      <c r="R336" s="201">
        <v>0.42199999999999999</v>
      </c>
      <c r="S336" s="201">
        <v>0.437</v>
      </c>
      <c r="T336" s="201">
        <v>0.48499999999999999</v>
      </c>
      <c r="U336" s="201">
        <v>0.51500000000000001</v>
      </c>
      <c r="V336" s="201">
        <v>0.52800000000000002</v>
      </c>
      <c r="W336" s="201">
        <v>0.57899999999999996</v>
      </c>
      <c r="X336" s="201">
        <v>0.48799999999999999</v>
      </c>
      <c r="Y336" s="201">
        <v>0.17699999999999999</v>
      </c>
      <c r="Z336" s="201">
        <v>7.4999999999999997E-2</v>
      </c>
      <c r="AA336" s="201">
        <v>7.9000000000000001E-2</v>
      </c>
      <c r="AB336" s="201">
        <v>4.3999999999999997E-2</v>
      </c>
      <c r="AC336" s="201">
        <v>3.6999999999999998E-2</v>
      </c>
      <c r="AD336" s="201">
        <v>4.5999999999999999E-2</v>
      </c>
      <c r="AE336" s="201">
        <v>1.4999999999999999E-2</v>
      </c>
      <c r="AF336" s="201">
        <v>5.0000000000000001E-3</v>
      </c>
      <c r="AG336" s="201">
        <v>473.4</v>
      </c>
      <c r="AH336" s="201">
        <v>450.8</v>
      </c>
      <c r="AI336" s="201">
        <v>416.2</v>
      </c>
      <c r="AJ336" s="201">
        <v>418.9</v>
      </c>
      <c r="AK336" s="201">
        <v>422.2</v>
      </c>
      <c r="AL336" s="201">
        <v>426</v>
      </c>
      <c r="AM336" s="157">
        <v>431.7</v>
      </c>
      <c r="AN336" s="157">
        <v>405</v>
      </c>
      <c r="AO336" s="157">
        <v>401.7</v>
      </c>
      <c r="AP336" s="157">
        <v>403.6</v>
      </c>
    </row>
    <row r="337" spans="1:42" ht="14.7" customHeight="1">
      <c r="A337" s="49" t="s">
        <v>298</v>
      </c>
      <c r="B337" s="197"/>
      <c r="C337" s="201">
        <v>621.5</v>
      </c>
      <c r="D337" s="201">
        <v>603</v>
      </c>
      <c r="E337" s="201">
        <v>560.29999999999995</v>
      </c>
      <c r="F337" s="201">
        <v>604.1</v>
      </c>
      <c r="G337" s="201">
        <v>580.20000000000005</v>
      </c>
      <c r="H337" s="201">
        <v>571.1</v>
      </c>
      <c r="I337" s="201">
        <v>570</v>
      </c>
      <c r="J337" s="201">
        <v>545.20000000000005</v>
      </c>
      <c r="K337" s="201">
        <v>550.70000000000005</v>
      </c>
      <c r="L337" s="201">
        <v>555.1</v>
      </c>
      <c r="M337" s="201">
        <v>0.41699999999999998</v>
      </c>
      <c r="N337" s="201">
        <v>0.43</v>
      </c>
      <c r="O337" s="201">
        <v>0.46100000000000002</v>
      </c>
      <c r="P337" s="201">
        <v>0.44</v>
      </c>
      <c r="Q337" s="201">
        <v>0.46500000000000002</v>
      </c>
      <c r="R337" s="201">
        <v>0.443</v>
      </c>
      <c r="S337" s="201">
        <v>0.43099999999999999</v>
      </c>
      <c r="T337" s="201">
        <v>0.44700000000000001</v>
      </c>
      <c r="U337" s="201">
        <v>0.439</v>
      </c>
      <c r="V337" s="201">
        <v>0.433</v>
      </c>
      <c r="W337" s="201">
        <v>0.376</v>
      </c>
      <c r="X337" s="201">
        <v>0.37</v>
      </c>
      <c r="Y337" s="201">
        <v>0.32600000000000001</v>
      </c>
      <c r="Z337" s="201">
        <v>0.27400000000000002</v>
      </c>
      <c r="AA337" s="201">
        <v>0.20200000000000001</v>
      </c>
      <c r="AB337" s="201">
        <v>0.21199999999999999</v>
      </c>
      <c r="AC337" s="201">
        <v>0.20899999999999999</v>
      </c>
      <c r="AD337" s="201">
        <v>0.217</v>
      </c>
      <c r="AE337" s="201">
        <v>0.159</v>
      </c>
      <c r="AF337" s="201">
        <v>0.14399999999999999</v>
      </c>
      <c r="AG337" s="201">
        <v>470</v>
      </c>
      <c r="AH337" s="201">
        <v>465.2</v>
      </c>
      <c r="AI337" s="201">
        <v>447.2</v>
      </c>
      <c r="AJ337" s="201">
        <v>467.2</v>
      </c>
      <c r="AK337" s="201">
        <v>467.1</v>
      </c>
      <c r="AL337" s="201">
        <v>438.2</v>
      </c>
      <c r="AM337" s="157">
        <v>432.2</v>
      </c>
      <c r="AN337" s="157">
        <v>424</v>
      </c>
      <c r="AO337" s="157">
        <v>426.3</v>
      </c>
      <c r="AP337" s="157">
        <v>428.9</v>
      </c>
    </row>
    <row r="338" spans="1:42" ht="14.7" customHeight="1">
      <c r="A338" s="49" t="s">
        <v>189</v>
      </c>
      <c r="B338" s="197"/>
      <c r="C338" s="201">
        <v>482.9</v>
      </c>
      <c r="D338" s="201">
        <v>476.8</v>
      </c>
      <c r="E338" s="201">
        <v>479.8</v>
      </c>
      <c r="F338" s="201">
        <v>488.9</v>
      </c>
      <c r="G338" s="201">
        <v>478.8</v>
      </c>
      <c r="H338" s="201">
        <v>479.8</v>
      </c>
      <c r="I338" s="201">
        <v>491.6</v>
      </c>
      <c r="J338" s="201">
        <v>469.5</v>
      </c>
      <c r="K338" s="201">
        <v>461</v>
      </c>
      <c r="L338" s="201">
        <v>449.2</v>
      </c>
      <c r="M338" s="201">
        <v>0.374</v>
      </c>
      <c r="N338" s="201">
        <v>0.36599999999999999</v>
      </c>
      <c r="O338" s="201">
        <v>0.35399999999999998</v>
      </c>
      <c r="P338" s="201">
        <v>0.34399999999999997</v>
      </c>
      <c r="Q338" s="201">
        <v>0.35299999999999998</v>
      </c>
      <c r="R338" s="201">
        <v>0.34599999999999997</v>
      </c>
      <c r="S338" s="201">
        <v>0.34200000000000003</v>
      </c>
      <c r="T338" s="201">
        <v>0.36099999999999999</v>
      </c>
      <c r="U338" s="201">
        <v>0.36099999999999999</v>
      </c>
      <c r="V338" s="201">
        <v>0.38100000000000001</v>
      </c>
      <c r="W338" s="201" t="s">
        <v>901</v>
      </c>
      <c r="X338" s="201" t="s">
        <v>901</v>
      </c>
      <c r="Y338" s="201" t="s">
        <v>901</v>
      </c>
      <c r="Z338" s="201" t="s">
        <v>901</v>
      </c>
      <c r="AA338" s="201" t="s">
        <v>901</v>
      </c>
      <c r="AB338" s="201" t="s">
        <v>901</v>
      </c>
      <c r="AC338" s="201" t="s">
        <v>901</v>
      </c>
      <c r="AD338" s="201" t="s">
        <v>901</v>
      </c>
      <c r="AE338" s="201" t="s">
        <v>910</v>
      </c>
      <c r="AF338" s="201">
        <v>0</v>
      </c>
      <c r="AG338" s="201">
        <v>339</v>
      </c>
      <c r="AH338" s="201">
        <v>324.8</v>
      </c>
      <c r="AI338" s="201">
        <v>314.8</v>
      </c>
      <c r="AJ338" s="201">
        <v>316.60000000000002</v>
      </c>
      <c r="AK338" s="201">
        <v>313.3</v>
      </c>
      <c r="AL338" s="201">
        <v>306</v>
      </c>
      <c r="AM338" s="157">
        <v>310.2</v>
      </c>
      <c r="AN338" s="157">
        <v>304.89999999999998</v>
      </c>
      <c r="AO338" s="157">
        <v>301.5</v>
      </c>
      <c r="AP338" s="157">
        <v>307</v>
      </c>
    </row>
    <row r="339" spans="1:42" ht="14.7" customHeight="1">
      <c r="A339" s="161" t="s">
        <v>933</v>
      </c>
      <c r="B339" s="196"/>
      <c r="C339" s="201">
        <v>679.1</v>
      </c>
      <c r="D339" s="201">
        <v>632.29999999999995</v>
      </c>
      <c r="E339" s="201">
        <v>619.9</v>
      </c>
      <c r="F339" s="201">
        <v>621.20000000000005</v>
      </c>
      <c r="G339" s="201">
        <v>597.70000000000005</v>
      </c>
      <c r="H339" s="201">
        <v>571.29999999999995</v>
      </c>
      <c r="I339" s="201">
        <v>575.1</v>
      </c>
      <c r="J339" s="201">
        <v>572.29999999999995</v>
      </c>
      <c r="K339" s="201">
        <v>564</v>
      </c>
      <c r="L339" s="201">
        <v>546.9</v>
      </c>
      <c r="M339" s="201">
        <v>0.38700000000000001</v>
      </c>
      <c r="N339" s="201">
        <v>0.432</v>
      </c>
      <c r="O339" s="201">
        <v>0.45700000000000002</v>
      </c>
      <c r="P339" s="201">
        <v>0.441</v>
      </c>
      <c r="Q339" s="201">
        <v>0.45500000000000002</v>
      </c>
      <c r="R339" s="201">
        <v>0.46700000000000003</v>
      </c>
      <c r="S339" s="201">
        <v>0.47399999999999998</v>
      </c>
      <c r="T339" s="201">
        <v>0.44800000000000001</v>
      </c>
      <c r="U339" s="201">
        <v>0.443</v>
      </c>
      <c r="V339" s="201">
        <v>0.45</v>
      </c>
      <c r="W339" s="201">
        <v>0.60299999999999998</v>
      </c>
      <c r="X339" s="201">
        <v>0.55800000000000005</v>
      </c>
      <c r="Y339" s="201">
        <v>0.52400000000000002</v>
      </c>
      <c r="Z339" s="201">
        <v>0.53600000000000003</v>
      </c>
      <c r="AA339" s="201">
        <v>0.51600000000000001</v>
      </c>
      <c r="AB339" s="201">
        <v>0.33700000000000002</v>
      </c>
      <c r="AC339" s="201">
        <v>1E-3</v>
      </c>
      <c r="AD339" s="201">
        <v>0</v>
      </c>
      <c r="AE339" s="201">
        <v>0</v>
      </c>
      <c r="AF339" s="201">
        <v>0</v>
      </c>
      <c r="AG339" s="201">
        <v>478</v>
      </c>
      <c r="AH339" s="201">
        <v>467.4</v>
      </c>
      <c r="AI339" s="201">
        <v>484.4</v>
      </c>
      <c r="AJ339" s="201">
        <v>472.2</v>
      </c>
      <c r="AK339" s="201">
        <v>465</v>
      </c>
      <c r="AL339" s="201">
        <v>453.6</v>
      </c>
      <c r="AM339" s="157">
        <v>464.8</v>
      </c>
      <c r="AN339" s="157">
        <v>439.7</v>
      </c>
      <c r="AO339" s="157">
        <v>431.5</v>
      </c>
      <c r="AP339" s="157">
        <v>425.7</v>
      </c>
    </row>
    <row r="340" spans="1:42" ht="14.7" customHeight="1">
      <c r="A340" s="159" t="s">
        <v>257</v>
      </c>
      <c r="B340" s="198"/>
      <c r="C340" s="201">
        <v>543.20000000000005</v>
      </c>
      <c r="D340" s="201">
        <v>528</v>
      </c>
      <c r="E340" s="201">
        <v>514.9</v>
      </c>
      <c r="F340" s="201">
        <v>517.9</v>
      </c>
      <c r="G340" s="201">
        <v>522</v>
      </c>
      <c r="H340" s="201">
        <v>527.29999999999995</v>
      </c>
      <c r="I340" s="201">
        <v>531.79999999999995</v>
      </c>
      <c r="J340" s="201">
        <v>545.9</v>
      </c>
      <c r="K340" s="201">
        <v>538.29999999999995</v>
      </c>
      <c r="L340" s="201">
        <v>539.79999999999995</v>
      </c>
      <c r="M340" s="201">
        <v>0.39900000000000002</v>
      </c>
      <c r="N340" s="201">
        <v>0.40600000000000003</v>
      </c>
      <c r="O340" s="201">
        <v>0.40400000000000003</v>
      </c>
      <c r="P340" s="201">
        <v>0.374</v>
      </c>
      <c r="Q340" s="201">
        <v>0.36</v>
      </c>
      <c r="R340" s="201">
        <v>0.36399999999999999</v>
      </c>
      <c r="S340" s="201">
        <v>0.35899999999999999</v>
      </c>
      <c r="T340" s="201">
        <v>0.33200000000000002</v>
      </c>
      <c r="U340" s="201">
        <v>0.32500000000000001</v>
      </c>
      <c r="V340" s="201">
        <v>0.33300000000000002</v>
      </c>
      <c r="W340" s="201" t="s">
        <v>901</v>
      </c>
      <c r="X340" s="201" t="s">
        <v>901</v>
      </c>
      <c r="Y340" s="201" t="s">
        <v>901</v>
      </c>
      <c r="Z340" s="201" t="s">
        <v>901</v>
      </c>
      <c r="AA340" s="201" t="s">
        <v>901</v>
      </c>
      <c r="AB340" s="201" t="s">
        <v>901</v>
      </c>
      <c r="AC340" s="201" t="s">
        <v>901</v>
      </c>
      <c r="AD340" s="201" t="s">
        <v>901</v>
      </c>
      <c r="AE340" s="201" t="s">
        <v>910</v>
      </c>
      <c r="AF340" s="201">
        <v>0</v>
      </c>
      <c r="AG340" s="201">
        <v>425.2</v>
      </c>
      <c r="AH340" s="201">
        <v>420.4</v>
      </c>
      <c r="AI340" s="201">
        <v>394.8</v>
      </c>
      <c r="AJ340" s="201">
        <v>378</v>
      </c>
      <c r="AK340" s="201">
        <v>372</v>
      </c>
      <c r="AL340" s="201">
        <v>379.4</v>
      </c>
      <c r="AM340" s="157">
        <v>380.8</v>
      </c>
      <c r="AN340" s="157">
        <v>374.1</v>
      </c>
      <c r="AO340" s="157">
        <v>365.7</v>
      </c>
      <c r="AP340" s="157">
        <v>371.6</v>
      </c>
    </row>
    <row r="341" spans="1:42" ht="14.7" customHeight="1">
      <c r="A341" s="161" t="s">
        <v>190</v>
      </c>
      <c r="B341" s="196"/>
      <c r="C341" s="201">
        <v>388.2</v>
      </c>
      <c r="D341" s="201">
        <v>370.3</v>
      </c>
      <c r="E341" s="201">
        <v>349.9</v>
      </c>
      <c r="F341" s="201">
        <v>393.4</v>
      </c>
      <c r="G341" s="201">
        <v>372.3</v>
      </c>
      <c r="H341" s="201">
        <v>359.5</v>
      </c>
      <c r="I341" s="201">
        <v>354.3</v>
      </c>
      <c r="J341" s="201">
        <v>371.2</v>
      </c>
      <c r="K341" s="201">
        <v>359.1</v>
      </c>
      <c r="L341" s="201">
        <v>387.4</v>
      </c>
      <c r="M341" s="201">
        <v>0.54</v>
      </c>
      <c r="N341" s="201">
        <v>0.56999999999999995</v>
      </c>
      <c r="O341" s="201">
        <v>0.58599999999999997</v>
      </c>
      <c r="P341" s="201">
        <v>0.55400000000000005</v>
      </c>
      <c r="Q341" s="201">
        <v>0.58399999999999996</v>
      </c>
      <c r="R341" s="201">
        <v>0.58699999999999997</v>
      </c>
      <c r="S341" s="201">
        <v>0.59399999999999997</v>
      </c>
      <c r="T341" s="201">
        <v>0.57099999999999995</v>
      </c>
      <c r="U341" s="201">
        <v>0.57199999999999995</v>
      </c>
      <c r="V341" s="201">
        <v>0.55400000000000005</v>
      </c>
      <c r="W341" s="201" t="s">
        <v>901</v>
      </c>
      <c r="X341" s="201" t="s">
        <v>901</v>
      </c>
      <c r="Y341" s="201" t="s">
        <v>901</v>
      </c>
      <c r="Z341" s="201" t="s">
        <v>901</v>
      </c>
      <c r="AA341" s="201" t="s">
        <v>901</v>
      </c>
      <c r="AB341" s="201" t="s">
        <v>901</v>
      </c>
      <c r="AC341" s="201" t="s">
        <v>901</v>
      </c>
      <c r="AD341" s="201" t="s">
        <v>901</v>
      </c>
      <c r="AE341" s="201" t="s">
        <v>910</v>
      </c>
      <c r="AF341" s="201">
        <v>0</v>
      </c>
      <c r="AG341" s="201">
        <v>370.7</v>
      </c>
      <c r="AH341" s="201">
        <v>372.7</v>
      </c>
      <c r="AI341" s="201">
        <v>345.5</v>
      </c>
      <c r="AJ341" s="201">
        <v>365</v>
      </c>
      <c r="AK341" s="201">
        <v>370.9</v>
      </c>
      <c r="AL341" s="201">
        <v>361</v>
      </c>
      <c r="AM341" s="157">
        <v>365</v>
      </c>
      <c r="AN341" s="157">
        <v>361.2</v>
      </c>
      <c r="AO341" s="157">
        <v>351.7</v>
      </c>
      <c r="AP341" s="157">
        <v>368</v>
      </c>
    </row>
    <row r="342" spans="1:42" ht="14.7" customHeight="1">
      <c r="A342" s="161" t="s">
        <v>299</v>
      </c>
      <c r="B342" s="197"/>
      <c r="C342" s="201">
        <v>678.9</v>
      </c>
      <c r="D342" s="201">
        <v>638.29999999999995</v>
      </c>
      <c r="E342" s="201">
        <v>590.70000000000005</v>
      </c>
      <c r="F342" s="201">
        <v>703.1</v>
      </c>
      <c r="G342" s="201">
        <v>669.3</v>
      </c>
      <c r="H342" s="201">
        <v>720.2</v>
      </c>
      <c r="I342" s="201">
        <v>702.4</v>
      </c>
      <c r="J342" s="201">
        <v>671.4</v>
      </c>
      <c r="K342" s="201">
        <v>610.70000000000005</v>
      </c>
      <c r="L342" s="201">
        <v>508.2</v>
      </c>
      <c r="M342" s="201">
        <v>0.41099999999999998</v>
      </c>
      <c r="N342" s="201">
        <v>0.42599999999999999</v>
      </c>
      <c r="O342" s="201">
        <v>0.41299999999999998</v>
      </c>
      <c r="P342" s="201">
        <v>0.39200000000000002</v>
      </c>
      <c r="Q342" s="201">
        <v>0.41499999999999998</v>
      </c>
      <c r="R342" s="201">
        <v>0.38</v>
      </c>
      <c r="S342" s="201">
        <v>0.38900000000000001</v>
      </c>
      <c r="T342" s="201">
        <v>0.38900000000000001</v>
      </c>
      <c r="U342" s="201">
        <v>0.40500000000000003</v>
      </c>
      <c r="V342" s="201">
        <v>0.503</v>
      </c>
      <c r="W342" s="201">
        <v>0.20599999999999999</v>
      </c>
      <c r="X342" s="201">
        <v>0.153</v>
      </c>
      <c r="Y342" s="201">
        <v>0.107</v>
      </c>
      <c r="Z342" s="201">
        <v>0.159</v>
      </c>
      <c r="AA342" s="201">
        <v>0.161</v>
      </c>
      <c r="AB342" s="201">
        <v>0.14099999999999999</v>
      </c>
      <c r="AC342" s="201">
        <v>0.11899999999999999</v>
      </c>
      <c r="AD342" s="201">
        <v>7.4999999999999997E-2</v>
      </c>
      <c r="AE342" s="201">
        <v>0.09</v>
      </c>
      <c r="AF342" s="201">
        <v>5.0999999999999997E-2</v>
      </c>
      <c r="AG342" s="201">
        <v>447.3</v>
      </c>
      <c r="AH342" s="201">
        <v>422.5</v>
      </c>
      <c r="AI342" s="201">
        <v>403.9</v>
      </c>
      <c r="AJ342" s="201">
        <v>460.4</v>
      </c>
      <c r="AK342" s="201">
        <v>454.2</v>
      </c>
      <c r="AL342" s="201">
        <v>455.4</v>
      </c>
      <c r="AM342" s="157">
        <v>453</v>
      </c>
      <c r="AN342" s="157">
        <v>435.4</v>
      </c>
      <c r="AO342" s="157">
        <v>407.9</v>
      </c>
      <c r="AP342" s="157">
        <v>408.8</v>
      </c>
    </row>
    <row r="343" spans="1:42" ht="14.7" customHeight="1">
      <c r="A343" s="161" t="s">
        <v>258</v>
      </c>
      <c r="B343" s="196"/>
      <c r="C343" s="201">
        <v>656.9</v>
      </c>
      <c r="D343" s="201">
        <v>603</v>
      </c>
      <c r="E343" s="201">
        <v>502.4</v>
      </c>
      <c r="F343" s="201">
        <v>555.9</v>
      </c>
      <c r="G343" s="201">
        <v>561.1</v>
      </c>
      <c r="H343" s="201">
        <v>607.4</v>
      </c>
      <c r="I343" s="201">
        <v>594.1</v>
      </c>
      <c r="J343" s="201">
        <v>578.4</v>
      </c>
      <c r="K343" s="201">
        <v>601.20000000000005</v>
      </c>
      <c r="L343" s="201">
        <v>588.4</v>
      </c>
      <c r="M343" s="201">
        <v>0.35899999999999999</v>
      </c>
      <c r="N343" s="201">
        <v>0.40799999999999997</v>
      </c>
      <c r="O343" s="201">
        <v>0.49</v>
      </c>
      <c r="P343" s="201">
        <v>0.45600000000000002</v>
      </c>
      <c r="Q343" s="201">
        <v>0.441</v>
      </c>
      <c r="R343" s="201">
        <v>0.39500000000000002</v>
      </c>
      <c r="S343" s="201">
        <v>0.42</v>
      </c>
      <c r="T343" s="201">
        <v>0.41899999999999998</v>
      </c>
      <c r="U343" s="201">
        <v>0.38100000000000001</v>
      </c>
      <c r="V343" s="201">
        <v>0.375</v>
      </c>
      <c r="W343" s="201">
        <v>9.4E-2</v>
      </c>
      <c r="X343" s="201">
        <v>6.8000000000000005E-2</v>
      </c>
      <c r="Y343" s="201">
        <v>5.0999999999999997E-2</v>
      </c>
      <c r="Z343" s="201">
        <v>5.8000000000000003E-2</v>
      </c>
      <c r="AA343" s="201">
        <v>5.8000000000000003E-2</v>
      </c>
      <c r="AB343" s="201">
        <v>0.10199999999999999</v>
      </c>
      <c r="AC343" s="201">
        <v>6.9000000000000006E-2</v>
      </c>
      <c r="AD343" s="201">
        <v>5.8999999999999997E-2</v>
      </c>
      <c r="AE343" s="201">
        <v>5.5E-2</v>
      </c>
      <c r="AF343" s="201">
        <v>5.6000000000000001E-2</v>
      </c>
      <c r="AG343" s="201">
        <v>457.2</v>
      </c>
      <c r="AH343" s="201">
        <v>450.7</v>
      </c>
      <c r="AI343" s="201">
        <v>418.3</v>
      </c>
      <c r="AJ343" s="201">
        <v>435.1</v>
      </c>
      <c r="AK343" s="201">
        <v>426.6</v>
      </c>
      <c r="AL343" s="201">
        <v>424.2</v>
      </c>
      <c r="AM343" s="157">
        <v>431.9</v>
      </c>
      <c r="AN343" s="157">
        <v>417.2</v>
      </c>
      <c r="AO343" s="157">
        <v>405.7</v>
      </c>
      <c r="AP343" s="157">
        <v>393.1</v>
      </c>
    </row>
    <row r="344" spans="1:42" ht="14.7" customHeight="1">
      <c r="A344" s="161" t="s">
        <v>191</v>
      </c>
      <c r="B344" s="197"/>
      <c r="C344" s="200">
        <v>447.5</v>
      </c>
      <c r="D344" s="200">
        <v>447.7</v>
      </c>
      <c r="E344" s="200">
        <v>432.3</v>
      </c>
      <c r="F344" s="200">
        <v>444</v>
      </c>
      <c r="G344" s="200">
        <v>438.1</v>
      </c>
      <c r="H344" s="200">
        <v>447.1</v>
      </c>
      <c r="I344" s="200">
        <v>452.8</v>
      </c>
      <c r="J344" s="200">
        <v>449.4</v>
      </c>
      <c r="K344" s="200">
        <v>441.3</v>
      </c>
      <c r="L344" s="200">
        <v>430.6</v>
      </c>
      <c r="M344" s="200">
        <v>0.36199999999999999</v>
      </c>
      <c r="N344" s="200">
        <v>0.36199999999999999</v>
      </c>
      <c r="O344" s="200">
        <v>0.371</v>
      </c>
      <c r="P344" s="200">
        <v>0.36099999999999999</v>
      </c>
      <c r="Q344" s="200">
        <v>0.376</v>
      </c>
      <c r="R344" s="200">
        <v>0.374</v>
      </c>
      <c r="S344" s="200">
        <v>0.36699999999999999</v>
      </c>
      <c r="T344" s="200">
        <v>0.35699999999999998</v>
      </c>
      <c r="U344" s="200">
        <v>0.36599999999999999</v>
      </c>
      <c r="V344" s="200">
        <v>0.36599999999999999</v>
      </c>
      <c r="W344" s="200" t="s">
        <v>901</v>
      </c>
      <c r="X344" s="200" t="s">
        <v>901</v>
      </c>
      <c r="Y344" s="200" t="s">
        <v>901</v>
      </c>
      <c r="Z344" s="200" t="s">
        <v>901</v>
      </c>
      <c r="AA344" s="200" t="s">
        <v>901</v>
      </c>
      <c r="AB344" s="200" t="s">
        <v>901</v>
      </c>
      <c r="AC344" s="200" t="s">
        <v>901</v>
      </c>
      <c r="AD344" s="200" t="s">
        <v>901</v>
      </c>
      <c r="AE344" s="200" t="s">
        <v>910</v>
      </c>
      <c r="AF344" s="200">
        <v>0</v>
      </c>
      <c r="AG344" s="200">
        <v>322.10000000000002</v>
      </c>
      <c r="AH344" s="200">
        <v>322.39999999999998</v>
      </c>
      <c r="AI344" s="200">
        <v>304.3</v>
      </c>
      <c r="AJ344" s="200">
        <v>306.89999999999998</v>
      </c>
      <c r="AK344" s="200">
        <v>308.10000000000002</v>
      </c>
      <c r="AL344" s="200">
        <v>312.3</v>
      </c>
      <c r="AM344" s="157">
        <v>314</v>
      </c>
      <c r="AN344" s="157">
        <v>311.60000000000002</v>
      </c>
      <c r="AO344" s="157">
        <v>313.3</v>
      </c>
      <c r="AP344" s="157">
        <v>309.39999999999998</v>
      </c>
    </row>
    <row r="345" spans="1:42" ht="14.7" customHeight="1">
      <c r="A345" s="161" t="s">
        <v>333</v>
      </c>
      <c r="B345" s="197"/>
      <c r="C345" s="199">
        <v>594.4</v>
      </c>
      <c r="D345" s="199">
        <v>575.4</v>
      </c>
      <c r="E345" s="199">
        <v>570.1</v>
      </c>
      <c r="F345" s="199">
        <v>611.6</v>
      </c>
      <c r="G345" s="199">
        <v>619.9</v>
      </c>
      <c r="H345" s="199">
        <v>626</v>
      </c>
      <c r="I345" s="199">
        <v>614.9</v>
      </c>
      <c r="J345" s="199">
        <v>593.70000000000005</v>
      </c>
      <c r="K345" s="199">
        <v>588.70000000000005</v>
      </c>
      <c r="L345" s="199">
        <v>579.29999999999995</v>
      </c>
      <c r="M345" s="199">
        <v>0.42799999999999999</v>
      </c>
      <c r="N345" s="199">
        <v>0.433</v>
      </c>
      <c r="O345" s="199">
        <v>0.435</v>
      </c>
      <c r="P345" s="199">
        <v>0.40899999999999997</v>
      </c>
      <c r="Q345" s="199">
        <v>0.40799999999999997</v>
      </c>
      <c r="R345" s="199">
        <v>0.41399999999999998</v>
      </c>
      <c r="S345" s="199">
        <v>0.42699999999999999</v>
      </c>
      <c r="T345" s="199">
        <v>0.42899999999999999</v>
      </c>
      <c r="U345" s="199">
        <v>0.433</v>
      </c>
      <c r="V345" s="199">
        <v>0.436</v>
      </c>
      <c r="W345" s="199">
        <v>0.48499999999999999</v>
      </c>
      <c r="X345" s="199">
        <v>0.48099999999999998</v>
      </c>
      <c r="Y345" s="199">
        <v>0.49299999999999999</v>
      </c>
      <c r="Z345" s="199">
        <v>0.49099999999999999</v>
      </c>
      <c r="AA345" s="199">
        <v>0.49099999999999999</v>
      </c>
      <c r="AB345" s="199">
        <v>0.47599999999999998</v>
      </c>
      <c r="AC345" s="199">
        <v>0.312</v>
      </c>
      <c r="AD345" s="199">
        <v>0.11799999999999999</v>
      </c>
      <c r="AE345" s="199">
        <v>0.124</v>
      </c>
      <c r="AF345" s="199">
        <v>9.9000000000000005E-2</v>
      </c>
      <c r="AG345" s="199">
        <v>460.4</v>
      </c>
      <c r="AH345" s="199">
        <v>451</v>
      </c>
      <c r="AI345" s="199">
        <v>443.7</v>
      </c>
      <c r="AJ345" s="199">
        <v>456</v>
      </c>
      <c r="AK345" s="199">
        <v>459.8</v>
      </c>
      <c r="AL345" s="199">
        <v>467.6</v>
      </c>
      <c r="AM345" s="157">
        <v>471.7</v>
      </c>
      <c r="AN345" s="157">
        <v>458.4</v>
      </c>
      <c r="AO345" s="157">
        <v>459.2</v>
      </c>
      <c r="AP345" s="157">
        <v>456.7</v>
      </c>
    </row>
    <row r="346" spans="1:42" ht="14.7" customHeight="1">
      <c r="A346" s="161" t="s">
        <v>192</v>
      </c>
      <c r="B346" s="197"/>
      <c r="C346" s="200">
        <v>479.8</v>
      </c>
      <c r="D346" s="200">
        <v>483.9</v>
      </c>
      <c r="E346" s="200">
        <v>492.1</v>
      </c>
      <c r="F346" s="200">
        <v>509.8</v>
      </c>
      <c r="G346" s="200">
        <v>506.9</v>
      </c>
      <c r="H346" s="200">
        <v>508.7</v>
      </c>
      <c r="I346" s="200">
        <v>512.1</v>
      </c>
      <c r="J346" s="200">
        <v>503.3</v>
      </c>
      <c r="K346" s="200">
        <v>484.6</v>
      </c>
      <c r="L346" s="200">
        <v>442.3</v>
      </c>
      <c r="M346" s="200">
        <v>0.36099999999999999</v>
      </c>
      <c r="N346" s="200">
        <v>0.36599999999999999</v>
      </c>
      <c r="O346" s="200">
        <v>0.34100000000000003</v>
      </c>
      <c r="P346" s="200">
        <v>0.34300000000000003</v>
      </c>
      <c r="Q346" s="200">
        <v>0.34599999999999997</v>
      </c>
      <c r="R346" s="200">
        <v>0.34499999999999997</v>
      </c>
      <c r="S346" s="200">
        <v>0.35299999999999998</v>
      </c>
      <c r="T346" s="200">
        <v>0.35799999999999998</v>
      </c>
      <c r="U346" s="200">
        <v>0.376</v>
      </c>
      <c r="V346" s="200">
        <v>0.4</v>
      </c>
      <c r="W346" s="200" t="s">
        <v>901</v>
      </c>
      <c r="X346" s="200" t="s">
        <v>901</v>
      </c>
      <c r="Y346" s="200" t="s">
        <v>901</v>
      </c>
      <c r="Z346" s="200" t="s">
        <v>901</v>
      </c>
      <c r="AA346" s="200" t="s">
        <v>901</v>
      </c>
      <c r="AB346" s="200" t="s">
        <v>901</v>
      </c>
      <c r="AC346" s="200" t="s">
        <v>901</v>
      </c>
      <c r="AD346" s="200" t="s">
        <v>901</v>
      </c>
      <c r="AE346" s="200" t="s">
        <v>910</v>
      </c>
      <c r="AF346" s="200">
        <v>0</v>
      </c>
      <c r="AG346" s="200">
        <v>359.3</v>
      </c>
      <c r="AH346" s="200">
        <v>356.6</v>
      </c>
      <c r="AI346" s="200">
        <v>343.7</v>
      </c>
      <c r="AJ346" s="200">
        <v>355.6</v>
      </c>
      <c r="AK346" s="200">
        <v>354.8</v>
      </c>
      <c r="AL346" s="200">
        <v>352.5</v>
      </c>
      <c r="AM346" s="157">
        <v>358.8</v>
      </c>
      <c r="AN346" s="157">
        <v>354.9</v>
      </c>
      <c r="AO346" s="157">
        <v>353.2</v>
      </c>
      <c r="AP346" s="157">
        <v>336.2</v>
      </c>
    </row>
    <row r="347" spans="1:42" ht="14.7" customHeight="1">
      <c r="A347" s="161" t="s">
        <v>193</v>
      </c>
      <c r="B347" s="197"/>
      <c r="C347" s="201">
        <v>445.5</v>
      </c>
      <c r="D347" s="201">
        <v>440.4</v>
      </c>
      <c r="E347" s="201">
        <v>416.7</v>
      </c>
      <c r="F347" s="201">
        <v>462.6</v>
      </c>
      <c r="G347" s="201">
        <v>462</v>
      </c>
      <c r="H347" s="201">
        <v>467.2</v>
      </c>
      <c r="I347" s="201">
        <v>471.6</v>
      </c>
      <c r="J347" s="201">
        <v>465.6</v>
      </c>
      <c r="K347" s="201">
        <v>466.8</v>
      </c>
      <c r="L347" s="201">
        <v>466.4</v>
      </c>
      <c r="M347" s="201">
        <v>0.437</v>
      </c>
      <c r="N347" s="201">
        <v>0.436</v>
      </c>
      <c r="O347" s="201">
        <v>0.45200000000000001</v>
      </c>
      <c r="P347" s="201">
        <v>0.42199999999999999</v>
      </c>
      <c r="Q347" s="201">
        <v>0.43</v>
      </c>
      <c r="R347" s="201">
        <v>0.439</v>
      </c>
      <c r="S347" s="201">
        <v>0.442</v>
      </c>
      <c r="T347" s="201">
        <v>0.436</v>
      </c>
      <c r="U347" s="201">
        <v>0.438</v>
      </c>
      <c r="V347" s="201">
        <v>0.44800000000000001</v>
      </c>
      <c r="W347" s="201" t="s">
        <v>901</v>
      </c>
      <c r="X347" s="201" t="s">
        <v>901</v>
      </c>
      <c r="Y347" s="201" t="s">
        <v>901</v>
      </c>
      <c r="Z347" s="201" t="s">
        <v>901</v>
      </c>
      <c r="AA347" s="201" t="s">
        <v>901</v>
      </c>
      <c r="AB347" s="201" t="s">
        <v>901</v>
      </c>
      <c r="AC347" s="201" t="s">
        <v>901</v>
      </c>
      <c r="AD347" s="201" t="s">
        <v>901</v>
      </c>
      <c r="AE347" s="201" t="s">
        <v>910</v>
      </c>
      <c r="AF347" s="201">
        <v>0</v>
      </c>
      <c r="AG347" s="201">
        <v>347.7</v>
      </c>
      <c r="AH347" s="201">
        <v>345.9</v>
      </c>
      <c r="AI347" s="201">
        <v>338.5</v>
      </c>
      <c r="AJ347" s="201">
        <v>358.2</v>
      </c>
      <c r="AK347" s="201">
        <v>361.4</v>
      </c>
      <c r="AL347" s="201">
        <v>367</v>
      </c>
      <c r="AM347" s="157">
        <v>375.5</v>
      </c>
      <c r="AN347" s="157">
        <v>365.9</v>
      </c>
      <c r="AO347" s="157">
        <v>368.1</v>
      </c>
      <c r="AP347" s="157">
        <v>375.7</v>
      </c>
    </row>
    <row r="348" spans="1:42" ht="14.7" customHeight="1">
      <c r="A348" s="161" t="s">
        <v>194</v>
      </c>
      <c r="B348" s="196"/>
      <c r="C348" s="200">
        <v>544.6</v>
      </c>
      <c r="D348" s="200">
        <v>536.4</v>
      </c>
      <c r="E348" s="200">
        <v>543.20000000000005</v>
      </c>
      <c r="F348" s="200">
        <v>498.4</v>
      </c>
      <c r="G348" s="200">
        <v>435.8</v>
      </c>
      <c r="H348" s="200">
        <v>426.6</v>
      </c>
      <c r="I348" s="200">
        <v>429.3</v>
      </c>
      <c r="J348" s="200">
        <v>403.9</v>
      </c>
      <c r="K348" s="200">
        <v>425.2</v>
      </c>
      <c r="L348" s="200">
        <v>425.1</v>
      </c>
      <c r="M348" s="200">
        <v>0.41699999999999998</v>
      </c>
      <c r="N348" s="200">
        <v>0.41799999999999998</v>
      </c>
      <c r="O348" s="200">
        <v>0.39100000000000001</v>
      </c>
      <c r="P348" s="200">
        <v>0.47199999999999998</v>
      </c>
      <c r="Q348" s="200">
        <v>0.52500000000000002</v>
      </c>
      <c r="R348" s="200">
        <v>0.51800000000000002</v>
      </c>
      <c r="S348" s="200">
        <v>0.51300000000000001</v>
      </c>
      <c r="T348" s="200">
        <v>0.52100000000000002</v>
      </c>
      <c r="U348" s="200">
        <v>0.51400000000000001</v>
      </c>
      <c r="V348" s="200">
        <v>0.49399999999999999</v>
      </c>
      <c r="W348" s="200" t="s">
        <v>901</v>
      </c>
      <c r="X348" s="200" t="s">
        <v>901</v>
      </c>
      <c r="Y348" s="200" t="s">
        <v>901</v>
      </c>
      <c r="Z348" s="200" t="s">
        <v>901</v>
      </c>
      <c r="AA348" s="200" t="s">
        <v>901</v>
      </c>
      <c r="AB348" s="200" t="s">
        <v>901</v>
      </c>
      <c r="AC348" s="200" t="s">
        <v>901</v>
      </c>
      <c r="AD348" s="200" t="s">
        <v>901</v>
      </c>
      <c r="AE348" s="200" t="s">
        <v>910</v>
      </c>
      <c r="AF348" s="200">
        <v>0</v>
      </c>
      <c r="AG348" s="200">
        <v>398.8</v>
      </c>
      <c r="AH348" s="200">
        <v>390.2</v>
      </c>
      <c r="AI348" s="200">
        <v>363.4</v>
      </c>
      <c r="AJ348" s="200">
        <v>384</v>
      </c>
      <c r="AK348" s="200">
        <v>372</v>
      </c>
      <c r="AL348" s="200">
        <v>357.9</v>
      </c>
      <c r="AM348" s="157">
        <v>358</v>
      </c>
      <c r="AN348" s="157">
        <v>347.2</v>
      </c>
      <c r="AO348" s="157">
        <v>362.7</v>
      </c>
      <c r="AP348" s="157">
        <v>352</v>
      </c>
    </row>
    <row r="349" spans="1:42" ht="14.7" customHeight="1">
      <c r="A349" s="161" t="s">
        <v>195</v>
      </c>
      <c r="B349" s="197"/>
      <c r="C349" s="200">
        <v>451.9</v>
      </c>
      <c r="D349" s="200">
        <v>443.8</v>
      </c>
      <c r="E349" s="200">
        <v>449.9</v>
      </c>
      <c r="F349" s="200">
        <v>429.9</v>
      </c>
      <c r="G349" s="200">
        <v>413.1</v>
      </c>
      <c r="H349" s="200">
        <v>418.8</v>
      </c>
      <c r="I349" s="200">
        <v>451.5</v>
      </c>
      <c r="J349" s="200">
        <v>459.5</v>
      </c>
      <c r="K349" s="200">
        <v>449.1</v>
      </c>
      <c r="L349" s="200">
        <v>431.3</v>
      </c>
      <c r="M349" s="200">
        <v>0.46400000000000002</v>
      </c>
      <c r="N349" s="200">
        <v>0.48499999999999999</v>
      </c>
      <c r="O349" s="200">
        <v>0.47499999999999998</v>
      </c>
      <c r="P349" s="200">
        <v>0.49199999999999999</v>
      </c>
      <c r="Q349" s="200">
        <v>0.51100000000000001</v>
      </c>
      <c r="R349" s="200">
        <v>0.51400000000000001</v>
      </c>
      <c r="S349" s="200">
        <v>0.44900000000000001</v>
      </c>
      <c r="T349" s="200">
        <v>0.42899999999999999</v>
      </c>
      <c r="U349" s="200">
        <v>0.432</v>
      </c>
      <c r="V349" s="200">
        <v>0.45700000000000002</v>
      </c>
      <c r="W349" s="200" t="s">
        <v>901</v>
      </c>
      <c r="X349" s="200" t="s">
        <v>901</v>
      </c>
      <c r="Y349" s="200" t="s">
        <v>901</v>
      </c>
      <c r="Z349" s="200" t="s">
        <v>901</v>
      </c>
      <c r="AA349" s="200" t="s">
        <v>901</v>
      </c>
      <c r="AB349" s="200" t="s">
        <v>901</v>
      </c>
      <c r="AC349" s="200" t="s">
        <v>901</v>
      </c>
      <c r="AD349" s="200" t="s">
        <v>901</v>
      </c>
      <c r="AE349" s="200" t="s">
        <v>910</v>
      </c>
      <c r="AF349" s="200">
        <v>0</v>
      </c>
      <c r="AG349" s="200">
        <v>377.8</v>
      </c>
      <c r="AH349" s="200">
        <v>384.4</v>
      </c>
      <c r="AI349" s="200">
        <v>396.3</v>
      </c>
      <c r="AJ349" s="200">
        <v>395.6</v>
      </c>
      <c r="AK349" s="200">
        <v>392.9</v>
      </c>
      <c r="AL349" s="200">
        <v>398.2</v>
      </c>
      <c r="AM349" s="157">
        <v>378.8</v>
      </c>
      <c r="AN349" s="157">
        <v>374.9</v>
      </c>
      <c r="AO349" s="157">
        <v>368.4</v>
      </c>
      <c r="AP349" s="157">
        <v>370.1</v>
      </c>
    </row>
    <row r="350" spans="1:42" ht="14.7" customHeight="1">
      <c r="A350" s="161" t="s">
        <v>196</v>
      </c>
      <c r="B350" s="197"/>
      <c r="C350" s="201">
        <v>566.9</v>
      </c>
      <c r="D350" s="201">
        <v>539.1</v>
      </c>
      <c r="E350" s="201">
        <v>529</v>
      </c>
      <c r="F350" s="201">
        <v>554.1</v>
      </c>
      <c r="G350" s="201">
        <v>547.9</v>
      </c>
      <c r="H350" s="201">
        <v>578.9</v>
      </c>
      <c r="I350" s="201">
        <v>544.1</v>
      </c>
      <c r="J350" s="201">
        <v>518.9</v>
      </c>
      <c r="K350" s="201">
        <v>514.5</v>
      </c>
      <c r="L350" s="201">
        <v>520.4</v>
      </c>
      <c r="M350" s="201">
        <v>0.27600000000000002</v>
      </c>
      <c r="N350" s="201">
        <v>0.29899999999999999</v>
      </c>
      <c r="O350" s="201">
        <v>0.317</v>
      </c>
      <c r="P350" s="201">
        <v>0.30099999999999999</v>
      </c>
      <c r="Q350" s="201">
        <v>0.31900000000000001</v>
      </c>
      <c r="R350" s="201">
        <v>0.309</v>
      </c>
      <c r="S350" s="201">
        <v>0.32800000000000001</v>
      </c>
      <c r="T350" s="201">
        <v>0.32800000000000001</v>
      </c>
      <c r="U350" s="201">
        <v>0.32600000000000001</v>
      </c>
      <c r="V350" s="201">
        <v>0.31900000000000001</v>
      </c>
      <c r="W350" s="201" t="s">
        <v>901</v>
      </c>
      <c r="X350" s="201" t="s">
        <v>901</v>
      </c>
      <c r="Y350" s="201" t="s">
        <v>901</v>
      </c>
      <c r="Z350" s="201" t="s">
        <v>901</v>
      </c>
      <c r="AA350" s="201" t="s">
        <v>901</v>
      </c>
      <c r="AB350" s="201" t="s">
        <v>901</v>
      </c>
      <c r="AC350" s="201" t="s">
        <v>901</v>
      </c>
      <c r="AD350" s="201" t="s">
        <v>901</v>
      </c>
      <c r="AE350" s="201" t="s">
        <v>910</v>
      </c>
      <c r="AF350" s="201">
        <v>0</v>
      </c>
      <c r="AG350" s="201">
        <v>355.9</v>
      </c>
      <c r="AH350" s="201">
        <v>352.2</v>
      </c>
      <c r="AI350" s="201">
        <v>356.8</v>
      </c>
      <c r="AJ350" s="201">
        <v>368.2</v>
      </c>
      <c r="AK350" s="201">
        <v>372.8</v>
      </c>
      <c r="AL350" s="201">
        <v>387.8</v>
      </c>
      <c r="AM350" s="157">
        <v>376.1</v>
      </c>
      <c r="AN350" s="157">
        <v>357.3</v>
      </c>
      <c r="AO350" s="157">
        <v>353.2</v>
      </c>
      <c r="AP350" s="157">
        <v>354.7</v>
      </c>
    </row>
    <row r="351" spans="1:42">
      <c r="A351" s="164" t="s">
        <v>300</v>
      </c>
      <c r="B351" s="196"/>
      <c r="C351" s="201">
        <v>581.70000000000005</v>
      </c>
      <c r="D351" s="201">
        <v>563.79999999999995</v>
      </c>
      <c r="E351" s="201">
        <v>541.20000000000005</v>
      </c>
      <c r="F351" s="201">
        <v>558.70000000000005</v>
      </c>
      <c r="G351" s="201">
        <v>598.29999999999995</v>
      </c>
      <c r="H351" s="201">
        <v>574.70000000000005</v>
      </c>
      <c r="I351" s="201">
        <v>557.29999999999995</v>
      </c>
      <c r="J351" s="201">
        <v>530.6</v>
      </c>
      <c r="K351" s="201">
        <v>550.9</v>
      </c>
      <c r="L351" s="201">
        <v>460.8</v>
      </c>
      <c r="M351" s="201">
        <v>0.45100000000000001</v>
      </c>
      <c r="N351" s="201">
        <v>0.46400000000000002</v>
      </c>
      <c r="O351" s="201">
        <v>0.46</v>
      </c>
      <c r="P351" s="201">
        <v>0.436</v>
      </c>
      <c r="Q351" s="201">
        <v>0.42499999999999999</v>
      </c>
      <c r="R351" s="201">
        <v>0.42799999999999999</v>
      </c>
      <c r="S351" s="201">
        <v>0.42499999999999999</v>
      </c>
      <c r="T351" s="201">
        <v>0.44900000000000001</v>
      </c>
      <c r="U351" s="201">
        <v>0.436</v>
      </c>
      <c r="V351" s="201">
        <v>0.48399999999999999</v>
      </c>
      <c r="W351" s="201">
        <v>0.54200000000000004</v>
      </c>
      <c r="X351" s="201">
        <v>0.52900000000000003</v>
      </c>
      <c r="Y351" s="201">
        <v>0.53800000000000003</v>
      </c>
      <c r="Z351" s="201">
        <v>0.55800000000000005</v>
      </c>
      <c r="AA351" s="201">
        <v>0.57399999999999995</v>
      </c>
      <c r="AB351" s="201">
        <v>0.59299999999999997</v>
      </c>
      <c r="AC351" s="201">
        <v>0.59599999999999997</v>
      </c>
      <c r="AD351" s="201">
        <v>0.33600000000000002</v>
      </c>
      <c r="AE351" s="201">
        <v>0.20799999999999999</v>
      </c>
      <c r="AF351" s="201">
        <v>0.18099999999999999</v>
      </c>
      <c r="AG351" s="201">
        <v>461.8</v>
      </c>
      <c r="AH351" s="201">
        <v>443.3</v>
      </c>
      <c r="AI351" s="201">
        <v>432.4</v>
      </c>
      <c r="AJ351" s="201">
        <v>424.6</v>
      </c>
      <c r="AK351" s="201">
        <v>441.9</v>
      </c>
      <c r="AL351" s="201">
        <v>418.5</v>
      </c>
      <c r="AM351" s="157">
        <v>402.2</v>
      </c>
      <c r="AN351" s="157">
        <v>407.8</v>
      </c>
      <c r="AO351" s="157">
        <v>418.5</v>
      </c>
      <c r="AP351" s="157">
        <v>383.4</v>
      </c>
    </row>
    <row r="352" spans="1:42">
      <c r="A352" s="195"/>
      <c r="B352" s="165"/>
      <c r="C352" s="202"/>
      <c r="D352" s="165"/>
      <c r="E352" s="202"/>
      <c r="F352" s="202"/>
      <c r="G352" s="165"/>
      <c r="H352" s="165"/>
      <c r="I352" s="165"/>
      <c r="J352" s="165"/>
      <c r="K352" s="165"/>
      <c r="L352" s="165"/>
      <c r="M352" s="165"/>
      <c r="N352" s="165"/>
      <c r="O352" s="165"/>
      <c r="P352" s="165"/>
      <c r="Q352" s="165"/>
      <c r="R352" s="165"/>
      <c r="S352" s="165"/>
      <c r="T352" s="165"/>
      <c r="U352" s="165"/>
      <c r="V352" s="165"/>
      <c r="W352" s="165"/>
      <c r="X352" s="165"/>
      <c r="Y352" s="177"/>
    </row>
    <row r="353" spans="1:25" ht="12.75" customHeight="1">
      <c r="A353" s="195"/>
      <c r="B353" s="195"/>
      <c r="C353" s="202"/>
      <c r="D353" s="165"/>
      <c r="E353" s="202"/>
      <c r="F353" s="202"/>
      <c r="G353" s="165"/>
      <c r="H353" s="165"/>
      <c r="I353" s="165"/>
      <c r="J353" s="165"/>
      <c r="K353" s="165"/>
      <c r="L353" s="165"/>
      <c r="M353" s="165"/>
      <c r="N353" s="165"/>
      <c r="O353" s="165"/>
      <c r="P353" s="165"/>
      <c r="Q353" s="165"/>
      <c r="R353" s="165"/>
      <c r="S353" s="165"/>
      <c r="T353" s="165"/>
      <c r="U353" s="165"/>
      <c r="V353" s="165"/>
      <c r="W353" s="165"/>
      <c r="X353" s="165"/>
      <c r="Y353" s="177"/>
    </row>
    <row r="354" spans="1:25">
      <c r="A354" s="177"/>
      <c r="B354" s="177"/>
      <c r="C354" s="203"/>
      <c r="D354" s="177"/>
      <c r="E354" s="203"/>
      <c r="F354" s="203"/>
      <c r="G354" s="177"/>
      <c r="H354" s="177"/>
      <c r="I354" s="177"/>
      <c r="J354" s="177"/>
      <c r="K354" s="177"/>
      <c r="L354" s="177"/>
      <c r="M354" s="177"/>
      <c r="N354" s="177"/>
      <c r="O354" s="177"/>
      <c r="P354" s="177"/>
      <c r="Q354" s="177"/>
      <c r="R354" s="177"/>
      <c r="S354" s="177"/>
      <c r="T354" s="177"/>
      <c r="U354" s="177"/>
      <c r="V354" s="177"/>
      <c r="W354" s="177"/>
      <c r="X354" s="177"/>
      <c r="Y354" s="177"/>
    </row>
    <row r="355" spans="1:25">
      <c r="A355" s="39"/>
      <c r="B355" s="165"/>
      <c r="C355" s="203"/>
      <c r="D355" s="165"/>
      <c r="E355" s="203"/>
      <c r="F355" s="203"/>
      <c r="G355" s="165"/>
      <c r="H355" s="165"/>
      <c r="I355" s="165"/>
      <c r="J355" s="165"/>
      <c r="K355" s="165"/>
      <c r="L355" s="165"/>
      <c r="M355" s="165"/>
      <c r="N355" s="165"/>
      <c r="O355" s="165"/>
      <c r="P355" s="165"/>
      <c r="Q355" s="165"/>
      <c r="R355" s="165"/>
      <c r="S355" s="165"/>
      <c r="T355" s="166"/>
      <c r="U355" s="167"/>
      <c r="V355" s="177"/>
      <c r="W355" s="177"/>
      <c r="X355" s="177"/>
      <c r="Y355" s="177"/>
    </row>
    <row r="356" spans="1:25">
      <c r="A356" s="39"/>
      <c r="B356" s="165"/>
      <c r="C356" s="204"/>
      <c r="D356" s="165"/>
      <c r="E356" s="204"/>
      <c r="F356" s="204"/>
      <c r="G356" s="165"/>
      <c r="H356" s="165"/>
      <c r="I356" s="165"/>
      <c r="J356" s="165"/>
      <c r="K356" s="165"/>
      <c r="L356" s="165"/>
      <c r="M356" s="165"/>
      <c r="N356" s="165"/>
      <c r="O356" s="165"/>
      <c r="P356" s="165"/>
      <c r="Q356" s="165"/>
      <c r="R356" s="165"/>
      <c r="S356" s="165"/>
      <c r="T356" s="166"/>
      <c r="U356" s="167"/>
      <c r="V356" s="177"/>
      <c r="W356" s="177"/>
      <c r="X356" s="177"/>
      <c r="Y356" s="177"/>
    </row>
    <row r="357" spans="1:25">
      <c r="A357" s="39"/>
      <c r="B357" s="177"/>
      <c r="C357" s="204"/>
      <c r="D357" s="177"/>
      <c r="E357" s="204"/>
      <c r="F357" s="204"/>
      <c r="G357" s="177"/>
      <c r="H357" s="177"/>
      <c r="I357" s="177"/>
      <c r="J357" s="177"/>
      <c r="K357" s="177"/>
      <c r="L357" s="177"/>
      <c r="M357" s="177"/>
      <c r="N357" s="177"/>
      <c r="O357" s="177"/>
      <c r="P357" s="177"/>
      <c r="Q357" s="177"/>
      <c r="R357" s="177"/>
      <c r="S357" s="177"/>
      <c r="T357" s="177"/>
      <c r="U357" s="177"/>
      <c r="V357" s="177"/>
      <c r="W357" s="177"/>
      <c r="X357" s="177"/>
      <c r="Y357" s="177"/>
    </row>
    <row r="358" spans="1:25">
      <c r="A358" s="39"/>
      <c r="B358" s="177"/>
      <c r="C358" s="204"/>
      <c r="D358" s="177"/>
      <c r="E358" s="204"/>
      <c r="F358" s="204"/>
      <c r="G358" s="177"/>
      <c r="H358" s="177"/>
      <c r="I358" s="177"/>
      <c r="J358" s="177"/>
      <c r="K358" s="177"/>
      <c r="L358" s="177"/>
      <c r="M358" s="177"/>
      <c r="N358" s="177"/>
      <c r="O358" s="177"/>
      <c r="P358" s="177"/>
      <c r="Q358" s="177"/>
      <c r="R358" s="177"/>
      <c r="S358" s="177"/>
      <c r="T358" s="177"/>
      <c r="U358" s="177"/>
      <c r="V358" s="177"/>
      <c r="W358" s="177"/>
      <c r="X358" s="177"/>
      <c r="Y358" s="177"/>
    </row>
    <row r="359" spans="1:25">
      <c r="A359" s="39"/>
      <c r="B359" s="177"/>
      <c r="C359" s="203"/>
      <c r="D359" s="177"/>
      <c r="E359" s="203"/>
      <c r="F359" s="203"/>
      <c r="G359" s="177"/>
      <c r="H359" s="177"/>
      <c r="I359" s="177"/>
      <c r="J359" s="177"/>
      <c r="K359" s="177"/>
      <c r="L359" s="177"/>
      <c r="M359" s="177"/>
      <c r="N359" s="177"/>
      <c r="O359" s="177"/>
      <c r="P359" s="177"/>
      <c r="Q359" s="177"/>
      <c r="R359" s="177"/>
      <c r="S359" s="177"/>
      <c r="T359" s="177"/>
      <c r="U359" s="177"/>
      <c r="V359" s="177"/>
      <c r="W359" s="177"/>
      <c r="X359" s="177"/>
      <c r="Y359" s="177"/>
    </row>
    <row r="360" spans="1:25">
      <c r="A360" s="39"/>
      <c r="B360" s="177"/>
      <c r="C360" s="204"/>
      <c r="D360" s="177"/>
      <c r="E360" s="204"/>
      <c r="F360" s="204"/>
      <c r="G360" s="177"/>
      <c r="H360" s="177"/>
      <c r="I360" s="177"/>
      <c r="J360" s="177"/>
      <c r="K360" s="177"/>
      <c r="L360" s="177"/>
      <c r="M360" s="177"/>
      <c r="N360" s="177"/>
      <c r="O360" s="177"/>
      <c r="P360" s="177"/>
      <c r="Q360" s="177"/>
      <c r="R360" s="177"/>
      <c r="S360" s="177"/>
      <c r="T360" s="177"/>
      <c r="U360" s="177"/>
      <c r="V360" s="177"/>
      <c r="W360" s="177"/>
      <c r="X360" s="177"/>
      <c r="Y360" s="177"/>
    </row>
    <row r="361" spans="1:25">
      <c r="A361" s="39"/>
      <c r="B361" s="177"/>
      <c r="C361" s="204"/>
      <c r="D361" s="177"/>
      <c r="E361" s="204"/>
      <c r="F361" s="204"/>
      <c r="G361" s="177"/>
      <c r="H361" s="177"/>
      <c r="I361" s="177"/>
      <c r="J361" s="177"/>
      <c r="K361" s="177"/>
      <c r="L361" s="177"/>
      <c r="M361" s="177"/>
      <c r="N361" s="177"/>
      <c r="O361" s="177"/>
      <c r="P361" s="177"/>
      <c r="Q361" s="177"/>
      <c r="R361" s="177"/>
      <c r="S361" s="177"/>
      <c r="T361" s="177"/>
      <c r="U361" s="177"/>
      <c r="V361" s="177"/>
      <c r="W361" s="177"/>
      <c r="X361" s="177"/>
      <c r="Y361" s="177"/>
    </row>
    <row r="362" spans="1:25" ht="14.4">
      <c r="A362" s="158"/>
      <c r="B362" s="177"/>
      <c r="C362" s="203"/>
      <c r="D362" s="177"/>
      <c r="E362" s="203"/>
      <c r="F362" s="203"/>
      <c r="G362" s="177"/>
      <c r="H362" s="177"/>
      <c r="I362" s="177"/>
      <c r="J362" s="177"/>
      <c r="K362" s="177"/>
      <c r="L362" s="177"/>
      <c r="M362" s="177"/>
      <c r="N362" s="177"/>
      <c r="O362" s="177"/>
      <c r="P362" s="177"/>
      <c r="Q362" s="177"/>
      <c r="R362" s="177"/>
      <c r="S362" s="177"/>
      <c r="T362" s="177"/>
      <c r="U362" s="177"/>
      <c r="V362" s="177"/>
      <c r="W362" s="177"/>
      <c r="X362" s="177"/>
      <c r="Y362" s="177"/>
    </row>
    <row r="363" spans="1:25" ht="14.4">
      <c r="A363" s="158"/>
      <c r="B363" s="177"/>
      <c r="C363" s="203"/>
      <c r="D363" s="177"/>
      <c r="E363" s="203"/>
      <c r="F363" s="203"/>
      <c r="G363" s="177"/>
      <c r="H363" s="177"/>
      <c r="I363" s="177"/>
      <c r="J363" s="177"/>
      <c r="K363" s="177"/>
      <c r="L363" s="177"/>
      <c r="M363" s="177"/>
      <c r="N363" s="177"/>
      <c r="O363" s="177"/>
      <c r="P363" s="177"/>
      <c r="Q363" s="177"/>
      <c r="R363" s="177"/>
      <c r="S363" s="177"/>
      <c r="T363" s="177"/>
      <c r="U363" s="177"/>
      <c r="V363" s="177"/>
      <c r="W363" s="177"/>
      <c r="X363" s="177"/>
      <c r="Y363" s="177"/>
    </row>
    <row r="364" spans="1:25" ht="14.4">
      <c r="A364" s="158"/>
      <c r="B364" s="177"/>
      <c r="C364" s="203"/>
      <c r="D364" s="177"/>
      <c r="E364" s="203"/>
      <c r="F364" s="203"/>
      <c r="G364" s="177"/>
      <c r="H364" s="177"/>
      <c r="I364" s="177"/>
      <c r="J364" s="177"/>
      <c r="K364" s="177"/>
      <c r="L364" s="177"/>
      <c r="M364" s="177"/>
      <c r="N364" s="177"/>
      <c r="O364" s="177"/>
      <c r="P364" s="177"/>
      <c r="Q364" s="177"/>
      <c r="R364" s="177"/>
      <c r="S364" s="177"/>
      <c r="T364" s="177"/>
      <c r="U364" s="177"/>
      <c r="V364" s="177"/>
      <c r="W364" s="177"/>
      <c r="X364" s="177"/>
      <c r="Y364" s="177"/>
    </row>
    <row r="365" spans="1:25" ht="14.4">
      <c r="A365" s="158"/>
      <c r="B365" s="177"/>
      <c r="C365" s="203"/>
      <c r="D365" s="177"/>
      <c r="E365" s="203"/>
      <c r="F365" s="203"/>
      <c r="G365" s="177"/>
      <c r="H365" s="177"/>
      <c r="I365" s="177"/>
      <c r="J365" s="177"/>
      <c r="K365" s="177"/>
      <c r="L365" s="177"/>
      <c r="M365" s="177"/>
      <c r="N365" s="177"/>
      <c r="O365" s="177"/>
      <c r="P365" s="177"/>
      <c r="Q365" s="177"/>
      <c r="R365" s="177"/>
      <c r="S365" s="177"/>
      <c r="T365" s="177"/>
      <c r="U365" s="177"/>
      <c r="V365" s="177"/>
      <c r="W365" s="177"/>
      <c r="X365" s="177"/>
      <c r="Y365" s="177"/>
    </row>
    <row r="366" spans="1:25" ht="14.4">
      <c r="A366" s="158"/>
      <c r="B366" s="177"/>
      <c r="C366" s="203"/>
      <c r="D366" s="177"/>
      <c r="E366" s="203"/>
      <c r="F366" s="203"/>
      <c r="G366" s="177"/>
      <c r="H366" s="177"/>
      <c r="I366" s="177"/>
      <c r="J366" s="177"/>
      <c r="K366" s="177"/>
      <c r="L366" s="177"/>
      <c r="M366" s="177"/>
      <c r="N366" s="177"/>
      <c r="O366" s="177"/>
      <c r="P366" s="177"/>
      <c r="Q366" s="177"/>
      <c r="R366" s="177"/>
      <c r="S366" s="177"/>
      <c r="T366" s="177"/>
      <c r="U366" s="177"/>
      <c r="V366" s="177"/>
      <c r="W366" s="177"/>
      <c r="X366" s="177"/>
      <c r="Y366" s="177"/>
    </row>
    <row r="367" spans="1:25" ht="14.4">
      <c r="A367" s="158"/>
      <c r="B367" s="177"/>
      <c r="C367" s="203"/>
      <c r="D367" s="177"/>
      <c r="E367" s="203"/>
      <c r="F367" s="203"/>
      <c r="G367" s="177"/>
      <c r="H367" s="177"/>
      <c r="I367" s="177"/>
      <c r="J367" s="177"/>
      <c r="K367" s="177"/>
      <c r="L367" s="177"/>
      <c r="M367" s="177"/>
      <c r="N367" s="177"/>
      <c r="O367" s="177"/>
      <c r="P367" s="177"/>
      <c r="Q367" s="177"/>
      <c r="R367" s="177"/>
      <c r="S367" s="177"/>
      <c r="T367" s="177"/>
      <c r="U367" s="177"/>
      <c r="V367" s="177"/>
      <c r="W367" s="177"/>
      <c r="X367" s="177"/>
      <c r="Y367" s="177"/>
    </row>
    <row r="368" spans="1:25" ht="14.4">
      <c r="A368" s="158"/>
      <c r="B368" s="177"/>
      <c r="C368" s="203"/>
      <c r="D368" s="177"/>
      <c r="E368" s="203"/>
      <c r="F368" s="203"/>
      <c r="G368" s="177"/>
      <c r="H368" s="177"/>
      <c r="I368" s="177"/>
      <c r="J368" s="177"/>
      <c r="K368" s="177"/>
      <c r="L368" s="177"/>
      <c r="M368" s="177"/>
      <c r="N368" s="177"/>
      <c r="O368" s="177"/>
      <c r="P368" s="177"/>
      <c r="Q368" s="177"/>
      <c r="R368" s="177"/>
      <c r="S368" s="177"/>
      <c r="T368" s="177"/>
      <c r="U368" s="177"/>
      <c r="V368" s="177"/>
      <c r="W368" s="177"/>
      <c r="X368" s="177"/>
      <c r="Y368" s="177"/>
    </row>
    <row r="369" spans="1:25" ht="14.4">
      <c r="A369" s="158"/>
      <c r="B369" s="177"/>
      <c r="C369" s="203"/>
      <c r="D369" s="177"/>
      <c r="E369" s="203"/>
      <c r="F369" s="203"/>
      <c r="G369" s="177"/>
      <c r="H369" s="177"/>
      <c r="I369" s="177"/>
      <c r="J369" s="177"/>
      <c r="K369" s="177"/>
      <c r="L369" s="177"/>
      <c r="M369" s="177"/>
      <c r="N369" s="177"/>
      <c r="O369" s="177"/>
      <c r="P369" s="177"/>
      <c r="Q369" s="177"/>
      <c r="R369" s="177"/>
      <c r="S369" s="177"/>
      <c r="T369" s="177"/>
      <c r="U369" s="177"/>
      <c r="V369" s="177"/>
      <c r="W369" s="177"/>
      <c r="X369" s="177"/>
      <c r="Y369" s="177"/>
    </row>
    <row r="370" spans="1:25" ht="14.4">
      <c r="A370" s="168"/>
      <c r="B370" s="177"/>
      <c r="C370" s="203"/>
      <c r="D370" s="177"/>
      <c r="E370" s="203"/>
      <c r="F370" s="203"/>
      <c r="G370" s="177"/>
      <c r="H370" s="177"/>
      <c r="I370" s="177"/>
      <c r="J370" s="177"/>
      <c r="K370" s="177"/>
      <c r="L370" s="177"/>
      <c r="M370" s="177"/>
      <c r="N370" s="177"/>
      <c r="O370" s="177"/>
      <c r="P370" s="177"/>
      <c r="Q370" s="177"/>
      <c r="R370" s="177"/>
      <c r="S370" s="177"/>
      <c r="T370" s="177"/>
      <c r="U370" s="177"/>
      <c r="V370" s="177"/>
      <c r="W370" s="177"/>
      <c r="X370" s="177"/>
      <c r="Y370" s="177"/>
    </row>
    <row r="371" spans="1:25" ht="14.4">
      <c r="A371" s="158"/>
      <c r="B371" s="177"/>
      <c r="C371" s="203"/>
      <c r="D371" s="177"/>
      <c r="E371" s="203"/>
      <c r="F371" s="203"/>
      <c r="G371" s="177"/>
      <c r="H371" s="177"/>
      <c r="I371" s="177"/>
      <c r="J371" s="177"/>
      <c r="K371" s="177"/>
      <c r="L371" s="177"/>
      <c r="M371" s="177"/>
      <c r="N371" s="177"/>
      <c r="O371" s="177"/>
      <c r="P371" s="177"/>
      <c r="Q371" s="177"/>
      <c r="R371" s="177"/>
      <c r="S371" s="177"/>
      <c r="T371" s="177"/>
      <c r="U371" s="177"/>
      <c r="V371" s="177"/>
      <c r="W371" s="177"/>
      <c r="X371" s="177"/>
      <c r="Y371" s="177"/>
    </row>
    <row r="372" spans="1:25" ht="14.4">
      <c r="A372" s="158"/>
      <c r="B372" s="177"/>
      <c r="C372" s="203"/>
      <c r="D372" s="177"/>
      <c r="E372" s="203"/>
      <c r="F372" s="203"/>
      <c r="G372" s="177"/>
      <c r="H372" s="177"/>
      <c r="I372" s="177"/>
      <c r="J372" s="177"/>
      <c r="K372" s="177"/>
      <c r="L372" s="177"/>
      <c r="M372" s="177"/>
      <c r="N372" s="177"/>
      <c r="O372" s="177"/>
      <c r="P372" s="177"/>
      <c r="Q372" s="177"/>
      <c r="R372" s="177"/>
      <c r="S372" s="177"/>
      <c r="T372" s="177"/>
      <c r="U372" s="177"/>
      <c r="V372" s="177"/>
      <c r="W372" s="177"/>
      <c r="X372" s="177"/>
      <c r="Y372" s="177"/>
    </row>
    <row r="373" spans="1:25" ht="14.4">
      <c r="A373" s="158"/>
      <c r="B373" s="177"/>
      <c r="C373" s="203"/>
      <c r="D373" s="177"/>
      <c r="E373" s="203"/>
      <c r="F373" s="203"/>
      <c r="G373" s="177"/>
      <c r="H373" s="177"/>
      <c r="I373" s="177"/>
      <c r="J373" s="177"/>
      <c r="K373" s="177"/>
      <c r="L373" s="177"/>
      <c r="M373" s="177"/>
      <c r="N373" s="177"/>
      <c r="O373" s="177"/>
      <c r="P373" s="177"/>
      <c r="Q373" s="177"/>
      <c r="R373" s="177"/>
      <c r="S373" s="177"/>
      <c r="T373" s="177"/>
      <c r="U373" s="177"/>
      <c r="V373" s="177"/>
      <c r="W373" s="177"/>
      <c r="X373" s="177"/>
      <c r="Y373" s="177"/>
    </row>
    <row r="374" spans="1:25" ht="14.4">
      <c r="A374" s="158"/>
      <c r="B374" s="177"/>
      <c r="C374" s="203"/>
      <c r="D374" s="177"/>
      <c r="E374" s="203"/>
      <c r="F374" s="203"/>
      <c r="G374" s="177"/>
      <c r="H374" s="177"/>
      <c r="I374" s="177"/>
      <c r="J374" s="177"/>
      <c r="K374" s="177"/>
      <c r="L374" s="177"/>
      <c r="M374" s="177"/>
      <c r="N374" s="177"/>
      <c r="O374" s="177"/>
      <c r="P374" s="177"/>
      <c r="Q374" s="177"/>
      <c r="R374" s="177"/>
      <c r="S374" s="177"/>
      <c r="T374" s="177"/>
      <c r="U374" s="177"/>
      <c r="V374" s="177"/>
      <c r="W374" s="177"/>
      <c r="X374" s="177"/>
      <c r="Y374" s="177"/>
    </row>
    <row r="375" spans="1:25" ht="14.4">
      <c r="A375" s="158"/>
      <c r="B375" s="177"/>
      <c r="C375" s="203"/>
      <c r="D375" s="177"/>
      <c r="E375" s="203"/>
      <c r="F375" s="203"/>
      <c r="G375" s="177"/>
      <c r="H375" s="177"/>
      <c r="I375" s="177"/>
      <c r="J375" s="177"/>
      <c r="K375" s="177"/>
      <c r="L375" s="177"/>
      <c r="M375" s="177"/>
      <c r="N375" s="177"/>
      <c r="O375" s="177"/>
      <c r="P375" s="177"/>
      <c r="Q375" s="177"/>
      <c r="R375" s="177"/>
      <c r="S375" s="177"/>
      <c r="T375" s="177"/>
      <c r="U375" s="177"/>
      <c r="V375" s="177"/>
      <c r="W375" s="177"/>
      <c r="X375" s="177"/>
      <c r="Y375" s="177"/>
    </row>
    <row r="376" spans="1:25" ht="14.4">
      <c r="A376" s="158"/>
      <c r="B376" s="177"/>
      <c r="C376" s="203"/>
      <c r="D376" s="177"/>
      <c r="E376" s="203"/>
      <c r="F376" s="203"/>
      <c r="G376" s="177"/>
      <c r="H376" s="177"/>
      <c r="I376" s="177"/>
      <c r="J376" s="177"/>
      <c r="K376" s="177"/>
      <c r="L376" s="177"/>
      <c r="M376" s="177"/>
      <c r="N376" s="177"/>
      <c r="O376" s="177"/>
      <c r="P376" s="177"/>
      <c r="Q376" s="177"/>
      <c r="R376" s="177"/>
      <c r="S376" s="177"/>
      <c r="T376" s="177"/>
      <c r="U376" s="177"/>
      <c r="V376" s="177"/>
      <c r="W376" s="177"/>
      <c r="X376" s="177"/>
      <c r="Y376" s="177"/>
    </row>
    <row r="377" spans="1:25" ht="14.4">
      <c r="A377" s="158"/>
      <c r="B377" s="177"/>
      <c r="C377" s="203"/>
      <c r="D377" s="177"/>
      <c r="E377" s="203"/>
      <c r="F377" s="203"/>
      <c r="G377" s="177"/>
      <c r="H377" s="177"/>
      <c r="I377" s="177"/>
      <c r="J377" s="177"/>
      <c r="K377" s="177"/>
      <c r="L377" s="177"/>
      <c r="M377" s="177"/>
      <c r="N377" s="177"/>
      <c r="O377" s="177"/>
      <c r="P377" s="177"/>
      <c r="Q377" s="177"/>
      <c r="R377" s="177"/>
      <c r="S377" s="177"/>
      <c r="T377" s="177"/>
      <c r="U377" s="177"/>
      <c r="V377" s="177"/>
      <c r="W377" s="177"/>
      <c r="X377" s="177"/>
      <c r="Y377" s="177"/>
    </row>
    <row r="378" spans="1:25" ht="14.4">
      <c r="A378" s="158"/>
      <c r="B378" s="177"/>
      <c r="C378" s="203"/>
      <c r="D378" s="177"/>
      <c r="E378" s="203"/>
      <c r="F378" s="203"/>
      <c r="G378" s="177"/>
      <c r="H378" s="177"/>
      <c r="I378" s="177"/>
      <c r="J378" s="177"/>
      <c r="K378" s="177"/>
      <c r="L378" s="177"/>
      <c r="M378" s="177"/>
      <c r="N378" s="177"/>
      <c r="O378" s="177"/>
      <c r="P378" s="177"/>
      <c r="Q378" s="177"/>
      <c r="R378" s="177"/>
      <c r="S378" s="177"/>
      <c r="T378" s="177"/>
      <c r="U378" s="177"/>
      <c r="V378" s="177"/>
      <c r="W378" s="177"/>
      <c r="X378" s="177"/>
      <c r="Y378" s="177"/>
    </row>
    <row r="379" spans="1:25" ht="14.4">
      <c r="A379" s="158"/>
      <c r="B379" s="177"/>
      <c r="C379" s="203"/>
      <c r="D379" s="177"/>
      <c r="E379" s="203"/>
      <c r="F379" s="203"/>
      <c r="G379" s="177"/>
      <c r="H379" s="177"/>
      <c r="I379" s="177"/>
      <c r="J379" s="177"/>
      <c r="K379" s="177"/>
      <c r="L379" s="177"/>
      <c r="M379" s="177"/>
      <c r="N379" s="177"/>
      <c r="O379" s="177"/>
      <c r="P379" s="177"/>
      <c r="Q379" s="177"/>
      <c r="R379" s="177"/>
      <c r="S379" s="177"/>
      <c r="T379" s="177"/>
      <c r="U379" s="177"/>
      <c r="V379" s="177"/>
      <c r="W379" s="177"/>
      <c r="X379" s="177"/>
      <c r="Y379" s="177"/>
    </row>
    <row r="380" spans="1:25" ht="14.4">
      <c r="A380" s="158"/>
      <c r="B380" s="177"/>
      <c r="C380" s="203"/>
      <c r="D380" s="177"/>
      <c r="E380" s="203"/>
      <c r="F380" s="203"/>
      <c r="G380" s="177"/>
      <c r="H380" s="177"/>
      <c r="I380" s="177"/>
      <c r="J380" s="177"/>
      <c r="K380" s="177"/>
      <c r="L380" s="177"/>
      <c r="M380" s="177"/>
      <c r="N380" s="177"/>
      <c r="O380" s="177"/>
      <c r="P380" s="177"/>
      <c r="Q380" s="177"/>
      <c r="R380" s="177"/>
      <c r="S380" s="177"/>
      <c r="T380" s="177"/>
      <c r="U380" s="177"/>
      <c r="V380" s="177"/>
      <c r="W380" s="177"/>
      <c r="X380" s="177"/>
      <c r="Y380" s="177"/>
    </row>
    <row r="381" spans="1:25" ht="14.4">
      <c r="A381" s="158"/>
      <c r="B381" s="177"/>
      <c r="C381" s="203"/>
      <c r="D381" s="177"/>
      <c r="E381" s="203"/>
      <c r="F381" s="203"/>
      <c r="G381" s="177"/>
      <c r="H381" s="177"/>
      <c r="I381" s="177"/>
      <c r="J381" s="177"/>
      <c r="K381" s="177"/>
      <c r="L381" s="177"/>
      <c r="M381" s="177"/>
      <c r="N381" s="177"/>
      <c r="O381" s="177"/>
      <c r="P381" s="177"/>
      <c r="Q381" s="177"/>
      <c r="R381" s="177"/>
      <c r="S381" s="177"/>
      <c r="T381" s="177"/>
      <c r="U381" s="177"/>
      <c r="V381" s="177"/>
      <c r="W381" s="177"/>
      <c r="X381" s="177"/>
      <c r="Y381" s="177"/>
    </row>
    <row r="382" spans="1:25">
      <c r="A382" s="177"/>
      <c r="B382" s="177"/>
      <c r="C382" s="203"/>
      <c r="D382" s="177"/>
      <c r="E382" s="203"/>
      <c r="F382" s="203"/>
      <c r="G382" s="177"/>
      <c r="H382" s="177"/>
      <c r="I382" s="177"/>
      <c r="J382" s="177"/>
      <c r="K382" s="177"/>
      <c r="L382" s="177"/>
      <c r="M382" s="177"/>
      <c r="N382" s="177"/>
      <c r="O382" s="177"/>
      <c r="P382" s="177"/>
      <c r="Q382" s="177"/>
      <c r="R382" s="177"/>
      <c r="S382" s="177"/>
      <c r="T382" s="177"/>
      <c r="U382" s="177"/>
      <c r="V382" s="177"/>
      <c r="W382" s="177"/>
      <c r="X382" s="177"/>
      <c r="Y382" s="177"/>
    </row>
    <row r="383" spans="1:25">
      <c r="A383" s="177"/>
      <c r="B383" s="177"/>
      <c r="C383" s="203"/>
      <c r="D383" s="177"/>
      <c r="E383" s="203"/>
      <c r="F383" s="203"/>
      <c r="G383" s="177"/>
      <c r="H383" s="177"/>
      <c r="I383" s="177"/>
      <c r="J383" s="177"/>
      <c r="K383" s="177"/>
      <c r="L383" s="177"/>
      <c r="M383" s="177"/>
      <c r="N383" s="177"/>
      <c r="O383" s="177"/>
      <c r="P383" s="177"/>
      <c r="Q383" s="177"/>
      <c r="R383" s="177"/>
      <c r="S383" s="177"/>
      <c r="T383" s="177"/>
      <c r="U383" s="177"/>
      <c r="V383" s="177"/>
      <c r="W383" s="177"/>
      <c r="X383" s="177"/>
      <c r="Y383" s="177"/>
    </row>
    <row r="384" spans="1:25">
      <c r="A384" s="177"/>
      <c r="B384" s="177"/>
      <c r="C384" s="203"/>
      <c r="D384" s="177"/>
      <c r="E384" s="203"/>
      <c r="F384" s="203"/>
      <c r="G384" s="177"/>
      <c r="H384" s="177"/>
      <c r="I384" s="177"/>
      <c r="J384" s="177"/>
      <c r="K384" s="177"/>
      <c r="L384" s="177"/>
      <c r="M384" s="177"/>
      <c r="N384" s="177"/>
      <c r="O384" s="177"/>
      <c r="P384" s="177"/>
      <c r="Q384" s="177"/>
      <c r="R384" s="177"/>
      <c r="S384" s="177"/>
      <c r="T384" s="177"/>
      <c r="U384" s="177"/>
      <c r="V384" s="177"/>
      <c r="W384" s="177"/>
      <c r="X384" s="177"/>
      <c r="Y384" s="177"/>
    </row>
    <row r="385" spans="1:25">
      <c r="A385" s="177"/>
      <c r="B385" s="177"/>
      <c r="C385" s="203"/>
      <c r="D385" s="177"/>
      <c r="E385" s="203"/>
      <c r="F385" s="203"/>
      <c r="G385" s="177"/>
      <c r="H385" s="177"/>
      <c r="I385" s="177"/>
      <c r="J385" s="177"/>
      <c r="K385" s="177"/>
      <c r="L385" s="177"/>
      <c r="M385" s="177"/>
      <c r="N385" s="177"/>
      <c r="O385" s="177"/>
      <c r="P385" s="177"/>
      <c r="Q385" s="177"/>
      <c r="R385" s="177"/>
      <c r="S385" s="177"/>
      <c r="T385" s="177"/>
      <c r="U385" s="177"/>
      <c r="V385" s="177"/>
      <c r="W385" s="177"/>
      <c r="X385" s="177"/>
      <c r="Y385" s="177"/>
    </row>
    <row r="386" spans="1:25">
      <c r="A386" s="177"/>
      <c r="B386" s="177"/>
      <c r="C386" s="203"/>
      <c r="D386" s="177"/>
      <c r="E386" s="203"/>
      <c r="F386" s="203"/>
      <c r="G386" s="177"/>
      <c r="H386" s="177"/>
      <c r="I386" s="177"/>
      <c r="J386" s="177"/>
      <c r="K386" s="177"/>
      <c r="L386" s="177"/>
      <c r="M386" s="177"/>
      <c r="N386" s="177"/>
      <c r="O386" s="177"/>
      <c r="P386" s="177"/>
      <c r="Q386" s="177"/>
      <c r="R386" s="177"/>
      <c r="S386" s="177"/>
      <c r="T386" s="177"/>
      <c r="U386" s="177"/>
      <c r="V386" s="177"/>
      <c r="W386" s="177"/>
      <c r="X386" s="177"/>
      <c r="Y386" s="177"/>
    </row>
    <row r="387" spans="1:25">
      <c r="A387" s="177"/>
      <c r="B387" s="177"/>
      <c r="C387" s="203"/>
      <c r="D387" s="177"/>
      <c r="E387" s="203"/>
      <c r="F387" s="203"/>
      <c r="G387" s="177"/>
      <c r="H387" s="177"/>
      <c r="I387" s="177"/>
      <c r="J387" s="177"/>
      <c r="K387" s="177"/>
      <c r="L387" s="177"/>
      <c r="M387" s="177"/>
      <c r="N387" s="177"/>
      <c r="O387" s="177"/>
      <c r="P387" s="177"/>
      <c r="Q387" s="177"/>
      <c r="R387" s="177"/>
      <c r="S387" s="177"/>
      <c r="T387" s="177"/>
      <c r="U387" s="177"/>
      <c r="V387" s="177"/>
      <c r="W387" s="177"/>
      <c r="X387" s="177"/>
      <c r="Y387" s="177"/>
    </row>
    <row r="388" spans="1:25">
      <c r="A388" s="177"/>
      <c r="B388" s="177"/>
      <c r="C388" s="203"/>
      <c r="D388" s="177"/>
      <c r="E388" s="203"/>
      <c r="F388" s="203"/>
      <c r="G388" s="177"/>
      <c r="H388" s="177"/>
      <c r="I388" s="177"/>
      <c r="J388" s="177"/>
      <c r="K388" s="177"/>
      <c r="L388" s="177"/>
      <c r="M388" s="177"/>
      <c r="N388" s="177"/>
      <c r="O388" s="177"/>
      <c r="P388" s="177"/>
      <c r="Q388" s="177"/>
      <c r="R388" s="177"/>
      <c r="S388" s="177"/>
      <c r="T388" s="177"/>
      <c r="U388" s="177"/>
      <c r="V388" s="177"/>
      <c r="W388" s="177"/>
      <c r="X388" s="177"/>
      <c r="Y388" s="177"/>
    </row>
    <row r="389" spans="1:25">
      <c r="A389" s="177"/>
      <c r="B389" s="177"/>
      <c r="C389" s="203"/>
      <c r="D389" s="177"/>
      <c r="E389" s="203"/>
      <c r="F389" s="203"/>
      <c r="G389" s="177"/>
      <c r="H389" s="177"/>
      <c r="I389" s="177"/>
      <c r="J389" s="177"/>
      <c r="K389" s="177"/>
      <c r="L389" s="177"/>
      <c r="M389" s="177"/>
      <c r="N389" s="177"/>
      <c r="O389" s="177"/>
      <c r="P389" s="177"/>
      <c r="Q389" s="177"/>
      <c r="R389" s="177"/>
      <c r="S389" s="177"/>
      <c r="T389" s="177"/>
      <c r="U389" s="177"/>
      <c r="V389" s="177"/>
      <c r="W389" s="177"/>
      <c r="X389" s="177"/>
      <c r="Y389" s="177"/>
    </row>
    <row r="390" spans="1:25">
      <c r="A390" s="177"/>
      <c r="B390" s="177"/>
      <c r="C390" s="203"/>
      <c r="D390" s="177"/>
      <c r="E390" s="203"/>
      <c r="F390" s="203"/>
      <c r="G390" s="177"/>
      <c r="H390" s="177"/>
      <c r="I390" s="177"/>
      <c r="J390" s="177"/>
      <c r="K390" s="177"/>
      <c r="L390" s="177"/>
      <c r="M390" s="177"/>
      <c r="N390" s="177"/>
      <c r="O390" s="177"/>
      <c r="P390" s="177"/>
      <c r="Q390" s="177"/>
      <c r="R390" s="177"/>
      <c r="S390" s="177"/>
      <c r="T390" s="177"/>
      <c r="U390" s="177"/>
      <c r="V390" s="177"/>
      <c r="W390" s="177"/>
      <c r="X390" s="177"/>
      <c r="Y390" s="177"/>
    </row>
    <row r="391" spans="1:25">
      <c r="A391" s="177"/>
      <c r="B391" s="177"/>
      <c r="C391" s="203"/>
      <c r="D391" s="177"/>
      <c r="E391" s="203"/>
      <c r="F391" s="203"/>
      <c r="G391" s="177"/>
      <c r="H391" s="177"/>
      <c r="I391" s="177"/>
      <c r="J391" s="177"/>
      <c r="K391" s="177"/>
      <c r="L391" s="177"/>
      <c r="M391" s="177"/>
      <c r="N391" s="177"/>
      <c r="O391" s="177"/>
      <c r="P391" s="177"/>
      <c r="Q391" s="177"/>
      <c r="R391" s="177"/>
      <c r="S391" s="177"/>
      <c r="T391" s="177"/>
      <c r="U391" s="177"/>
      <c r="V391" s="177"/>
      <c r="W391" s="177"/>
      <c r="X391" s="177"/>
      <c r="Y391" s="177"/>
    </row>
    <row r="392" spans="1:25">
      <c r="A392" s="177"/>
      <c r="B392" s="177"/>
      <c r="C392" s="203"/>
      <c r="D392" s="177"/>
      <c r="E392" s="203"/>
      <c r="F392" s="203"/>
      <c r="G392" s="177"/>
      <c r="H392" s="177"/>
      <c r="I392" s="177"/>
      <c r="J392" s="177"/>
      <c r="K392" s="177"/>
      <c r="L392" s="177"/>
      <c r="M392" s="177"/>
      <c r="N392" s="177"/>
      <c r="O392" s="177"/>
      <c r="P392" s="177"/>
      <c r="Q392" s="177"/>
      <c r="R392" s="177"/>
      <c r="S392" s="177"/>
      <c r="T392" s="177"/>
      <c r="U392" s="177"/>
      <c r="V392" s="177"/>
      <c r="W392" s="177"/>
      <c r="X392" s="177"/>
      <c r="Y392" s="177"/>
    </row>
    <row r="393" spans="1:25">
      <c r="A393" s="177"/>
      <c r="B393" s="177"/>
      <c r="C393" s="203"/>
      <c r="D393" s="177"/>
      <c r="E393" s="203"/>
      <c r="F393" s="203"/>
      <c r="G393" s="177"/>
      <c r="H393" s="177"/>
      <c r="I393" s="177"/>
      <c r="J393" s="177"/>
      <c r="K393" s="177"/>
      <c r="L393" s="177"/>
      <c r="M393" s="177"/>
      <c r="N393" s="177"/>
      <c r="O393" s="177"/>
      <c r="P393" s="177"/>
      <c r="Q393" s="177"/>
      <c r="R393" s="177"/>
      <c r="S393" s="177"/>
      <c r="T393" s="177"/>
      <c r="U393" s="177"/>
      <c r="V393" s="177"/>
      <c r="W393" s="177"/>
      <c r="X393" s="177"/>
      <c r="Y393" s="177"/>
    </row>
    <row r="394" spans="1:25">
      <c r="A394" s="177"/>
      <c r="B394" s="177"/>
      <c r="C394" s="203"/>
      <c r="D394" s="177"/>
      <c r="E394" s="203"/>
      <c r="F394" s="203"/>
      <c r="G394" s="177"/>
      <c r="H394" s="177"/>
      <c r="I394" s="177"/>
      <c r="J394" s="177"/>
      <c r="K394" s="177"/>
      <c r="L394" s="177"/>
      <c r="M394" s="177"/>
      <c r="N394" s="177"/>
      <c r="O394" s="177"/>
      <c r="P394" s="177"/>
      <c r="Q394" s="177"/>
      <c r="R394" s="177"/>
      <c r="S394" s="177"/>
      <c r="T394" s="177"/>
      <c r="U394" s="177"/>
      <c r="V394" s="177"/>
      <c r="W394" s="177"/>
      <c r="X394" s="177"/>
      <c r="Y394" s="177"/>
    </row>
    <row r="395" spans="1:25">
      <c r="A395" s="177"/>
      <c r="B395" s="177"/>
      <c r="C395" s="203"/>
      <c r="D395" s="177"/>
      <c r="E395" s="203"/>
      <c r="F395" s="203"/>
      <c r="G395" s="177"/>
      <c r="H395" s="177"/>
      <c r="I395" s="177"/>
      <c r="J395" s="177"/>
      <c r="K395" s="177"/>
      <c r="L395" s="177"/>
      <c r="M395" s="177"/>
      <c r="N395" s="177"/>
      <c r="O395" s="177"/>
      <c r="P395" s="177"/>
      <c r="Q395" s="177"/>
      <c r="R395" s="177"/>
      <c r="S395" s="177"/>
      <c r="T395" s="177"/>
      <c r="U395" s="177"/>
      <c r="V395" s="177"/>
      <c r="W395" s="177"/>
      <c r="X395" s="177"/>
      <c r="Y395" s="177"/>
    </row>
    <row r="396" spans="1:25">
      <c r="A396" s="177"/>
      <c r="B396" s="177"/>
      <c r="C396" s="203"/>
      <c r="D396" s="177"/>
      <c r="E396" s="203"/>
      <c r="F396" s="203"/>
      <c r="G396" s="177"/>
      <c r="H396" s="177"/>
      <c r="I396" s="177"/>
      <c r="J396" s="177"/>
      <c r="K396" s="177"/>
      <c r="L396" s="177"/>
      <c r="M396" s="177"/>
      <c r="N396" s="177"/>
      <c r="O396" s="177"/>
      <c r="P396" s="177"/>
      <c r="Q396" s="177"/>
      <c r="R396" s="177"/>
      <c r="S396" s="177"/>
      <c r="T396" s="177"/>
      <c r="U396" s="177"/>
      <c r="V396" s="177"/>
      <c r="W396" s="177"/>
      <c r="X396" s="177"/>
      <c r="Y396" s="177"/>
    </row>
    <row r="397" spans="1:25">
      <c r="A397" s="177"/>
      <c r="B397" s="177"/>
      <c r="C397" s="203"/>
      <c r="D397" s="177"/>
      <c r="E397" s="203"/>
      <c r="F397" s="203"/>
      <c r="G397" s="177"/>
      <c r="H397" s="177"/>
      <c r="I397" s="177"/>
      <c r="J397" s="177"/>
      <c r="K397" s="177"/>
      <c r="L397" s="177"/>
      <c r="M397" s="177"/>
      <c r="N397" s="177"/>
      <c r="O397" s="177"/>
      <c r="P397" s="177"/>
      <c r="Q397" s="177"/>
      <c r="R397" s="177"/>
      <c r="S397" s="177"/>
      <c r="T397" s="177"/>
      <c r="U397" s="177"/>
      <c r="V397" s="177"/>
      <c r="W397" s="177"/>
      <c r="X397" s="177"/>
      <c r="Y397" s="177"/>
    </row>
    <row r="398" spans="1:25">
      <c r="A398" s="177"/>
      <c r="B398" s="177"/>
      <c r="C398" s="203"/>
      <c r="D398" s="177"/>
      <c r="E398" s="203"/>
      <c r="F398" s="203"/>
      <c r="G398" s="177"/>
      <c r="H398" s="177"/>
      <c r="I398" s="177"/>
      <c r="J398" s="177"/>
      <c r="K398" s="177"/>
      <c r="L398" s="177"/>
      <c r="M398" s="177"/>
      <c r="N398" s="177"/>
      <c r="O398" s="177"/>
      <c r="P398" s="177"/>
      <c r="Q398" s="177"/>
      <c r="R398" s="177"/>
      <c r="S398" s="177"/>
      <c r="T398" s="177"/>
      <c r="U398" s="177"/>
      <c r="V398" s="177"/>
      <c r="W398" s="177"/>
      <c r="X398" s="177"/>
      <c r="Y398" s="177"/>
    </row>
    <row r="399" spans="1:25">
      <c r="A399" s="177"/>
      <c r="B399" s="177"/>
      <c r="C399" s="203"/>
      <c r="D399" s="177"/>
      <c r="E399" s="203"/>
      <c r="F399" s="203"/>
      <c r="G399" s="177"/>
      <c r="H399" s="177"/>
      <c r="I399" s="177"/>
      <c r="J399" s="177"/>
      <c r="K399" s="177"/>
      <c r="L399" s="177"/>
      <c r="M399" s="177"/>
      <c r="N399" s="177"/>
      <c r="O399" s="177"/>
      <c r="P399" s="177"/>
      <c r="Q399" s="177"/>
      <c r="R399" s="177"/>
      <c r="S399" s="177"/>
      <c r="T399" s="177"/>
      <c r="U399" s="177"/>
      <c r="V399" s="177"/>
      <c r="W399" s="177"/>
      <c r="X399" s="177"/>
      <c r="Y399" s="177"/>
    </row>
    <row r="400" spans="1:25">
      <c r="A400" s="177"/>
      <c r="B400" s="177"/>
      <c r="C400" s="203"/>
      <c r="D400" s="177"/>
      <c r="E400" s="203"/>
      <c r="F400" s="203"/>
      <c r="G400" s="177"/>
      <c r="H400" s="177"/>
      <c r="I400" s="177"/>
      <c r="J400" s="177"/>
      <c r="K400" s="177"/>
      <c r="L400" s="177"/>
      <c r="M400" s="177"/>
      <c r="N400" s="177"/>
      <c r="O400" s="177"/>
      <c r="P400" s="177"/>
      <c r="Q400" s="177"/>
      <c r="R400" s="177"/>
      <c r="S400" s="177"/>
      <c r="T400" s="177"/>
      <c r="U400" s="177"/>
      <c r="V400" s="177"/>
      <c r="W400" s="177"/>
      <c r="X400" s="177"/>
      <c r="Y400" s="177"/>
    </row>
    <row r="401" spans="1:25">
      <c r="A401" s="177"/>
      <c r="B401" s="177"/>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row>
    <row r="402" spans="1:25">
      <c r="A402" s="177"/>
      <c r="B402" s="177"/>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row>
    <row r="403" spans="1:25">
      <c r="A403" s="177"/>
      <c r="B403" s="177"/>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row>
    <row r="404" spans="1:25">
      <c r="A404" s="177"/>
      <c r="B404" s="177"/>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row>
    <row r="405" spans="1:25">
      <c r="A405" s="177"/>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row>
    <row r="406" spans="1:25">
      <c r="A406" s="177"/>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row>
    <row r="407" spans="1:25">
      <c r="A407" s="177"/>
      <c r="B407" s="177"/>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row>
    <row r="408" spans="1:25">
      <c r="A408" s="177"/>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row>
    <row r="409" spans="1:25">
      <c r="A409" s="177"/>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row>
    <row r="410" spans="1:25">
      <c r="A410" s="177"/>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row>
    <row r="411" spans="1:25">
      <c r="A411" s="177"/>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row>
    <row r="412" spans="1:25">
      <c r="A412" s="177"/>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row>
    <row r="413" spans="1:25">
      <c r="A413" s="177"/>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row>
    <row r="414" spans="1:25">
      <c r="A414" s="177"/>
      <c r="B414" s="177"/>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row>
    <row r="415" spans="1:25">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row>
    <row r="416" spans="1:25">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row>
    <row r="417" spans="1:25">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row>
    <row r="418" spans="1:25">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row>
    <row r="419" spans="1:25">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row>
    <row r="420" spans="1:25">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row>
    <row r="421" spans="1:25">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row>
    <row r="422" spans="1:25">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row>
    <row r="423" spans="1:25">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row>
    <row r="424" spans="1:25">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row>
    <row r="425" spans="1:25">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row>
    <row r="426" spans="1:25">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row>
    <row r="427" spans="1:25">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row>
    <row r="428" spans="1:25">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row>
    <row r="429" spans="1:25">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row>
    <row r="430" spans="1:25">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row>
    <row r="431" spans="1:25">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row>
    <row r="432" spans="1:25">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row>
    <row r="433" spans="1:25">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row>
    <row r="434" spans="1:25">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row>
    <row r="435" spans="1:25">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row>
    <row r="436" spans="1:25">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row>
    <row r="437" spans="1:25">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row>
    <row r="438" spans="1:25">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row>
    <row r="439" spans="1:25">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row>
    <row r="440" spans="1:25">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row>
    <row r="441" spans="1:25">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row>
    <row r="442" spans="1:25">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row>
    <row r="443" spans="1:25">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row>
    <row r="444" spans="1:25">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row>
    <row r="445" spans="1:25">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row>
    <row r="446" spans="1:25">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row>
    <row r="447" spans="1:25">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row>
    <row r="448" spans="1:25">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row>
    <row r="449" spans="3:6">
      <c r="C449" s="177"/>
      <c r="E449" s="177"/>
      <c r="F449" s="177"/>
    </row>
    <row r="450" spans="3:6">
      <c r="C450" s="177"/>
      <c r="E450" s="177"/>
      <c r="F450" s="177"/>
    </row>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05"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405</v>
      </c>
      <c r="C1" s="29" t="s">
        <v>414</v>
      </c>
      <c r="D1" s="29" t="s">
        <v>413</v>
      </c>
      <c r="E1" s="30" t="s">
        <v>340</v>
      </c>
      <c r="F1" s="30" t="s">
        <v>399</v>
      </c>
      <c r="G1" s="30" t="s">
        <v>379</v>
      </c>
      <c r="H1" s="29" t="s">
        <v>380</v>
      </c>
      <c r="I1" s="29" t="s">
        <v>381</v>
      </c>
      <c r="J1" s="29" t="s">
        <v>302</v>
      </c>
      <c r="K1" s="29" t="s">
        <v>374</v>
      </c>
      <c r="M1">
        <f>SUBTOTAL(3,K:K)</f>
        <v>106</v>
      </c>
    </row>
    <row r="2" spans="1:13" ht="14.4">
      <c r="A2" s="28" t="str">
        <f>F2&amp;(COUNTIFS(F$2:F2,F2,K$2:K2,"Sparse"))</f>
        <v>SD0</v>
      </c>
      <c r="B2" s="28" t="str">
        <f>J2&amp;(COUNTIF(J$2:J2,J2))</f>
        <v>West Sussex1</v>
      </c>
      <c r="C2" s="31" t="s">
        <v>4</v>
      </c>
      <c r="D2" s="31" t="s">
        <v>4</v>
      </c>
      <c r="E2" s="32" t="s">
        <v>0</v>
      </c>
      <c r="F2" s="32" t="s">
        <v>382</v>
      </c>
      <c r="G2" s="32" t="s">
        <v>5</v>
      </c>
      <c r="H2" s="33" t="s">
        <v>902</v>
      </c>
      <c r="I2" s="34" t="s">
        <v>385</v>
      </c>
      <c r="J2" t="s">
        <v>332</v>
      </c>
      <c r="K2" s="44"/>
    </row>
    <row r="3" spans="1:13" ht="14.4">
      <c r="A3" s="28" t="str">
        <f>F3&amp;(COUNTIFS(F$2:F3,F3,K$2:K3,"Sparse"))</f>
        <v>SD1</v>
      </c>
      <c r="B3" s="28" t="str">
        <f>J3&amp;(COUNTIF(J$2:J3,J3))</f>
        <v>Cumbria1</v>
      </c>
      <c r="C3" s="31" t="s">
        <v>6</v>
      </c>
      <c r="D3" s="31" t="s">
        <v>6</v>
      </c>
      <c r="E3" s="32" t="s">
        <v>377</v>
      </c>
      <c r="F3" s="32" t="s">
        <v>382</v>
      </c>
      <c r="G3" s="32" t="s">
        <v>5</v>
      </c>
      <c r="H3" s="33" t="s">
        <v>903</v>
      </c>
      <c r="I3" s="34" t="s">
        <v>383</v>
      </c>
      <c r="J3" t="s">
        <v>307</v>
      </c>
      <c r="K3" s="44" t="s">
        <v>336</v>
      </c>
    </row>
    <row r="4" spans="1:13" ht="14.4">
      <c r="A4" s="28" t="str">
        <f>F4&amp;(COUNTIFS(F$2:F4,F4,K$2:K4,"Sparse"))</f>
        <v>SD1</v>
      </c>
      <c r="B4" s="28" t="str">
        <f>J4&amp;(COUNTIF(J$2:J4,J4))</f>
        <v>Derbyshire1</v>
      </c>
      <c r="C4" s="31" t="s">
        <v>7</v>
      </c>
      <c r="D4" s="31" t="s">
        <v>7</v>
      </c>
      <c r="E4" s="32" t="s">
        <v>368</v>
      </c>
      <c r="F4" s="32" t="s">
        <v>382</v>
      </c>
      <c r="G4" s="32" t="s">
        <v>5</v>
      </c>
      <c r="H4" s="35" t="s">
        <v>904</v>
      </c>
      <c r="I4" s="34" t="s">
        <v>385</v>
      </c>
      <c r="J4" t="s">
        <v>308</v>
      </c>
      <c r="K4" s="44"/>
    </row>
    <row r="5" spans="1:13" ht="14.4">
      <c r="A5" s="28" t="str">
        <f>F5&amp;(COUNTIFS(F$2:F5,F5,K$2:K5,"Sparse"))</f>
        <v>SD1</v>
      </c>
      <c r="B5" s="28" t="str">
        <f>J5&amp;(COUNTIF(J$2:J5,J5))</f>
        <v>West Sussex2</v>
      </c>
      <c r="C5" s="31" t="s">
        <v>8</v>
      </c>
      <c r="D5" s="31" t="s">
        <v>8</v>
      </c>
      <c r="E5" s="32" t="s">
        <v>0</v>
      </c>
      <c r="F5" s="32" t="s">
        <v>382</v>
      </c>
      <c r="G5" s="32" t="s">
        <v>5</v>
      </c>
      <c r="H5" s="33" t="s">
        <v>902</v>
      </c>
      <c r="I5" s="34" t="s">
        <v>385</v>
      </c>
      <c r="J5" t="s">
        <v>332</v>
      </c>
      <c r="K5" s="44"/>
    </row>
    <row r="6" spans="1:13" ht="14.4">
      <c r="A6" s="28" t="str">
        <f>F6&amp;(COUNTIFS(F$2:F6,F6,K$2:K6,"Sparse"))</f>
        <v>SD1</v>
      </c>
      <c r="B6" s="28" t="str">
        <f>J6&amp;(COUNTIF(J$2:J6,J6))</f>
        <v>Nottinghamshire1</v>
      </c>
      <c r="C6" s="31" t="s">
        <v>9</v>
      </c>
      <c r="D6" s="31" t="s">
        <v>9</v>
      </c>
      <c r="E6" s="32" t="s">
        <v>368</v>
      </c>
      <c r="F6" s="32" t="s">
        <v>382</v>
      </c>
      <c r="G6" s="32" t="s">
        <v>5</v>
      </c>
      <c r="H6" s="33" t="s">
        <v>902</v>
      </c>
      <c r="I6" s="34" t="s">
        <v>385</v>
      </c>
      <c r="J6" t="s">
        <v>324</v>
      </c>
      <c r="K6" s="44"/>
    </row>
    <row r="7" spans="1:13" ht="14.4">
      <c r="A7" s="28" t="str">
        <f>F7&amp;(COUNTIFS(F$2:F7,F7,K$2:K7,"Sparse"))</f>
        <v>SD2</v>
      </c>
      <c r="B7" s="28" t="str">
        <f>J7&amp;(COUNTIF(J$2:J7,J7))</f>
        <v>Kent1</v>
      </c>
      <c r="C7" s="31" t="s">
        <v>10</v>
      </c>
      <c r="D7" s="31" t="s">
        <v>10</v>
      </c>
      <c r="E7" s="32" t="s">
        <v>0</v>
      </c>
      <c r="F7" s="32" t="s">
        <v>382</v>
      </c>
      <c r="G7" s="32" t="s">
        <v>5</v>
      </c>
      <c r="H7" s="35" t="s">
        <v>905</v>
      </c>
      <c r="I7" s="34" t="s">
        <v>372</v>
      </c>
      <c r="J7" t="s">
        <v>316</v>
      </c>
      <c r="K7" s="44" t="s">
        <v>336</v>
      </c>
    </row>
    <row r="8" spans="1:13" ht="14.4">
      <c r="A8" s="28" t="str">
        <f>F8&amp;(COUNTIFS(F$2:F8,F8,K$2:K8,"Sparse"))</f>
        <v>SD2</v>
      </c>
      <c r="B8" s="28" t="str">
        <f>J8&amp;(COUNTIF(J$2:J8,J8))</f>
        <v>Buckinghamshire1</v>
      </c>
      <c r="C8" s="31" t="s">
        <v>11</v>
      </c>
      <c r="D8" s="31" t="s">
        <v>11</v>
      </c>
      <c r="E8" s="32" t="s">
        <v>0</v>
      </c>
      <c r="F8" s="32" t="s">
        <v>382</v>
      </c>
      <c r="G8" s="32" t="s">
        <v>5</v>
      </c>
      <c r="H8" s="33" t="s">
        <v>906</v>
      </c>
      <c r="I8" s="34" t="s">
        <v>383</v>
      </c>
      <c r="J8" t="s">
        <v>301</v>
      </c>
      <c r="K8" s="44"/>
    </row>
    <row r="9" spans="1:13" ht="14.4">
      <c r="A9" s="28" t="str">
        <f>F9&amp;(COUNTIFS(F$2:F9,F9,K$2:K9,"Sparse"))</f>
        <v>SD3</v>
      </c>
      <c r="B9" s="28" t="str">
        <f>J9&amp;(COUNTIF(J$2:J9,J9))</f>
        <v>Suffolk1</v>
      </c>
      <c r="C9" s="31" t="s">
        <v>12</v>
      </c>
      <c r="D9" s="31" t="s">
        <v>12</v>
      </c>
      <c r="E9" s="32" t="s">
        <v>370</v>
      </c>
      <c r="F9" s="32" t="s">
        <v>382</v>
      </c>
      <c r="G9" s="32" t="s">
        <v>5</v>
      </c>
      <c r="H9" s="33" t="s">
        <v>903</v>
      </c>
      <c r="I9" s="34" t="s">
        <v>383</v>
      </c>
      <c r="J9" t="s">
        <v>329</v>
      </c>
      <c r="K9" s="44" t="s">
        <v>336</v>
      </c>
    </row>
    <row r="10" spans="1:13" ht="14.4">
      <c r="A10" s="28" t="str">
        <f>F10&amp;(COUNTIFS(F$2:F10,F10,K$2:K10,"Sparse"))</f>
        <v>L0</v>
      </c>
      <c r="B10" s="28" t="str">
        <f>J10&amp;(COUNTIF(J$2:J10,J10))</f>
        <v>London1</v>
      </c>
      <c r="C10" s="31" t="s">
        <v>339</v>
      </c>
      <c r="D10" s="31" t="s">
        <v>339</v>
      </c>
      <c r="E10" s="32" t="s">
        <v>384</v>
      </c>
      <c r="F10" s="32" t="s">
        <v>360</v>
      </c>
      <c r="G10" s="32" t="s">
        <v>384</v>
      </c>
      <c r="H10" s="33" t="s">
        <v>907</v>
      </c>
      <c r="I10" s="34" t="s">
        <v>385</v>
      </c>
      <c r="J10" t="str">
        <f>G10</f>
        <v>London</v>
      </c>
      <c r="K10" s="44"/>
    </row>
    <row r="11" spans="1:13" ht="14.4">
      <c r="A11" s="28" t="str">
        <f>F11&amp;(COUNTIFS(F$2:F11,F11,K$2:K11,"Sparse"))</f>
        <v>L0</v>
      </c>
      <c r="B11" s="28" t="str">
        <f>J11&amp;(COUNTIF(J$2:J11,J11))</f>
        <v>London2</v>
      </c>
      <c r="C11" s="31" t="s">
        <v>197</v>
      </c>
      <c r="D11" s="31" t="s">
        <v>197</v>
      </c>
      <c r="E11" s="32" t="s">
        <v>384</v>
      </c>
      <c r="F11" s="32" t="s">
        <v>360</v>
      </c>
      <c r="G11" s="32" t="s">
        <v>384</v>
      </c>
      <c r="H11" s="33" t="s">
        <v>907</v>
      </c>
      <c r="I11" s="34" t="s">
        <v>385</v>
      </c>
      <c r="J11" t="str">
        <f>G11</f>
        <v>London</v>
      </c>
      <c r="K11" s="44"/>
    </row>
    <row r="12" spans="1:13" ht="14.4">
      <c r="A12" s="28" t="str">
        <f>F12&amp;(COUNTIFS(F$2:F12,F12,K$2:K12,"Sparse"))</f>
        <v>MD0</v>
      </c>
      <c r="B12" s="28" t="str">
        <f>J12&amp;(COUNTIF(J$2:J12,J12))</f>
        <v>Barnsley1</v>
      </c>
      <c r="C12" s="31" t="s">
        <v>223</v>
      </c>
      <c r="D12" s="31" t="s">
        <v>223</v>
      </c>
      <c r="E12" s="32" t="s">
        <v>386</v>
      </c>
      <c r="F12" s="32" t="s">
        <v>387</v>
      </c>
      <c r="G12" s="32" t="s">
        <v>398</v>
      </c>
      <c r="H12" s="33" t="s">
        <v>904</v>
      </c>
      <c r="I12" s="34" t="s">
        <v>385</v>
      </c>
      <c r="J12" t="str">
        <f>C12</f>
        <v>Barnsley</v>
      </c>
      <c r="K12" s="44"/>
    </row>
    <row r="13" spans="1:13" ht="14.4">
      <c r="A13" s="28" t="str">
        <f>F13&amp;(COUNTIFS(F$2:F13,F13,K$2:K13,"Sparse"))</f>
        <v>SD3</v>
      </c>
      <c r="B13" s="28" t="str">
        <f>J13&amp;(COUNTIF(J$2:J13,J13))</f>
        <v>Cumbria2</v>
      </c>
      <c r="C13" s="31" t="s">
        <v>13</v>
      </c>
      <c r="D13" s="31" t="s">
        <v>13</v>
      </c>
      <c r="E13" s="32" t="s">
        <v>377</v>
      </c>
      <c r="F13" s="32" t="s">
        <v>382</v>
      </c>
      <c r="G13" s="32" t="s">
        <v>5</v>
      </c>
      <c r="H13" s="33" t="s">
        <v>905</v>
      </c>
      <c r="I13" s="34" t="s">
        <v>372</v>
      </c>
      <c r="J13" t="s">
        <v>307</v>
      </c>
      <c r="K13" s="44"/>
    </row>
    <row r="14" spans="1:13" ht="14.4">
      <c r="A14" s="28" t="str">
        <f>F14&amp;(COUNTIFS(F$2:F14,F14,K$2:K14,"Sparse"))</f>
        <v>SD3</v>
      </c>
      <c r="B14" s="28" t="str">
        <f>J14&amp;(COUNTIF(J$2:J14,J14))</f>
        <v>Essex1</v>
      </c>
      <c r="C14" s="31" t="s">
        <v>14</v>
      </c>
      <c r="D14" s="31" t="s">
        <v>14</v>
      </c>
      <c r="E14" s="32" t="s">
        <v>370</v>
      </c>
      <c r="F14" s="32" t="s">
        <v>382</v>
      </c>
      <c r="G14" s="32" t="s">
        <v>5</v>
      </c>
      <c r="H14" s="33" t="s">
        <v>902</v>
      </c>
      <c r="I14" s="34" t="s">
        <v>385</v>
      </c>
      <c r="J14" t="s">
        <v>312</v>
      </c>
      <c r="K14" s="44"/>
    </row>
    <row r="15" spans="1:13" ht="14.4">
      <c r="A15" s="28" t="str">
        <f>F15&amp;(COUNTIFS(F$2:F15,F15,K$2:K15,"Sparse"))</f>
        <v>SD3</v>
      </c>
      <c r="B15" s="28" t="str">
        <f>J15&amp;(COUNTIF(J$2:J15,J15))</f>
        <v>Hampshire1</v>
      </c>
      <c r="C15" s="31" t="s">
        <v>344</v>
      </c>
      <c r="D15" s="31" t="s">
        <v>344</v>
      </c>
      <c r="E15" s="32" t="s">
        <v>0</v>
      </c>
      <c r="F15" s="32" t="s">
        <v>382</v>
      </c>
      <c r="G15" s="32" t="s">
        <v>5</v>
      </c>
      <c r="H15" s="35" t="s">
        <v>905</v>
      </c>
      <c r="I15" s="34" t="s">
        <v>372</v>
      </c>
      <c r="J15" t="s">
        <v>314</v>
      </c>
      <c r="K15" s="44"/>
    </row>
    <row r="16" spans="1:13" ht="14.4">
      <c r="A16" s="28" t="str">
        <f>F16&amp;(COUNTIFS(F$2:F16,F16,K$2:K16,"Sparse"))</f>
        <v>SD3</v>
      </c>
      <c r="B16" s="28" t="str">
        <f>J16&amp;(COUNTIF(J$2:J16,J16))</f>
        <v>Nottinghamshire2</v>
      </c>
      <c r="C16" s="31" t="s">
        <v>15</v>
      </c>
      <c r="D16" s="31" t="s">
        <v>15</v>
      </c>
      <c r="E16" s="32" t="s">
        <v>368</v>
      </c>
      <c r="F16" s="32" t="s">
        <v>382</v>
      </c>
      <c r="G16" s="32" t="s">
        <v>5</v>
      </c>
      <c r="H16" s="33" t="s">
        <v>906</v>
      </c>
      <c r="I16" s="34" t="s">
        <v>383</v>
      </c>
      <c r="J16" t="s">
        <v>324</v>
      </c>
      <c r="K16" s="44"/>
    </row>
    <row r="17" spans="1:11" ht="14.4">
      <c r="A17" s="28" t="str">
        <f>F17&amp;(COUNTIFS(F$2:F17,F17,K$2:K17,"Sparse"))</f>
        <v>UA0</v>
      </c>
      <c r="B17" s="28" t="str">
        <f>J17&amp;(COUNTIF(J$2:J17,J17))</f>
        <v>Unitary1</v>
      </c>
      <c r="C17" s="31" t="s">
        <v>259</v>
      </c>
      <c r="D17" s="31" t="s">
        <v>259</v>
      </c>
      <c r="E17" s="32" t="s">
        <v>1</v>
      </c>
      <c r="F17" s="32" t="s">
        <v>388</v>
      </c>
      <c r="G17" s="32" t="s">
        <v>397</v>
      </c>
      <c r="H17" s="35" t="s">
        <v>905</v>
      </c>
      <c r="I17" s="34" t="s">
        <v>372</v>
      </c>
      <c r="J17" s="45" t="s">
        <v>397</v>
      </c>
      <c r="K17" s="44"/>
    </row>
    <row r="18" spans="1:11" ht="14.4">
      <c r="A18" s="28" t="str">
        <f>F18&amp;(COUNTIFS(F$2:F18,F18,K$2:K18,"Sparse"))</f>
        <v>UA0</v>
      </c>
      <c r="B18" s="28" t="str">
        <f>J18&amp;(COUNTIF(J$2:J18,J18))</f>
        <v>Unitary2</v>
      </c>
      <c r="C18" s="31" t="s">
        <v>260</v>
      </c>
      <c r="D18" s="31" t="s">
        <v>260</v>
      </c>
      <c r="E18" s="32" t="s">
        <v>370</v>
      </c>
      <c r="F18" s="32" t="s">
        <v>388</v>
      </c>
      <c r="G18" s="32" t="s">
        <v>397</v>
      </c>
      <c r="H18" s="35" t="s">
        <v>905</v>
      </c>
      <c r="I18" s="34" t="s">
        <v>372</v>
      </c>
      <c r="J18" s="45" t="s">
        <v>397</v>
      </c>
      <c r="K18" s="44"/>
    </row>
    <row r="19" spans="1:11" ht="14.4">
      <c r="A19" s="28" t="str">
        <f>F19&amp;(COUNTIFS(F$2:F19,F19,K$2:K19,"Sparse"))</f>
        <v>L0</v>
      </c>
      <c r="B19" s="28" t="str">
        <f>J19&amp;(COUNTIF(J$2:J19,J19))</f>
        <v>London3</v>
      </c>
      <c r="C19" s="31" t="s">
        <v>198</v>
      </c>
      <c r="D19" s="31" t="s">
        <v>198</v>
      </c>
      <c r="E19" s="32" t="s">
        <v>384</v>
      </c>
      <c r="F19" s="32" t="s">
        <v>360</v>
      </c>
      <c r="G19" s="32" t="s">
        <v>384</v>
      </c>
      <c r="H19" s="33" t="s">
        <v>907</v>
      </c>
      <c r="I19" s="34" t="s">
        <v>385</v>
      </c>
      <c r="J19" t="str">
        <f>G19</f>
        <v>London</v>
      </c>
      <c r="K19" s="44"/>
    </row>
    <row r="20" spans="1:11" ht="14.4">
      <c r="A20" s="28" t="str">
        <f>F20&amp;(COUNTIFS(F$2:F20,F20,K$2:K20,"Sparse"))</f>
        <v>MD0</v>
      </c>
      <c r="B20" s="28" t="str">
        <f>J20&amp;(COUNTIF(J$2:J20,J20))</f>
        <v>Birmingham1</v>
      </c>
      <c r="C20" s="31" t="s">
        <v>224</v>
      </c>
      <c r="D20" s="31" t="s">
        <v>224</v>
      </c>
      <c r="E20" s="32" t="s">
        <v>369</v>
      </c>
      <c r="F20" s="32" t="s">
        <v>387</v>
      </c>
      <c r="G20" s="32" t="s">
        <v>398</v>
      </c>
      <c r="H20" s="33" t="s">
        <v>907</v>
      </c>
      <c r="I20" s="34" t="s">
        <v>385</v>
      </c>
      <c r="J20" t="str">
        <f>C20</f>
        <v>Birmingham</v>
      </c>
      <c r="K20" s="44"/>
    </row>
    <row r="21" spans="1:11" ht="14.4">
      <c r="A21" s="28" t="str">
        <f>F21&amp;(COUNTIFS(F$2:F21,F21,K$2:K21,"Sparse"))</f>
        <v>SD3</v>
      </c>
      <c r="B21" s="28" t="str">
        <f>J21&amp;(COUNTIF(J$2:J21,J21))</f>
        <v>Leicestershire1</v>
      </c>
      <c r="C21" s="31" t="s">
        <v>16</v>
      </c>
      <c r="D21" s="31" t="s">
        <v>16</v>
      </c>
      <c r="E21" s="32" t="s">
        <v>368</v>
      </c>
      <c r="F21" s="32" t="s">
        <v>382</v>
      </c>
      <c r="G21" s="32" t="s">
        <v>5</v>
      </c>
      <c r="H21" s="33" t="s">
        <v>902</v>
      </c>
      <c r="I21" s="34" t="s">
        <v>385</v>
      </c>
      <c r="J21" t="s">
        <v>318</v>
      </c>
      <c r="K21" s="44"/>
    </row>
    <row r="22" spans="1:11" ht="14.4">
      <c r="A22" s="28" t="str">
        <f>F22&amp;(COUNTIFS(F$2:F22,F22,K$2:K22,"Sparse"))</f>
        <v>UA0</v>
      </c>
      <c r="B22" s="28" t="str">
        <f>J22&amp;(COUNTIF(J$2:J22,J22))</f>
        <v>Unitary3</v>
      </c>
      <c r="C22" s="31" t="s">
        <v>261</v>
      </c>
      <c r="D22" s="31" t="s">
        <v>261</v>
      </c>
      <c r="E22" s="32" t="s">
        <v>377</v>
      </c>
      <c r="F22" s="32" t="s">
        <v>388</v>
      </c>
      <c r="G22" s="32" t="s">
        <v>397</v>
      </c>
      <c r="H22" s="33" t="s">
        <v>902</v>
      </c>
      <c r="I22" s="34" t="s">
        <v>385</v>
      </c>
      <c r="J22" s="45" t="s">
        <v>397</v>
      </c>
      <c r="K22" s="44"/>
    </row>
    <row r="23" spans="1:11" ht="14.4">
      <c r="A23" s="28" t="str">
        <f>F23&amp;(COUNTIFS(F$2:F23,F23,K$2:K23,"Sparse"))</f>
        <v>UA0</v>
      </c>
      <c r="B23" s="28" t="str">
        <f>J23&amp;(COUNTIF(J$2:J23,J23))</f>
        <v>Unitary4</v>
      </c>
      <c r="C23" s="31" t="s">
        <v>262</v>
      </c>
      <c r="D23" s="31" t="s">
        <v>262</v>
      </c>
      <c r="E23" s="32" t="s">
        <v>377</v>
      </c>
      <c r="F23" s="32" t="s">
        <v>388</v>
      </c>
      <c r="G23" s="32" t="s">
        <v>397</v>
      </c>
      <c r="H23" s="33" t="s">
        <v>902</v>
      </c>
      <c r="I23" s="34" t="s">
        <v>385</v>
      </c>
      <c r="J23" s="45" t="s">
        <v>397</v>
      </c>
      <c r="K23" s="44"/>
    </row>
    <row r="24" spans="1:11" ht="14.4">
      <c r="A24" s="28" t="str">
        <f>F24&amp;(COUNTIFS(F$2:F24,F24,K$2:K24,"Sparse"))</f>
        <v>SD3</v>
      </c>
      <c r="B24" s="28" t="str">
        <f>J24&amp;(COUNTIF(J$2:J24,J24))</f>
        <v>Derbyshire2</v>
      </c>
      <c r="C24" s="31" t="s">
        <v>17</v>
      </c>
      <c r="D24" s="31" t="s">
        <v>17</v>
      </c>
      <c r="E24" s="32" t="s">
        <v>368</v>
      </c>
      <c r="F24" s="32" t="s">
        <v>382</v>
      </c>
      <c r="G24" s="32" t="s">
        <v>5</v>
      </c>
      <c r="H24" s="267" t="s">
        <v>905</v>
      </c>
      <c r="I24" s="34" t="s">
        <v>372</v>
      </c>
      <c r="J24" t="s">
        <v>308</v>
      </c>
      <c r="K24" s="44"/>
    </row>
    <row r="25" spans="1:11" ht="14.4">
      <c r="A25" s="28" t="str">
        <f>F25&amp;(COUNTIFS(F$2:F25,F25,K$2:K25,"Sparse"))</f>
        <v>MD0</v>
      </c>
      <c r="B25" s="28" t="str">
        <f>J25&amp;(COUNTIF(J$2:J25,J25))</f>
        <v>Bolton1</v>
      </c>
      <c r="C25" s="31" t="s">
        <v>225</v>
      </c>
      <c r="D25" s="31" t="s">
        <v>225</v>
      </c>
      <c r="E25" s="32" t="s">
        <v>377</v>
      </c>
      <c r="F25" s="32" t="s">
        <v>387</v>
      </c>
      <c r="G25" s="32" t="s">
        <v>398</v>
      </c>
      <c r="H25" s="33" t="s">
        <v>907</v>
      </c>
      <c r="I25" s="34" t="s">
        <v>385</v>
      </c>
      <c r="J25" t="str">
        <f>C25</f>
        <v>Bolton</v>
      </c>
      <c r="K25" s="44"/>
    </row>
    <row r="26" spans="1:11" ht="14.4">
      <c r="A26" s="28" t="str">
        <f>F26&amp;(COUNTIFS(F$2:F26,F26,K$2:K26,"Sparse"))</f>
        <v>SD4</v>
      </c>
      <c r="B26" s="28" t="str">
        <f>J26&amp;(COUNTIF(J$2:J26,J26))</f>
        <v>Lincolnshire1</v>
      </c>
      <c r="C26" s="31" t="s">
        <v>18</v>
      </c>
      <c r="D26" s="31" t="s">
        <v>18</v>
      </c>
      <c r="E26" s="32" t="s">
        <v>368</v>
      </c>
      <c r="F26" s="32" t="s">
        <v>382</v>
      </c>
      <c r="G26" s="32" t="s">
        <v>5</v>
      </c>
      <c r="H26" s="35" t="s">
        <v>905</v>
      </c>
      <c r="I26" s="34" t="s">
        <v>372</v>
      </c>
      <c r="J26" t="s">
        <v>319</v>
      </c>
      <c r="K26" s="44" t="s">
        <v>336</v>
      </c>
    </row>
    <row r="27" spans="1:11" ht="14.4">
      <c r="A27" s="28" t="str">
        <f>F27&amp;(COUNTIFS(F$2:F27,F27,K$2:K27,"Sparse"))</f>
        <v>UA0</v>
      </c>
      <c r="B27" s="28" t="str">
        <f>J27&amp;(COUNTIF(J$2:J27,J27))</f>
        <v>Unitary5</v>
      </c>
      <c r="C27" s="31" t="s">
        <v>913</v>
      </c>
      <c r="D27" s="31" t="s">
        <v>913</v>
      </c>
      <c r="E27" s="32" t="s">
        <v>1</v>
      </c>
      <c r="F27" s="32" t="s">
        <v>388</v>
      </c>
      <c r="G27" s="32" t="s">
        <v>397</v>
      </c>
      <c r="H27" s="33"/>
      <c r="I27" s="34" t="s">
        <v>385</v>
      </c>
      <c r="J27" s="45" t="s">
        <v>397</v>
      </c>
      <c r="K27" s="44"/>
    </row>
    <row r="28" spans="1:11" ht="14.4">
      <c r="A28" s="28" t="str">
        <f>F28&amp;(COUNTIFS(F$2:F28,F28,K$2:K28,"Sparse"))</f>
        <v>UA0</v>
      </c>
      <c r="B28" s="28" t="str">
        <f>J28&amp;(COUNTIF(J$2:J28,J28))</f>
        <v>Unitary6</v>
      </c>
      <c r="C28" s="31" t="s">
        <v>264</v>
      </c>
      <c r="D28" s="31" t="s">
        <v>264</v>
      </c>
      <c r="E28" s="32" t="s">
        <v>0</v>
      </c>
      <c r="F28" s="32" t="s">
        <v>388</v>
      </c>
      <c r="G28" s="32" t="s">
        <v>397</v>
      </c>
      <c r="H28" s="33" t="s">
        <v>902</v>
      </c>
      <c r="I28" s="34" t="s">
        <v>385</v>
      </c>
      <c r="J28" s="45" t="s">
        <v>397</v>
      </c>
      <c r="K28" s="44"/>
    </row>
    <row r="29" spans="1:11" ht="14.4">
      <c r="A29" s="28" t="str">
        <f>F29&amp;(COUNTIFS(F$2:F29,F29,K$2:K29,"Sparse"))</f>
        <v>MD0</v>
      </c>
      <c r="B29" s="28" t="str">
        <f>J29&amp;(COUNTIF(J$2:J29,J29))</f>
        <v>Bradford1</v>
      </c>
      <c r="C29" s="31" t="s">
        <v>226</v>
      </c>
      <c r="D29" s="31" t="s">
        <v>226</v>
      </c>
      <c r="E29" s="32" t="s">
        <v>386</v>
      </c>
      <c r="F29" s="32" t="s">
        <v>387</v>
      </c>
      <c r="G29" s="32" t="s">
        <v>398</v>
      </c>
      <c r="H29" s="33" t="s">
        <v>907</v>
      </c>
      <c r="I29" s="34" t="s">
        <v>385</v>
      </c>
      <c r="J29" t="str">
        <f>C29</f>
        <v>Bradford</v>
      </c>
      <c r="K29" s="44"/>
    </row>
    <row r="30" spans="1:11" ht="14.4">
      <c r="A30" s="28" t="str">
        <f>F30&amp;(COUNTIFS(F$2:F30,F30,K$2:K30,"Sparse"))</f>
        <v>SD5</v>
      </c>
      <c r="B30" s="28" t="str">
        <f>J30&amp;(COUNTIF(J$2:J30,J30))</f>
        <v>Essex2</v>
      </c>
      <c r="C30" s="31" t="s">
        <v>19</v>
      </c>
      <c r="D30" s="31" t="s">
        <v>19</v>
      </c>
      <c r="E30" s="32" t="s">
        <v>370</v>
      </c>
      <c r="F30" s="32" t="s">
        <v>382</v>
      </c>
      <c r="G30" s="32" t="s">
        <v>5</v>
      </c>
      <c r="H30" s="33" t="s">
        <v>906</v>
      </c>
      <c r="I30" s="34" t="s">
        <v>383</v>
      </c>
      <c r="J30" t="s">
        <v>312</v>
      </c>
      <c r="K30" s="44" t="s">
        <v>336</v>
      </c>
    </row>
    <row r="31" spans="1:11" ht="14.4">
      <c r="A31" s="28" t="str">
        <f>F31&amp;(COUNTIFS(F$2:F31,F31,K$2:K31,"Sparse"))</f>
        <v>SD6</v>
      </c>
      <c r="B31" s="28" t="str">
        <f>J31&amp;(COUNTIF(J$2:J31,J31))</f>
        <v>Norfolk1</v>
      </c>
      <c r="C31" s="31" t="s">
        <v>20</v>
      </c>
      <c r="D31" s="31" t="s">
        <v>20</v>
      </c>
      <c r="E31" s="32" t="s">
        <v>370</v>
      </c>
      <c r="F31" s="32" t="s">
        <v>382</v>
      </c>
      <c r="G31" s="32" t="s">
        <v>5</v>
      </c>
      <c r="H31" s="33" t="s">
        <v>903</v>
      </c>
      <c r="I31" s="34" t="s">
        <v>383</v>
      </c>
      <c r="J31" t="s">
        <v>320</v>
      </c>
      <c r="K31" s="44" t="s">
        <v>336</v>
      </c>
    </row>
    <row r="32" spans="1:11" ht="14.4">
      <c r="A32" s="28" t="str">
        <f>F32&amp;(COUNTIFS(F$2:F32,F32,K$2:K32,"Sparse"))</f>
        <v>L0</v>
      </c>
      <c r="B32" s="28" t="str">
        <f>J32&amp;(COUNTIF(J$2:J32,J32))</f>
        <v>London4</v>
      </c>
      <c r="C32" s="31" t="s">
        <v>199</v>
      </c>
      <c r="D32" s="31" t="s">
        <v>199</v>
      </c>
      <c r="E32" s="32" t="s">
        <v>384</v>
      </c>
      <c r="F32" s="32" t="s">
        <v>360</v>
      </c>
      <c r="G32" s="32" t="s">
        <v>384</v>
      </c>
      <c r="H32" s="33" t="s">
        <v>907</v>
      </c>
      <c r="I32" s="34" t="s">
        <v>385</v>
      </c>
      <c r="J32" t="str">
        <f>G32</f>
        <v>London</v>
      </c>
      <c r="K32" s="44"/>
    </row>
    <row r="33" spans="1:11" ht="14.4">
      <c r="A33" s="28" t="str">
        <f>F33&amp;(COUNTIFS(F$2:F33,F33,K$2:K33,"Sparse"))</f>
        <v>SD6</v>
      </c>
      <c r="B33" s="28" t="str">
        <f>J33&amp;(COUNTIF(J$2:J33,J33))</f>
        <v>Essex3</v>
      </c>
      <c r="C33" s="31" t="s">
        <v>21</v>
      </c>
      <c r="D33" s="31" t="s">
        <v>21</v>
      </c>
      <c r="E33" s="32" t="s">
        <v>370</v>
      </c>
      <c r="F33" s="32" t="s">
        <v>382</v>
      </c>
      <c r="G33" s="32" t="s">
        <v>5</v>
      </c>
      <c r="H33" s="35" t="s">
        <v>905</v>
      </c>
      <c r="I33" s="34" t="s">
        <v>372</v>
      </c>
      <c r="J33" t="s">
        <v>312</v>
      </c>
      <c r="K33" s="44"/>
    </row>
    <row r="34" spans="1:11" ht="14.4">
      <c r="A34" s="28" t="str">
        <f>F34&amp;(COUNTIFS(F$2:F34,F34,K$2:K34,"Sparse"))</f>
        <v>UA0</v>
      </c>
      <c r="B34" s="28" t="str">
        <f>J34&amp;(COUNTIF(J$2:J34,J34))</f>
        <v>Unitary7</v>
      </c>
      <c r="C34" s="31" t="s">
        <v>813</v>
      </c>
      <c r="D34" s="31" t="s">
        <v>813</v>
      </c>
      <c r="E34" s="32" t="s">
        <v>0</v>
      </c>
      <c r="F34" s="32" t="s">
        <v>388</v>
      </c>
      <c r="G34" s="32" t="s">
        <v>397</v>
      </c>
      <c r="H34" s="33" t="s">
        <v>902</v>
      </c>
      <c r="I34" s="34" t="s">
        <v>385</v>
      </c>
      <c r="J34" s="45" t="s">
        <v>397</v>
      </c>
      <c r="K34" s="44"/>
    </row>
    <row r="35" spans="1:11" ht="14.4">
      <c r="A35" s="28" t="str">
        <f>F35&amp;(COUNTIFS(F$2:F35,F35,K$2:K35,"Sparse"))</f>
        <v>UA0</v>
      </c>
      <c r="B35" s="28" t="str">
        <f>J35&amp;(COUNTIF(J$2:J35,J35))</f>
        <v>Unitary8</v>
      </c>
      <c r="C35" s="31" t="s">
        <v>817</v>
      </c>
      <c r="D35" s="31" t="s">
        <v>389</v>
      </c>
      <c r="E35" s="32" t="s">
        <v>1</v>
      </c>
      <c r="F35" s="32" t="s">
        <v>388</v>
      </c>
      <c r="G35" s="32" t="s">
        <v>397</v>
      </c>
      <c r="H35" s="33" t="s">
        <v>902</v>
      </c>
      <c r="I35" s="34" t="s">
        <v>385</v>
      </c>
      <c r="J35" s="45" t="s">
        <v>397</v>
      </c>
      <c r="K35" s="44"/>
    </row>
    <row r="36" spans="1:11" ht="14.4">
      <c r="A36" s="28" t="str">
        <f>F36&amp;(COUNTIFS(F$2:F36,F36,K$2:K36,"Sparse"))</f>
        <v>SD6</v>
      </c>
      <c r="B36" s="28" t="str">
        <f>J36&amp;(COUNTIF(J$2:J36,J36))</f>
        <v>Norfolk2</v>
      </c>
      <c r="C36" s="31" t="s">
        <v>22</v>
      </c>
      <c r="D36" s="31" t="s">
        <v>22</v>
      </c>
      <c r="E36" s="32" t="s">
        <v>370</v>
      </c>
      <c r="F36" s="32" t="s">
        <v>382</v>
      </c>
      <c r="G36" s="32" t="s">
        <v>5</v>
      </c>
      <c r="H36" s="35" t="s">
        <v>905</v>
      </c>
      <c r="I36" s="34" t="s">
        <v>372</v>
      </c>
      <c r="J36" t="s">
        <v>320</v>
      </c>
      <c r="K36" s="44"/>
    </row>
    <row r="37" spans="1:11" ht="14.4">
      <c r="A37" s="28" t="str">
        <f>F37&amp;(COUNTIFS(F$2:F37,F37,K$2:K37,"Sparse"))</f>
        <v>L0</v>
      </c>
      <c r="B37" s="28" t="str">
        <f>J37&amp;(COUNTIF(J$2:J37,J37))</f>
        <v>London5</v>
      </c>
      <c r="C37" s="31" t="s">
        <v>200</v>
      </c>
      <c r="D37" s="31" t="s">
        <v>200</v>
      </c>
      <c r="E37" s="32" t="s">
        <v>384</v>
      </c>
      <c r="F37" s="32" t="s">
        <v>360</v>
      </c>
      <c r="G37" s="32" t="s">
        <v>384</v>
      </c>
      <c r="H37" s="33" t="s">
        <v>907</v>
      </c>
      <c r="I37" s="34" t="s">
        <v>385</v>
      </c>
      <c r="J37" t="str">
        <f>G37</f>
        <v>London</v>
      </c>
      <c r="K37" s="44"/>
    </row>
    <row r="38" spans="1:11" ht="14.4">
      <c r="A38" s="28" t="str">
        <f>F38&amp;(COUNTIFS(F$2:F38,F38,K$2:K38,"Sparse"))</f>
        <v>SD6</v>
      </c>
      <c r="B38" s="28" t="str">
        <f>J38&amp;(COUNTIF(J$2:J38,J38))</f>
        <v>Worcestershire1</v>
      </c>
      <c r="C38" s="31" t="s">
        <v>23</v>
      </c>
      <c r="D38" s="31" t="s">
        <v>23</v>
      </c>
      <c r="E38" s="32" t="s">
        <v>369</v>
      </c>
      <c r="F38" s="32" t="s">
        <v>382</v>
      </c>
      <c r="G38" s="32" t="s">
        <v>5</v>
      </c>
      <c r="H38" s="35" t="s">
        <v>902</v>
      </c>
      <c r="I38" s="34" t="s">
        <v>385</v>
      </c>
      <c r="J38" t="s">
        <v>333</v>
      </c>
      <c r="K38" s="44"/>
    </row>
    <row r="39" spans="1:11" ht="14.4">
      <c r="A39" s="28" t="str">
        <f>F39&amp;(COUNTIFS(F$2:F39,F39,K$2:K39,"Sparse"))</f>
        <v>SD6</v>
      </c>
      <c r="B39" s="28" t="str">
        <f>J39&amp;(COUNTIF(J$2:J39,J39))</f>
        <v>Hertfordshire1</v>
      </c>
      <c r="C39" s="31" t="s">
        <v>24</v>
      </c>
      <c r="D39" s="31" t="s">
        <v>24</v>
      </c>
      <c r="E39" s="32" t="s">
        <v>370</v>
      </c>
      <c r="F39" s="32" t="s">
        <v>382</v>
      </c>
      <c r="G39" s="32" t="s">
        <v>5</v>
      </c>
      <c r="H39" s="33" t="s">
        <v>907</v>
      </c>
      <c r="I39" s="34" t="s">
        <v>385</v>
      </c>
      <c r="J39" t="s">
        <v>315</v>
      </c>
      <c r="K39" s="44"/>
    </row>
    <row r="40" spans="1:11" ht="14.4">
      <c r="A40" s="28" t="str">
        <f>F40&amp;(COUNTIFS(F$2:F40,F40,K$2:K40,"Sparse"))</f>
        <v>SD6</v>
      </c>
      <c r="B40" s="28" t="str">
        <f>J40&amp;(COUNTIF(J$2:J40,J40))</f>
        <v>Nottinghamshire3</v>
      </c>
      <c r="C40" s="31" t="s">
        <v>25</v>
      </c>
      <c r="D40" s="31" t="s">
        <v>25</v>
      </c>
      <c r="E40" s="32" t="s">
        <v>368</v>
      </c>
      <c r="F40" s="32" t="s">
        <v>382</v>
      </c>
      <c r="G40" s="32" t="s">
        <v>5</v>
      </c>
      <c r="H40" s="33" t="s">
        <v>904</v>
      </c>
      <c r="I40" s="34" t="s">
        <v>385</v>
      </c>
      <c r="J40" t="s">
        <v>324</v>
      </c>
      <c r="K40" s="44"/>
    </row>
    <row r="41" spans="1:11" ht="14.4">
      <c r="A41" s="28" t="str">
        <f>F41&amp;(COUNTIFS(F$2:F41,F41,K$2:K41,"Sparse"))</f>
        <v>SC0</v>
      </c>
      <c r="B41" s="28" t="str">
        <f>J41&amp;(COUNTIF(J$2:J41,J41))</f>
        <v>Buckinghamshire2</v>
      </c>
      <c r="C41" s="31" t="s">
        <v>301</v>
      </c>
      <c r="D41" s="31" t="s">
        <v>301</v>
      </c>
      <c r="E41" s="32" t="s">
        <v>0</v>
      </c>
      <c r="F41" s="32" t="s">
        <v>390</v>
      </c>
      <c r="G41" s="32" t="s">
        <v>302</v>
      </c>
      <c r="H41" s="34" t="s">
        <v>372</v>
      </c>
      <c r="I41" s="34" t="s">
        <v>372</v>
      </c>
      <c r="J41" t="str">
        <f>C41</f>
        <v>Buckinghamshire</v>
      </c>
      <c r="K41" s="44"/>
    </row>
    <row r="42" spans="1:11" ht="14.4">
      <c r="A42" s="28" t="str">
        <f>F42&amp;(COUNTIFS(F$2:F42,F42,K$2:K42,"Sparse"))</f>
        <v>SD6</v>
      </c>
      <c r="B42" s="28" t="str">
        <f>J42&amp;(COUNTIF(J$2:J42,J42))</f>
        <v>Lancashire1</v>
      </c>
      <c r="C42" s="31" t="s">
        <v>26</v>
      </c>
      <c r="D42" s="31" t="s">
        <v>26</v>
      </c>
      <c r="E42" s="32" t="s">
        <v>377</v>
      </c>
      <c r="F42" s="32" t="s">
        <v>382</v>
      </c>
      <c r="G42" s="32" t="s">
        <v>5</v>
      </c>
      <c r="H42" s="33" t="s">
        <v>902</v>
      </c>
      <c r="I42" s="34" t="s">
        <v>385</v>
      </c>
      <c r="J42" t="s">
        <v>317</v>
      </c>
      <c r="K42" s="44"/>
    </row>
    <row r="43" spans="1:11" ht="14.4">
      <c r="A43" s="28" t="str">
        <f>F43&amp;(COUNTIFS(F$2:F43,F43,K$2:K43,"Sparse"))</f>
        <v>MD0</v>
      </c>
      <c r="B43" s="28" t="str">
        <f>J43&amp;(COUNTIF(J$2:J43,J43))</f>
        <v>Bury1</v>
      </c>
      <c r="C43" s="31" t="s">
        <v>227</v>
      </c>
      <c r="D43" s="31" t="s">
        <v>227</v>
      </c>
      <c r="E43" s="32" t="s">
        <v>377</v>
      </c>
      <c r="F43" s="32" t="s">
        <v>387</v>
      </c>
      <c r="G43" s="32" t="s">
        <v>398</v>
      </c>
      <c r="H43" s="33" t="s">
        <v>907</v>
      </c>
      <c r="I43" s="34" t="s">
        <v>385</v>
      </c>
      <c r="J43" t="str">
        <f>C43</f>
        <v>Bury</v>
      </c>
      <c r="K43" s="44"/>
    </row>
    <row r="44" spans="1:11" ht="14.4">
      <c r="A44" s="28" t="str">
        <f>F44&amp;(COUNTIFS(F$2:F44,F44,K$2:K44,"Sparse"))</f>
        <v>MD0</v>
      </c>
      <c r="B44" s="28" t="str">
        <f>J44&amp;(COUNTIF(J$2:J44,J44))</f>
        <v>Calderdale1</v>
      </c>
      <c r="C44" s="31" t="s">
        <v>228</v>
      </c>
      <c r="D44" s="31" t="s">
        <v>228</v>
      </c>
      <c r="E44" s="32" t="s">
        <v>386</v>
      </c>
      <c r="F44" s="32" t="s">
        <v>387</v>
      </c>
      <c r="G44" s="32" t="s">
        <v>398</v>
      </c>
      <c r="H44" s="35" t="s">
        <v>907</v>
      </c>
      <c r="I44" s="34" t="s">
        <v>385</v>
      </c>
      <c r="J44" t="str">
        <f>C44</f>
        <v>Calderdale</v>
      </c>
      <c r="K44" s="44"/>
    </row>
    <row r="45" spans="1:11" ht="14.4">
      <c r="A45" s="28" t="str">
        <f>F45&amp;(COUNTIFS(F$2:F45,F45,K$2:K45,"Sparse"))</f>
        <v>SD6</v>
      </c>
      <c r="B45" s="28" t="str">
        <f>J45&amp;(COUNTIF(J$2:J45,J45))</f>
        <v>Cambridgeshire1</v>
      </c>
      <c r="C45" s="31" t="s">
        <v>27</v>
      </c>
      <c r="D45" s="31" t="s">
        <v>27</v>
      </c>
      <c r="E45" s="32" t="s">
        <v>370</v>
      </c>
      <c r="F45" s="32" t="s">
        <v>382</v>
      </c>
      <c r="G45" s="32" t="s">
        <v>5</v>
      </c>
      <c r="H45" s="33" t="s">
        <v>902</v>
      </c>
      <c r="I45" s="34" t="s">
        <v>385</v>
      </c>
      <c r="J45" t="s">
        <v>303</v>
      </c>
      <c r="K45" s="44"/>
    </row>
    <row r="46" spans="1:11" ht="14.4">
      <c r="A46" s="28" t="str">
        <f>F46&amp;(COUNTIFS(F$2:F46,F46,K$2:K46,"Sparse"))</f>
        <v>SC0</v>
      </c>
      <c r="B46" s="28" t="str">
        <f>J46&amp;(COUNTIF(J$2:J46,J46))</f>
        <v>Cambridgeshire2</v>
      </c>
      <c r="C46" s="31" t="s">
        <v>303</v>
      </c>
      <c r="D46" s="31" t="s">
        <v>303</v>
      </c>
      <c r="E46" s="32" t="s">
        <v>370</v>
      </c>
      <c r="F46" s="32" t="s">
        <v>390</v>
      </c>
      <c r="G46" s="32" t="s">
        <v>302</v>
      </c>
      <c r="H46" s="34" t="s">
        <v>383</v>
      </c>
      <c r="I46" s="34" t="s">
        <v>383</v>
      </c>
      <c r="J46" t="str">
        <f>C46</f>
        <v>Cambridgeshire</v>
      </c>
      <c r="K46" s="44"/>
    </row>
    <row r="47" spans="1:11" ht="14.4">
      <c r="A47" s="28" t="str">
        <f>F47&amp;(COUNTIFS(F$2:F47,F47,K$2:K47,"Sparse"))</f>
        <v>L0</v>
      </c>
      <c r="B47" s="28" t="str">
        <f>J47&amp;(COUNTIF(J$2:J47,J47))</f>
        <v>London6</v>
      </c>
      <c r="C47" s="31" t="s">
        <v>201</v>
      </c>
      <c r="D47" s="31" t="s">
        <v>201</v>
      </c>
      <c r="E47" s="32" t="s">
        <v>384</v>
      </c>
      <c r="F47" s="32" t="s">
        <v>360</v>
      </c>
      <c r="G47" s="32" t="s">
        <v>384</v>
      </c>
      <c r="H47" s="33" t="s">
        <v>907</v>
      </c>
      <c r="I47" s="34" t="s">
        <v>385</v>
      </c>
      <c r="J47" t="str">
        <f>G47</f>
        <v>London</v>
      </c>
      <c r="K47" s="44"/>
    </row>
    <row r="48" spans="1:11" ht="14.4">
      <c r="A48" s="28" t="str">
        <f>F48&amp;(COUNTIFS(F$2:F48,F48,K$2:K48,"Sparse"))</f>
        <v>SD6</v>
      </c>
      <c r="B48" s="28" t="str">
        <f>J48&amp;(COUNTIF(J$2:J48,J48))</f>
        <v>Staffordshire1</v>
      </c>
      <c r="C48" s="31" t="s">
        <v>28</v>
      </c>
      <c r="D48" s="31" t="s">
        <v>28</v>
      </c>
      <c r="E48" s="32" t="s">
        <v>369</v>
      </c>
      <c r="F48" s="32" t="s">
        <v>382</v>
      </c>
      <c r="G48" s="32" t="s">
        <v>5</v>
      </c>
      <c r="H48" s="35" t="s">
        <v>905</v>
      </c>
      <c r="I48" s="34" t="s">
        <v>372</v>
      </c>
      <c r="J48" t="s">
        <v>328</v>
      </c>
      <c r="K48" s="44"/>
    </row>
    <row r="49" spans="1:11" ht="14.4">
      <c r="A49" s="28" t="str">
        <f>F49&amp;(COUNTIFS(F$2:F49,F49,K$2:K49,"Sparse"))</f>
        <v>SD6</v>
      </c>
      <c r="B49" s="28" t="str">
        <f>J49&amp;(COUNTIF(J$2:J49,J49))</f>
        <v>Kent2</v>
      </c>
      <c r="C49" s="31" t="s">
        <v>29</v>
      </c>
      <c r="D49" s="31" t="s">
        <v>29</v>
      </c>
      <c r="E49" s="32" t="s">
        <v>0</v>
      </c>
      <c r="F49" s="32" t="s">
        <v>382</v>
      </c>
      <c r="G49" s="32" t="s">
        <v>5</v>
      </c>
      <c r="H49" s="33" t="s">
        <v>902</v>
      </c>
      <c r="I49" s="34" t="s">
        <v>385</v>
      </c>
      <c r="J49" t="s">
        <v>316</v>
      </c>
      <c r="K49" s="44"/>
    </row>
    <row r="50" spans="1:11" ht="14.4">
      <c r="A50" s="28" t="str">
        <f>F50&amp;(COUNTIFS(F$2:F50,F50,K$2:K50,"Sparse"))</f>
        <v>SD6</v>
      </c>
      <c r="B50" s="28" t="str">
        <f>J50&amp;(COUNTIF(J$2:J50,J50))</f>
        <v>Cumbria3</v>
      </c>
      <c r="C50" s="31" t="s">
        <v>30</v>
      </c>
      <c r="D50" s="31" t="s">
        <v>30</v>
      </c>
      <c r="E50" s="32" t="s">
        <v>377</v>
      </c>
      <c r="F50" s="32" t="s">
        <v>382</v>
      </c>
      <c r="G50" s="32" t="s">
        <v>5</v>
      </c>
      <c r="H50" s="35" t="s">
        <v>905</v>
      </c>
      <c r="I50" s="34" t="s">
        <v>372</v>
      </c>
      <c r="J50" t="s">
        <v>307</v>
      </c>
      <c r="K50" s="44"/>
    </row>
    <row r="51" spans="1:11" ht="14.4">
      <c r="A51" s="28" t="str">
        <f>F51&amp;(COUNTIFS(F$2:F51,F51,K$2:K51,"Sparse"))</f>
        <v>SD6</v>
      </c>
      <c r="B51" s="28" t="str">
        <f>J51&amp;(COUNTIF(J$2:J51,J51))</f>
        <v>Essex4</v>
      </c>
      <c r="C51" s="31" t="s">
        <v>31</v>
      </c>
      <c r="D51" s="31" t="s">
        <v>31</v>
      </c>
      <c r="E51" s="32" t="s">
        <v>370</v>
      </c>
      <c r="F51" s="32" t="s">
        <v>382</v>
      </c>
      <c r="G51" s="32" t="s">
        <v>5</v>
      </c>
      <c r="H51" s="33" t="s">
        <v>902</v>
      </c>
      <c r="I51" s="34" t="s">
        <v>385</v>
      </c>
      <c r="J51" t="s">
        <v>312</v>
      </c>
      <c r="K51" s="44"/>
    </row>
    <row r="52" spans="1:11" ht="14.4">
      <c r="A52" s="28" t="str">
        <f>F52&amp;(COUNTIFS(F$2:F52,F52,K$2:K52,"Sparse"))</f>
        <v>UA0</v>
      </c>
      <c r="B52" s="28" t="str">
        <f>J52&amp;(COUNTIF(J$2:J52,J52))</f>
        <v>Unitary9</v>
      </c>
      <c r="C52" s="31" t="s">
        <v>304</v>
      </c>
      <c r="D52" s="31" t="s">
        <v>304</v>
      </c>
      <c r="E52" s="32" t="s">
        <v>370</v>
      </c>
      <c r="F52" s="32" t="s">
        <v>388</v>
      </c>
      <c r="G52" s="32" t="s">
        <v>397</v>
      </c>
      <c r="H52" s="35" t="s">
        <v>906</v>
      </c>
      <c r="I52" s="34" t="s">
        <v>383</v>
      </c>
      <c r="J52" s="45" t="s">
        <v>397</v>
      </c>
      <c r="K52" s="44"/>
    </row>
    <row r="53" spans="1:11" ht="14.4">
      <c r="A53" s="28" t="str">
        <f>F53&amp;(COUNTIFS(F$2:F53,F53,K$2:K53,"Sparse"))</f>
        <v>SD6</v>
      </c>
      <c r="B53" s="28" t="str">
        <f>J53&amp;(COUNTIF(J$2:J53,J53))</f>
        <v>Leicestershire2</v>
      </c>
      <c r="C53" s="31" t="s">
        <v>32</v>
      </c>
      <c r="D53" s="31" t="s">
        <v>32</v>
      </c>
      <c r="E53" s="32" t="s">
        <v>368</v>
      </c>
      <c r="F53" s="32" t="s">
        <v>382</v>
      </c>
      <c r="G53" s="32" t="s">
        <v>5</v>
      </c>
      <c r="H53" s="33" t="s">
        <v>902</v>
      </c>
      <c r="I53" s="34" t="s">
        <v>385</v>
      </c>
      <c r="J53" t="s">
        <v>318</v>
      </c>
      <c r="K53" s="44"/>
    </row>
    <row r="54" spans="1:11" ht="14.4">
      <c r="A54" s="28" t="str">
        <f>F54&amp;(COUNTIFS(F$2:F54,F54,K$2:K54,"Sparse"))</f>
        <v>SD6</v>
      </c>
      <c r="B54" s="28" t="str">
        <f>J54&amp;(COUNTIF(J$2:J54,J54))</f>
        <v>Essex5</v>
      </c>
      <c r="C54" s="31" t="s">
        <v>33</v>
      </c>
      <c r="D54" s="31" t="s">
        <v>33</v>
      </c>
      <c r="E54" s="32" t="s">
        <v>370</v>
      </c>
      <c r="F54" s="32" t="s">
        <v>382</v>
      </c>
      <c r="G54" s="32" t="s">
        <v>5</v>
      </c>
      <c r="H54" s="33" t="s">
        <v>902</v>
      </c>
      <c r="I54" s="34" t="s">
        <v>385</v>
      </c>
      <c r="J54" t="s">
        <v>312</v>
      </c>
      <c r="K54" s="44"/>
    </row>
    <row r="55" spans="1:11" ht="14.4">
      <c r="A55" s="28" t="str">
        <f>F55&amp;(COUNTIFS(F$2:F55,F55,K$2:K55,"Sparse"))</f>
        <v>SD6</v>
      </c>
      <c r="B55" s="28" t="str">
        <f>J55&amp;(COUNTIF(J$2:J55,J55))</f>
        <v>Gloucestershire1</v>
      </c>
      <c r="C55" s="31" t="s">
        <v>34</v>
      </c>
      <c r="D55" s="31" t="s">
        <v>34</v>
      </c>
      <c r="E55" s="32" t="s">
        <v>1</v>
      </c>
      <c r="F55" s="32" t="s">
        <v>382</v>
      </c>
      <c r="G55" s="32" t="s">
        <v>5</v>
      </c>
      <c r="H55" s="33" t="s">
        <v>902</v>
      </c>
      <c r="I55" s="34" t="s">
        <v>385</v>
      </c>
      <c r="J55" t="s">
        <v>313</v>
      </c>
      <c r="K55" s="44"/>
    </row>
    <row r="56" spans="1:11" ht="14.4">
      <c r="A56" s="28" t="str">
        <f>F56&amp;(COUNTIFS(F$2:F56,F56,K$2:K56,"Sparse"))</f>
        <v>SD7</v>
      </c>
      <c r="B56" s="28" t="str">
        <f>J56&amp;(COUNTIF(J$2:J56,J56))</f>
        <v>Oxfordshire1</v>
      </c>
      <c r="C56" s="31" t="s">
        <v>35</v>
      </c>
      <c r="D56" s="31" t="s">
        <v>35</v>
      </c>
      <c r="E56" s="32" t="s">
        <v>0</v>
      </c>
      <c r="F56" s="32" t="s">
        <v>382</v>
      </c>
      <c r="G56" s="32" t="s">
        <v>5</v>
      </c>
      <c r="H56" s="35" t="s">
        <v>905</v>
      </c>
      <c r="I56" s="34" t="s">
        <v>372</v>
      </c>
      <c r="J56" t="s">
        <v>325</v>
      </c>
      <c r="K56" s="44" t="s">
        <v>336</v>
      </c>
    </row>
    <row r="57" spans="1:11" ht="14.4">
      <c r="A57" s="28" t="str">
        <f>F57&amp;(COUNTIFS(F$2:F57,F57,K$2:K57,"Sparse"))</f>
        <v>UA1</v>
      </c>
      <c r="B57" s="28" t="str">
        <f>J57&amp;(COUNTIF(J$2:J57,J57))</f>
        <v>Unitary10</v>
      </c>
      <c r="C57" s="31" t="s">
        <v>305</v>
      </c>
      <c r="D57" s="31" t="s">
        <v>305</v>
      </c>
      <c r="E57" s="32" t="s">
        <v>377</v>
      </c>
      <c r="F57" s="32" t="s">
        <v>388</v>
      </c>
      <c r="G57" s="32" t="s">
        <v>397</v>
      </c>
      <c r="H57" s="35" t="s">
        <v>905</v>
      </c>
      <c r="I57" s="34" t="s">
        <v>372</v>
      </c>
      <c r="J57" s="45" t="s">
        <v>397</v>
      </c>
      <c r="K57" s="44" t="s">
        <v>336</v>
      </c>
    </row>
    <row r="58" spans="1:11" ht="14.4">
      <c r="A58" s="28" t="str">
        <f>F58&amp;(COUNTIFS(F$2:F58,F58,K$2:K58,"Sparse"))</f>
        <v>UA1</v>
      </c>
      <c r="B58" s="28" t="str">
        <f>J58&amp;(COUNTIF(J$2:J58,J58))</f>
        <v>Unitary11</v>
      </c>
      <c r="C58" s="31" t="s">
        <v>814</v>
      </c>
      <c r="D58" s="31" t="s">
        <v>814</v>
      </c>
      <c r="E58" s="32" t="s">
        <v>377</v>
      </c>
      <c r="F58" s="32" t="s">
        <v>388</v>
      </c>
      <c r="G58" s="32" t="s">
        <v>397</v>
      </c>
      <c r="H58" s="35" t="s">
        <v>905</v>
      </c>
      <c r="I58" s="34" t="s">
        <v>372</v>
      </c>
      <c r="J58" s="45" t="s">
        <v>397</v>
      </c>
      <c r="K58" s="44"/>
    </row>
    <row r="59" spans="1:11" ht="14.4">
      <c r="A59" s="28" t="str">
        <f>F59&amp;(COUNTIFS(F$2:F59,F59,K$2:K59,"Sparse"))</f>
        <v>SD7</v>
      </c>
      <c r="B59" s="28" t="str">
        <f>J59&amp;(COUNTIF(J$2:J59,J59))</f>
        <v>Derbyshire3</v>
      </c>
      <c r="C59" s="31" t="s">
        <v>36</v>
      </c>
      <c r="D59" s="31" t="s">
        <v>36</v>
      </c>
      <c r="E59" s="32" t="s">
        <v>368</v>
      </c>
      <c r="F59" s="32" t="s">
        <v>382</v>
      </c>
      <c r="G59" s="32" t="s">
        <v>5</v>
      </c>
      <c r="H59" s="33" t="s">
        <v>902</v>
      </c>
      <c r="I59" s="34" t="s">
        <v>385</v>
      </c>
      <c r="J59" t="s">
        <v>308</v>
      </c>
      <c r="K59" s="44"/>
    </row>
    <row r="60" spans="1:11" ht="14.4">
      <c r="A60" s="28" t="str">
        <f>F60&amp;(COUNTIFS(F$2:F60,F60,K$2:K60,"Sparse"))</f>
        <v>SD8</v>
      </c>
      <c r="B60" s="28" t="str">
        <f>J60&amp;(COUNTIF(J$2:J60,J60))</f>
        <v>West Sussex3</v>
      </c>
      <c r="C60" s="31" t="s">
        <v>37</v>
      </c>
      <c r="D60" s="31" t="s">
        <v>37</v>
      </c>
      <c r="E60" s="32" t="s">
        <v>0</v>
      </c>
      <c r="F60" s="32" t="s">
        <v>382</v>
      </c>
      <c r="G60" s="32" t="s">
        <v>5</v>
      </c>
      <c r="H60" s="33" t="s">
        <v>906</v>
      </c>
      <c r="I60" s="34" t="s">
        <v>383</v>
      </c>
      <c r="J60" t="s">
        <v>332</v>
      </c>
      <c r="K60" s="44" t="s">
        <v>336</v>
      </c>
    </row>
    <row r="61" spans="1:11" ht="14.4">
      <c r="A61" s="28" t="str">
        <f>F61&amp;(COUNTIFS(F$2:F61,F61,K$2:K61,"Sparse"))</f>
        <v>SD8</v>
      </c>
      <c r="B61" s="28" t="str">
        <f>J61&amp;(COUNTIF(J$2:J61,J61))</f>
        <v>Buckinghamshire3</v>
      </c>
      <c r="C61" s="31" t="s">
        <v>38</v>
      </c>
      <c r="D61" s="31" t="s">
        <v>38</v>
      </c>
      <c r="E61" s="32" t="s">
        <v>0</v>
      </c>
      <c r="F61" s="32" t="s">
        <v>382</v>
      </c>
      <c r="G61" s="32" t="s">
        <v>5</v>
      </c>
      <c r="H61" s="35" t="s">
        <v>905</v>
      </c>
      <c r="I61" s="34" t="s">
        <v>372</v>
      </c>
      <c r="J61" t="s">
        <v>301</v>
      </c>
      <c r="K61" s="44"/>
    </row>
    <row r="62" spans="1:11" ht="14.4">
      <c r="A62" s="28" t="str">
        <f>F62&amp;(COUNTIFS(F$2:F62,F62,K$2:K62,"Sparse"))</f>
        <v>SD8</v>
      </c>
      <c r="B62" s="28" t="str">
        <f>J62&amp;(COUNTIF(J$2:J62,J62))</f>
        <v>Lancashire2</v>
      </c>
      <c r="C62" s="31" t="s">
        <v>39</v>
      </c>
      <c r="D62" s="31" t="s">
        <v>39</v>
      </c>
      <c r="E62" s="32" t="s">
        <v>377</v>
      </c>
      <c r="F62" s="32" t="s">
        <v>382</v>
      </c>
      <c r="G62" s="32" t="s">
        <v>5</v>
      </c>
      <c r="H62" s="35" t="s">
        <v>905</v>
      </c>
      <c r="I62" s="34" t="s">
        <v>372</v>
      </c>
      <c r="J62" t="s">
        <v>317</v>
      </c>
      <c r="K62" s="44"/>
    </row>
    <row r="63" spans="1:11" ht="14.4">
      <c r="A63" s="28" t="str">
        <f>F63&amp;(COUNTIFS(F$2:F63,F63,K$2:K63,"Sparse"))</f>
        <v>L0</v>
      </c>
      <c r="B63" s="28" t="str">
        <f>J63&amp;(COUNTIF(J$2:J63,J63))</f>
        <v>London7</v>
      </c>
      <c r="C63" s="31" t="s">
        <v>371</v>
      </c>
      <c r="D63" s="31" t="s">
        <v>371</v>
      </c>
      <c r="E63" s="32" t="s">
        <v>384</v>
      </c>
      <c r="F63" s="32" t="s">
        <v>360</v>
      </c>
      <c r="G63" s="32" t="s">
        <v>384</v>
      </c>
      <c r="H63" s="36" t="s">
        <v>907</v>
      </c>
      <c r="I63" s="34" t="s">
        <v>385</v>
      </c>
      <c r="J63" t="str">
        <f>G63</f>
        <v>London</v>
      </c>
      <c r="K63" s="44"/>
    </row>
    <row r="64" spans="1:11" ht="14.4">
      <c r="A64" s="28" t="str">
        <f>F64&amp;(COUNTIFS(F$2:F64,F64,K$2:K64,"Sparse"))</f>
        <v>SD8</v>
      </c>
      <c r="B64" s="28" t="str">
        <f>J64&amp;(COUNTIF(J$2:J64,J64))</f>
        <v>Essex6</v>
      </c>
      <c r="C64" s="31" t="s">
        <v>41</v>
      </c>
      <c r="D64" s="31" t="s">
        <v>41</v>
      </c>
      <c r="E64" s="32" t="s">
        <v>370</v>
      </c>
      <c r="F64" s="32" t="s">
        <v>382</v>
      </c>
      <c r="G64" s="32" t="s">
        <v>5</v>
      </c>
      <c r="H64" s="35" t="s">
        <v>905</v>
      </c>
      <c r="I64" s="34" t="s">
        <v>372</v>
      </c>
      <c r="J64" t="s">
        <v>312</v>
      </c>
      <c r="K64" s="44"/>
    </row>
    <row r="65" spans="1:11" ht="14.4">
      <c r="A65" s="28" t="str">
        <f>F65&amp;(COUNTIFS(F$2:F65,F65,K$2:K65,"Sparse"))</f>
        <v>SD9</v>
      </c>
      <c r="B65" s="28" t="str">
        <f>J65&amp;(COUNTIF(J$2:J65,J65))</f>
        <v>Cumbria4</v>
      </c>
      <c r="C65" s="31" t="s">
        <v>42</v>
      </c>
      <c r="D65" s="31" t="s">
        <v>42</v>
      </c>
      <c r="E65" s="32" t="s">
        <v>377</v>
      </c>
      <c r="F65" s="32" t="s">
        <v>382</v>
      </c>
      <c r="G65" s="32" t="s">
        <v>5</v>
      </c>
      <c r="H65" s="33" t="s">
        <v>903</v>
      </c>
      <c r="I65" s="34" t="s">
        <v>383</v>
      </c>
      <c r="J65" t="s">
        <v>307</v>
      </c>
      <c r="K65" s="44" t="s">
        <v>336</v>
      </c>
    </row>
    <row r="66" spans="1:11" ht="14.4">
      <c r="A66" s="28" t="str">
        <f>F66&amp;(COUNTIFS(F$2:F66,F66,K$2:K66,"Sparse"))</f>
        <v>SD9</v>
      </c>
      <c r="B66" s="28" t="str">
        <f>J66&amp;(COUNTIF(J$2:J66,J66))</f>
        <v>Northamptonshire1</v>
      </c>
      <c r="C66" s="31" t="s">
        <v>43</v>
      </c>
      <c r="D66" s="31" t="s">
        <v>43</v>
      </c>
      <c r="E66" s="32" t="s">
        <v>368</v>
      </c>
      <c r="F66" s="32" t="s">
        <v>382</v>
      </c>
      <c r="G66" s="32" t="s">
        <v>5</v>
      </c>
      <c r="H66" s="33" t="s">
        <v>902</v>
      </c>
      <c r="I66" s="34" t="s">
        <v>385</v>
      </c>
      <c r="J66" t="s">
        <v>322</v>
      </c>
      <c r="K66" s="44"/>
    </row>
    <row r="67" spans="1:11" ht="14.4">
      <c r="A67" s="28" t="str">
        <f>F67&amp;(COUNTIFS(F$2:F67,F67,K$2:K67,"Sparse"))</f>
        <v>UA2</v>
      </c>
      <c r="B67" s="28" t="str">
        <f>J67&amp;(COUNTIF(J$2:J67,J67))</f>
        <v>Unitary12</v>
      </c>
      <c r="C67" s="31" t="s">
        <v>306</v>
      </c>
      <c r="D67" s="31" t="s">
        <v>306</v>
      </c>
      <c r="E67" s="32" t="s">
        <v>1</v>
      </c>
      <c r="F67" s="32" t="s">
        <v>388</v>
      </c>
      <c r="G67" s="32" t="s">
        <v>397</v>
      </c>
      <c r="H67" s="35" t="s">
        <v>903</v>
      </c>
      <c r="I67" s="34" t="s">
        <v>383</v>
      </c>
      <c r="J67" s="45" t="s">
        <v>397</v>
      </c>
      <c r="K67" s="44" t="s">
        <v>336</v>
      </c>
    </row>
    <row r="68" spans="1:11" ht="14.4">
      <c r="A68" s="28" t="str">
        <f>F68&amp;(COUNTIFS(F$2:F68,F68,K$2:K68,"Sparse"))</f>
        <v>SD10</v>
      </c>
      <c r="B68" s="28" t="str">
        <f>J68&amp;(COUNTIF(J$2:J68,J68))</f>
        <v>Gloucestershire2</v>
      </c>
      <c r="C68" s="31" t="s">
        <v>44</v>
      </c>
      <c r="D68" s="31" t="s">
        <v>44</v>
      </c>
      <c r="E68" s="32" t="s">
        <v>1</v>
      </c>
      <c r="F68" s="32" t="s">
        <v>382</v>
      </c>
      <c r="G68" s="32" t="s">
        <v>5</v>
      </c>
      <c r="H68" s="33" t="s">
        <v>903</v>
      </c>
      <c r="I68" s="34" t="s">
        <v>383</v>
      </c>
      <c r="J68" t="s">
        <v>313</v>
      </c>
      <c r="K68" s="44" t="s">
        <v>336</v>
      </c>
    </row>
    <row r="69" spans="1:11" ht="14.4">
      <c r="A69" s="28" t="str">
        <f>F69&amp;(COUNTIFS(F$2:F69,F69,K$2:K69,"Sparse"))</f>
        <v>MD0</v>
      </c>
      <c r="B69" s="28" t="str">
        <f>J69&amp;(COUNTIF(J$2:J69,J69))</f>
        <v>Coventry1</v>
      </c>
      <c r="C69" s="31" t="s">
        <v>229</v>
      </c>
      <c r="D69" s="31" t="s">
        <v>229</v>
      </c>
      <c r="E69" s="32" t="s">
        <v>369</v>
      </c>
      <c r="F69" s="32" t="s">
        <v>387</v>
      </c>
      <c r="G69" s="32" t="s">
        <v>398</v>
      </c>
      <c r="H69" s="33" t="s">
        <v>902</v>
      </c>
      <c r="I69" s="34" t="s">
        <v>385</v>
      </c>
      <c r="J69" t="str">
        <f>C69</f>
        <v>Coventry</v>
      </c>
      <c r="K69" s="44"/>
    </row>
    <row r="70" spans="1:11" ht="14.4">
      <c r="A70" s="28" t="str">
        <f>F70&amp;(COUNTIFS(F$2:F70,F70,K$2:K70,"Sparse"))</f>
        <v>SD11</v>
      </c>
      <c r="B70" s="28" t="str">
        <f>J70&amp;(COUNTIF(J$2:J70,J70))</f>
        <v>North Yorkshire1</v>
      </c>
      <c r="C70" s="31" t="s">
        <v>45</v>
      </c>
      <c r="D70" s="31" t="s">
        <v>45</v>
      </c>
      <c r="E70" s="32" t="s">
        <v>386</v>
      </c>
      <c r="F70" s="32" t="s">
        <v>382</v>
      </c>
      <c r="G70" s="32" t="s">
        <v>5</v>
      </c>
      <c r="H70" s="33" t="s">
        <v>903</v>
      </c>
      <c r="I70" s="34" t="s">
        <v>383</v>
      </c>
      <c r="J70" t="s">
        <v>321</v>
      </c>
      <c r="K70" s="44" t="s">
        <v>336</v>
      </c>
    </row>
    <row r="71" spans="1:11" ht="14.4">
      <c r="A71" s="28" t="str">
        <f>F71&amp;(COUNTIFS(F$2:F71,F71,K$2:K71,"Sparse"))</f>
        <v>SD11</v>
      </c>
      <c r="B71" s="28" t="str">
        <f>J71&amp;(COUNTIF(J$2:J71,J71))</f>
        <v>West Sussex4</v>
      </c>
      <c r="C71" s="31" t="s">
        <v>46</v>
      </c>
      <c r="D71" s="31" t="s">
        <v>46</v>
      </c>
      <c r="E71" s="32" t="s">
        <v>0</v>
      </c>
      <c r="F71" s="32" t="s">
        <v>382</v>
      </c>
      <c r="G71" s="32" t="s">
        <v>5</v>
      </c>
      <c r="H71" s="33" t="s">
        <v>902</v>
      </c>
      <c r="I71" s="34" t="s">
        <v>385</v>
      </c>
      <c r="J71" t="s">
        <v>332</v>
      </c>
      <c r="K71" s="44"/>
    </row>
    <row r="72" spans="1:11" ht="14.4">
      <c r="A72" s="28" t="str">
        <f>F72&amp;(COUNTIFS(F$2:F72,F72,K$2:K72,"Sparse"))</f>
        <v>L0</v>
      </c>
      <c r="B72" s="28" t="str">
        <f>J72&amp;(COUNTIF(J$2:J72,J72))</f>
        <v>London8</v>
      </c>
      <c r="C72" s="31" t="s">
        <v>202</v>
      </c>
      <c r="D72" s="31" t="s">
        <v>202</v>
      </c>
      <c r="E72" s="32" t="s">
        <v>384</v>
      </c>
      <c r="F72" s="32" t="s">
        <v>360</v>
      </c>
      <c r="G72" s="32" t="s">
        <v>384</v>
      </c>
      <c r="H72" s="33" t="s">
        <v>907</v>
      </c>
      <c r="I72" s="34" t="s">
        <v>385</v>
      </c>
      <c r="J72" t="str">
        <f>G72</f>
        <v>London</v>
      </c>
      <c r="K72" s="44"/>
    </row>
    <row r="73" spans="1:11" ht="14.4">
      <c r="A73" s="28" t="str">
        <f>F73&amp;(COUNTIFS(F$2:F73,F73,K$2:K73,"Sparse"))</f>
        <v>SC1</v>
      </c>
      <c r="B73" s="28" t="str">
        <f>J73&amp;(COUNTIF(J$2:J73,J73))</f>
        <v>Cumbria5</v>
      </c>
      <c r="C73" s="31" t="s">
        <v>307</v>
      </c>
      <c r="D73" s="31" t="s">
        <v>307</v>
      </c>
      <c r="E73" s="32" t="s">
        <v>377</v>
      </c>
      <c r="F73" s="32" t="s">
        <v>390</v>
      </c>
      <c r="G73" s="32" t="s">
        <v>302</v>
      </c>
      <c r="H73" s="34" t="s">
        <v>383</v>
      </c>
      <c r="I73" s="34" t="s">
        <v>383</v>
      </c>
      <c r="J73" t="str">
        <f>C73</f>
        <v>Cumbria</v>
      </c>
      <c r="K73" s="44" t="s">
        <v>336</v>
      </c>
    </row>
    <row r="74" spans="1:11" ht="14.4">
      <c r="A74" s="28" t="str">
        <f>F74&amp;(COUNTIFS(F$2:F74,F74,K$2:K74,"Sparse"))</f>
        <v>SD11</v>
      </c>
      <c r="B74" s="28" t="str">
        <f>J74&amp;(COUNTIF(J$2:J74,J74))</f>
        <v>Hertfordshire2</v>
      </c>
      <c r="C74" s="31" t="s">
        <v>47</v>
      </c>
      <c r="D74" s="31" t="s">
        <v>47</v>
      </c>
      <c r="E74" s="32" t="s">
        <v>370</v>
      </c>
      <c r="F74" s="32" t="s">
        <v>382</v>
      </c>
      <c r="G74" s="32" t="s">
        <v>5</v>
      </c>
      <c r="H74" s="35" t="s">
        <v>905</v>
      </c>
      <c r="I74" s="34" t="s">
        <v>372</v>
      </c>
      <c r="J74" t="s">
        <v>315</v>
      </c>
      <c r="K74" s="44"/>
    </row>
    <row r="75" spans="1:11" ht="14.4">
      <c r="A75" s="28" t="str">
        <f>F75&amp;(COUNTIFS(F$2:F75,F75,K$2:K75,"Sparse"))</f>
        <v>UA2</v>
      </c>
      <c r="B75" s="28" t="str">
        <f>J75&amp;(COUNTIF(J$2:J75,J75))</f>
        <v>Unitary13</v>
      </c>
      <c r="C75" s="31" t="s">
        <v>265</v>
      </c>
      <c r="D75" s="31" t="s">
        <v>265</v>
      </c>
      <c r="E75" s="32" t="s">
        <v>391</v>
      </c>
      <c r="F75" s="32" t="s">
        <v>388</v>
      </c>
      <c r="G75" s="32" t="s">
        <v>397</v>
      </c>
      <c r="H75" s="33" t="s">
        <v>902</v>
      </c>
      <c r="I75" s="34" t="s">
        <v>385</v>
      </c>
      <c r="J75" s="45" t="s">
        <v>397</v>
      </c>
      <c r="K75" s="44"/>
    </row>
    <row r="76" spans="1:11" ht="14.4">
      <c r="A76" s="28" t="str">
        <f>F76&amp;(COUNTIFS(F$2:F76,F76,K$2:K76,"Sparse"))</f>
        <v>SD11</v>
      </c>
      <c r="B76" s="28" t="str">
        <f>J76&amp;(COUNTIF(J$2:J76,J76))</f>
        <v>Kent3</v>
      </c>
      <c r="C76" s="31" t="s">
        <v>48</v>
      </c>
      <c r="D76" s="31" t="s">
        <v>48</v>
      </c>
      <c r="E76" s="32" t="s">
        <v>0</v>
      </c>
      <c r="F76" s="32" t="s">
        <v>382</v>
      </c>
      <c r="G76" s="32" t="s">
        <v>5</v>
      </c>
      <c r="H76" s="33" t="s">
        <v>907</v>
      </c>
      <c r="I76" s="34" t="s">
        <v>385</v>
      </c>
      <c r="J76" t="s">
        <v>316</v>
      </c>
      <c r="K76" s="44"/>
    </row>
    <row r="77" spans="1:11" ht="14.4">
      <c r="A77" s="28" t="str">
        <f>F77&amp;(COUNTIFS(F$2:F77,F77,K$2:K77,"Sparse"))</f>
        <v>SD12</v>
      </c>
      <c r="B77" s="28" t="str">
        <f>J77&amp;(COUNTIF(J$2:J77,J77))</f>
        <v>Northamptonshire2</v>
      </c>
      <c r="C77" s="31" t="s">
        <v>49</v>
      </c>
      <c r="D77" s="31" t="s">
        <v>49</v>
      </c>
      <c r="E77" s="32" t="s">
        <v>368</v>
      </c>
      <c r="F77" s="32" t="s">
        <v>382</v>
      </c>
      <c r="G77" s="32" t="s">
        <v>5</v>
      </c>
      <c r="H77" s="33" t="s">
        <v>903</v>
      </c>
      <c r="I77" s="34" t="s">
        <v>383</v>
      </c>
      <c r="J77" t="s">
        <v>322</v>
      </c>
      <c r="K77" s="44" t="s">
        <v>336</v>
      </c>
    </row>
    <row r="78" spans="1:11" ht="14.4">
      <c r="A78" s="28" t="str">
        <f>F78&amp;(COUNTIFS(F$2:F78,F78,K$2:K78,"Sparse"))</f>
        <v>UA2</v>
      </c>
      <c r="B78" s="28" t="str">
        <f>J78&amp;(COUNTIF(J$2:J78,J78))</f>
        <v>Unitary14</v>
      </c>
      <c r="C78" s="31" t="s">
        <v>266</v>
      </c>
      <c r="D78" s="31" t="s">
        <v>266</v>
      </c>
      <c r="E78" s="32" t="s">
        <v>368</v>
      </c>
      <c r="F78" s="32" t="s">
        <v>388</v>
      </c>
      <c r="G78" s="32" t="s">
        <v>397</v>
      </c>
      <c r="H78" s="33" t="s">
        <v>902</v>
      </c>
      <c r="I78" s="34" t="s">
        <v>385</v>
      </c>
      <c r="J78" s="45" t="s">
        <v>397</v>
      </c>
      <c r="K78" s="44"/>
    </row>
    <row r="79" spans="1:11" ht="14.4">
      <c r="A79" s="28" t="str">
        <f>F79&amp;(COUNTIFS(F$2:F79,F79,K$2:K79,"Sparse"))</f>
        <v>SC2</v>
      </c>
      <c r="B79" s="28" t="str">
        <f>J79&amp;(COUNTIF(J$2:J79,J79))</f>
        <v>Derbyshire4</v>
      </c>
      <c r="C79" s="31" t="s">
        <v>308</v>
      </c>
      <c r="D79" s="31" t="s">
        <v>308</v>
      </c>
      <c r="E79" s="32" t="s">
        <v>368</v>
      </c>
      <c r="F79" s="32" t="s">
        <v>390</v>
      </c>
      <c r="G79" s="32" t="s">
        <v>302</v>
      </c>
      <c r="H79" s="34" t="s">
        <v>372</v>
      </c>
      <c r="I79" s="34" t="s">
        <v>372</v>
      </c>
      <c r="J79" t="str">
        <f>C79</f>
        <v>Derbyshire</v>
      </c>
      <c r="K79" s="44" t="s">
        <v>336</v>
      </c>
    </row>
    <row r="80" spans="1:11" ht="14.4">
      <c r="A80" s="28" t="str">
        <f>F80&amp;(COUNTIFS(F$2:F80,F80,K$2:K80,"Sparse"))</f>
        <v>SD13</v>
      </c>
      <c r="B80" s="28" t="str">
        <f>J80&amp;(COUNTIF(J$2:J80,J80))</f>
        <v>Derbyshire5</v>
      </c>
      <c r="C80" s="31" t="s">
        <v>50</v>
      </c>
      <c r="D80" s="31" t="s">
        <v>50</v>
      </c>
      <c r="E80" s="32" t="s">
        <v>368</v>
      </c>
      <c r="F80" s="32" t="s">
        <v>382</v>
      </c>
      <c r="G80" s="32" t="s">
        <v>5</v>
      </c>
      <c r="H80" s="33" t="s">
        <v>903</v>
      </c>
      <c r="I80" s="34" t="s">
        <v>383</v>
      </c>
      <c r="J80" t="s">
        <v>308</v>
      </c>
      <c r="K80" s="44" t="s">
        <v>336</v>
      </c>
    </row>
    <row r="81" spans="1:11" ht="14.4">
      <c r="A81" s="28" t="str">
        <f>F81&amp;(COUNTIFS(F$2:F81,F81,K$2:K81,"Sparse"))</f>
        <v>SC3</v>
      </c>
      <c r="B81" s="28" t="str">
        <f>J81&amp;(COUNTIF(J$2:J81,J81))</f>
        <v>Devon1</v>
      </c>
      <c r="C81" s="31" t="s">
        <v>309</v>
      </c>
      <c r="D81" s="31" t="s">
        <v>309</v>
      </c>
      <c r="E81" s="32" t="s">
        <v>1</v>
      </c>
      <c r="F81" s="32" t="s">
        <v>390</v>
      </c>
      <c r="G81" s="32" t="s">
        <v>302</v>
      </c>
      <c r="H81" s="34" t="s">
        <v>383</v>
      </c>
      <c r="I81" s="34" t="s">
        <v>383</v>
      </c>
      <c r="J81" t="str">
        <f>C81</f>
        <v>Devon</v>
      </c>
      <c r="K81" s="44" t="s">
        <v>336</v>
      </c>
    </row>
    <row r="82" spans="1:11" ht="14.4">
      <c r="A82" s="28" t="str">
        <f>F82&amp;(COUNTIFS(F$2:F82,F82,K$2:K82,"Sparse"))</f>
        <v>MD0</v>
      </c>
      <c r="B82" s="28" t="str">
        <f>J82&amp;(COUNTIF(J$2:J82,J82))</f>
        <v>Doncaster1</v>
      </c>
      <c r="C82" s="31" t="s">
        <v>230</v>
      </c>
      <c r="D82" s="31" t="s">
        <v>230</v>
      </c>
      <c r="E82" s="32" t="s">
        <v>386</v>
      </c>
      <c r="F82" s="32" t="s">
        <v>387</v>
      </c>
      <c r="G82" s="32" t="s">
        <v>398</v>
      </c>
      <c r="H82" s="33" t="s">
        <v>904</v>
      </c>
      <c r="I82" s="34" t="s">
        <v>385</v>
      </c>
      <c r="J82" t="str">
        <f>C82</f>
        <v>Doncaster</v>
      </c>
      <c r="K82" s="44"/>
    </row>
    <row r="83" spans="1:11" ht="14.4">
      <c r="A83" s="28" t="str">
        <f>F83&amp;(COUNTIFS(F$2:F83,F83,K$2:K83,"Sparse"))</f>
        <v>UA2</v>
      </c>
      <c r="B83" s="28" t="str">
        <f>J83&amp;(COUNTIF(J$2:J83,J83))</f>
        <v>Unitary15</v>
      </c>
      <c r="C83" s="31" t="s">
        <v>310</v>
      </c>
      <c r="D83" s="31" t="s">
        <v>310</v>
      </c>
      <c r="E83" s="32" t="s">
        <v>1</v>
      </c>
      <c r="F83" s="32" t="s">
        <v>388</v>
      </c>
      <c r="G83" s="32" t="s">
        <v>397</v>
      </c>
      <c r="H83" s="35" t="s">
        <v>906</v>
      </c>
      <c r="I83" s="34" t="s">
        <v>383</v>
      </c>
      <c r="J83" s="45" t="s">
        <v>397</v>
      </c>
      <c r="K83" s="44"/>
    </row>
    <row r="84" spans="1:11" ht="14.4">
      <c r="A84" s="28" t="str">
        <f>F84&amp;(COUNTIFS(F$2:F84,F84,K$2:K84,"Sparse"))</f>
        <v>SD13</v>
      </c>
      <c r="B84" s="28" t="str">
        <f>J84&amp;(COUNTIF(J$2:J84,J84))</f>
        <v>Kent4</v>
      </c>
      <c r="C84" s="42" t="s">
        <v>51</v>
      </c>
      <c r="D84" s="42" t="s">
        <v>51</v>
      </c>
      <c r="E84" s="32" t="s">
        <v>0</v>
      </c>
      <c r="F84" s="32" t="s">
        <v>382</v>
      </c>
      <c r="G84" s="32" t="s">
        <v>5</v>
      </c>
      <c r="H84" s="33" t="s">
        <v>905</v>
      </c>
      <c r="I84" s="34" t="s">
        <v>372</v>
      </c>
      <c r="J84" t="s">
        <v>316</v>
      </c>
      <c r="K84" s="44"/>
    </row>
    <row r="85" spans="1:11" ht="14.4">
      <c r="A85" s="28" t="str">
        <f>F85&amp;(COUNTIFS(F$2:F85,F85,K$2:K85,"Sparse"))</f>
        <v>UA3</v>
      </c>
      <c r="B85" s="28" t="str">
        <f>J85&amp;(COUNTIF(J$2:J85,J85))</f>
        <v>Unitary16</v>
      </c>
      <c r="C85" s="44" t="s">
        <v>267</v>
      </c>
      <c r="D85" s="42" t="s">
        <v>267</v>
      </c>
      <c r="E85" s="32" t="s">
        <v>391</v>
      </c>
      <c r="F85" s="32" t="s">
        <v>388</v>
      </c>
      <c r="G85" s="32" t="s">
        <v>397</v>
      </c>
      <c r="H85" s="35" t="s">
        <v>906</v>
      </c>
      <c r="I85" s="34" t="s">
        <v>383</v>
      </c>
      <c r="J85" s="45" t="s">
        <v>397</v>
      </c>
      <c r="K85" s="44" t="s">
        <v>336</v>
      </c>
    </row>
    <row r="86" spans="1:11" ht="14.4">
      <c r="A86" s="28" t="str">
        <f>F86&amp;(COUNTIFS(F$2:F86,F86,K$2:K86,"Sparse"))</f>
        <v>MD0</v>
      </c>
      <c r="B86" s="28" t="str">
        <f>J86&amp;(COUNTIF(J$2:J86,J86))</f>
        <v>Dudley1</v>
      </c>
      <c r="C86" s="31" t="s">
        <v>231</v>
      </c>
      <c r="D86" s="31" t="s">
        <v>231</v>
      </c>
      <c r="E86" s="32" t="s">
        <v>369</v>
      </c>
      <c r="F86" s="32" t="s">
        <v>387</v>
      </c>
      <c r="G86" s="32" t="s">
        <v>398</v>
      </c>
      <c r="H86" s="33" t="s">
        <v>907</v>
      </c>
      <c r="I86" s="34" t="s">
        <v>385</v>
      </c>
      <c r="J86" t="str">
        <f>C86</f>
        <v>Dudley</v>
      </c>
      <c r="K86" s="44"/>
    </row>
    <row r="87" spans="1:11" ht="14.4">
      <c r="A87" s="28" t="str">
        <f>F87&amp;(COUNTIFS(F$2:F87,F87,K$2:K87,"Sparse"))</f>
        <v>L0</v>
      </c>
      <c r="B87" s="28" t="str">
        <f>J87&amp;(COUNTIF(J$2:J87,J87))</f>
        <v>London9</v>
      </c>
      <c r="C87" s="31" t="s">
        <v>203</v>
      </c>
      <c r="D87" s="31" t="s">
        <v>203</v>
      </c>
      <c r="E87" s="32" t="s">
        <v>384</v>
      </c>
      <c r="F87" s="32" t="s">
        <v>360</v>
      </c>
      <c r="G87" s="32" t="s">
        <v>384</v>
      </c>
      <c r="H87" s="33" t="s">
        <v>907</v>
      </c>
      <c r="I87" s="34" t="s">
        <v>385</v>
      </c>
      <c r="J87" t="str">
        <f>G87</f>
        <v>London</v>
      </c>
      <c r="K87" s="44"/>
    </row>
    <row r="88" spans="1:11" ht="14.4">
      <c r="A88" s="28" t="str">
        <f>F88&amp;(COUNTIFS(F$2:F88,F88,K$2:K88,"Sparse"))</f>
        <v>SD14</v>
      </c>
      <c r="B88" s="28" t="str">
        <f>J88&amp;(COUNTIF(J$2:J88,J88))</f>
        <v>Cambridgeshire3</v>
      </c>
      <c r="C88" s="31" t="s">
        <v>52</v>
      </c>
      <c r="D88" s="31" t="s">
        <v>52</v>
      </c>
      <c r="E88" s="32" t="s">
        <v>370</v>
      </c>
      <c r="F88" s="32" t="s">
        <v>382</v>
      </c>
      <c r="G88" s="32" t="s">
        <v>5</v>
      </c>
      <c r="H88" s="33" t="s">
        <v>903</v>
      </c>
      <c r="I88" s="34" t="s">
        <v>383</v>
      </c>
      <c r="J88" t="s">
        <v>303</v>
      </c>
      <c r="K88" s="44" t="s">
        <v>336</v>
      </c>
    </row>
    <row r="89" spans="1:11" ht="14.4">
      <c r="A89" s="28" t="str">
        <f>F89&amp;(COUNTIFS(F$2:F89,F89,K$2:K89,"Sparse"))</f>
        <v>SD15</v>
      </c>
      <c r="B89" s="28" t="str">
        <f>J89&amp;(COUNTIF(J$2:J89,J89))</f>
        <v>Devon2</v>
      </c>
      <c r="C89" s="31" t="s">
        <v>53</v>
      </c>
      <c r="D89" s="31" t="s">
        <v>53</v>
      </c>
      <c r="E89" s="32" t="s">
        <v>1</v>
      </c>
      <c r="F89" s="32" t="s">
        <v>382</v>
      </c>
      <c r="G89" s="32" t="s">
        <v>5</v>
      </c>
      <c r="H89" s="33" t="s">
        <v>906</v>
      </c>
      <c r="I89" s="34" t="s">
        <v>383</v>
      </c>
      <c r="J89" t="s">
        <v>309</v>
      </c>
      <c r="K89" s="44" t="s">
        <v>336</v>
      </c>
    </row>
    <row r="90" spans="1:11" ht="14.4">
      <c r="A90" s="28" t="str">
        <f>F90&amp;(COUNTIFS(F$2:F90,F90,K$2:K90,"Sparse"))</f>
        <v>SD15</v>
      </c>
      <c r="B90" s="28" t="str">
        <f>J90&amp;(COUNTIF(J$2:J90,J90))</f>
        <v>Hampshire2</v>
      </c>
      <c r="C90" s="31" t="s">
        <v>55</v>
      </c>
      <c r="D90" s="31" t="s">
        <v>55</v>
      </c>
      <c r="E90" s="32" t="s">
        <v>0</v>
      </c>
      <c r="F90" s="32" t="s">
        <v>382</v>
      </c>
      <c r="G90" s="32" t="s">
        <v>5</v>
      </c>
      <c r="H90" s="36" t="s">
        <v>903</v>
      </c>
      <c r="I90" s="34" t="s">
        <v>383</v>
      </c>
      <c r="J90" t="s">
        <v>314</v>
      </c>
      <c r="K90" s="44"/>
    </row>
    <row r="91" spans="1:11" ht="14.4">
      <c r="A91" s="28" t="str">
        <f>F91&amp;(COUNTIFS(F$2:F91,F91,K$2:K91,"Sparse"))</f>
        <v>SD16</v>
      </c>
      <c r="B91" s="28" t="str">
        <f>J91&amp;(COUNTIF(J$2:J91,J91))</f>
        <v>Hertfordshire3</v>
      </c>
      <c r="C91" s="31" t="s">
        <v>56</v>
      </c>
      <c r="D91" s="31" t="s">
        <v>56</v>
      </c>
      <c r="E91" s="32" t="s">
        <v>370</v>
      </c>
      <c r="F91" s="32" t="s">
        <v>382</v>
      </c>
      <c r="G91" s="32" t="s">
        <v>5</v>
      </c>
      <c r="H91" s="35" t="s">
        <v>905</v>
      </c>
      <c r="I91" s="34" t="s">
        <v>372</v>
      </c>
      <c r="J91" t="s">
        <v>315</v>
      </c>
      <c r="K91" s="44" t="s">
        <v>336</v>
      </c>
    </row>
    <row r="92" spans="1:11" ht="14.4">
      <c r="A92" s="28" t="str">
        <f>F92&amp;(COUNTIFS(F$2:F92,F92,K$2:K92,"Sparse"))</f>
        <v>SD17</v>
      </c>
      <c r="B92" s="28" t="str">
        <f>J92&amp;(COUNTIF(J$2:J92,J92))</f>
        <v>Lincolnshire2</v>
      </c>
      <c r="C92" s="31" t="s">
        <v>57</v>
      </c>
      <c r="D92" s="31" t="s">
        <v>57</v>
      </c>
      <c r="E92" s="32" t="s">
        <v>368</v>
      </c>
      <c r="F92" s="32" t="s">
        <v>382</v>
      </c>
      <c r="G92" s="32" t="s">
        <v>5</v>
      </c>
      <c r="H92" s="33" t="s">
        <v>903</v>
      </c>
      <c r="I92" s="34" t="s">
        <v>383</v>
      </c>
      <c r="J92" t="s">
        <v>319</v>
      </c>
      <c r="K92" s="44" t="s">
        <v>336</v>
      </c>
    </row>
    <row r="93" spans="1:11" ht="14.4">
      <c r="A93" s="28" t="str">
        <f>F93&amp;(COUNTIFS(F$2:F93,F93,K$2:K93,"Sparse"))</f>
        <v>SD18</v>
      </c>
      <c r="B93" s="28" t="str">
        <f>J93&amp;(COUNTIF(J$2:J93,J93))</f>
        <v>Northamptonshire3</v>
      </c>
      <c r="C93" s="31" t="s">
        <v>58</v>
      </c>
      <c r="D93" s="31" t="s">
        <v>58</v>
      </c>
      <c r="E93" s="32" t="s">
        <v>368</v>
      </c>
      <c r="F93" s="32" t="s">
        <v>382</v>
      </c>
      <c r="G93" s="32" t="s">
        <v>5</v>
      </c>
      <c r="H93" s="36" t="s">
        <v>906</v>
      </c>
      <c r="I93" s="34" t="s">
        <v>383</v>
      </c>
      <c r="J93" t="s">
        <v>322</v>
      </c>
      <c r="K93" s="44" t="s">
        <v>336</v>
      </c>
    </row>
    <row r="94" spans="1:11" ht="14.4">
      <c r="A94" s="28" t="str">
        <f>F94&amp;(COUNTIFS(F$2:F94,F94,K$2:K94,"Sparse"))</f>
        <v>UA4</v>
      </c>
      <c r="B94" s="28" t="str">
        <f>J94&amp;(COUNTIF(J$2:J94,J94))</f>
        <v>Unitary17</v>
      </c>
      <c r="C94" s="31" t="s">
        <v>268</v>
      </c>
      <c r="D94" s="31" t="s">
        <v>268</v>
      </c>
      <c r="E94" s="32" t="s">
        <v>386</v>
      </c>
      <c r="F94" s="32" t="s">
        <v>388</v>
      </c>
      <c r="G94" s="32" t="s">
        <v>397</v>
      </c>
      <c r="H94" s="33" t="s">
        <v>906</v>
      </c>
      <c r="I94" s="34" t="s">
        <v>383</v>
      </c>
      <c r="J94" s="45" t="s">
        <v>397</v>
      </c>
      <c r="K94" s="44" t="s">
        <v>336</v>
      </c>
    </row>
    <row r="95" spans="1:11" ht="14.4">
      <c r="A95" s="28" t="str">
        <f>F95&amp;(COUNTIFS(F$2:F95,F95,K$2:K95,"Sparse"))</f>
        <v>SD18</v>
      </c>
      <c r="B95" s="28" t="str">
        <f>J95&amp;(COUNTIF(J$2:J95,J95))</f>
        <v>Staffordshire2</v>
      </c>
      <c r="C95" s="31" t="s">
        <v>59</v>
      </c>
      <c r="D95" s="31" t="s">
        <v>59</v>
      </c>
      <c r="E95" s="32" t="s">
        <v>369</v>
      </c>
      <c r="F95" s="32" t="s">
        <v>382</v>
      </c>
      <c r="G95" s="32" t="s">
        <v>5</v>
      </c>
      <c r="H95" s="35" t="s">
        <v>905</v>
      </c>
      <c r="I95" s="34" t="s">
        <v>372</v>
      </c>
      <c r="J95" t="s">
        <v>328</v>
      </c>
      <c r="K95" s="44"/>
    </row>
    <row r="96" spans="1:11" ht="14.4">
      <c r="A96" s="28" t="str">
        <f>F96&amp;(COUNTIFS(F$2:F96,F96,K$2:K96,"Sparse"))</f>
        <v>SC4</v>
      </c>
      <c r="B96" s="28" t="str">
        <f>J96&amp;(COUNTIF(J$2:J96,J96))</f>
        <v>East Sussex1</v>
      </c>
      <c r="C96" s="31" t="s">
        <v>311</v>
      </c>
      <c r="D96" s="31" t="s">
        <v>311</v>
      </c>
      <c r="E96" s="32" t="s">
        <v>0</v>
      </c>
      <c r="F96" s="32" t="s">
        <v>390</v>
      </c>
      <c r="G96" s="32" t="s">
        <v>302</v>
      </c>
      <c r="H96" s="34" t="s">
        <v>372</v>
      </c>
      <c r="I96" s="34" t="s">
        <v>372</v>
      </c>
      <c r="J96" t="str">
        <f>C96</f>
        <v>East Sussex</v>
      </c>
      <c r="K96" s="44" t="s">
        <v>336</v>
      </c>
    </row>
    <row r="97" spans="1:11" ht="14.4">
      <c r="A97" s="28" t="str">
        <f>F97&amp;(COUNTIFS(F$2:F97,F97,K$2:K97,"Sparse"))</f>
        <v>SD18</v>
      </c>
      <c r="B97" s="28" t="str">
        <f>J97&amp;(COUNTIF(J$2:J97,J97))</f>
        <v>East Sussex2</v>
      </c>
      <c r="C97" s="31" t="s">
        <v>60</v>
      </c>
      <c r="D97" s="31" t="s">
        <v>60</v>
      </c>
      <c r="E97" s="32" t="s">
        <v>0</v>
      </c>
      <c r="F97" s="32" t="s">
        <v>382</v>
      </c>
      <c r="G97" s="32" t="s">
        <v>5</v>
      </c>
      <c r="H97" s="33" t="s">
        <v>902</v>
      </c>
      <c r="I97" s="34" t="s">
        <v>385</v>
      </c>
      <c r="J97" t="s">
        <v>311</v>
      </c>
      <c r="K97" s="44"/>
    </row>
    <row r="98" spans="1:11" ht="14.4">
      <c r="A98" s="28" t="str">
        <f>F98&amp;(COUNTIFS(F$2:F98,F98,K$2:K98,"Sparse"))</f>
        <v>SD18</v>
      </c>
      <c r="B98" s="28" t="str">
        <f>J98&amp;(COUNTIF(J$2:J98,J98))</f>
        <v>Hampshire3</v>
      </c>
      <c r="C98" s="31" t="s">
        <v>61</v>
      </c>
      <c r="D98" s="31" t="s">
        <v>61</v>
      </c>
      <c r="E98" s="32" t="s">
        <v>0</v>
      </c>
      <c r="F98" s="32" t="s">
        <v>382</v>
      </c>
      <c r="G98" s="32" t="s">
        <v>5</v>
      </c>
      <c r="H98" s="35" t="s">
        <v>902</v>
      </c>
      <c r="I98" s="34" t="s">
        <v>385</v>
      </c>
      <c r="J98" t="s">
        <v>314</v>
      </c>
      <c r="K98" s="44"/>
    </row>
    <row r="99" spans="1:11" ht="14.4">
      <c r="A99" s="28" t="str">
        <f>F99&amp;(COUNTIFS(F$2:F99,F99,K$2:K99,"Sparse"))</f>
        <v>SD19</v>
      </c>
      <c r="B99" s="28" t="str">
        <f>J99&amp;(COUNTIF(J$2:J99,J99))</f>
        <v>Cumbria6</v>
      </c>
      <c r="C99" s="31" t="s">
        <v>62</v>
      </c>
      <c r="D99" s="31" t="s">
        <v>62</v>
      </c>
      <c r="E99" s="32" t="s">
        <v>377</v>
      </c>
      <c r="F99" s="32" t="s">
        <v>382</v>
      </c>
      <c r="G99" s="32" t="s">
        <v>5</v>
      </c>
      <c r="H99" s="33" t="s">
        <v>903</v>
      </c>
      <c r="I99" s="34" t="s">
        <v>383</v>
      </c>
      <c r="J99" t="s">
        <v>307</v>
      </c>
      <c r="K99" s="44" t="s">
        <v>336</v>
      </c>
    </row>
    <row r="100" spans="1:11" ht="14.4">
      <c r="A100" s="28" t="str">
        <f>F100&amp;(COUNTIFS(F$2:F100,F100,K$2:K100,"Sparse"))</f>
        <v>SD19</v>
      </c>
      <c r="B100" s="28" t="str">
        <f>J100&amp;(COUNTIF(J$2:J100,J100))</f>
        <v>Surrey1</v>
      </c>
      <c r="C100" s="31" t="s">
        <v>63</v>
      </c>
      <c r="D100" s="31" t="s">
        <v>63</v>
      </c>
      <c r="E100" s="32" t="s">
        <v>0</v>
      </c>
      <c r="F100" s="32" t="s">
        <v>382</v>
      </c>
      <c r="G100" s="32" t="s">
        <v>5</v>
      </c>
      <c r="H100" s="33" t="s">
        <v>907</v>
      </c>
      <c r="I100" s="34" t="s">
        <v>385</v>
      </c>
      <c r="J100" t="s">
        <v>330</v>
      </c>
      <c r="K100" s="44"/>
    </row>
    <row r="101" spans="1:11" ht="14.4">
      <c r="A101" s="28" t="str">
        <f>F101&amp;(COUNTIFS(F$2:F101,F101,K$2:K101,"Sparse"))</f>
        <v>L0</v>
      </c>
      <c r="B101" s="28" t="str">
        <f>J101&amp;(COUNTIF(J$2:J101,J101))</f>
        <v>London10</v>
      </c>
      <c r="C101" s="31" t="s">
        <v>204</v>
      </c>
      <c r="D101" s="31" t="s">
        <v>204</v>
      </c>
      <c r="E101" s="32" t="s">
        <v>384</v>
      </c>
      <c r="F101" s="32" t="s">
        <v>360</v>
      </c>
      <c r="G101" s="32" t="s">
        <v>384</v>
      </c>
      <c r="H101" s="33" t="s">
        <v>907</v>
      </c>
      <c r="I101" s="34" t="s">
        <v>385</v>
      </c>
      <c r="J101" t="str">
        <f>G101</f>
        <v>London</v>
      </c>
      <c r="K101" s="44"/>
    </row>
    <row r="102" spans="1:11" ht="14.4">
      <c r="A102" s="28" t="str">
        <f>F102&amp;(COUNTIFS(F$2:F102,F102,K$2:K102,"Sparse"))</f>
        <v>SD19</v>
      </c>
      <c r="B102" s="28" t="str">
        <f>J102&amp;(COUNTIF(J$2:J102,J102))</f>
        <v>Essex7</v>
      </c>
      <c r="C102" s="31" t="s">
        <v>64</v>
      </c>
      <c r="D102" s="31" t="s">
        <v>64</v>
      </c>
      <c r="E102" s="32" t="s">
        <v>370</v>
      </c>
      <c r="F102" s="32" t="s">
        <v>382</v>
      </c>
      <c r="G102" s="32" t="s">
        <v>5</v>
      </c>
      <c r="H102" s="35" t="s">
        <v>905</v>
      </c>
      <c r="I102" s="34" t="s">
        <v>372</v>
      </c>
      <c r="J102" t="s">
        <v>312</v>
      </c>
      <c r="K102" s="44"/>
    </row>
    <row r="103" spans="1:11" ht="14.4">
      <c r="A103" s="28" t="str">
        <f>F103&amp;(COUNTIFS(F$2:F103,F103,K$2:K103,"Sparse"))</f>
        <v>SD19</v>
      </c>
      <c r="B103" s="28" t="str">
        <f>J103&amp;(COUNTIF(J$2:J103,J103))</f>
        <v>Surrey2</v>
      </c>
      <c r="C103" s="31" t="s">
        <v>345</v>
      </c>
      <c r="D103" s="31" t="s">
        <v>345</v>
      </c>
      <c r="E103" s="32" t="s">
        <v>0</v>
      </c>
      <c r="F103" s="32" t="s">
        <v>382</v>
      </c>
      <c r="G103" s="32" t="s">
        <v>5</v>
      </c>
      <c r="H103" s="33" t="s">
        <v>907</v>
      </c>
      <c r="I103" s="34" t="s">
        <v>385</v>
      </c>
      <c r="J103" t="s">
        <v>330</v>
      </c>
      <c r="K103" s="44"/>
    </row>
    <row r="104" spans="1:11" ht="14.4">
      <c r="A104" s="28" t="str">
        <f>F104&amp;(COUNTIFS(F$2:F104,F104,K$2:K104,"Sparse"))</f>
        <v>SD19</v>
      </c>
      <c r="B104" s="28" t="str">
        <f>J104&amp;(COUNTIF(J$2:J104,J104))</f>
        <v>Derbyshire6</v>
      </c>
      <c r="C104" s="31" t="s">
        <v>65</v>
      </c>
      <c r="D104" s="31" t="s">
        <v>65</v>
      </c>
      <c r="E104" s="32" t="s">
        <v>368</v>
      </c>
      <c r="F104" s="32" t="s">
        <v>382</v>
      </c>
      <c r="G104" s="32" t="s">
        <v>5</v>
      </c>
      <c r="H104" s="33" t="s">
        <v>904</v>
      </c>
      <c r="I104" s="34" t="s">
        <v>385</v>
      </c>
      <c r="J104" t="s">
        <v>308</v>
      </c>
      <c r="K104" s="44"/>
    </row>
    <row r="105" spans="1:11" ht="14.4">
      <c r="A105" s="28" t="str">
        <f>F105&amp;(COUNTIFS(F$2:F105,F105,K$2:K105,"Sparse"))</f>
        <v>SC5</v>
      </c>
      <c r="B105" s="28" t="str">
        <f>J105&amp;(COUNTIF(J$2:J105,J105))</f>
        <v>Essex8</v>
      </c>
      <c r="C105" s="34" t="s">
        <v>312</v>
      </c>
      <c r="D105" s="34" t="s">
        <v>312</v>
      </c>
      <c r="E105" s="32" t="s">
        <v>370</v>
      </c>
      <c r="F105" s="32" t="s">
        <v>390</v>
      </c>
      <c r="G105" s="32" t="s">
        <v>302</v>
      </c>
      <c r="H105" s="34" t="s">
        <v>372</v>
      </c>
      <c r="I105" s="34" t="s">
        <v>372</v>
      </c>
      <c r="J105" t="str">
        <f>C105</f>
        <v>Essex</v>
      </c>
      <c r="K105" s="44" t="s">
        <v>336</v>
      </c>
    </row>
    <row r="106" spans="1:11" ht="14.4">
      <c r="A106" s="28" t="str">
        <f>F106&amp;(COUNTIFS(F$2:F106,F106,K$2:K106,"Sparse"))</f>
        <v>SD19</v>
      </c>
      <c r="B106" s="28" t="str">
        <f>J106&amp;(COUNTIF(J$2:J106,J106))</f>
        <v>Devon3</v>
      </c>
      <c r="C106" s="31" t="s">
        <v>66</v>
      </c>
      <c r="D106" s="31" t="s">
        <v>66</v>
      </c>
      <c r="E106" s="32" t="s">
        <v>1</v>
      </c>
      <c r="F106" s="32" t="s">
        <v>382</v>
      </c>
      <c r="G106" s="32" t="s">
        <v>5</v>
      </c>
      <c r="H106" s="33" t="s">
        <v>902</v>
      </c>
      <c r="I106" s="34" t="s">
        <v>385</v>
      </c>
      <c r="J106" t="s">
        <v>309</v>
      </c>
      <c r="K106" s="44"/>
    </row>
    <row r="107" spans="1:11" ht="14.4">
      <c r="A107" s="28" t="str">
        <f>F107&amp;(COUNTIFS(F$2:F107,F107,K$2:K107,"Sparse"))</f>
        <v>SD19</v>
      </c>
      <c r="B107" s="28" t="str">
        <f>J107&amp;(COUNTIF(J$2:J107,J107))</f>
        <v>Hampshire4</v>
      </c>
      <c r="C107" s="31" t="s">
        <v>67</v>
      </c>
      <c r="D107" s="31" t="s">
        <v>67</v>
      </c>
      <c r="E107" s="32" t="s">
        <v>0</v>
      </c>
      <c r="F107" s="32" t="s">
        <v>382</v>
      </c>
      <c r="G107" s="32" t="s">
        <v>5</v>
      </c>
      <c r="H107" s="33" t="s">
        <v>902</v>
      </c>
      <c r="I107" s="34" t="s">
        <v>385</v>
      </c>
      <c r="J107" t="s">
        <v>314</v>
      </c>
      <c r="K107" s="44"/>
    </row>
    <row r="108" spans="1:11" ht="14.4">
      <c r="A108" s="28" t="str">
        <f>F108&amp;(COUNTIFS(F$2:F108,F108,K$2:K108,"Sparse"))</f>
        <v>SD19</v>
      </c>
      <c r="B108" s="28" t="str">
        <f>J108&amp;(COUNTIF(J$2:J108,J108))</f>
        <v>Cambridgeshire4</v>
      </c>
      <c r="C108" s="31" t="s">
        <v>68</v>
      </c>
      <c r="D108" s="31" t="s">
        <v>68</v>
      </c>
      <c r="E108" s="32" t="s">
        <v>370</v>
      </c>
      <c r="F108" s="32" t="s">
        <v>382</v>
      </c>
      <c r="G108" s="32" t="s">
        <v>5</v>
      </c>
      <c r="H108" s="33" t="s">
        <v>906</v>
      </c>
      <c r="I108" s="34" t="s">
        <v>383</v>
      </c>
      <c r="J108" t="s">
        <v>303</v>
      </c>
      <c r="K108" s="44"/>
    </row>
    <row r="109" spans="1:11" ht="14.4">
      <c r="A109" s="28" t="str">
        <f>F109&amp;(COUNTIFS(F$2:F109,F109,K$2:K109,"Sparse"))</f>
        <v>SD20</v>
      </c>
      <c r="B109" s="28" t="str">
        <f>J109&amp;(COUNTIF(J$2:J109,J109))</f>
        <v>Gloucestershire3</v>
      </c>
      <c r="C109" s="31" t="s">
        <v>70</v>
      </c>
      <c r="D109" s="31" t="s">
        <v>70</v>
      </c>
      <c r="E109" s="32" t="s">
        <v>1</v>
      </c>
      <c r="F109" s="32" t="s">
        <v>382</v>
      </c>
      <c r="G109" s="32" t="s">
        <v>5</v>
      </c>
      <c r="H109" s="33" t="s">
        <v>903</v>
      </c>
      <c r="I109" s="34" t="s">
        <v>383</v>
      </c>
      <c r="J109" t="s">
        <v>313</v>
      </c>
      <c r="K109" s="44" t="s">
        <v>336</v>
      </c>
    </row>
    <row r="110" spans="1:11" ht="14.4">
      <c r="A110" s="28" t="str">
        <f>F110&amp;(COUNTIFS(F$2:F110,F110,K$2:K110,"Sparse"))</f>
        <v>SD20</v>
      </c>
      <c r="B110" s="28" t="str">
        <f>J110&amp;(COUNTIF(J$2:J110,J110))</f>
        <v>Lancashire3</v>
      </c>
      <c r="C110" s="31" t="s">
        <v>71</v>
      </c>
      <c r="D110" s="31" t="s">
        <v>71</v>
      </c>
      <c r="E110" s="32" t="s">
        <v>377</v>
      </c>
      <c r="F110" s="32" t="s">
        <v>382</v>
      </c>
      <c r="G110" s="32" t="s">
        <v>5</v>
      </c>
      <c r="H110" s="35" t="s">
        <v>902</v>
      </c>
      <c r="I110" s="34" t="s">
        <v>385</v>
      </c>
      <c r="J110" t="s">
        <v>317</v>
      </c>
      <c r="K110" s="44"/>
    </row>
    <row r="111" spans="1:11" ht="14.4">
      <c r="A111" s="28" t="str">
        <f>F111&amp;(COUNTIFS(F$2:F111,F111,K$2:K111,"Sparse"))</f>
        <v>MD0</v>
      </c>
      <c r="B111" s="28" t="str">
        <f>J111&amp;(COUNTIF(J$2:J111,J111))</f>
        <v>Gateshead1</v>
      </c>
      <c r="C111" s="31" t="s">
        <v>232</v>
      </c>
      <c r="D111" s="31" t="s">
        <v>232</v>
      </c>
      <c r="E111" s="32" t="s">
        <v>391</v>
      </c>
      <c r="F111" s="32" t="s">
        <v>387</v>
      </c>
      <c r="G111" s="32" t="s">
        <v>398</v>
      </c>
      <c r="H111" s="33" t="s">
        <v>907</v>
      </c>
      <c r="I111" s="34" t="s">
        <v>385</v>
      </c>
      <c r="J111" t="str">
        <f>C111</f>
        <v>Gateshead</v>
      </c>
      <c r="K111" s="44"/>
    </row>
    <row r="112" spans="1:11" ht="14.4">
      <c r="A112" s="28" t="str">
        <f>F112&amp;(COUNTIFS(F$2:F112,F112,K$2:K112,"Sparse"))</f>
        <v>SD20</v>
      </c>
      <c r="B112" s="28" t="str">
        <f>J112&amp;(COUNTIF(J$2:J112,J112))</f>
        <v>Nottinghamshire4</v>
      </c>
      <c r="C112" s="31" t="s">
        <v>72</v>
      </c>
      <c r="D112" s="31" t="s">
        <v>72</v>
      </c>
      <c r="E112" s="32" t="s">
        <v>368</v>
      </c>
      <c r="F112" s="32" t="s">
        <v>382</v>
      </c>
      <c r="G112" s="32" t="s">
        <v>5</v>
      </c>
      <c r="H112" s="33" t="s">
        <v>904</v>
      </c>
      <c r="I112" s="34" t="s">
        <v>385</v>
      </c>
      <c r="J112" t="s">
        <v>324</v>
      </c>
      <c r="K112" s="44"/>
    </row>
    <row r="113" spans="1:11" ht="14.4">
      <c r="A113" s="28" t="str">
        <f>F113&amp;(COUNTIFS(F$2:F113,F113,K$2:K113,"Sparse"))</f>
        <v>SD20</v>
      </c>
      <c r="B113" s="28" t="str">
        <f>J113&amp;(COUNTIF(J$2:J113,J113))</f>
        <v>Gloucestershire4</v>
      </c>
      <c r="C113" s="31" t="s">
        <v>73</v>
      </c>
      <c r="D113" s="31" t="s">
        <v>73</v>
      </c>
      <c r="E113" s="32" t="s">
        <v>1</v>
      </c>
      <c r="F113" s="32" t="s">
        <v>382</v>
      </c>
      <c r="G113" s="32" t="s">
        <v>5</v>
      </c>
      <c r="H113" s="33" t="s">
        <v>902</v>
      </c>
      <c r="I113" s="34" t="s">
        <v>385</v>
      </c>
      <c r="J113" t="s">
        <v>313</v>
      </c>
      <c r="K113" s="44"/>
    </row>
    <row r="114" spans="1:11" ht="14.4">
      <c r="A114" s="28" t="str">
        <f>F114&amp;(COUNTIFS(F$2:F114,F114,K$2:K114,"Sparse"))</f>
        <v>SC5</v>
      </c>
      <c r="B114" s="28" t="str">
        <f>J114&amp;(COUNTIF(J$2:J114,J114))</f>
        <v>Gloucestershire5</v>
      </c>
      <c r="C114" s="34" t="s">
        <v>313</v>
      </c>
      <c r="D114" s="34" t="s">
        <v>313</v>
      </c>
      <c r="E114" s="32" t="s">
        <v>1</v>
      </c>
      <c r="F114" s="32" t="s">
        <v>390</v>
      </c>
      <c r="G114" s="32" t="s">
        <v>302</v>
      </c>
      <c r="H114" s="34" t="s">
        <v>372</v>
      </c>
      <c r="I114" s="34" t="s">
        <v>372</v>
      </c>
      <c r="J114" t="str">
        <f>C114</f>
        <v>Gloucestershire</v>
      </c>
      <c r="K114" s="44"/>
    </row>
    <row r="115" spans="1:11" ht="14.4">
      <c r="A115" s="28" t="str">
        <f>F115&amp;(COUNTIFS(F$2:F115,F115,K$2:K115,"Sparse"))</f>
        <v>SD20</v>
      </c>
      <c r="B115" s="28" t="str">
        <f>J115&amp;(COUNTIF(J$2:J115,J115))</f>
        <v>Hampshire5</v>
      </c>
      <c r="C115" s="31" t="s">
        <v>74</v>
      </c>
      <c r="D115" s="31" t="s">
        <v>74</v>
      </c>
      <c r="E115" s="32" t="s">
        <v>0</v>
      </c>
      <c r="F115" s="32" t="s">
        <v>382</v>
      </c>
      <c r="G115" s="32" t="s">
        <v>5</v>
      </c>
      <c r="H115" s="33" t="s">
        <v>902</v>
      </c>
      <c r="I115" s="34" t="s">
        <v>385</v>
      </c>
      <c r="J115" t="s">
        <v>314</v>
      </c>
      <c r="K115" s="44"/>
    </row>
    <row r="116" spans="1:11" ht="14.4">
      <c r="A116" s="28" t="str">
        <f>F116&amp;(COUNTIFS(F$2:F116,F116,K$2:K116,"Sparse"))</f>
        <v>SD20</v>
      </c>
      <c r="B116" s="28" t="str">
        <f>J116&amp;(COUNTIF(J$2:J116,J116))</f>
        <v>Kent5</v>
      </c>
      <c r="C116" s="31" t="s">
        <v>75</v>
      </c>
      <c r="D116" s="31" t="s">
        <v>75</v>
      </c>
      <c r="E116" s="32" t="s">
        <v>0</v>
      </c>
      <c r="F116" s="32" t="s">
        <v>382</v>
      </c>
      <c r="G116" s="32" t="s">
        <v>5</v>
      </c>
      <c r="H116" s="33" t="s">
        <v>907</v>
      </c>
      <c r="I116" s="34" t="s">
        <v>385</v>
      </c>
      <c r="J116" t="s">
        <v>316</v>
      </c>
      <c r="K116" s="44"/>
    </row>
    <row r="117" spans="1:11" ht="14.4">
      <c r="A117" s="28" t="str">
        <f>F117&amp;(COUNTIFS(F$2:F117,F117,K$2:K117,"Sparse"))</f>
        <v>SD20</v>
      </c>
      <c r="B117" s="28" t="str">
        <f>J117&amp;(COUNTIF(J$2:J117,J117))</f>
        <v>Norfolk3</v>
      </c>
      <c r="C117" s="31" t="s">
        <v>76</v>
      </c>
      <c r="D117" s="31" t="s">
        <v>76</v>
      </c>
      <c r="E117" s="32" t="s">
        <v>370</v>
      </c>
      <c r="F117" s="32" t="s">
        <v>382</v>
      </c>
      <c r="G117" s="32" t="s">
        <v>5</v>
      </c>
      <c r="H117" s="35" t="s">
        <v>905</v>
      </c>
      <c r="I117" s="34" t="s">
        <v>372</v>
      </c>
      <c r="J117" t="s">
        <v>320</v>
      </c>
      <c r="K117" s="44"/>
    </row>
    <row r="118" spans="1:11" ht="14.4">
      <c r="A118" s="28" t="str">
        <f>F118&amp;(COUNTIFS(F$2:F118,F118,K$2:K118,"Sparse"))</f>
        <v>L0</v>
      </c>
      <c r="B118" s="28" t="str">
        <f>J118&amp;(COUNTIF(J$2:J118,J118))</f>
        <v>London11</v>
      </c>
      <c r="C118" s="31" t="s">
        <v>205</v>
      </c>
      <c r="D118" s="31" t="s">
        <v>205</v>
      </c>
      <c r="E118" s="32" t="s">
        <v>384</v>
      </c>
      <c r="F118" s="32" t="s">
        <v>360</v>
      </c>
      <c r="G118" s="32" t="s">
        <v>384</v>
      </c>
      <c r="H118" s="33" t="s">
        <v>907</v>
      </c>
      <c r="I118" s="34" t="s">
        <v>385</v>
      </c>
      <c r="J118" t="str">
        <f>G118</f>
        <v>London</v>
      </c>
      <c r="K118" s="44"/>
    </row>
    <row r="119" spans="1:11" ht="14.4">
      <c r="A119" s="28" t="str">
        <f>F119&amp;(COUNTIFS(F$2:F119,F119,K$2:K119,"Sparse"))</f>
        <v>SD20</v>
      </c>
      <c r="B119" s="28" t="str">
        <f>J119&amp;(COUNTIF(J$2:J119,J119))</f>
        <v>Surrey3</v>
      </c>
      <c r="C119" s="31" t="s">
        <v>77</v>
      </c>
      <c r="D119" s="31" t="s">
        <v>77</v>
      </c>
      <c r="E119" s="32" t="s">
        <v>0</v>
      </c>
      <c r="F119" s="32" t="s">
        <v>382</v>
      </c>
      <c r="G119" s="32" t="s">
        <v>5</v>
      </c>
      <c r="H119" s="35" t="s">
        <v>902</v>
      </c>
      <c r="I119" s="34" t="s">
        <v>385</v>
      </c>
      <c r="J119" t="s">
        <v>330</v>
      </c>
      <c r="K119" s="44"/>
    </row>
    <row r="120" spans="1:11" ht="14.4">
      <c r="A120" s="28" t="str">
        <f>F120&amp;(COUNTIFS(F$2:F120,F120,K$2:K120,"Sparse"))</f>
        <v>L0</v>
      </c>
      <c r="B120" s="28" t="str">
        <f>J120&amp;(COUNTIF(J$2:J120,J120))</f>
        <v>London12</v>
      </c>
      <c r="C120" s="31" t="s">
        <v>206</v>
      </c>
      <c r="D120" s="31" t="s">
        <v>206</v>
      </c>
      <c r="E120" s="32" t="s">
        <v>384</v>
      </c>
      <c r="F120" s="32" t="s">
        <v>360</v>
      </c>
      <c r="G120" s="32" t="s">
        <v>384</v>
      </c>
      <c r="H120" s="33" t="s">
        <v>907</v>
      </c>
      <c r="I120" s="34" t="s">
        <v>385</v>
      </c>
      <c r="J120" t="str">
        <f>G120</f>
        <v>London</v>
      </c>
      <c r="K120" s="44"/>
    </row>
    <row r="121" spans="1:11" ht="14.4">
      <c r="A121" s="28" t="str">
        <f>F121&amp;(COUNTIFS(F$2:F121,F121,K$2:K121,"Sparse"))</f>
        <v>UA4</v>
      </c>
      <c r="B121" s="28" t="str">
        <f>J121&amp;(COUNTIF(J$2:J121,J121))</f>
        <v>Unitary18</v>
      </c>
      <c r="C121" s="31" t="s">
        <v>269</v>
      </c>
      <c r="D121" s="31" t="s">
        <v>269</v>
      </c>
      <c r="E121" s="32" t="s">
        <v>377</v>
      </c>
      <c r="F121" s="32" t="s">
        <v>388</v>
      </c>
      <c r="G121" s="32" t="s">
        <v>397</v>
      </c>
      <c r="H121" s="33" t="s">
        <v>902</v>
      </c>
      <c r="I121" s="34" t="s">
        <v>385</v>
      </c>
      <c r="J121" s="45" t="s">
        <v>397</v>
      </c>
      <c r="K121" s="44"/>
    </row>
    <row r="122" spans="1:11" ht="14.4">
      <c r="A122" s="28" t="str">
        <f>F122&amp;(COUNTIFS(F$2:F122,F122,K$2:K122,"Sparse"))</f>
        <v>SD21</v>
      </c>
      <c r="B122" s="28" t="str">
        <f>J122&amp;(COUNTIF(J$2:J122,J122))</f>
        <v>North Yorkshire2</v>
      </c>
      <c r="C122" s="31" t="s">
        <v>78</v>
      </c>
      <c r="D122" s="31" t="s">
        <v>78</v>
      </c>
      <c r="E122" s="32" t="s">
        <v>386</v>
      </c>
      <c r="F122" s="32" t="s">
        <v>382</v>
      </c>
      <c r="G122" s="32" t="s">
        <v>5</v>
      </c>
      <c r="H122" s="33" t="s">
        <v>903</v>
      </c>
      <c r="I122" s="34" t="s">
        <v>383</v>
      </c>
      <c r="J122" t="s">
        <v>321</v>
      </c>
      <c r="K122" s="44" t="s">
        <v>336</v>
      </c>
    </row>
    <row r="123" spans="1:11" ht="14.4">
      <c r="A123" s="28" t="str">
        <f>F123&amp;(COUNTIFS(F$2:F123,F123,K$2:K123,"Sparse"))</f>
        <v>L0</v>
      </c>
      <c r="B123" s="28" t="str">
        <f>J123&amp;(COUNTIF(J$2:J123,J123))</f>
        <v>London13</v>
      </c>
      <c r="C123" s="31" t="s">
        <v>337</v>
      </c>
      <c r="D123" s="31" t="s">
        <v>337</v>
      </c>
      <c r="E123" s="32" t="s">
        <v>384</v>
      </c>
      <c r="F123" s="32" t="s">
        <v>360</v>
      </c>
      <c r="G123" s="32" t="s">
        <v>384</v>
      </c>
      <c r="H123" s="33" t="s">
        <v>907</v>
      </c>
      <c r="I123" s="34" t="s">
        <v>385</v>
      </c>
      <c r="J123" t="str">
        <f>G123</f>
        <v>London</v>
      </c>
      <c r="K123" s="44"/>
    </row>
    <row r="124" spans="1:11" ht="14.4">
      <c r="A124" s="28" t="str">
        <f>F124&amp;(COUNTIFS(F$2:F124,F124,K$2:K124,"Sparse"))</f>
        <v>SC6</v>
      </c>
      <c r="B124" s="28" t="str">
        <f>J124&amp;(COUNTIF(J$2:J124,J124))</f>
        <v>Hampshire6</v>
      </c>
      <c r="C124" s="34" t="s">
        <v>314</v>
      </c>
      <c r="D124" s="34" t="s">
        <v>314</v>
      </c>
      <c r="E124" s="32" t="s">
        <v>0</v>
      </c>
      <c r="F124" s="32" t="s">
        <v>390</v>
      </c>
      <c r="G124" s="32" t="s">
        <v>302</v>
      </c>
      <c r="H124" s="34" t="s">
        <v>372</v>
      </c>
      <c r="I124" s="34" t="s">
        <v>372</v>
      </c>
      <c r="J124" t="str">
        <f>C124</f>
        <v>Hampshire</v>
      </c>
      <c r="K124" s="44" t="s">
        <v>336</v>
      </c>
    </row>
    <row r="125" spans="1:11" ht="14.4">
      <c r="A125" s="28" t="str">
        <f>F125&amp;(COUNTIFS(F$2:F125,F125,K$2:K125,"Sparse"))</f>
        <v>SD22</v>
      </c>
      <c r="B125" s="28" t="str">
        <f>J125&amp;(COUNTIF(J$2:J125,J125))</f>
        <v>Leicestershire3</v>
      </c>
      <c r="C125" s="31" t="s">
        <v>79</v>
      </c>
      <c r="D125" s="31" t="s">
        <v>79</v>
      </c>
      <c r="E125" s="32" t="s">
        <v>368</v>
      </c>
      <c r="F125" s="32" t="s">
        <v>382</v>
      </c>
      <c r="G125" s="32" t="s">
        <v>5</v>
      </c>
      <c r="H125" s="33" t="s">
        <v>903</v>
      </c>
      <c r="I125" s="34" t="s">
        <v>383</v>
      </c>
      <c r="J125" t="s">
        <v>318</v>
      </c>
      <c r="K125" s="44" t="s">
        <v>336</v>
      </c>
    </row>
    <row r="126" spans="1:11" ht="14.4">
      <c r="A126" s="28" t="str">
        <f>F126&amp;(COUNTIFS(F$2:F126,F126,K$2:K126,"Sparse"))</f>
        <v>L0</v>
      </c>
      <c r="B126" s="28" t="str">
        <f>J126&amp;(COUNTIF(J$2:J126,J126))</f>
        <v>London14</v>
      </c>
      <c r="C126" s="31" t="s">
        <v>207</v>
      </c>
      <c r="D126" s="31" t="s">
        <v>207</v>
      </c>
      <c r="E126" s="32" t="s">
        <v>384</v>
      </c>
      <c r="F126" s="32" t="s">
        <v>360</v>
      </c>
      <c r="G126" s="32" t="s">
        <v>384</v>
      </c>
      <c r="H126" s="33" t="s">
        <v>907</v>
      </c>
      <c r="I126" s="34" t="s">
        <v>385</v>
      </c>
      <c r="J126" t="str">
        <f>G126</f>
        <v>London</v>
      </c>
      <c r="K126" s="44"/>
    </row>
    <row r="127" spans="1:11" ht="14.4">
      <c r="A127" s="28" t="str">
        <f>F127&amp;(COUNTIFS(F$2:F127,F127,K$2:K127,"Sparse"))</f>
        <v>SD22</v>
      </c>
      <c r="B127" s="28" t="str">
        <f>J127&amp;(COUNTIF(J$2:J127,J127))</f>
        <v>Essex9</v>
      </c>
      <c r="C127" s="31" t="s">
        <v>80</v>
      </c>
      <c r="D127" s="31" t="s">
        <v>80</v>
      </c>
      <c r="E127" s="32" t="s">
        <v>370</v>
      </c>
      <c r="F127" s="32" t="s">
        <v>382</v>
      </c>
      <c r="G127" s="32" t="s">
        <v>5</v>
      </c>
      <c r="H127" s="33" t="s">
        <v>902</v>
      </c>
      <c r="I127" s="34" t="s">
        <v>385</v>
      </c>
      <c r="J127" t="s">
        <v>312</v>
      </c>
      <c r="K127" s="44"/>
    </row>
    <row r="128" spans="1:11" ht="14.4">
      <c r="A128" s="28" t="str">
        <f>F128&amp;(COUNTIFS(F$2:F128,F128,K$2:K128,"Sparse"))</f>
        <v>SD23</v>
      </c>
      <c r="B128" s="28" t="str">
        <f>J128&amp;(COUNTIF(J$2:J128,J128))</f>
        <v>North Yorkshire3</v>
      </c>
      <c r="C128" s="31" t="s">
        <v>81</v>
      </c>
      <c r="D128" s="31" t="s">
        <v>81</v>
      </c>
      <c r="E128" s="32" t="s">
        <v>386</v>
      </c>
      <c r="F128" s="32" t="s">
        <v>382</v>
      </c>
      <c r="G128" s="32" t="s">
        <v>5</v>
      </c>
      <c r="H128" s="35" t="s">
        <v>905</v>
      </c>
      <c r="I128" s="34" t="s">
        <v>372</v>
      </c>
      <c r="J128" t="s">
        <v>321</v>
      </c>
      <c r="K128" s="44" t="s">
        <v>336</v>
      </c>
    </row>
    <row r="129" spans="1:11" ht="14.4">
      <c r="A129" s="28" t="str">
        <f>F129&amp;(COUNTIFS(F$2:F129,F129,K$2:K129,"Sparse"))</f>
        <v>L0</v>
      </c>
      <c r="B129" s="28" t="str">
        <f>J129&amp;(COUNTIF(J$2:J129,J129))</f>
        <v>London15</v>
      </c>
      <c r="C129" s="31" t="s">
        <v>208</v>
      </c>
      <c r="D129" s="31" t="s">
        <v>208</v>
      </c>
      <c r="E129" s="32" t="s">
        <v>384</v>
      </c>
      <c r="F129" s="32" t="s">
        <v>360</v>
      </c>
      <c r="G129" s="32" t="s">
        <v>384</v>
      </c>
      <c r="H129" s="33" t="s">
        <v>907</v>
      </c>
      <c r="I129" s="34" t="s">
        <v>385</v>
      </c>
      <c r="J129" t="str">
        <f>G129</f>
        <v>London</v>
      </c>
      <c r="K129" s="44"/>
    </row>
    <row r="130" spans="1:11" ht="14.4">
      <c r="A130" s="28" t="str">
        <f>F130&amp;(COUNTIFS(F$2:F130,F130,K$2:K130,"Sparse"))</f>
        <v>SD23</v>
      </c>
      <c r="B130" s="28" t="str">
        <f>J130&amp;(COUNTIF(J$2:J130,J130))</f>
        <v>Hampshire7</v>
      </c>
      <c r="C130" s="31" t="s">
        <v>82</v>
      </c>
      <c r="D130" s="31" t="s">
        <v>82</v>
      </c>
      <c r="E130" s="32" t="s">
        <v>0</v>
      </c>
      <c r="F130" s="32" t="s">
        <v>382</v>
      </c>
      <c r="G130" s="32" t="s">
        <v>5</v>
      </c>
      <c r="H130" s="35" t="s">
        <v>905</v>
      </c>
      <c r="I130" s="34" t="s">
        <v>372</v>
      </c>
      <c r="J130" t="s">
        <v>314</v>
      </c>
      <c r="K130" s="44"/>
    </row>
    <row r="131" spans="1:11" ht="14.4">
      <c r="A131" s="28" t="str">
        <f>F131&amp;(COUNTIFS(F$2:F131,F131,K$2:K131,"Sparse"))</f>
        <v>UA4</v>
      </c>
      <c r="B131" s="28" t="str">
        <f>J131&amp;(COUNTIF(J$2:J131,J131))</f>
        <v>Unitary19</v>
      </c>
      <c r="C131" s="31" t="s">
        <v>270</v>
      </c>
      <c r="D131" s="31" t="s">
        <v>270</v>
      </c>
      <c r="E131" s="32" t="s">
        <v>391</v>
      </c>
      <c r="F131" s="32" t="s">
        <v>388</v>
      </c>
      <c r="G131" s="32" t="s">
        <v>397</v>
      </c>
      <c r="H131" s="33" t="s">
        <v>902</v>
      </c>
      <c r="I131" s="34" t="s">
        <v>385</v>
      </c>
      <c r="J131" s="45" t="s">
        <v>397</v>
      </c>
      <c r="K131" s="44"/>
    </row>
    <row r="132" spans="1:11" ht="14.4">
      <c r="A132" s="28" t="str">
        <f>F132&amp;(COUNTIFS(F$2:F132,F132,K$2:K132,"Sparse"))</f>
        <v>SD23</v>
      </c>
      <c r="B132" s="28" t="str">
        <f>J132&amp;(COUNTIF(J$2:J132,J132))</f>
        <v>East Sussex3</v>
      </c>
      <c r="C132" s="31" t="s">
        <v>83</v>
      </c>
      <c r="D132" s="31" t="s">
        <v>83</v>
      </c>
      <c r="E132" s="32" t="s">
        <v>0</v>
      </c>
      <c r="F132" s="32" t="s">
        <v>382</v>
      </c>
      <c r="G132" s="32" t="s">
        <v>5</v>
      </c>
      <c r="H132" s="33" t="s">
        <v>902</v>
      </c>
      <c r="I132" s="34" t="s">
        <v>385</v>
      </c>
      <c r="J132" t="s">
        <v>311</v>
      </c>
      <c r="K132" s="44"/>
    </row>
    <row r="133" spans="1:11" ht="14.4">
      <c r="A133" s="28" t="str">
        <f>F133&amp;(COUNTIFS(F$2:F133,F133,K$2:K133,"Sparse"))</f>
        <v>SD23</v>
      </c>
      <c r="B133" s="28" t="str">
        <f>J133&amp;(COUNTIF(J$2:J133,J133))</f>
        <v>Hampshire8</v>
      </c>
      <c r="C133" s="31" t="s">
        <v>84</v>
      </c>
      <c r="D133" s="31" t="s">
        <v>84</v>
      </c>
      <c r="E133" s="32" t="s">
        <v>0</v>
      </c>
      <c r="F133" s="32" t="s">
        <v>382</v>
      </c>
      <c r="G133" s="32" t="s">
        <v>5</v>
      </c>
      <c r="H133" s="33" t="s">
        <v>902</v>
      </c>
      <c r="I133" s="34" t="s">
        <v>385</v>
      </c>
      <c r="J133" t="s">
        <v>314</v>
      </c>
      <c r="K133" s="44"/>
    </row>
    <row r="134" spans="1:11" ht="14.4">
      <c r="A134" s="28" t="str">
        <f>F134&amp;(COUNTIFS(F$2:F134,F134,K$2:K134,"Sparse"))</f>
        <v>L0</v>
      </c>
      <c r="B134" s="28" t="str">
        <f>J134&amp;(COUNTIF(J$2:J134,J134))</f>
        <v>London16</v>
      </c>
      <c r="C134" s="31" t="s">
        <v>209</v>
      </c>
      <c r="D134" s="31" t="s">
        <v>209</v>
      </c>
      <c r="E134" s="32" t="s">
        <v>384</v>
      </c>
      <c r="F134" s="32" t="s">
        <v>360</v>
      </c>
      <c r="G134" s="32" t="s">
        <v>384</v>
      </c>
      <c r="H134" s="33" t="s">
        <v>907</v>
      </c>
      <c r="I134" s="34" t="s">
        <v>385</v>
      </c>
      <c r="J134" t="str">
        <f>G134</f>
        <v>London</v>
      </c>
      <c r="K134" s="44"/>
    </row>
    <row r="135" spans="1:11" ht="14.4">
      <c r="A135" s="28" t="str">
        <f>F135&amp;(COUNTIFS(F$2:F135,F135,K$2:K135,"Sparse"))</f>
        <v>UA5</v>
      </c>
      <c r="B135" s="28" t="str">
        <f>J135&amp;(COUNTIF(J$2:J135,J135))</f>
        <v>Unitary20</v>
      </c>
      <c r="C135" s="31" t="s">
        <v>818</v>
      </c>
      <c r="D135" s="31" t="s">
        <v>392</v>
      </c>
      <c r="E135" s="32" t="s">
        <v>369</v>
      </c>
      <c r="F135" s="32" t="s">
        <v>388</v>
      </c>
      <c r="G135" s="32" t="s">
        <v>397</v>
      </c>
      <c r="H135" s="33" t="s">
        <v>906</v>
      </c>
      <c r="I135" s="34" t="s">
        <v>383</v>
      </c>
      <c r="J135" s="45" t="s">
        <v>397</v>
      </c>
      <c r="K135" s="44" t="s">
        <v>336</v>
      </c>
    </row>
    <row r="136" spans="1:11" ht="14.4">
      <c r="A136" s="28" t="str">
        <f>F136&amp;(COUNTIFS(F$2:F136,F136,K$2:K136,"Sparse"))</f>
        <v>SC6</v>
      </c>
      <c r="B136" s="28" t="str">
        <f>J136&amp;(COUNTIF(J$2:J136,J136))</f>
        <v>Hertfordshire4</v>
      </c>
      <c r="C136" s="34" t="s">
        <v>315</v>
      </c>
      <c r="D136" s="34" t="s">
        <v>315</v>
      </c>
      <c r="E136" s="32" t="s">
        <v>370</v>
      </c>
      <c r="F136" s="32" t="s">
        <v>390</v>
      </c>
      <c r="G136" s="32" t="s">
        <v>302</v>
      </c>
      <c r="H136" s="34" t="s">
        <v>385</v>
      </c>
      <c r="I136" s="34" t="s">
        <v>385</v>
      </c>
      <c r="J136" t="str">
        <f>C136</f>
        <v>Hertfordshire</v>
      </c>
      <c r="K136" s="44"/>
    </row>
    <row r="137" spans="1:11" ht="14.4">
      <c r="A137" s="28" t="str">
        <f>F137&amp;(COUNTIFS(F$2:F137,F137,K$2:K137,"Sparse"))</f>
        <v>SD23</v>
      </c>
      <c r="B137" s="28" t="str">
        <f>J137&amp;(COUNTIF(J$2:J137,J137))</f>
        <v>Hertfordshire5</v>
      </c>
      <c r="C137" s="31" t="s">
        <v>85</v>
      </c>
      <c r="D137" s="31" t="s">
        <v>85</v>
      </c>
      <c r="E137" s="32" t="s">
        <v>370</v>
      </c>
      <c r="F137" s="32" t="s">
        <v>382</v>
      </c>
      <c r="G137" s="32" t="s">
        <v>5</v>
      </c>
      <c r="H137" s="35" t="s">
        <v>907</v>
      </c>
      <c r="I137" s="34" t="s">
        <v>385</v>
      </c>
      <c r="J137" t="s">
        <v>315</v>
      </c>
      <c r="K137" s="44"/>
    </row>
    <row r="138" spans="1:11" ht="14.4">
      <c r="A138" s="28" t="str">
        <f>F138&amp;(COUNTIFS(F$2:F138,F138,K$2:K138,"Sparse"))</f>
        <v>SD23</v>
      </c>
      <c r="B138" s="28" t="str">
        <f>J138&amp;(COUNTIF(J$2:J138,J138))</f>
        <v>Derbyshire7</v>
      </c>
      <c r="C138" s="31" t="s">
        <v>86</v>
      </c>
      <c r="D138" s="31" t="s">
        <v>86</v>
      </c>
      <c r="E138" s="32" t="s">
        <v>368</v>
      </c>
      <c r="F138" s="32" t="s">
        <v>382</v>
      </c>
      <c r="G138" s="32" t="s">
        <v>5</v>
      </c>
      <c r="H138" s="33" t="s">
        <v>906</v>
      </c>
      <c r="I138" s="34" t="s">
        <v>383</v>
      </c>
      <c r="J138" t="s">
        <v>308</v>
      </c>
      <c r="K138" s="44"/>
    </row>
    <row r="139" spans="1:11" ht="14.4">
      <c r="A139" s="28" t="str">
        <f>F139&amp;(COUNTIFS(F$2:F139,F139,K$2:K139,"Sparse"))</f>
        <v>L0</v>
      </c>
      <c r="B139" s="28" t="str">
        <f>J139&amp;(COUNTIF(J$2:J139,J139))</f>
        <v>London17</v>
      </c>
      <c r="C139" s="31" t="s">
        <v>210</v>
      </c>
      <c r="D139" s="31" t="s">
        <v>210</v>
      </c>
      <c r="E139" s="32" t="s">
        <v>384</v>
      </c>
      <c r="F139" s="32" t="s">
        <v>360</v>
      </c>
      <c r="G139" s="32" t="s">
        <v>384</v>
      </c>
      <c r="H139" s="33" t="s">
        <v>907</v>
      </c>
      <c r="I139" s="34" t="s">
        <v>385</v>
      </c>
      <c r="J139" t="str">
        <f>G139</f>
        <v>London</v>
      </c>
      <c r="K139" s="44"/>
    </row>
    <row r="140" spans="1:11" ht="14.4">
      <c r="A140" s="28" t="str">
        <f>F140&amp;(COUNTIFS(F$2:F140,F140,K$2:K140,"Sparse"))</f>
        <v>SD23</v>
      </c>
      <c r="B140" s="28" t="str">
        <f>J140&amp;(COUNTIF(J$2:J140,J140))</f>
        <v>Leicestershire4</v>
      </c>
      <c r="C140" s="31" t="s">
        <v>346</v>
      </c>
      <c r="D140" s="31" t="s">
        <v>346</v>
      </c>
      <c r="E140" s="32" t="s">
        <v>368</v>
      </c>
      <c r="F140" s="32" t="s">
        <v>382</v>
      </c>
      <c r="G140" s="32" t="s">
        <v>5</v>
      </c>
      <c r="H140" s="35" t="s">
        <v>906</v>
      </c>
      <c r="I140" s="34" t="s">
        <v>383</v>
      </c>
      <c r="J140" t="s">
        <v>318</v>
      </c>
      <c r="K140" s="44"/>
    </row>
    <row r="141" spans="1:11" ht="14.4">
      <c r="A141" s="28" t="str">
        <f>F141&amp;(COUNTIFS(F$2:F141,F141,K$2:K141,"Sparse"))</f>
        <v>SD23</v>
      </c>
      <c r="B141" s="28" t="str">
        <f>J141&amp;(COUNTIF(J$2:J141,J141))</f>
        <v>West Sussex5</v>
      </c>
      <c r="C141" s="31" t="s">
        <v>87</v>
      </c>
      <c r="D141" s="31" t="s">
        <v>87</v>
      </c>
      <c r="E141" s="32" t="s">
        <v>0</v>
      </c>
      <c r="F141" s="32" t="s">
        <v>382</v>
      </c>
      <c r="G141" s="32" t="s">
        <v>5</v>
      </c>
      <c r="H141" s="33" t="s">
        <v>906</v>
      </c>
      <c r="I141" s="34" t="s">
        <v>383</v>
      </c>
      <c r="J141" t="s">
        <v>332</v>
      </c>
      <c r="K141" s="44"/>
    </row>
    <row r="142" spans="1:11" ht="14.4">
      <c r="A142" s="28" t="str">
        <f>F142&amp;(COUNTIFS(F$2:F142,F142,K$2:K142,"Sparse"))</f>
        <v>L0</v>
      </c>
      <c r="B142" s="28" t="str">
        <f>J142&amp;(COUNTIF(J$2:J142,J142))</f>
        <v>London18</v>
      </c>
      <c r="C142" s="31" t="s">
        <v>211</v>
      </c>
      <c r="D142" s="31" t="s">
        <v>211</v>
      </c>
      <c r="E142" s="32" t="s">
        <v>384</v>
      </c>
      <c r="F142" s="32" t="s">
        <v>360</v>
      </c>
      <c r="G142" s="32" t="s">
        <v>384</v>
      </c>
      <c r="H142" s="33" t="s">
        <v>907</v>
      </c>
      <c r="I142" s="34" t="s">
        <v>385</v>
      </c>
      <c r="J142" t="str">
        <f>G142</f>
        <v>London</v>
      </c>
      <c r="K142" s="44"/>
    </row>
    <row r="143" spans="1:11" ht="14.4">
      <c r="A143" s="28" t="str">
        <f>F143&amp;(COUNTIFS(F$2:F143,F143,K$2:K143,"Sparse"))</f>
        <v>SD24</v>
      </c>
      <c r="B143" s="28" t="str">
        <f>J143&amp;(COUNTIF(J$2:J143,J143))</f>
        <v>Cambridgeshire5</v>
      </c>
      <c r="C143" s="31" t="s">
        <v>88</v>
      </c>
      <c r="D143" s="31" t="s">
        <v>88</v>
      </c>
      <c r="E143" s="32" t="s">
        <v>370</v>
      </c>
      <c r="F143" s="32" t="s">
        <v>382</v>
      </c>
      <c r="G143" s="32" t="s">
        <v>5</v>
      </c>
      <c r="H143" s="33" t="s">
        <v>903</v>
      </c>
      <c r="I143" s="34" t="s">
        <v>383</v>
      </c>
      <c r="J143" t="s">
        <v>303</v>
      </c>
      <c r="K143" s="44" t="s">
        <v>336</v>
      </c>
    </row>
    <row r="144" spans="1:11" ht="14.4">
      <c r="A144" s="28" t="str">
        <f>F144&amp;(COUNTIFS(F$2:F144,F144,K$2:K144,"Sparse"))</f>
        <v>SD24</v>
      </c>
      <c r="B144" s="28" t="str">
        <f>J144&amp;(COUNTIF(J$2:J144,J144))</f>
        <v>Lancashire4</v>
      </c>
      <c r="C144" s="31" t="s">
        <v>89</v>
      </c>
      <c r="D144" s="31" t="s">
        <v>89</v>
      </c>
      <c r="E144" s="32" t="s">
        <v>377</v>
      </c>
      <c r="F144" s="32" t="s">
        <v>382</v>
      </c>
      <c r="G144" s="32" t="s">
        <v>5</v>
      </c>
      <c r="H144" s="33" t="s">
        <v>902</v>
      </c>
      <c r="I144" s="34" t="s">
        <v>385</v>
      </c>
      <c r="J144" t="s">
        <v>317</v>
      </c>
      <c r="K144" s="44"/>
    </row>
    <row r="145" spans="1:11" ht="14.4">
      <c r="A145" s="28" t="str">
        <f>F145&amp;(COUNTIFS(F$2:F145,F145,K$2:K145,"Sparse"))</f>
        <v>SD24</v>
      </c>
      <c r="B145" s="28" t="str">
        <f>J145&amp;(COUNTIF(J$2:J145,J145))</f>
        <v>Suffolk2</v>
      </c>
      <c r="C145" s="31" t="s">
        <v>90</v>
      </c>
      <c r="D145" s="31" t="s">
        <v>90</v>
      </c>
      <c r="E145" s="32" t="s">
        <v>370</v>
      </c>
      <c r="F145" s="32" t="s">
        <v>382</v>
      </c>
      <c r="G145" s="32" t="s">
        <v>5</v>
      </c>
      <c r="H145" s="33" t="s">
        <v>902</v>
      </c>
      <c r="I145" s="34" t="s">
        <v>385</v>
      </c>
      <c r="J145" t="s">
        <v>329</v>
      </c>
      <c r="K145" s="44"/>
    </row>
    <row r="146" spans="1:11" ht="14.4">
      <c r="A146" s="28" t="str">
        <f>F146&amp;(COUNTIFS(F$2:F146,F146,K$2:K146,"Sparse"))</f>
        <v>UA6</v>
      </c>
      <c r="B146" s="28" t="str">
        <f>J146&amp;(COUNTIF(J$2:J146,J146))</f>
        <v>Unitary21</v>
      </c>
      <c r="C146" s="31" t="s">
        <v>271</v>
      </c>
      <c r="D146" s="31" t="s">
        <v>271</v>
      </c>
      <c r="E146" s="32" t="s">
        <v>0</v>
      </c>
      <c r="F146" s="32" t="s">
        <v>388</v>
      </c>
      <c r="G146" s="32" t="s">
        <v>397</v>
      </c>
      <c r="H146" s="33" t="s">
        <v>903</v>
      </c>
      <c r="I146" s="34" t="s">
        <v>383</v>
      </c>
      <c r="J146" s="45" t="s">
        <v>397</v>
      </c>
      <c r="K146" s="44" t="s">
        <v>336</v>
      </c>
    </row>
    <row r="147" spans="1:11" ht="14.4">
      <c r="A147" s="28" t="str">
        <f>F147&amp;(COUNTIFS(F$2:F147,F147,K$2:K147,"Sparse"))</f>
        <v>00</v>
      </c>
      <c r="B147" s="28" t="str">
        <f>J147&amp;(COUNTIF(J$2:J147,J147))</f>
        <v>0</v>
      </c>
      <c r="C147" s="31" t="s">
        <v>2</v>
      </c>
      <c r="D147" s="31" t="s">
        <v>2</v>
      </c>
      <c r="E147" s="32" t="s">
        <v>1</v>
      </c>
      <c r="F147" s="32">
        <v>0</v>
      </c>
      <c r="G147" s="45" t="s">
        <v>401</v>
      </c>
      <c r="H147" s="33" t="s">
        <v>903</v>
      </c>
      <c r="I147" s="34" t="s">
        <v>383</v>
      </c>
      <c r="K147" s="44"/>
    </row>
    <row r="148" spans="1:11" ht="14.4">
      <c r="A148" s="28" t="str">
        <f>F148&amp;(COUNTIFS(F$2:F148,F148,K$2:K148,"Sparse"))</f>
        <v>L0</v>
      </c>
      <c r="B148" s="28" t="str">
        <f>J148&amp;(COUNTIF(J$2:J148,J148))</f>
        <v>London19</v>
      </c>
      <c r="C148" s="31" t="s">
        <v>212</v>
      </c>
      <c r="D148" s="31" t="s">
        <v>212</v>
      </c>
      <c r="E148" s="32" t="s">
        <v>384</v>
      </c>
      <c r="F148" s="32" t="s">
        <v>360</v>
      </c>
      <c r="G148" s="32" t="s">
        <v>384</v>
      </c>
      <c r="H148" s="33" t="s">
        <v>907</v>
      </c>
      <c r="I148" s="34" t="s">
        <v>385</v>
      </c>
      <c r="J148" t="str">
        <f>G148</f>
        <v>London</v>
      </c>
      <c r="K148" s="44"/>
    </row>
    <row r="149" spans="1:11" ht="14.4">
      <c r="A149" s="28" t="str">
        <f>F149&amp;(COUNTIFS(F$2:F149,F149,K$2:K149,"Sparse"))</f>
        <v>L0</v>
      </c>
      <c r="B149" s="28" t="str">
        <f>J149&amp;(COUNTIF(J$2:J149,J149))</f>
        <v>London20</v>
      </c>
      <c r="C149" s="31" t="s">
        <v>338</v>
      </c>
      <c r="D149" s="31" t="s">
        <v>338</v>
      </c>
      <c r="E149" s="32" t="s">
        <v>384</v>
      </c>
      <c r="F149" s="32" t="s">
        <v>360</v>
      </c>
      <c r="G149" s="32" t="s">
        <v>384</v>
      </c>
      <c r="H149" s="33" t="s">
        <v>907</v>
      </c>
      <c r="I149" s="34" t="s">
        <v>385</v>
      </c>
      <c r="J149" t="str">
        <f>G149</f>
        <v>London</v>
      </c>
      <c r="K149" s="44"/>
    </row>
    <row r="150" spans="1:11" ht="14.4">
      <c r="A150" s="28" t="str">
        <f>F150&amp;(COUNTIFS(F$2:F150,F150,K$2:K150,"Sparse"))</f>
        <v>SC6</v>
      </c>
      <c r="B150" s="28" t="str">
        <f>J150&amp;(COUNTIF(J$2:J150,J150))</f>
        <v>Kent6</v>
      </c>
      <c r="C150" s="34" t="s">
        <v>316</v>
      </c>
      <c r="D150" s="34" t="s">
        <v>316</v>
      </c>
      <c r="E150" s="32" t="s">
        <v>370</v>
      </c>
      <c r="F150" s="32" t="s">
        <v>390</v>
      </c>
      <c r="G150" s="32" t="s">
        <v>302</v>
      </c>
      <c r="H150" s="34" t="s">
        <v>372</v>
      </c>
      <c r="I150" s="34" t="s">
        <v>372</v>
      </c>
      <c r="J150" t="str">
        <f>C150</f>
        <v>Kent</v>
      </c>
      <c r="K150" s="44"/>
    </row>
    <row r="151" spans="1:11" ht="14.4">
      <c r="A151" s="28" t="str">
        <f>F151&amp;(COUNTIFS(F$2:F151,F151,K$2:K151,"Sparse"))</f>
        <v>SD24</v>
      </c>
      <c r="B151" s="28" t="str">
        <f>J151&amp;(COUNTIF(J$2:J151,J151))</f>
        <v>Northamptonshire4</v>
      </c>
      <c r="C151" s="31" t="s">
        <v>91</v>
      </c>
      <c r="D151" s="31" t="s">
        <v>91</v>
      </c>
      <c r="E151" s="32" t="s">
        <v>368</v>
      </c>
      <c r="F151" s="32" t="s">
        <v>382</v>
      </c>
      <c r="G151" s="32" t="s">
        <v>5</v>
      </c>
      <c r="H151" s="35" t="s">
        <v>902</v>
      </c>
      <c r="I151" s="34" t="s">
        <v>385</v>
      </c>
      <c r="J151" t="s">
        <v>322</v>
      </c>
      <c r="K151" s="44"/>
    </row>
    <row r="152" spans="1:11" ht="14.4">
      <c r="A152" s="28" t="str">
        <f>F152&amp;(COUNTIFS(F$2:F152,F152,K$2:K152,"Sparse"))</f>
        <v>SD25</v>
      </c>
      <c r="B152" s="28" t="str">
        <f>J152&amp;(COUNTIF(J$2:J152,J152))</f>
        <v>Norfolk4</v>
      </c>
      <c r="C152" s="31" t="s">
        <v>378</v>
      </c>
      <c r="D152" s="31" t="s">
        <v>378</v>
      </c>
      <c r="E152" s="32" t="s">
        <v>370</v>
      </c>
      <c r="F152" s="32" t="s">
        <v>382</v>
      </c>
      <c r="G152" s="32" t="s">
        <v>5</v>
      </c>
      <c r="H152" s="33" t="s">
        <v>906</v>
      </c>
      <c r="I152" s="34" t="s">
        <v>383</v>
      </c>
      <c r="J152" t="s">
        <v>320</v>
      </c>
      <c r="K152" s="44" t="s">
        <v>336</v>
      </c>
    </row>
    <row r="153" spans="1:11" ht="14.4">
      <c r="A153" s="28" t="str">
        <f>F153&amp;(COUNTIFS(F$2:F153,F153,K$2:K153,"Sparse"))</f>
        <v>UA6</v>
      </c>
      <c r="B153" s="28" t="str">
        <f>J153&amp;(COUNTIF(J$2:J153,J153))</f>
        <v>Unitary22</v>
      </c>
      <c r="C153" s="31" t="s">
        <v>819</v>
      </c>
      <c r="D153" s="31" t="s">
        <v>393</v>
      </c>
      <c r="E153" s="32" t="s">
        <v>386</v>
      </c>
      <c r="F153" s="32" t="s">
        <v>388</v>
      </c>
      <c r="G153" s="32" t="s">
        <v>397</v>
      </c>
      <c r="H153" s="33" t="s">
        <v>902</v>
      </c>
      <c r="I153" s="34" t="s">
        <v>385</v>
      </c>
      <c r="J153" s="45" t="s">
        <v>397</v>
      </c>
      <c r="K153" s="44"/>
    </row>
    <row r="154" spans="1:11" ht="14.4">
      <c r="A154" s="28" t="str">
        <f>F154&amp;(COUNTIFS(F$2:F154,F154,K$2:K154,"Sparse"))</f>
        <v>L0</v>
      </c>
      <c r="B154" s="28" t="str">
        <f>J154&amp;(COUNTIF(J$2:J154,J154))</f>
        <v>London21</v>
      </c>
      <c r="C154" s="31" t="s">
        <v>394</v>
      </c>
      <c r="D154" s="31" t="s">
        <v>394</v>
      </c>
      <c r="E154" s="32" t="s">
        <v>384</v>
      </c>
      <c r="F154" s="32" t="s">
        <v>360</v>
      </c>
      <c r="G154" s="32" t="s">
        <v>384</v>
      </c>
      <c r="H154" s="33" t="s">
        <v>907</v>
      </c>
      <c r="I154" s="34" t="s">
        <v>385</v>
      </c>
      <c r="J154" t="str">
        <f>G154</f>
        <v>London</v>
      </c>
      <c r="K154" s="44"/>
    </row>
    <row r="155" spans="1:11" ht="14.4">
      <c r="A155" s="28" t="str">
        <f>F155&amp;(COUNTIFS(F$2:F155,F155,K$2:K155,"Sparse"))</f>
        <v>MD0</v>
      </c>
      <c r="B155" s="28" t="str">
        <f>J155&amp;(COUNTIF(J$2:J155,J155))</f>
        <v>Kirklees1</v>
      </c>
      <c r="C155" s="31" t="s">
        <v>233</v>
      </c>
      <c r="D155" s="31" t="s">
        <v>233</v>
      </c>
      <c r="E155" s="32" t="s">
        <v>386</v>
      </c>
      <c r="F155" s="32" t="s">
        <v>387</v>
      </c>
      <c r="G155" s="32" t="s">
        <v>398</v>
      </c>
      <c r="H155" s="33" t="s">
        <v>907</v>
      </c>
      <c r="I155" s="34" t="s">
        <v>385</v>
      </c>
      <c r="J155" t="str">
        <f>C155</f>
        <v>Kirklees</v>
      </c>
      <c r="K155" s="44"/>
    </row>
    <row r="156" spans="1:11" ht="14.4">
      <c r="A156" s="28" t="str">
        <f>F156&amp;(COUNTIFS(F$2:F156,F156,K$2:K156,"Sparse"))</f>
        <v>MD0</v>
      </c>
      <c r="B156" s="28" t="str">
        <f>J156&amp;(COUNTIF(J$2:J156,J156))</f>
        <v>Knowsley1</v>
      </c>
      <c r="C156" s="31" t="s">
        <v>234</v>
      </c>
      <c r="D156" s="31" t="s">
        <v>234</v>
      </c>
      <c r="E156" s="32" t="s">
        <v>377</v>
      </c>
      <c r="F156" s="32" t="s">
        <v>387</v>
      </c>
      <c r="G156" s="32" t="s">
        <v>398</v>
      </c>
      <c r="H156" s="33" t="s">
        <v>907</v>
      </c>
      <c r="I156" s="34" t="s">
        <v>385</v>
      </c>
      <c r="J156" t="str">
        <f>C156</f>
        <v>Knowsley</v>
      </c>
      <c r="K156" s="44"/>
    </row>
    <row r="157" spans="1:11" ht="14.4">
      <c r="A157" s="28" t="str">
        <f>F157&amp;(COUNTIFS(F$2:F157,F157,K$2:K157,"Sparse"))</f>
        <v>L0</v>
      </c>
      <c r="B157" s="28" t="str">
        <f>J157&amp;(COUNTIF(J$2:J157,J157))</f>
        <v>London22</v>
      </c>
      <c r="C157" s="31" t="s">
        <v>213</v>
      </c>
      <c r="D157" s="31" t="s">
        <v>213</v>
      </c>
      <c r="E157" s="32" t="s">
        <v>384</v>
      </c>
      <c r="F157" s="32" t="s">
        <v>360</v>
      </c>
      <c r="G157" s="32" t="s">
        <v>384</v>
      </c>
      <c r="H157" s="33" t="s">
        <v>907</v>
      </c>
      <c r="I157" s="34" t="s">
        <v>385</v>
      </c>
      <c r="J157" t="str">
        <f>G157</f>
        <v>London</v>
      </c>
      <c r="K157" s="44"/>
    </row>
    <row r="158" spans="1:11" ht="14.4">
      <c r="A158" s="28" t="str">
        <f>F158&amp;(COUNTIFS(F$2:F158,F158,K$2:K158,"Sparse"))</f>
        <v>SC7</v>
      </c>
      <c r="B158" s="28" t="str">
        <f>J158&amp;(COUNTIF(J$2:J158,J158))</f>
        <v>Lancashire5</v>
      </c>
      <c r="C158" s="34" t="s">
        <v>317</v>
      </c>
      <c r="D158" s="34" t="s">
        <v>317</v>
      </c>
      <c r="E158" s="32" t="s">
        <v>377</v>
      </c>
      <c r="F158" s="32" t="s">
        <v>390</v>
      </c>
      <c r="G158" s="32" t="s">
        <v>302</v>
      </c>
      <c r="H158" s="34" t="s">
        <v>372</v>
      </c>
      <c r="I158" s="34" t="s">
        <v>372</v>
      </c>
      <c r="J158" t="str">
        <f>C158</f>
        <v>Lancashire</v>
      </c>
      <c r="K158" s="44" t="s">
        <v>336</v>
      </c>
    </row>
    <row r="159" spans="1:11" ht="14.4">
      <c r="A159" s="28" t="str">
        <f>F159&amp;(COUNTIFS(F$2:F159,F159,K$2:K159,"Sparse"))</f>
        <v>SD25</v>
      </c>
      <c r="B159" s="28" t="str">
        <f>J159&amp;(COUNTIF(J$2:J159,J159))</f>
        <v>Lancashire6</v>
      </c>
      <c r="C159" s="31" t="s">
        <v>92</v>
      </c>
      <c r="D159" s="31" t="s">
        <v>92</v>
      </c>
      <c r="E159" s="32" t="s">
        <v>377</v>
      </c>
      <c r="F159" s="32" t="s">
        <v>382</v>
      </c>
      <c r="G159" s="32" t="s">
        <v>5</v>
      </c>
      <c r="H159" s="35" t="s">
        <v>905</v>
      </c>
      <c r="I159" s="34" t="s">
        <v>372</v>
      </c>
      <c r="J159" t="s">
        <v>317</v>
      </c>
      <c r="K159" s="44"/>
    </row>
    <row r="160" spans="1:11" ht="14.4">
      <c r="A160" s="28" t="str">
        <f>F160&amp;(COUNTIFS(F$2:F160,F160,K$2:K160,"Sparse"))</f>
        <v>MD0</v>
      </c>
      <c r="B160" s="28" t="str">
        <f>J160&amp;(COUNTIF(J$2:J160,J160))</f>
        <v>Leeds1</v>
      </c>
      <c r="C160" s="31" t="s">
        <v>235</v>
      </c>
      <c r="D160" s="31" t="s">
        <v>235</v>
      </c>
      <c r="E160" s="32" t="s">
        <v>386</v>
      </c>
      <c r="F160" s="32" t="s">
        <v>387</v>
      </c>
      <c r="G160" s="32" t="s">
        <v>398</v>
      </c>
      <c r="H160" s="33" t="s">
        <v>907</v>
      </c>
      <c r="I160" s="34" t="s">
        <v>385</v>
      </c>
      <c r="J160" t="str">
        <f>C160</f>
        <v>Leeds</v>
      </c>
      <c r="K160" s="44"/>
    </row>
    <row r="161" spans="1:11" ht="14.4">
      <c r="A161" s="28" t="str">
        <f>F161&amp;(COUNTIFS(F$2:F161,F161,K$2:K161,"Sparse"))</f>
        <v>UA6</v>
      </c>
      <c r="B161" s="28" t="str">
        <f>J161&amp;(COUNTIF(J$2:J161,J161))</f>
        <v>Unitary23</v>
      </c>
      <c r="C161" s="31" t="s">
        <v>272</v>
      </c>
      <c r="D161" s="31" t="s">
        <v>272</v>
      </c>
      <c r="E161" s="32" t="s">
        <v>368</v>
      </c>
      <c r="F161" s="32" t="s">
        <v>388</v>
      </c>
      <c r="G161" s="32" t="s">
        <v>397</v>
      </c>
      <c r="H161" s="33" t="s">
        <v>902</v>
      </c>
      <c r="I161" s="34" t="s">
        <v>385</v>
      </c>
      <c r="J161" s="45" t="s">
        <v>397</v>
      </c>
      <c r="K161" s="44"/>
    </row>
    <row r="162" spans="1:11" ht="14.4">
      <c r="A162" s="28" t="str">
        <f>F162&amp;(COUNTIFS(F$2:F162,F162,K$2:K162,"Sparse"))</f>
        <v>SC8</v>
      </c>
      <c r="B162" s="28" t="str">
        <f>J162&amp;(COUNTIF(J$2:J162,J162))</f>
        <v>Leicestershire5</v>
      </c>
      <c r="C162" s="34" t="s">
        <v>318</v>
      </c>
      <c r="D162" s="34" t="s">
        <v>318</v>
      </c>
      <c r="E162" s="32" t="s">
        <v>368</v>
      </c>
      <c r="F162" s="32" t="s">
        <v>390</v>
      </c>
      <c r="G162" s="32" t="s">
        <v>302</v>
      </c>
      <c r="H162" s="34" t="s">
        <v>372</v>
      </c>
      <c r="I162" s="34" t="s">
        <v>372</v>
      </c>
      <c r="J162" t="str">
        <f>C162</f>
        <v>Leicestershire</v>
      </c>
      <c r="K162" s="44" t="s">
        <v>336</v>
      </c>
    </row>
    <row r="163" spans="1:11" ht="14.4">
      <c r="A163" s="28" t="str">
        <f>F163&amp;(COUNTIFS(F$2:F163,F163,K$2:K163,"Sparse"))</f>
        <v>SD26</v>
      </c>
      <c r="B163" s="28" t="str">
        <f>J163&amp;(COUNTIF(J$2:J163,J163))</f>
        <v>East Sussex4</v>
      </c>
      <c r="C163" s="31" t="s">
        <v>93</v>
      </c>
      <c r="D163" s="31" t="s">
        <v>93</v>
      </c>
      <c r="E163" s="32" t="s">
        <v>0</v>
      </c>
      <c r="F163" s="32" t="s">
        <v>382</v>
      </c>
      <c r="G163" s="32" t="s">
        <v>5</v>
      </c>
      <c r="H163" s="33" t="s">
        <v>905</v>
      </c>
      <c r="I163" s="34" t="s">
        <v>372</v>
      </c>
      <c r="J163" t="s">
        <v>311</v>
      </c>
      <c r="K163" s="44" t="s">
        <v>336</v>
      </c>
    </row>
    <row r="164" spans="1:11" ht="14.4">
      <c r="A164" s="28" t="str">
        <f>F164&amp;(COUNTIFS(F$2:F164,F164,K$2:K164,"Sparse"))</f>
        <v>L0</v>
      </c>
      <c r="B164" s="28" t="str">
        <f>J164&amp;(COUNTIF(J$2:J164,J164))</f>
        <v>London23</v>
      </c>
      <c r="C164" s="31" t="s">
        <v>214</v>
      </c>
      <c r="D164" s="31" t="s">
        <v>214</v>
      </c>
      <c r="E164" s="32" t="s">
        <v>384</v>
      </c>
      <c r="F164" s="32" t="s">
        <v>360</v>
      </c>
      <c r="G164" s="32" t="s">
        <v>384</v>
      </c>
      <c r="H164" s="33" t="s">
        <v>907</v>
      </c>
      <c r="I164" s="34" t="s">
        <v>385</v>
      </c>
      <c r="J164" t="str">
        <f>G164</f>
        <v>London</v>
      </c>
      <c r="K164" s="44"/>
    </row>
    <row r="165" spans="1:11" ht="14.4">
      <c r="A165" s="28" t="str">
        <f>F165&amp;(COUNTIFS(F$2:F165,F165,K$2:K165,"Sparse"))</f>
        <v>SD27</v>
      </c>
      <c r="B165" s="28" t="str">
        <f>J165&amp;(COUNTIF(J$2:J165,J165))</f>
        <v>Staffordshire3</v>
      </c>
      <c r="C165" s="31" t="s">
        <v>94</v>
      </c>
      <c r="D165" s="31" t="s">
        <v>94</v>
      </c>
      <c r="E165" s="32" t="s">
        <v>369</v>
      </c>
      <c r="F165" s="32" t="s">
        <v>382</v>
      </c>
      <c r="G165" s="32" t="s">
        <v>5</v>
      </c>
      <c r="H165" s="33" t="s">
        <v>905</v>
      </c>
      <c r="I165" s="34" t="s">
        <v>372</v>
      </c>
      <c r="J165" t="s">
        <v>328</v>
      </c>
      <c r="K165" s="44" t="s">
        <v>336</v>
      </c>
    </row>
    <row r="166" spans="1:11" ht="14.4">
      <c r="A166" s="28" t="str">
        <f>F166&amp;(COUNTIFS(F$2:F166,F166,K$2:K166,"Sparse"))</f>
        <v>SD27</v>
      </c>
      <c r="B166" s="28" t="str">
        <f>J166&amp;(COUNTIF(J$2:J166,J166))</f>
        <v>Lincolnshire3</v>
      </c>
      <c r="C166" s="31" t="s">
        <v>95</v>
      </c>
      <c r="D166" s="31" t="s">
        <v>95</v>
      </c>
      <c r="E166" s="32" t="s">
        <v>368</v>
      </c>
      <c r="F166" s="32" t="s">
        <v>382</v>
      </c>
      <c r="G166" s="32" t="s">
        <v>5</v>
      </c>
      <c r="H166" s="33" t="s">
        <v>902</v>
      </c>
      <c r="I166" s="34" t="s">
        <v>385</v>
      </c>
      <c r="J166" t="s">
        <v>319</v>
      </c>
      <c r="K166" s="44"/>
    </row>
    <row r="167" spans="1:11" ht="14.4">
      <c r="A167" s="28" t="str">
        <f>F167&amp;(COUNTIFS(F$2:F167,F167,K$2:K167,"Sparse"))</f>
        <v>SC9</v>
      </c>
      <c r="B167" s="28" t="str">
        <f>J167&amp;(COUNTIF(J$2:J167,J167))</f>
        <v>Lincolnshire4</v>
      </c>
      <c r="C167" s="34" t="s">
        <v>319</v>
      </c>
      <c r="D167" s="34" t="s">
        <v>319</v>
      </c>
      <c r="E167" s="32" t="s">
        <v>368</v>
      </c>
      <c r="F167" s="32" t="s">
        <v>390</v>
      </c>
      <c r="G167" s="32" t="s">
        <v>302</v>
      </c>
      <c r="H167" s="34" t="s">
        <v>383</v>
      </c>
      <c r="I167" s="34" t="s">
        <v>383</v>
      </c>
      <c r="J167" t="str">
        <f>C167</f>
        <v>Lincolnshire</v>
      </c>
      <c r="K167" s="44" t="s">
        <v>336</v>
      </c>
    </row>
    <row r="168" spans="1:11" ht="14.4">
      <c r="A168" s="28" t="str">
        <f>F168&amp;(COUNTIFS(F$2:F168,F168,K$2:K168,"Sparse"))</f>
        <v>MD0</v>
      </c>
      <c r="B168" s="28" t="str">
        <f>J168&amp;(COUNTIF(J$2:J168,J168))</f>
        <v>Liverpool1</v>
      </c>
      <c r="C168" s="31" t="s">
        <v>236</v>
      </c>
      <c r="D168" s="31" t="s">
        <v>236</v>
      </c>
      <c r="E168" s="32" t="s">
        <v>377</v>
      </c>
      <c r="F168" s="32" t="s">
        <v>387</v>
      </c>
      <c r="G168" s="32" t="s">
        <v>398</v>
      </c>
      <c r="H168" s="33" t="s">
        <v>907</v>
      </c>
      <c r="I168" s="34" t="s">
        <v>385</v>
      </c>
      <c r="J168" t="str">
        <f>C168</f>
        <v>Liverpool</v>
      </c>
      <c r="K168" s="44"/>
    </row>
    <row r="169" spans="1:11" ht="14.4">
      <c r="A169" s="28" t="str">
        <f>F169&amp;(COUNTIFS(F$2:F169,F169,K$2:K169,"Sparse"))</f>
        <v>UA6</v>
      </c>
      <c r="B169" s="28" t="str">
        <f>J169&amp;(COUNTIF(J$2:J169,J169))</f>
        <v>Unitary24</v>
      </c>
      <c r="C169" s="31" t="s">
        <v>273</v>
      </c>
      <c r="D169" s="31" t="s">
        <v>273</v>
      </c>
      <c r="E169" s="32" t="s">
        <v>370</v>
      </c>
      <c r="F169" s="32" t="s">
        <v>388</v>
      </c>
      <c r="G169" s="32" t="s">
        <v>397</v>
      </c>
      <c r="H169" s="33" t="s">
        <v>902</v>
      </c>
      <c r="I169" s="34" t="s">
        <v>385</v>
      </c>
      <c r="J169" s="45" t="s">
        <v>397</v>
      </c>
      <c r="K169" s="44"/>
    </row>
    <row r="170" spans="1:11" ht="14.4">
      <c r="A170" s="28" t="str">
        <f>F170&amp;(COUNTIFS(F$2:F170,F170,K$2:K170,"Sparse"))</f>
        <v>SD27</v>
      </c>
      <c r="B170" s="28" t="str">
        <f>J170&amp;(COUNTIF(J$2:J170,J170))</f>
        <v>Kent7</v>
      </c>
      <c r="C170" s="31" t="s">
        <v>96</v>
      </c>
      <c r="D170" s="31" t="s">
        <v>96</v>
      </c>
      <c r="E170" s="32" t="s">
        <v>0</v>
      </c>
      <c r="F170" s="32" t="s">
        <v>382</v>
      </c>
      <c r="G170" s="32" t="s">
        <v>5</v>
      </c>
      <c r="H170" s="35" t="s">
        <v>905</v>
      </c>
      <c r="I170" s="34" t="s">
        <v>372</v>
      </c>
      <c r="J170" t="s">
        <v>316</v>
      </c>
      <c r="K170" s="44"/>
    </row>
    <row r="171" spans="1:11" ht="14.4">
      <c r="A171" s="28" t="str">
        <f>F171&amp;(COUNTIFS(F$2:F171,F171,K$2:K171,"Sparse"))</f>
        <v>SD27</v>
      </c>
      <c r="B171" s="28" t="str">
        <f>J171&amp;(COUNTIF(J$2:J171,J171))</f>
        <v>Essex10</v>
      </c>
      <c r="C171" s="31" t="s">
        <v>97</v>
      </c>
      <c r="D171" s="31" t="s">
        <v>97</v>
      </c>
      <c r="E171" s="32" t="s">
        <v>370</v>
      </c>
      <c r="F171" s="32" t="s">
        <v>382</v>
      </c>
      <c r="G171" s="32" t="s">
        <v>5</v>
      </c>
      <c r="H171" s="33" t="s">
        <v>903</v>
      </c>
      <c r="I171" s="34" t="s">
        <v>383</v>
      </c>
      <c r="J171" t="s">
        <v>312</v>
      </c>
      <c r="K171" s="44"/>
    </row>
    <row r="172" spans="1:11" ht="14.4">
      <c r="A172" s="28" t="str">
        <f>F172&amp;(COUNTIFS(F$2:F172,F172,K$2:K172,"Sparse"))</f>
        <v>SD28</v>
      </c>
      <c r="B172" s="28" t="str">
        <f>J172&amp;(COUNTIF(J$2:J172,J172))</f>
        <v>Worcestershire2</v>
      </c>
      <c r="C172" s="31" t="s">
        <v>98</v>
      </c>
      <c r="D172" s="31" t="s">
        <v>98</v>
      </c>
      <c r="E172" s="32" t="s">
        <v>369</v>
      </c>
      <c r="F172" s="32" t="s">
        <v>382</v>
      </c>
      <c r="G172" s="32" t="s">
        <v>5</v>
      </c>
      <c r="H172" s="33" t="s">
        <v>906</v>
      </c>
      <c r="I172" s="34" t="s">
        <v>383</v>
      </c>
      <c r="J172" t="s">
        <v>333</v>
      </c>
      <c r="K172" s="44" t="s">
        <v>336</v>
      </c>
    </row>
    <row r="173" spans="1:11" ht="14.4">
      <c r="A173" s="28" t="str">
        <f>F173&amp;(COUNTIFS(F$2:F173,F173,K$2:K173,"Sparse"))</f>
        <v>MD0</v>
      </c>
      <c r="B173" s="28" t="str">
        <f>J173&amp;(COUNTIF(J$2:J173,J173))</f>
        <v>Manchester1</v>
      </c>
      <c r="C173" s="31" t="s">
        <v>237</v>
      </c>
      <c r="D173" s="31" t="s">
        <v>237</v>
      </c>
      <c r="E173" s="32" t="s">
        <v>377</v>
      </c>
      <c r="F173" s="32" t="s">
        <v>387</v>
      </c>
      <c r="G173" s="32" t="s">
        <v>398</v>
      </c>
      <c r="H173" s="33" t="s">
        <v>907</v>
      </c>
      <c r="I173" s="34" t="s">
        <v>385</v>
      </c>
      <c r="J173" t="str">
        <f>C173</f>
        <v>Manchester</v>
      </c>
      <c r="K173" s="44"/>
    </row>
    <row r="174" spans="1:11" ht="14.4">
      <c r="A174" s="28" t="str">
        <f>F174&amp;(COUNTIFS(F$2:F174,F174,K$2:K174,"Sparse"))</f>
        <v>SD28</v>
      </c>
      <c r="B174" s="28" t="str">
        <f>J174&amp;(COUNTIF(J$2:J174,J174))</f>
        <v>Nottinghamshire5</v>
      </c>
      <c r="C174" s="31" t="s">
        <v>99</v>
      </c>
      <c r="D174" s="31" t="s">
        <v>99</v>
      </c>
      <c r="E174" s="32" t="s">
        <v>368</v>
      </c>
      <c r="F174" s="32" t="s">
        <v>382</v>
      </c>
      <c r="G174" s="32" t="s">
        <v>5</v>
      </c>
      <c r="H174" s="33" t="s">
        <v>902</v>
      </c>
      <c r="I174" s="34" t="s">
        <v>385</v>
      </c>
      <c r="J174" t="s">
        <v>324</v>
      </c>
      <c r="K174" s="44"/>
    </row>
    <row r="175" spans="1:11" ht="14.4">
      <c r="A175" s="28" t="str">
        <f>F175&amp;(COUNTIFS(F$2:F175,F175,K$2:K175,"Sparse"))</f>
        <v>UA6</v>
      </c>
      <c r="B175" s="28" t="str">
        <f>J175&amp;(COUNTIF(J$2:J175,J175))</f>
        <v>Unitary25</v>
      </c>
      <c r="C175" s="31" t="s">
        <v>274</v>
      </c>
      <c r="D175" s="31" t="s">
        <v>274</v>
      </c>
      <c r="E175" s="32" t="s">
        <v>0</v>
      </c>
      <c r="F175" s="32" t="s">
        <v>388</v>
      </c>
      <c r="G175" s="32" t="s">
        <v>397</v>
      </c>
      <c r="H175" s="33" t="s">
        <v>902</v>
      </c>
      <c r="I175" s="34" t="s">
        <v>385</v>
      </c>
      <c r="J175" s="45" t="s">
        <v>397</v>
      </c>
      <c r="K175" s="44"/>
    </row>
    <row r="176" spans="1:11" ht="14.4">
      <c r="A176" s="28" t="str">
        <f>F176&amp;(COUNTIFS(F$2:F176,F176,K$2:K176,"Sparse"))</f>
        <v>SD29</v>
      </c>
      <c r="B176" s="28" t="str">
        <f>J176&amp;(COUNTIF(J$2:J176,J176))</f>
        <v>Leicestershire6</v>
      </c>
      <c r="C176" s="31" t="s">
        <v>100</v>
      </c>
      <c r="D176" s="31" t="s">
        <v>100</v>
      </c>
      <c r="E176" s="32" t="s">
        <v>368</v>
      </c>
      <c r="F176" s="32" t="s">
        <v>382</v>
      </c>
      <c r="G176" s="32" t="s">
        <v>5</v>
      </c>
      <c r="H176" s="33" t="s">
        <v>903</v>
      </c>
      <c r="I176" s="34" t="s">
        <v>383</v>
      </c>
      <c r="J176" t="s">
        <v>318</v>
      </c>
      <c r="K176" s="44" t="s">
        <v>336</v>
      </c>
    </row>
    <row r="177" spans="1:11" ht="14.4">
      <c r="A177" s="28" t="str">
        <f>F177&amp;(COUNTIFS(F$2:F177,F177,K$2:K177,"Sparse"))</f>
        <v>SD30</v>
      </c>
      <c r="B177" s="28" t="str">
        <f>J177&amp;(COUNTIF(J$2:J177,J177))</f>
        <v>Somerset1</v>
      </c>
      <c r="C177" s="31" t="s">
        <v>101</v>
      </c>
      <c r="D177" s="31" t="s">
        <v>101</v>
      </c>
      <c r="E177" s="32" t="s">
        <v>1</v>
      </c>
      <c r="F177" s="32" t="s">
        <v>382</v>
      </c>
      <c r="G177" s="32" t="s">
        <v>5</v>
      </c>
      <c r="H177" s="33" t="s">
        <v>903</v>
      </c>
      <c r="I177" s="34" t="s">
        <v>383</v>
      </c>
      <c r="J177" t="s">
        <v>327</v>
      </c>
      <c r="K177" s="44" t="s">
        <v>336</v>
      </c>
    </row>
    <row r="178" spans="1:11" ht="14.4">
      <c r="A178" s="28" t="str">
        <f>F178&amp;(COUNTIFS(F$2:F178,F178,K$2:K178,"Sparse"))</f>
        <v>L0</v>
      </c>
      <c r="B178" s="28" t="str">
        <f>J178&amp;(COUNTIF(J$2:J178,J178))</f>
        <v>London24</v>
      </c>
      <c r="C178" s="31" t="s">
        <v>215</v>
      </c>
      <c r="D178" s="31" t="s">
        <v>215</v>
      </c>
      <c r="E178" s="32" t="s">
        <v>384</v>
      </c>
      <c r="F178" s="32" t="s">
        <v>360</v>
      </c>
      <c r="G178" s="32" t="s">
        <v>384</v>
      </c>
      <c r="H178" s="33" t="s">
        <v>907</v>
      </c>
      <c r="I178" s="34" t="s">
        <v>385</v>
      </c>
      <c r="J178" t="str">
        <f>G178</f>
        <v>London</v>
      </c>
      <c r="K178" s="44"/>
    </row>
    <row r="179" spans="1:11" ht="14.4">
      <c r="A179" s="28" t="str">
        <f>F179&amp;(COUNTIFS(F$2:F179,F179,K$2:K179,"Sparse"))</f>
        <v>SD31</v>
      </c>
      <c r="B179" s="28" t="str">
        <f>J179&amp;(COUNTIF(J$2:J179,J179))</f>
        <v>Devon4</v>
      </c>
      <c r="C179" s="31" t="s">
        <v>102</v>
      </c>
      <c r="D179" s="31" t="s">
        <v>102</v>
      </c>
      <c r="E179" s="32" t="s">
        <v>1</v>
      </c>
      <c r="F179" s="32" t="s">
        <v>382</v>
      </c>
      <c r="G179" s="32" t="s">
        <v>5</v>
      </c>
      <c r="H179" s="33" t="s">
        <v>903</v>
      </c>
      <c r="I179" s="34" t="s">
        <v>383</v>
      </c>
      <c r="J179" t="s">
        <v>309</v>
      </c>
      <c r="K179" s="44" t="s">
        <v>336</v>
      </c>
    </row>
    <row r="180" spans="1:11" ht="14.4">
      <c r="A180" s="28" t="str">
        <f>F180&amp;(COUNTIFS(F$2:F180,F180,K$2:K180,"Sparse"))</f>
        <v>SD32</v>
      </c>
      <c r="B180" s="28" t="str">
        <f>J180&amp;(COUNTIF(J$2:J180,J180))</f>
        <v>Suffolk3</v>
      </c>
      <c r="C180" s="31" t="s">
        <v>103</v>
      </c>
      <c r="D180" s="31" t="s">
        <v>103</v>
      </c>
      <c r="E180" s="32" t="s">
        <v>370</v>
      </c>
      <c r="F180" s="32" t="s">
        <v>382</v>
      </c>
      <c r="G180" s="32" t="s">
        <v>5</v>
      </c>
      <c r="H180" s="33" t="s">
        <v>903</v>
      </c>
      <c r="I180" s="34" t="s">
        <v>383</v>
      </c>
      <c r="J180" t="s">
        <v>329</v>
      </c>
      <c r="K180" s="44" t="s">
        <v>336</v>
      </c>
    </row>
    <row r="181" spans="1:11" ht="14.4">
      <c r="A181" s="28" t="str">
        <f>F181&amp;(COUNTIFS(F$2:F181,F181,K$2:K181,"Sparse"))</f>
        <v>SD33</v>
      </c>
      <c r="B181" s="28" t="str">
        <f>J181&amp;(COUNTIF(J$2:J181,J181))</f>
        <v>West Sussex6</v>
      </c>
      <c r="C181" s="31" t="s">
        <v>104</v>
      </c>
      <c r="D181" s="31" t="s">
        <v>104</v>
      </c>
      <c r="E181" s="32" t="s">
        <v>0</v>
      </c>
      <c r="F181" s="32" t="s">
        <v>382</v>
      </c>
      <c r="G181" s="32" t="s">
        <v>5</v>
      </c>
      <c r="H181" s="33" t="s">
        <v>902</v>
      </c>
      <c r="I181" s="34" t="s">
        <v>385</v>
      </c>
      <c r="J181" t="s">
        <v>332</v>
      </c>
      <c r="K181" s="44" t="s">
        <v>336</v>
      </c>
    </row>
    <row r="182" spans="1:11" ht="14.4">
      <c r="A182" s="28" t="str">
        <f>F182&amp;(COUNTIFS(F$2:F182,F182,K$2:K182,"Sparse"))</f>
        <v>UA6</v>
      </c>
      <c r="B182" s="28" t="str">
        <f>J182&amp;(COUNTIF(J$2:J182,J182))</f>
        <v>Unitary26</v>
      </c>
      <c r="C182" s="31" t="s">
        <v>275</v>
      </c>
      <c r="D182" s="31" t="s">
        <v>275</v>
      </c>
      <c r="E182" s="32" t="s">
        <v>391</v>
      </c>
      <c r="F182" s="32" t="s">
        <v>388</v>
      </c>
      <c r="G182" s="32" t="s">
        <v>397</v>
      </c>
      <c r="H182" s="33" t="s">
        <v>902</v>
      </c>
      <c r="I182" s="34" t="s">
        <v>385</v>
      </c>
      <c r="J182" s="45" t="s">
        <v>397</v>
      </c>
      <c r="K182" s="44"/>
    </row>
    <row r="183" spans="1:11" ht="14.4">
      <c r="A183" s="28" t="str">
        <f>F183&amp;(COUNTIFS(F$2:F183,F183,K$2:K183,"Sparse"))</f>
        <v>UA6</v>
      </c>
      <c r="B183" s="28" t="str">
        <f>J183&amp;(COUNTIF(J$2:J183,J183))</f>
        <v>Unitary27</v>
      </c>
      <c r="C183" s="31" t="s">
        <v>276</v>
      </c>
      <c r="D183" s="31" t="s">
        <v>276</v>
      </c>
      <c r="E183" s="32" t="s">
        <v>0</v>
      </c>
      <c r="F183" s="32" t="s">
        <v>388</v>
      </c>
      <c r="G183" s="32" t="s">
        <v>397</v>
      </c>
      <c r="H183" s="33" t="s">
        <v>902</v>
      </c>
      <c r="I183" s="34" t="s">
        <v>385</v>
      </c>
      <c r="J183" s="45" t="s">
        <v>397</v>
      </c>
      <c r="K183" s="44"/>
    </row>
    <row r="184" spans="1:11" ht="14.4">
      <c r="A184" s="28" t="str">
        <f>F184&amp;(COUNTIFS(F$2:F184,F184,K$2:K184,"Sparse"))</f>
        <v>SD33</v>
      </c>
      <c r="B184" s="28" t="str">
        <f>J184&amp;(COUNTIF(J$2:J184,J184))</f>
        <v>Surrey4</v>
      </c>
      <c r="C184" s="31" t="s">
        <v>105</v>
      </c>
      <c r="D184" s="31" t="s">
        <v>105</v>
      </c>
      <c r="E184" s="32" t="s">
        <v>0</v>
      </c>
      <c r="F184" s="32" t="s">
        <v>382</v>
      </c>
      <c r="G184" s="32" t="s">
        <v>5</v>
      </c>
      <c r="H184" s="35" t="s">
        <v>905</v>
      </c>
      <c r="I184" s="34" t="s">
        <v>372</v>
      </c>
      <c r="J184" t="s">
        <v>330</v>
      </c>
      <c r="K184" s="44"/>
    </row>
    <row r="185" spans="1:11" ht="14.4">
      <c r="A185" s="28" t="str">
        <f>F185&amp;(COUNTIFS(F$2:F185,F185,K$2:K185,"Sparse"))</f>
        <v>SD34</v>
      </c>
      <c r="B185" s="28" t="str">
        <f>J185&amp;(COUNTIF(J$2:J185,J185))</f>
        <v>Hampshire9</v>
      </c>
      <c r="C185" s="31" t="s">
        <v>106</v>
      </c>
      <c r="D185" s="31" t="s">
        <v>106</v>
      </c>
      <c r="E185" s="32" t="s">
        <v>0</v>
      </c>
      <c r="F185" s="32" t="s">
        <v>382</v>
      </c>
      <c r="G185" s="32" t="s">
        <v>5</v>
      </c>
      <c r="H185" s="35" t="s">
        <v>905</v>
      </c>
      <c r="I185" s="34" t="s">
        <v>372</v>
      </c>
      <c r="J185" t="s">
        <v>314</v>
      </c>
      <c r="K185" s="44" t="s">
        <v>336</v>
      </c>
    </row>
    <row r="186" spans="1:11" ht="14.4">
      <c r="A186" s="28" t="str">
        <f>F186&amp;(COUNTIFS(F$2:F186,F186,K$2:K186,"Sparse"))</f>
        <v>SD35</v>
      </c>
      <c r="B186" s="28" t="str">
        <f>J186&amp;(COUNTIF(J$2:J186,J186))</f>
        <v>Nottinghamshire6</v>
      </c>
      <c r="C186" s="31" t="s">
        <v>347</v>
      </c>
      <c r="D186" s="31" t="s">
        <v>347</v>
      </c>
      <c r="E186" s="32" t="s">
        <v>368</v>
      </c>
      <c r="F186" s="32" t="s">
        <v>382</v>
      </c>
      <c r="G186" s="32" t="s">
        <v>5</v>
      </c>
      <c r="H186" s="33" t="s">
        <v>906</v>
      </c>
      <c r="I186" s="34" t="s">
        <v>383</v>
      </c>
      <c r="J186" t="s">
        <v>324</v>
      </c>
      <c r="K186" s="44" t="s">
        <v>336</v>
      </c>
    </row>
    <row r="187" spans="1:11" ht="14.4">
      <c r="A187" s="28" t="str">
        <f>F187&amp;(COUNTIFS(F$2:F187,F187,K$2:K187,"Sparse"))</f>
        <v>MD0</v>
      </c>
      <c r="B187" s="28" t="str">
        <f>J187&amp;(COUNTIF(J$2:J187,J187))</f>
        <v>Newcastle upon Tyne1</v>
      </c>
      <c r="C187" s="31" t="s">
        <v>238</v>
      </c>
      <c r="D187" s="31" t="s">
        <v>238</v>
      </c>
      <c r="E187" s="32" t="s">
        <v>391</v>
      </c>
      <c r="F187" s="32" t="s">
        <v>387</v>
      </c>
      <c r="G187" s="32" t="s">
        <v>398</v>
      </c>
      <c r="H187" s="33" t="s">
        <v>907</v>
      </c>
      <c r="I187" s="34" t="s">
        <v>385</v>
      </c>
      <c r="J187" t="str">
        <f>C187</f>
        <v>Newcastle upon Tyne</v>
      </c>
      <c r="K187" s="44"/>
    </row>
    <row r="188" spans="1:11" ht="14.4">
      <c r="A188" s="28" t="str">
        <f>F188&amp;(COUNTIFS(F$2:F188,F188,K$2:K188,"Sparse"))</f>
        <v>SD35</v>
      </c>
      <c r="B188" s="28" t="str">
        <f>J188&amp;(COUNTIF(J$2:J188,J188))</f>
        <v>Staffordshire4</v>
      </c>
      <c r="C188" s="31" t="s">
        <v>107</v>
      </c>
      <c r="D188" s="31" t="s">
        <v>107</v>
      </c>
      <c r="E188" s="32" t="s">
        <v>369</v>
      </c>
      <c r="F188" s="32" t="s">
        <v>382</v>
      </c>
      <c r="G188" s="32" t="s">
        <v>5</v>
      </c>
      <c r="H188" s="33" t="s">
        <v>902</v>
      </c>
      <c r="I188" s="34" t="s">
        <v>385</v>
      </c>
      <c r="J188" t="s">
        <v>328</v>
      </c>
      <c r="K188" s="44"/>
    </row>
    <row r="189" spans="1:11" ht="14.4">
      <c r="A189" s="28" t="str">
        <f>F189&amp;(COUNTIFS(F$2:F189,F189,K$2:K189,"Sparse"))</f>
        <v>L0</v>
      </c>
      <c r="B189" s="28" t="str">
        <f>J189&amp;(COUNTIF(J$2:J189,J189))</f>
        <v>London25</v>
      </c>
      <c r="C189" s="31" t="s">
        <v>216</v>
      </c>
      <c r="D189" s="31" t="s">
        <v>216</v>
      </c>
      <c r="E189" s="32" t="s">
        <v>384</v>
      </c>
      <c r="F189" s="32" t="s">
        <v>360</v>
      </c>
      <c r="G189" s="32" t="s">
        <v>384</v>
      </c>
      <c r="H189" s="33" t="s">
        <v>907</v>
      </c>
      <c r="I189" s="34" t="s">
        <v>385</v>
      </c>
      <c r="J189" t="str">
        <f>G189</f>
        <v>London</v>
      </c>
      <c r="K189" s="44"/>
    </row>
    <row r="190" spans="1:11" ht="14.4">
      <c r="A190" s="28" t="str">
        <f>F190&amp;(COUNTIFS(F$2:F190,F190,K$2:K190,"Sparse"))</f>
        <v>SC10</v>
      </c>
      <c r="B190" s="28" t="str">
        <f>J190&amp;(COUNTIF(J$2:J190,J190))</f>
        <v>Norfolk5</v>
      </c>
      <c r="C190" s="38" t="s">
        <v>320</v>
      </c>
      <c r="D190" s="38" t="s">
        <v>320</v>
      </c>
      <c r="E190" s="32" t="s">
        <v>370</v>
      </c>
      <c r="F190" s="32" t="s">
        <v>390</v>
      </c>
      <c r="G190" s="32" t="s">
        <v>302</v>
      </c>
      <c r="H190" s="38" t="s">
        <v>383</v>
      </c>
      <c r="I190" s="34" t="s">
        <v>383</v>
      </c>
      <c r="J190" t="str">
        <f>C190</f>
        <v>Norfolk</v>
      </c>
      <c r="K190" s="44" t="s">
        <v>336</v>
      </c>
    </row>
    <row r="191" spans="1:11" ht="14.4">
      <c r="A191" s="28" t="str">
        <f>F191&amp;(COUNTIFS(F$2:F191,F191,K$2:K191,"Sparse"))</f>
        <v>SD36</v>
      </c>
      <c r="B191" s="28" t="str">
        <f>J191&amp;(COUNTIF(J$2:J191,J191))</f>
        <v>Devon5</v>
      </c>
      <c r="C191" s="31" t="s">
        <v>108</v>
      </c>
      <c r="D191" s="31" t="s">
        <v>108</v>
      </c>
      <c r="E191" s="32" t="s">
        <v>1</v>
      </c>
      <c r="F191" s="32" t="s">
        <v>382</v>
      </c>
      <c r="G191" s="32" t="s">
        <v>5</v>
      </c>
      <c r="H191" s="33" t="s">
        <v>906</v>
      </c>
      <c r="I191" s="34" t="s">
        <v>383</v>
      </c>
      <c r="J191" t="s">
        <v>309</v>
      </c>
      <c r="K191" s="44" t="s">
        <v>336</v>
      </c>
    </row>
    <row r="192" spans="1:11" ht="14.4">
      <c r="A192" s="28" t="str">
        <f>F192&amp;(COUNTIFS(F$2:F192,F192,K$2:K192,"Sparse"))</f>
        <v>SD36</v>
      </c>
      <c r="B192" s="28" t="str">
        <f>J192&amp;(COUNTIF(J$2:J192,J192))</f>
        <v>Derbyshire8</v>
      </c>
      <c r="C192" s="31" t="s">
        <v>110</v>
      </c>
      <c r="D192" s="31" t="s">
        <v>110</v>
      </c>
      <c r="E192" s="32" t="s">
        <v>368</v>
      </c>
      <c r="F192" s="32" t="s">
        <v>382</v>
      </c>
      <c r="G192" s="32" t="s">
        <v>5</v>
      </c>
      <c r="H192" s="33" t="s">
        <v>902</v>
      </c>
      <c r="I192" s="34" t="s">
        <v>385</v>
      </c>
      <c r="J192" t="s">
        <v>308</v>
      </c>
      <c r="K192" s="44"/>
    </row>
    <row r="193" spans="1:11" ht="14.4">
      <c r="A193" s="28" t="str">
        <f>F193&amp;(COUNTIFS(F$2:F193,F193,K$2:K193,"Sparse"))</f>
        <v>UA6</v>
      </c>
      <c r="B193" s="28" t="str">
        <f>J193&amp;(COUNTIF(J$2:J193,J193))</f>
        <v>Unitary28</v>
      </c>
      <c r="C193" s="31" t="s">
        <v>277</v>
      </c>
      <c r="D193" s="31" t="s">
        <v>277</v>
      </c>
      <c r="E193" s="32" t="s">
        <v>386</v>
      </c>
      <c r="F193" s="32" t="s">
        <v>388</v>
      </c>
      <c r="G193" s="32" t="s">
        <v>397</v>
      </c>
      <c r="H193" s="33" t="s">
        <v>902</v>
      </c>
      <c r="I193" s="34" t="s">
        <v>385</v>
      </c>
      <c r="J193" s="45" t="s">
        <v>397</v>
      </c>
      <c r="K193" s="44"/>
    </row>
    <row r="194" spans="1:11" ht="14.4">
      <c r="A194" s="28" t="str">
        <f>F194&amp;(COUNTIFS(F$2:F194,F194,K$2:K194,"Sparse"))</f>
        <v>SD36</v>
      </c>
      <c r="B194" s="28" t="str">
        <f>J194&amp;(COUNTIF(J$2:J194,J194))</f>
        <v>Hertfordshire6</v>
      </c>
      <c r="C194" s="31" t="s">
        <v>111</v>
      </c>
      <c r="D194" s="31" t="s">
        <v>111</v>
      </c>
      <c r="E194" s="32" t="s">
        <v>370</v>
      </c>
      <c r="F194" s="32" t="s">
        <v>382</v>
      </c>
      <c r="G194" s="32" t="s">
        <v>5</v>
      </c>
      <c r="H194" s="35" t="s">
        <v>905</v>
      </c>
      <c r="I194" s="34" t="s">
        <v>372</v>
      </c>
      <c r="J194" t="s">
        <v>315</v>
      </c>
      <c r="K194" s="44"/>
    </row>
    <row r="195" spans="1:11" ht="14.4">
      <c r="A195" s="28" t="str">
        <f>F195&amp;(COUNTIFS(F$2:F195,F195,K$2:K195,"Sparse"))</f>
        <v>SD37</v>
      </c>
      <c r="B195" s="28" t="str">
        <f>J195&amp;(COUNTIF(J$2:J195,J195))</f>
        <v>Lincolnshire5</v>
      </c>
      <c r="C195" s="31" t="s">
        <v>112</v>
      </c>
      <c r="D195" s="31" t="s">
        <v>112</v>
      </c>
      <c r="E195" s="32" t="s">
        <v>368</v>
      </c>
      <c r="F195" s="32" t="s">
        <v>382</v>
      </c>
      <c r="G195" s="32" t="s">
        <v>5</v>
      </c>
      <c r="H195" s="33" t="s">
        <v>903</v>
      </c>
      <c r="I195" s="34" t="s">
        <v>383</v>
      </c>
      <c r="J195" t="s">
        <v>319</v>
      </c>
      <c r="K195" s="44" t="s">
        <v>336</v>
      </c>
    </row>
    <row r="196" spans="1:11" ht="14.4">
      <c r="A196" s="28" t="str">
        <f>F196&amp;(COUNTIFS(F$2:F196,F196,K$2:K196,"Sparse"))</f>
        <v>UA7</v>
      </c>
      <c r="B196" s="28" t="str">
        <f>J196&amp;(COUNTIF(J$2:J196,J196))</f>
        <v>Unitary29</v>
      </c>
      <c r="C196" s="31" t="s">
        <v>278</v>
      </c>
      <c r="D196" s="31" t="s">
        <v>278</v>
      </c>
      <c r="E196" s="32" t="s">
        <v>386</v>
      </c>
      <c r="F196" s="32" t="s">
        <v>388</v>
      </c>
      <c r="G196" s="32" t="s">
        <v>397</v>
      </c>
      <c r="H196" s="33" t="s">
        <v>905</v>
      </c>
      <c r="I196" s="34" t="s">
        <v>372</v>
      </c>
      <c r="J196" s="45" t="s">
        <v>397</v>
      </c>
      <c r="K196" s="44" t="s">
        <v>336</v>
      </c>
    </row>
    <row r="197" spans="1:11" ht="14.4">
      <c r="A197" s="28" t="str">
        <f>F197&amp;(COUNTIFS(F$2:F197,F197,K$2:K197,"Sparse"))</f>
        <v>SD38</v>
      </c>
      <c r="B197" s="28" t="str">
        <f>J197&amp;(COUNTIF(J$2:J197,J197))</f>
        <v>Norfolk6</v>
      </c>
      <c r="C197" s="31" t="s">
        <v>113</v>
      </c>
      <c r="D197" s="31" t="s">
        <v>113</v>
      </c>
      <c r="E197" s="32" t="s">
        <v>370</v>
      </c>
      <c r="F197" s="32" t="s">
        <v>382</v>
      </c>
      <c r="G197" s="32" t="s">
        <v>5</v>
      </c>
      <c r="H197" s="33" t="s">
        <v>903</v>
      </c>
      <c r="I197" s="34" t="s">
        <v>383</v>
      </c>
      <c r="J197" s="45" t="s">
        <v>320</v>
      </c>
      <c r="K197" s="44" t="s">
        <v>336</v>
      </c>
    </row>
    <row r="198" spans="1:11" ht="14.4">
      <c r="A198" s="28" t="str">
        <f>F198&amp;(COUNTIFS(F$2:F198,F198,K$2:K198,"Sparse"))</f>
        <v>UA8</v>
      </c>
      <c r="B198" s="28" t="str">
        <f>J198&amp;(COUNTIF(J$2:J198,J198))</f>
        <v>Unitary30</v>
      </c>
      <c r="C198" s="31" t="s">
        <v>279</v>
      </c>
      <c r="D198" s="31" t="s">
        <v>279</v>
      </c>
      <c r="E198" s="32" t="s">
        <v>1</v>
      </c>
      <c r="F198" s="32" t="s">
        <v>388</v>
      </c>
      <c r="G198" s="32" t="s">
        <v>397</v>
      </c>
      <c r="H198" s="33" t="s">
        <v>905</v>
      </c>
      <c r="I198" s="34" t="s">
        <v>372</v>
      </c>
      <c r="J198" s="45" t="s">
        <v>397</v>
      </c>
      <c r="K198" s="44" t="s">
        <v>336</v>
      </c>
    </row>
    <row r="199" spans="1:11" ht="14.4">
      <c r="A199" s="28" t="str">
        <f>F199&amp;(COUNTIFS(F$2:F199,F199,K$2:K199,"Sparse"))</f>
        <v>MD0</v>
      </c>
      <c r="B199" s="28" t="str">
        <f>J199&amp;(COUNTIF(J$2:J199,J199))</f>
        <v>North Tyneside1</v>
      </c>
      <c r="C199" s="31" t="s">
        <v>239</v>
      </c>
      <c r="D199" s="31" t="s">
        <v>239</v>
      </c>
      <c r="E199" s="32" t="s">
        <v>391</v>
      </c>
      <c r="F199" s="32" t="s">
        <v>387</v>
      </c>
      <c r="G199" s="32" t="s">
        <v>398</v>
      </c>
      <c r="H199" s="33" t="s">
        <v>907</v>
      </c>
      <c r="I199" s="34" t="s">
        <v>385</v>
      </c>
      <c r="J199" t="str">
        <f>C199</f>
        <v>North Tyneside</v>
      </c>
      <c r="K199" s="44"/>
    </row>
    <row r="200" spans="1:11" ht="14.4">
      <c r="A200" s="28" t="str">
        <f>F200&amp;(COUNTIFS(F$2:F200,F200,K$2:K200,"Sparse"))</f>
        <v>SD38</v>
      </c>
      <c r="B200" s="28" t="str">
        <f>J200&amp;(COUNTIF(J$2:J200,J200))</f>
        <v>Warwickshire1</v>
      </c>
      <c r="C200" s="31" t="s">
        <v>114</v>
      </c>
      <c r="D200" s="31" t="s">
        <v>114</v>
      </c>
      <c r="E200" s="32" t="s">
        <v>369</v>
      </c>
      <c r="F200" s="32" t="s">
        <v>382</v>
      </c>
      <c r="G200" s="32" t="s">
        <v>5</v>
      </c>
      <c r="H200" s="33" t="s">
        <v>903</v>
      </c>
      <c r="I200" s="34" t="s">
        <v>383</v>
      </c>
      <c r="J200" t="s">
        <v>331</v>
      </c>
      <c r="K200" s="44"/>
    </row>
    <row r="201" spans="1:11" ht="14.4">
      <c r="A201" s="28" t="str">
        <f>F201&amp;(COUNTIFS(F$2:F201,F201,K$2:K201,"Sparse"))</f>
        <v>SD39</v>
      </c>
      <c r="B201" s="28" t="str">
        <f>J201&amp;(COUNTIF(J$2:J201,J201))</f>
        <v>Leicestershire7</v>
      </c>
      <c r="C201" s="31" t="s">
        <v>115</v>
      </c>
      <c r="D201" s="31" t="s">
        <v>115</v>
      </c>
      <c r="E201" s="32" t="s">
        <v>368</v>
      </c>
      <c r="F201" s="32" t="s">
        <v>382</v>
      </c>
      <c r="G201" s="32" t="s">
        <v>5</v>
      </c>
      <c r="H201" s="33" t="s">
        <v>906</v>
      </c>
      <c r="I201" s="34" t="s">
        <v>383</v>
      </c>
      <c r="J201" t="s">
        <v>318</v>
      </c>
      <c r="K201" s="44" t="s">
        <v>336</v>
      </c>
    </row>
    <row r="202" spans="1:11" ht="14.4">
      <c r="A202" s="28" t="str">
        <f>F202&amp;(COUNTIFS(F$2:F202,F202,K$2:K202,"Sparse"))</f>
        <v>SC11</v>
      </c>
      <c r="B202" s="28" t="str">
        <f>J202&amp;(COUNTIF(J$2:J202,J202))</f>
        <v>North Yorkshire4</v>
      </c>
      <c r="C202" s="34" t="s">
        <v>321</v>
      </c>
      <c r="D202" s="34" t="s">
        <v>321</v>
      </c>
      <c r="E202" s="32" t="s">
        <v>386</v>
      </c>
      <c r="F202" s="32" t="s">
        <v>390</v>
      </c>
      <c r="G202" s="32" t="s">
        <v>302</v>
      </c>
      <c r="H202" s="34" t="s">
        <v>383</v>
      </c>
      <c r="I202" s="34" t="s">
        <v>383</v>
      </c>
      <c r="J202" t="str">
        <f>C202</f>
        <v>North Yorkshire</v>
      </c>
      <c r="K202" s="44" t="s">
        <v>336</v>
      </c>
    </row>
    <row r="203" spans="1:11" ht="14.4">
      <c r="A203" s="28" t="str">
        <f>F203&amp;(COUNTIFS(F$2:F203,F203,K$2:K203,"Sparse"))</f>
        <v>SD39</v>
      </c>
      <c r="B203" s="28" t="str">
        <f>J203&amp;(COUNTIF(J$2:J203,J203))</f>
        <v>Northamptonshire5</v>
      </c>
      <c r="C203" s="31" t="s">
        <v>116</v>
      </c>
      <c r="D203" s="31" t="s">
        <v>116</v>
      </c>
      <c r="E203" s="32" t="s">
        <v>368</v>
      </c>
      <c r="F203" s="32" t="s">
        <v>382</v>
      </c>
      <c r="G203" s="32" t="s">
        <v>5</v>
      </c>
      <c r="H203" s="33" t="s">
        <v>902</v>
      </c>
      <c r="I203" s="34" t="s">
        <v>385</v>
      </c>
      <c r="J203" t="s">
        <v>322</v>
      </c>
      <c r="K203" s="44"/>
    </row>
    <row r="204" spans="1:11" ht="14.4">
      <c r="A204" s="28" t="str">
        <f>F204&amp;(COUNTIFS(F$2:F204,F204,K$2:K204,"Sparse"))</f>
        <v>SC11</v>
      </c>
      <c r="B204" s="28" t="str">
        <f>J204&amp;(COUNTIF(J$2:J204,J204))</f>
        <v>Northamptonshire6</v>
      </c>
      <c r="C204" s="34" t="s">
        <v>322</v>
      </c>
      <c r="D204" s="34" t="s">
        <v>322</v>
      </c>
      <c r="E204" s="32" t="s">
        <v>368</v>
      </c>
      <c r="F204" s="32" t="s">
        <v>390</v>
      </c>
      <c r="G204" s="32" t="s">
        <v>302</v>
      </c>
      <c r="H204" s="34" t="s">
        <v>372</v>
      </c>
      <c r="I204" s="34" t="s">
        <v>372</v>
      </c>
      <c r="J204" t="str">
        <f>C204</f>
        <v>Northamptonshire</v>
      </c>
      <c r="K204" s="44"/>
    </row>
    <row r="205" spans="1:11" ht="14.4">
      <c r="A205" s="28" t="str">
        <f>F205&amp;(COUNTIFS(F$2:F205,F205,K$2:K205,"Sparse"))</f>
        <v>UA9</v>
      </c>
      <c r="B205" s="28" t="str">
        <f>J205&amp;(COUNTIF(J$2:J205,J205))</f>
        <v>Unitary31</v>
      </c>
      <c r="C205" s="31" t="s">
        <v>323</v>
      </c>
      <c r="D205" s="31" t="s">
        <v>323</v>
      </c>
      <c r="E205" s="32" t="s">
        <v>391</v>
      </c>
      <c r="F205" s="32" t="s">
        <v>388</v>
      </c>
      <c r="G205" s="32" t="s">
        <v>397</v>
      </c>
      <c r="H205" s="35" t="s">
        <v>906</v>
      </c>
      <c r="I205" s="34" t="s">
        <v>383</v>
      </c>
      <c r="J205" s="45" t="s">
        <v>397</v>
      </c>
      <c r="K205" s="44" t="s">
        <v>336</v>
      </c>
    </row>
    <row r="206" spans="1:11" ht="14.4">
      <c r="A206" s="28" t="str">
        <f>F206&amp;(COUNTIFS(F$2:F206,F206,K$2:K206,"Sparse"))</f>
        <v>SD39</v>
      </c>
      <c r="B206" s="28" t="str">
        <f>J206&amp;(COUNTIF(J$2:J206,J206))</f>
        <v>Norfolk7</v>
      </c>
      <c r="C206" s="31" t="s">
        <v>117</v>
      </c>
      <c r="D206" s="31" t="s">
        <v>117</v>
      </c>
      <c r="E206" s="32" t="s">
        <v>370</v>
      </c>
      <c r="F206" s="32" t="s">
        <v>382</v>
      </c>
      <c r="G206" s="32" t="s">
        <v>5</v>
      </c>
      <c r="H206" s="33" t="s">
        <v>902</v>
      </c>
      <c r="I206" s="34" t="s">
        <v>385</v>
      </c>
      <c r="J206" t="s">
        <v>320</v>
      </c>
      <c r="K206" s="44"/>
    </row>
    <row r="207" spans="1:11" ht="14.4">
      <c r="A207" s="28" t="str">
        <f>F207&amp;(COUNTIFS(F$2:F207,F207,K$2:K207,"Sparse"))</f>
        <v>UA9</v>
      </c>
      <c r="B207" s="28" t="str">
        <f>J207&amp;(COUNTIF(J$2:J207,J207))</f>
        <v>Unitary32</v>
      </c>
      <c r="C207" s="31" t="s">
        <v>280</v>
      </c>
      <c r="D207" s="31" t="s">
        <v>280</v>
      </c>
      <c r="E207" s="32" t="s">
        <v>368</v>
      </c>
      <c r="F207" s="32" t="s">
        <v>388</v>
      </c>
      <c r="G207" s="32" t="s">
        <v>397</v>
      </c>
      <c r="H207" s="33" t="s">
        <v>904</v>
      </c>
      <c r="I207" s="34" t="s">
        <v>385</v>
      </c>
      <c r="J207" s="45" t="s">
        <v>397</v>
      </c>
      <c r="K207" s="44"/>
    </row>
    <row r="208" spans="1:11" ht="14.4">
      <c r="A208" s="28" t="str">
        <f>F208&amp;(COUNTIFS(F$2:F208,F208,K$2:K208,"Sparse"))</f>
        <v>SC12</v>
      </c>
      <c r="B208" s="28" t="str">
        <f>J208&amp;(COUNTIF(J$2:J208,J208))</f>
        <v>Nottinghamshire7</v>
      </c>
      <c r="C208" s="34" t="s">
        <v>324</v>
      </c>
      <c r="D208" s="34" t="s">
        <v>324</v>
      </c>
      <c r="E208" s="32" t="s">
        <v>368</v>
      </c>
      <c r="F208" s="32" t="s">
        <v>390</v>
      </c>
      <c r="G208" s="32" t="s">
        <v>302</v>
      </c>
      <c r="H208" s="34" t="s">
        <v>372</v>
      </c>
      <c r="I208" s="34" t="s">
        <v>372</v>
      </c>
      <c r="J208" t="str">
        <f>C208</f>
        <v>Nottinghamshire</v>
      </c>
      <c r="K208" s="44" t="s">
        <v>336</v>
      </c>
    </row>
    <row r="209" spans="1:11" ht="14.4">
      <c r="A209" s="28" t="str">
        <f>F209&amp;(COUNTIFS(F$2:F209,F209,K$2:K209,"Sparse"))</f>
        <v>SD39</v>
      </c>
      <c r="B209" s="28" t="str">
        <f>J209&amp;(COUNTIF(J$2:J209,J209))</f>
        <v>Warwickshire2</v>
      </c>
      <c r="C209" s="31" t="s">
        <v>348</v>
      </c>
      <c r="D209" s="31" t="s">
        <v>348</v>
      </c>
      <c r="E209" s="32" t="s">
        <v>369</v>
      </c>
      <c r="F209" s="32" t="s">
        <v>382</v>
      </c>
      <c r="G209" s="32" t="s">
        <v>5</v>
      </c>
      <c r="H209" s="33" t="s">
        <v>902</v>
      </c>
      <c r="I209" s="34" t="s">
        <v>385</v>
      </c>
      <c r="J209" t="s">
        <v>331</v>
      </c>
      <c r="K209" s="44"/>
    </row>
    <row r="210" spans="1:11" ht="14.4">
      <c r="A210" s="28" t="str">
        <f>F210&amp;(COUNTIFS(F$2:F210,F210,K$2:K210,"Sparse"))</f>
        <v>SD39</v>
      </c>
      <c r="B210" s="28" t="str">
        <f>J210&amp;(COUNTIF(J$2:J210,J210))</f>
        <v>Leicestershire8</v>
      </c>
      <c r="C210" s="31" t="s">
        <v>349</v>
      </c>
      <c r="D210" s="31" t="s">
        <v>349</v>
      </c>
      <c r="E210" s="32" t="s">
        <v>368</v>
      </c>
      <c r="F210" s="32" t="s">
        <v>382</v>
      </c>
      <c r="G210" s="32" t="s">
        <v>5</v>
      </c>
      <c r="H210" s="33" t="s">
        <v>902</v>
      </c>
      <c r="I210" s="34" t="s">
        <v>385</v>
      </c>
      <c r="J210" t="s">
        <v>318</v>
      </c>
      <c r="K210" s="44"/>
    </row>
    <row r="211" spans="1:11" ht="14.4">
      <c r="A211" s="28" t="str">
        <f>F211&amp;(COUNTIFS(F$2:F211,F211,K$2:K211,"Sparse"))</f>
        <v>MD0</v>
      </c>
      <c r="B211" s="28" t="str">
        <f>J211&amp;(COUNTIF(J$2:J211,J211))</f>
        <v>Oldham1</v>
      </c>
      <c r="C211" s="31" t="s">
        <v>240</v>
      </c>
      <c r="D211" s="31" t="s">
        <v>240</v>
      </c>
      <c r="E211" s="32" t="s">
        <v>377</v>
      </c>
      <c r="F211" s="32" t="s">
        <v>387</v>
      </c>
      <c r="G211" s="32" t="s">
        <v>398</v>
      </c>
      <c r="H211" s="33" t="s">
        <v>907</v>
      </c>
      <c r="I211" s="34" t="s">
        <v>385</v>
      </c>
      <c r="J211" t="str">
        <f>C211</f>
        <v>Oldham</v>
      </c>
      <c r="K211" s="44"/>
    </row>
    <row r="212" spans="1:11" ht="14.4">
      <c r="A212" s="28" t="str">
        <f>F212&amp;(COUNTIFS(F$2:F212,F212,K$2:K212,"Sparse"))</f>
        <v>SD39</v>
      </c>
      <c r="B212" s="28" t="str">
        <f>J212&amp;(COUNTIF(J$2:J212,J212))</f>
        <v>Oxfordshire2</v>
      </c>
      <c r="C212" s="31" t="s">
        <v>118</v>
      </c>
      <c r="D212" s="31" t="s">
        <v>118</v>
      </c>
      <c r="E212" s="32" t="s">
        <v>0</v>
      </c>
      <c r="F212" s="32" t="s">
        <v>382</v>
      </c>
      <c r="G212" s="32" t="s">
        <v>5</v>
      </c>
      <c r="H212" s="33" t="s">
        <v>902</v>
      </c>
      <c r="I212" s="34" t="s">
        <v>385</v>
      </c>
      <c r="J212" t="s">
        <v>325</v>
      </c>
      <c r="K212" s="44"/>
    </row>
    <row r="213" spans="1:11" ht="14.4">
      <c r="A213" s="28" t="str">
        <f>F213&amp;(COUNTIFS(F$2:F213,F213,K$2:K213,"Sparse"))</f>
        <v>SC12</v>
      </c>
      <c r="B213" s="28" t="str">
        <f>J213&amp;(COUNTIF(J$2:J213,J213))</f>
        <v>Oxfordshire3</v>
      </c>
      <c r="C213" s="34" t="s">
        <v>325</v>
      </c>
      <c r="D213" s="34" t="s">
        <v>325</v>
      </c>
      <c r="E213" s="32" t="s">
        <v>0</v>
      </c>
      <c r="F213" s="32" t="s">
        <v>390</v>
      </c>
      <c r="G213" s="32" t="s">
        <v>302</v>
      </c>
      <c r="H213" s="34" t="s">
        <v>383</v>
      </c>
      <c r="I213" s="34" t="s">
        <v>383</v>
      </c>
      <c r="J213" t="str">
        <f>C213</f>
        <v>Oxfordshire</v>
      </c>
      <c r="K213" s="44"/>
    </row>
    <row r="214" spans="1:11" ht="14.4">
      <c r="A214" s="28" t="str">
        <f>F214&amp;(COUNTIFS(F$2:F214,F214,K$2:K214,"Sparse"))</f>
        <v>SD39</v>
      </c>
      <c r="B214" s="28" t="str">
        <f>J214&amp;(COUNTIF(J$2:J214,J214))</f>
        <v>Lancashire7</v>
      </c>
      <c r="C214" s="31" t="s">
        <v>119</v>
      </c>
      <c r="D214" s="31" t="s">
        <v>119</v>
      </c>
      <c r="E214" s="32" t="s">
        <v>377</v>
      </c>
      <c r="F214" s="32" t="s">
        <v>382</v>
      </c>
      <c r="G214" s="32" t="s">
        <v>5</v>
      </c>
      <c r="H214" s="33" t="s">
        <v>902</v>
      </c>
      <c r="I214" s="34" t="s">
        <v>385</v>
      </c>
      <c r="J214" t="s">
        <v>317</v>
      </c>
      <c r="K214" s="44"/>
    </row>
    <row r="215" spans="1:11" ht="14.4">
      <c r="A215" s="28" t="str">
        <f>F215&amp;(COUNTIFS(F$2:F215,F215,K$2:K215,"Sparse"))</f>
        <v>UA9</v>
      </c>
      <c r="B215" s="28" t="str">
        <f>J215&amp;(COUNTIF(J$2:J215,J215))</f>
        <v>Unitary33</v>
      </c>
      <c r="C215" s="31" t="s">
        <v>281</v>
      </c>
      <c r="D215" s="31" t="s">
        <v>281</v>
      </c>
      <c r="E215" s="32" t="s">
        <v>370</v>
      </c>
      <c r="F215" s="32" t="s">
        <v>388</v>
      </c>
      <c r="G215" s="32" t="s">
        <v>397</v>
      </c>
      <c r="H215" s="33" t="s">
        <v>902</v>
      </c>
      <c r="I215" s="34" t="s">
        <v>385</v>
      </c>
      <c r="J215" s="45" t="s">
        <v>397</v>
      </c>
      <c r="K215" s="44"/>
    </row>
    <row r="216" spans="1:11" ht="14.4">
      <c r="A216" s="28" t="str">
        <f>F216&amp;(COUNTIFS(F$2:F216,F216,K$2:K216,"Sparse"))</f>
        <v>UA9</v>
      </c>
      <c r="B216" s="28" t="str">
        <f>J216&amp;(COUNTIF(J$2:J216,J216))</f>
        <v>Unitary34</v>
      </c>
      <c r="C216" s="31" t="s">
        <v>282</v>
      </c>
      <c r="D216" s="31" t="s">
        <v>282</v>
      </c>
      <c r="E216" s="32" t="s">
        <v>1</v>
      </c>
      <c r="F216" s="32" t="s">
        <v>388</v>
      </c>
      <c r="G216" s="32" t="s">
        <v>397</v>
      </c>
      <c r="H216" s="33" t="s">
        <v>902</v>
      </c>
      <c r="I216" s="34" t="s">
        <v>385</v>
      </c>
      <c r="J216" s="45" t="s">
        <v>397</v>
      </c>
      <c r="K216" s="44"/>
    </row>
    <row r="217" spans="1:11" ht="14.4">
      <c r="A217" s="28" t="str">
        <f>F217&amp;(COUNTIFS(F$2:F217,F217,K$2:K217,"Sparse"))</f>
        <v>UA9</v>
      </c>
      <c r="B217" s="28" t="str">
        <f>J217&amp;(COUNTIF(J$2:J217,J217))</f>
        <v>Unitary35</v>
      </c>
      <c r="C217" s="31" t="s">
        <v>284</v>
      </c>
      <c r="D217" s="31" t="s">
        <v>284</v>
      </c>
      <c r="E217" s="32" t="s">
        <v>0</v>
      </c>
      <c r="F217" s="32" t="s">
        <v>388</v>
      </c>
      <c r="G217" s="32" t="s">
        <v>397</v>
      </c>
      <c r="H217" s="33" t="s">
        <v>902</v>
      </c>
      <c r="I217" s="34" t="s">
        <v>385</v>
      </c>
      <c r="J217" s="45" t="s">
        <v>397</v>
      </c>
      <c r="K217" s="44"/>
    </row>
    <row r="218" spans="1:11" ht="14.4">
      <c r="A218" s="28" t="str">
        <f>F218&amp;(COUNTIFS(F$2:F218,F218,K$2:K218,"Sparse"))</f>
        <v>SD39</v>
      </c>
      <c r="B218" s="28" t="str">
        <f>J218&amp;(COUNTIF(J$2:J218,J218))</f>
        <v>Lancashire8</v>
      </c>
      <c r="C218" s="31" t="s">
        <v>120</v>
      </c>
      <c r="D218" s="31" t="s">
        <v>120</v>
      </c>
      <c r="E218" s="32" t="s">
        <v>377</v>
      </c>
      <c r="F218" s="32" t="s">
        <v>382</v>
      </c>
      <c r="G218" s="32" t="s">
        <v>5</v>
      </c>
      <c r="H218" s="33" t="s">
        <v>902</v>
      </c>
      <c r="I218" s="34" t="s">
        <v>385</v>
      </c>
      <c r="J218" t="s">
        <v>317</v>
      </c>
      <c r="K218" s="44"/>
    </row>
    <row r="219" spans="1:11" ht="14.4">
      <c r="A219" s="28" t="str">
        <f>F219&amp;(COUNTIFS(F$2:F219,F219,K$2:K219,"Sparse"))</f>
        <v>UA9</v>
      </c>
      <c r="B219" s="28" t="str">
        <f>J219&amp;(COUNTIF(J$2:J219,J219))</f>
        <v>Unitary36</v>
      </c>
      <c r="C219" s="31" t="s">
        <v>285</v>
      </c>
      <c r="D219" s="31" t="s">
        <v>285</v>
      </c>
      <c r="E219" s="32" t="s">
        <v>0</v>
      </c>
      <c r="F219" s="32" t="s">
        <v>388</v>
      </c>
      <c r="G219" s="32" t="s">
        <v>397</v>
      </c>
      <c r="H219" s="33" t="s">
        <v>902</v>
      </c>
      <c r="I219" s="34" t="s">
        <v>385</v>
      </c>
      <c r="J219" s="45" t="s">
        <v>397</v>
      </c>
      <c r="K219" s="44"/>
    </row>
    <row r="220" spans="1:11" ht="14.4">
      <c r="A220" s="28" t="str">
        <f>F220&amp;(COUNTIFS(F$2:F220,F220,K$2:K220,"Sparse"))</f>
        <v>L0</v>
      </c>
      <c r="B220" s="28" t="str">
        <f>J220&amp;(COUNTIF(J$2:J220,J220))</f>
        <v>London26</v>
      </c>
      <c r="C220" s="31" t="s">
        <v>217</v>
      </c>
      <c r="D220" s="31" t="s">
        <v>217</v>
      </c>
      <c r="E220" s="32" t="s">
        <v>384</v>
      </c>
      <c r="F220" s="32" t="s">
        <v>360</v>
      </c>
      <c r="G220" s="32" t="s">
        <v>384</v>
      </c>
      <c r="H220" s="33" t="s">
        <v>907</v>
      </c>
      <c r="I220" s="34" t="s">
        <v>385</v>
      </c>
      <c r="J220" t="str">
        <f>G220</f>
        <v>London</v>
      </c>
      <c r="K220" s="44"/>
    </row>
    <row r="221" spans="1:11" ht="14.4">
      <c r="A221" s="28" t="str">
        <f>F221&amp;(COUNTIFS(F$2:F221,F221,K$2:K221,"Sparse"))</f>
        <v>UA9</v>
      </c>
      <c r="B221" s="28" t="str">
        <f>J221&amp;(COUNTIF(J$2:J221,J221))</f>
        <v>Unitary37</v>
      </c>
      <c r="C221" s="31" t="s">
        <v>811</v>
      </c>
      <c r="D221" s="31" t="s">
        <v>811</v>
      </c>
      <c r="E221" s="32" t="s">
        <v>391</v>
      </c>
      <c r="F221" s="32" t="s">
        <v>388</v>
      </c>
      <c r="G221" s="32" t="s">
        <v>397</v>
      </c>
      <c r="H221" s="35" t="s">
        <v>905</v>
      </c>
      <c r="I221" s="34" t="s">
        <v>372</v>
      </c>
      <c r="J221" s="45" t="s">
        <v>397</v>
      </c>
      <c r="K221" s="44"/>
    </row>
    <row r="222" spans="1:11" ht="14.4">
      <c r="A222" s="28" t="str">
        <f>F222&amp;(COUNTIFS(F$2:F222,F222,K$2:K222,"Sparse"))</f>
        <v>SD39</v>
      </c>
      <c r="B222" s="28" t="str">
        <f>J222&amp;(COUNTIF(J$2:J222,J222))</f>
        <v>Worcestershire3</v>
      </c>
      <c r="C222" s="31" t="s">
        <v>122</v>
      </c>
      <c r="D222" s="31" t="s">
        <v>122</v>
      </c>
      <c r="E222" s="32" t="s">
        <v>369</v>
      </c>
      <c r="F222" s="32" t="s">
        <v>382</v>
      </c>
      <c r="G222" s="32" t="s">
        <v>5</v>
      </c>
      <c r="H222" s="33" t="s">
        <v>902</v>
      </c>
      <c r="I222" s="34" t="s">
        <v>385</v>
      </c>
      <c r="J222" t="s">
        <v>333</v>
      </c>
      <c r="K222" s="44"/>
    </row>
    <row r="223" spans="1:11" ht="14.4">
      <c r="A223" s="28" t="str">
        <f>F223&amp;(COUNTIFS(F$2:F223,F223,K$2:K223,"Sparse"))</f>
        <v>SD39</v>
      </c>
      <c r="B223" s="28" t="str">
        <f>J223&amp;(COUNTIF(J$2:J223,J223))</f>
        <v>Surrey5</v>
      </c>
      <c r="C223" s="31" t="s">
        <v>350</v>
      </c>
      <c r="D223" s="31" t="s">
        <v>350</v>
      </c>
      <c r="E223" s="32" t="s">
        <v>0</v>
      </c>
      <c r="F223" s="32" t="s">
        <v>382</v>
      </c>
      <c r="G223" s="32" t="s">
        <v>5</v>
      </c>
      <c r="H223" s="33" t="s">
        <v>902</v>
      </c>
      <c r="I223" s="34" t="s">
        <v>385</v>
      </c>
      <c r="J223" t="s">
        <v>330</v>
      </c>
      <c r="K223" s="44"/>
    </row>
    <row r="224" spans="1:11" ht="14.4">
      <c r="A224" s="28" t="str">
        <f>F224&amp;(COUNTIFS(F$2:F224,F224,K$2:K224,"Sparse"))</f>
        <v>SD40</v>
      </c>
      <c r="B224" s="28" t="str">
        <f>J224&amp;(COUNTIF(J$2:J224,J224))</f>
        <v>Lancashire9</v>
      </c>
      <c r="C224" s="31" t="s">
        <v>123</v>
      </c>
      <c r="D224" s="31" t="s">
        <v>123</v>
      </c>
      <c r="E224" s="32" t="s">
        <v>377</v>
      </c>
      <c r="F224" s="32" t="s">
        <v>382</v>
      </c>
      <c r="G224" s="32" t="s">
        <v>5</v>
      </c>
      <c r="H224" s="33" t="s">
        <v>903</v>
      </c>
      <c r="I224" s="34" t="s">
        <v>383</v>
      </c>
      <c r="J224" t="s">
        <v>317</v>
      </c>
      <c r="K224" s="44" t="s">
        <v>336</v>
      </c>
    </row>
    <row r="225" spans="1:11" ht="14.4">
      <c r="A225" s="28" t="str">
        <f>F225&amp;(COUNTIFS(F$2:F225,F225,K$2:K225,"Sparse"))</f>
        <v>L0</v>
      </c>
      <c r="B225" s="28" t="str">
        <f>J225&amp;(COUNTIF(J$2:J225,J225))</f>
        <v>London27</v>
      </c>
      <c r="C225" s="31" t="s">
        <v>395</v>
      </c>
      <c r="D225" s="31" t="s">
        <v>395</v>
      </c>
      <c r="E225" s="32" t="s">
        <v>384</v>
      </c>
      <c r="F225" s="32" t="s">
        <v>360</v>
      </c>
      <c r="G225" s="32" t="s">
        <v>384</v>
      </c>
      <c r="H225" s="33" t="s">
        <v>907</v>
      </c>
      <c r="I225" s="34" t="s">
        <v>385</v>
      </c>
      <c r="J225" t="str">
        <f>G225</f>
        <v>London</v>
      </c>
      <c r="K225" s="44"/>
    </row>
    <row r="226" spans="1:11" ht="14.4">
      <c r="A226" s="28" t="str">
        <f>F226&amp;(COUNTIFS(F$2:F226,F226,K$2:K226,"Sparse"))</f>
        <v>SD41</v>
      </c>
      <c r="B226" s="28" t="str">
        <f>J226&amp;(COUNTIF(J$2:J226,J226))</f>
        <v>North Yorkshire5</v>
      </c>
      <c r="C226" s="31" t="s">
        <v>124</v>
      </c>
      <c r="D226" s="31" t="s">
        <v>124</v>
      </c>
      <c r="E226" s="32" t="s">
        <v>386</v>
      </c>
      <c r="F226" s="32" t="s">
        <v>382</v>
      </c>
      <c r="G226" s="32" t="s">
        <v>5</v>
      </c>
      <c r="H226" s="33" t="s">
        <v>903</v>
      </c>
      <c r="I226" s="34" t="s">
        <v>383</v>
      </c>
      <c r="J226" t="s">
        <v>321</v>
      </c>
      <c r="K226" s="44" t="s">
        <v>336</v>
      </c>
    </row>
    <row r="227" spans="1:11" ht="14.4">
      <c r="A227" s="28" t="str">
        <f>F227&amp;(COUNTIFS(F$2:F227,F227,K$2:K227,"Sparse"))</f>
        <v>MD0</v>
      </c>
      <c r="B227" s="28" t="str">
        <f>J227&amp;(COUNTIF(J$2:J227,J227))</f>
        <v>Rochdale1</v>
      </c>
      <c r="C227" s="31" t="s">
        <v>241</v>
      </c>
      <c r="D227" s="31" t="s">
        <v>241</v>
      </c>
      <c r="E227" s="32" t="s">
        <v>377</v>
      </c>
      <c r="F227" s="32" t="s">
        <v>387</v>
      </c>
      <c r="G227" s="32" t="s">
        <v>398</v>
      </c>
      <c r="H227" s="33" t="s">
        <v>907</v>
      </c>
      <c r="I227" s="34" t="s">
        <v>385</v>
      </c>
      <c r="J227" t="str">
        <f>C227</f>
        <v>Rochdale</v>
      </c>
      <c r="K227" s="44"/>
    </row>
    <row r="228" spans="1:11" ht="14.4">
      <c r="A228" s="28" t="str">
        <f>F228&amp;(COUNTIFS(F$2:F228,F228,K$2:K228,"Sparse"))</f>
        <v>SD41</v>
      </c>
      <c r="B228" s="28" t="str">
        <f>J228&amp;(COUNTIF(J$2:J228,J228))</f>
        <v>Essex11</v>
      </c>
      <c r="C228" s="31" t="s">
        <v>125</v>
      </c>
      <c r="D228" s="31" t="s">
        <v>125</v>
      </c>
      <c r="E228" s="32" t="s">
        <v>370</v>
      </c>
      <c r="F228" s="32" t="s">
        <v>382</v>
      </c>
      <c r="G228" s="32" t="s">
        <v>5</v>
      </c>
      <c r="H228" s="33" t="s">
        <v>902</v>
      </c>
      <c r="I228" s="34" t="s">
        <v>385</v>
      </c>
      <c r="J228" t="s">
        <v>312</v>
      </c>
      <c r="K228" s="44"/>
    </row>
    <row r="229" spans="1:11" ht="14.4">
      <c r="A229" s="28" t="str">
        <f>F229&amp;(COUNTIFS(F$2:F229,F229,K$2:K229,"Sparse"))</f>
        <v>SD41</v>
      </c>
      <c r="B229" s="28" t="str">
        <f>J229&amp;(COUNTIF(J$2:J229,J229))</f>
        <v>Lancashire10</v>
      </c>
      <c r="C229" s="31" t="s">
        <v>126</v>
      </c>
      <c r="D229" s="31" t="s">
        <v>126</v>
      </c>
      <c r="E229" s="32" t="s">
        <v>377</v>
      </c>
      <c r="F229" s="32" t="s">
        <v>382</v>
      </c>
      <c r="G229" s="32" t="s">
        <v>5</v>
      </c>
      <c r="H229" s="33" t="s">
        <v>902</v>
      </c>
      <c r="I229" s="34" t="s">
        <v>385</v>
      </c>
      <c r="J229" t="s">
        <v>317</v>
      </c>
      <c r="K229" s="44"/>
    </row>
    <row r="230" spans="1:11" ht="14.4">
      <c r="A230" s="28" t="str">
        <f>F230&amp;(COUNTIFS(F$2:F230,F230,K$2:K230,"Sparse"))</f>
        <v>SD42</v>
      </c>
      <c r="B230" s="28" t="str">
        <f>J230&amp;(COUNTIF(J$2:J230,J230))</f>
        <v>East Sussex5</v>
      </c>
      <c r="C230" s="31" t="s">
        <v>127</v>
      </c>
      <c r="D230" s="31" t="s">
        <v>127</v>
      </c>
      <c r="E230" s="32" t="s">
        <v>0</v>
      </c>
      <c r="F230" s="32" t="s">
        <v>382</v>
      </c>
      <c r="G230" s="32" t="s">
        <v>5</v>
      </c>
      <c r="H230" s="33" t="s">
        <v>906</v>
      </c>
      <c r="I230" s="34" t="s">
        <v>383</v>
      </c>
      <c r="J230" t="s">
        <v>311</v>
      </c>
      <c r="K230" s="44" t="s">
        <v>336</v>
      </c>
    </row>
    <row r="231" spans="1:11" ht="14.4">
      <c r="A231" s="28" t="str">
        <f>F231&amp;(COUNTIFS(F$2:F231,F231,K$2:K231,"Sparse"))</f>
        <v>MD0</v>
      </c>
      <c r="B231" s="28" t="str">
        <f>J231&amp;(COUNTIF(J$2:J231,J231))</f>
        <v>Rotherham1</v>
      </c>
      <c r="C231" s="31" t="s">
        <v>242</v>
      </c>
      <c r="D231" s="31" t="s">
        <v>242</v>
      </c>
      <c r="E231" s="32" t="s">
        <v>386</v>
      </c>
      <c r="F231" s="32" t="s">
        <v>387</v>
      </c>
      <c r="G231" s="32" t="s">
        <v>398</v>
      </c>
      <c r="H231" s="33" t="s">
        <v>904</v>
      </c>
      <c r="I231" s="34" t="s">
        <v>385</v>
      </c>
      <c r="J231" t="str">
        <f>C231</f>
        <v>Rotherham</v>
      </c>
      <c r="K231" s="44"/>
    </row>
    <row r="232" spans="1:11" ht="14.4">
      <c r="A232" s="28" t="str">
        <f>F232&amp;(COUNTIFS(F$2:F232,F232,K$2:K232,"Sparse"))</f>
        <v>SD43</v>
      </c>
      <c r="B232" s="28" t="str">
        <f>J232&amp;(COUNTIF(J$2:J232,J232))</f>
        <v>Warwickshire3</v>
      </c>
      <c r="C232" s="31" t="s">
        <v>128</v>
      </c>
      <c r="D232" s="31" t="s">
        <v>128</v>
      </c>
      <c r="E232" s="32" t="s">
        <v>369</v>
      </c>
      <c r="F232" s="32" t="s">
        <v>382</v>
      </c>
      <c r="G232" s="32" t="s">
        <v>5</v>
      </c>
      <c r="H232" s="35" t="s">
        <v>902</v>
      </c>
      <c r="I232" s="34" t="s">
        <v>385</v>
      </c>
      <c r="J232" t="s">
        <v>331</v>
      </c>
      <c r="K232" s="44" t="s">
        <v>336</v>
      </c>
    </row>
    <row r="233" spans="1:11" ht="14.4">
      <c r="A233" s="28" t="str">
        <f>F233&amp;(COUNTIFS(F$2:F233,F233,K$2:K233,"Sparse"))</f>
        <v>SD43</v>
      </c>
      <c r="B233" s="28" t="str">
        <f>J233&amp;(COUNTIF(J$2:J233,J233))</f>
        <v>Surrey6</v>
      </c>
      <c r="C233" s="31" t="s">
        <v>129</v>
      </c>
      <c r="D233" s="31" t="s">
        <v>129</v>
      </c>
      <c r="E233" s="32" t="s">
        <v>0</v>
      </c>
      <c r="F233" s="32" t="s">
        <v>382</v>
      </c>
      <c r="G233" s="32" t="s">
        <v>5</v>
      </c>
      <c r="H233" s="33" t="s">
        <v>907</v>
      </c>
      <c r="I233" s="34" t="s">
        <v>385</v>
      </c>
      <c r="J233" t="s">
        <v>330</v>
      </c>
      <c r="K233" s="44"/>
    </row>
    <row r="234" spans="1:11" ht="14.4">
      <c r="A234" s="28" t="str">
        <f>F234&amp;(COUNTIFS(F$2:F234,F234,K$2:K234,"Sparse"))</f>
        <v>SD43</v>
      </c>
      <c r="B234" s="28" t="str">
        <f>J234&amp;(COUNTIF(J$2:J234,J234))</f>
        <v>Nottinghamshire8</v>
      </c>
      <c r="C234" s="31" t="s">
        <v>130</v>
      </c>
      <c r="D234" s="31" t="s">
        <v>130</v>
      </c>
      <c r="E234" s="32" t="s">
        <v>368</v>
      </c>
      <c r="F234" s="32" t="s">
        <v>382</v>
      </c>
      <c r="G234" s="32" t="s">
        <v>5</v>
      </c>
      <c r="H234" s="33" t="s">
        <v>906</v>
      </c>
      <c r="I234" s="34" t="s">
        <v>383</v>
      </c>
      <c r="J234" t="s">
        <v>324</v>
      </c>
      <c r="K234" s="44"/>
    </row>
    <row r="235" spans="1:11" ht="14.4">
      <c r="A235" s="28" t="str">
        <f>F235&amp;(COUNTIFS(F$2:F235,F235,K$2:K235,"Sparse"))</f>
        <v>SD43</v>
      </c>
      <c r="B235" s="28" t="str">
        <f>J235&amp;(COUNTIF(J$2:J235,J235))</f>
        <v>Hampshire10</v>
      </c>
      <c r="C235" s="31" t="s">
        <v>131</v>
      </c>
      <c r="D235" s="31" t="s">
        <v>131</v>
      </c>
      <c r="E235" s="32" t="s">
        <v>0</v>
      </c>
      <c r="F235" s="32" t="s">
        <v>382</v>
      </c>
      <c r="G235" s="32" t="s">
        <v>5</v>
      </c>
      <c r="H235" s="33" t="s">
        <v>902</v>
      </c>
      <c r="I235" s="34" t="s">
        <v>385</v>
      </c>
      <c r="J235" t="s">
        <v>314</v>
      </c>
      <c r="K235" s="44"/>
    </row>
    <row r="236" spans="1:11" ht="14.4">
      <c r="A236" s="28" t="str">
        <f>F236&amp;(COUNTIFS(F$2:F236,F236,K$2:K236,"Sparse"))</f>
        <v>UA10</v>
      </c>
      <c r="B236" s="28" t="str">
        <f>J236&amp;(COUNTIF(J$2:J236,J236))</f>
        <v>Unitary38</v>
      </c>
      <c r="C236" s="31" t="s">
        <v>286</v>
      </c>
      <c r="D236" s="31" t="s">
        <v>286</v>
      </c>
      <c r="E236" s="32" t="s">
        <v>368</v>
      </c>
      <c r="F236" s="32" t="s">
        <v>388</v>
      </c>
      <c r="G236" s="32" t="s">
        <v>397</v>
      </c>
      <c r="H236" s="33" t="s">
        <v>903</v>
      </c>
      <c r="I236" s="34" t="s">
        <v>383</v>
      </c>
      <c r="J236" s="45" t="s">
        <v>397</v>
      </c>
      <c r="K236" s="44" t="s">
        <v>336</v>
      </c>
    </row>
    <row r="237" spans="1:11" ht="14.4">
      <c r="A237" s="28" t="str">
        <f>F237&amp;(COUNTIFS(F$2:F237,F237,K$2:K237,"Sparse"))</f>
        <v>SD44</v>
      </c>
      <c r="B237" s="28" t="str">
        <f>J237&amp;(COUNTIF(J$2:J237,J237))</f>
        <v>North Yorkshire6</v>
      </c>
      <c r="C237" s="31" t="s">
        <v>132</v>
      </c>
      <c r="D237" s="31" t="s">
        <v>132</v>
      </c>
      <c r="E237" s="32" t="s">
        <v>386</v>
      </c>
      <c r="F237" s="32" t="s">
        <v>382</v>
      </c>
      <c r="G237" s="32" t="s">
        <v>5</v>
      </c>
      <c r="H237" s="33" t="s">
        <v>903</v>
      </c>
      <c r="I237" s="34" t="s">
        <v>383</v>
      </c>
      <c r="J237" t="s">
        <v>321</v>
      </c>
      <c r="K237" s="44" t="s">
        <v>336</v>
      </c>
    </row>
    <row r="238" spans="1:11" ht="14.4">
      <c r="A238" s="28" t="str">
        <f>F238&amp;(COUNTIFS(F$2:F238,F238,K$2:K238,"Sparse"))</f>
        <v>MD0</v>
      </c>
      <c r="B238" s="28" t="str">
        <f>J238&amp;(COUNTIF(J$2:J238,J238))</f>
        <v>Salford1</v>
      </c>
      <c r="C238" s="31" t="s">
        <v>243</v>
      </c>
      <c r="D238" s="31" t="s">
        <v>243</v>
      </c>
      <c r="E238" s="32" t="s">
        <v>377</v>
      </c>
      <c r="F238" s="32" t="s">
        <v>387</v>
      </c>
      <c r="G238" s="32" t="s">
        <v>398</v>
      </c>
      <c r="H238" s="33" t="s">
        <v>907</v>
      </c>
      <c r="I238" s="34" t="s">
        <v>385</v>
      </c>
      <c r="J238" t="str">
        <f>C238</f>
        <v>Salford</v>
      </c>
      <c r="K238" s="44"/>
    </row>
    <row r="239" spans="1:11" ht="14.4">
      <c r="A239" s="28" t="str">
        <f>F239&amp;(COUNTIFS(F$2:F239,F239,K$2:K239,"Sparse"))</f>
        <v>MD0</v>
      </c>
      <c r="B239" s="28" t="str">
        <f>J239&amp;(COUNTIF(J$2:J239,J239))</f>
        <v>Sandwell1</v>
      </c>
      <c r="C239" s="31" t="s">
        <v>244</v>
      </c>
      <c r="D239" s="31" t="s">
        <v>244</v>
      </c>
      <c r="E239" s="32" t="s">
        <v>369</v>
      </c>
      <c r="F239" s="32" t="s">
        <v>387</v>
      </c>
      <c r="G239" s="32" t="s">
        <v>398</v>
      </c>
      <c r="H239" s="33" t="s">
        <v>907</v>
      </c>
      <c r="I239" s="34" t="s">
        <v>385</v>
      </c>
      <c r="J239" t="str">
        <f>C239</f>
        <v>Sandwell</v>
      </c>
      <c r="K239" s="44"/>
    </row>
    <row r="240" spans="1:11" ht="14.4">
      <c r="A240" s="28" t="str">
        <f>F240&amp;(COUNTIFS(F$2:F240,F240,K$2:K240,"Sparse"))</f>
        <v>SD45</v>
      </c>
      <c r="B240" s="28" t="str">
        <f>J240&amp;(COUNTIF(J$2:J240,J240))</f>
        <v>North Yorkshire7</v>
      </c>
      <c r="C240" s="31" t="s">
        <v>133</v>
      </c>
      <c r="D240" s="31" t="s">
        <v>133</v>
      </c>
      <c r="E240" s="32" t="s">
        <v>386</v>
      </c>
      <c r="F240" s="32" t="s">
        <v>382</v>
      </c>
      <c r="G240" s="32" t="s">
        <v>5</v>
      </c>
      <c r="H240" s="35" t="s">
        <v>905</v>
      </c>
      <c r="I240" s="34" t="s">
        <v>372</v>
      </c>
      <c r="J240" t="s">
        <v>321</v>
      </c>
      <c r="K240" s="44" t="s">
        <v>336</v>
      </c>
    </row>
    <row r="241" spans="1:11" ht="14.4">
      <c r="A241" s="28" t="str">
        <f>F241&amp;(COUNTIFS(F$2:F241,F241,K$2:K241,"Sparse"))</f>
        <v>SD46</v>
      </c>
      <c r="B241" s="28" t="str">
        <f>J241&amp;(COUNTIF(J$2:J241,J241))</f>
        <v>Somerset2</v>
      </c>
      <c r="C241" s="31" t="s">
        <v>134</v>
      </c>
      <c r="D241" s="31" t="s">
        <v>134</v>
      </c>
      <c r="E241" s="32" t="s">
        <v>1</v>
      </c>
      <c r="F241" s="32" t="s">
        <v>382</v>
      </c>
      <c r="G241" s="32" t="s">
        <v>5</v>
      </c>
      <c r="H241" s="33" t="s">
        <v>906</v>
      </c>
      <c r="I241" s="34" t="s">
        <v>383</v>
      </c>
      <c r="J241" t="s">
        <v>327</v>
      </c>
      <c r="K241" s="44" t="s">
        <v>336</v>
      </c>
    </row>
    <row r="242" spans="1:11" ht="14.4">
      <c r="A242" s="28" t="str">
        <f>F242&amp;(COUNTIFS(F$2:F242,F242,K$2:K242,"Sparse"))</f>
        <v>MD0</v>
      </c>
      <c r="B242" s="28" t="str">
        <f>J242&amp;(COUNTIF(J$2:J242,J242))</f>
        <v>Sefton1</v>
      </c>
      <c r="C242" s="31" t="s">
        <v>245</v>
      </c>
      <c r="D242" s="31" t="s">
        <v>245</v>
      </c>
      <c r="E242" s="32" t="s">
        <v>377</v>
      </c>
      <c r="F242" s="32" t="s">
        <v>387</v>
      </c>
      <c r="G242" s="32" t="s">
        <v>398</v>
      </c>
      <c r="H242" s="33" t="s">
        <v>907</v>
      </c>
      <c r="I242" s="34" t="s">
        <v>385</v>
      </c>
      <c r="J242" t="str">
        <f>C242</f>
        <v>Sefton</v>
      </c>
      <c r="K242" s="44"/>
    </row>
    <row r="243" spans="1:11" ht="14.4">
      <c r="A243" s="28" t="str">
        <f>F243&amp;(COUNTIFS(F$2:F243,F243,K$2:K243,"Sparse"))</f>
        <v>SD47</v>
      </c>
      <c r="B243" s="28" t="str">
        <f>J243&amp;(COUNTIF(J$2:J243,J243))</f>
        <v>North Yorkshire8</v>
      </c>
      <c r="C243" s="31" t="s">
        <v>135</v>
      </c>
      <c r="D243" s="31" t="s">
        <v>135</v>
      </c>
      <c r="E243" s="32" t="s">
        <v>386</v>
      </c>
      <c r="F243" s="32" t="s">
        <v>382</v>
      </c>
      <c r="G243" s="32" t="s">
        <v>5</v>
      </c>
      <c r="H243" s="33" t="s">
        <v>903</v>
      </c>
      <c r="I243" s="34" t="s">
        <v>383</v>
      </c>
      <c r="J243" t="s">
        <v>321</v>
      </c>
      <c r="K243" s="44" t="s">
        <v>336</v>
      </c>
    </row>
    <row r="244" spans="1:11" ht="14.4">
      <c r="A244" s="28" t="str">
        <f>F244&amp;(COUNTIFS(F$2:F244,F244,K$2:K244,"Sparse"))</f>
        <v>SD48</v>
      </c>
      <c r="B244" s="28" t="str">
        <f>J244&amp;(COUNTIF(J$2:J244,J244))</f>
        <v>Kent8</v>
      </c>
      <c r="C244" s="31" t="s">
        <v>136</v>
      </c>
      <c r="D244" s="31" t="s">
        <v>136</v>
      </c>
      <c r="E244" s="32" t="s">
        <v>0</v>
      </c>
      <c r="F244" s="32" t="s">
        <v>382</v>
      </c>
      <c r="G244" s="32" t="s">
        <v>5</v>
      </c>
      <c r="H244" s="33" t="s">
        <v>906</v>
      </c>
      <c r="I244" s="34" t="s">
        <v>383</v>
      </c>
      <c r="J244" t="s">
        <v>316</v>
      </c>
      <c r="K244" s="44" t="s">
        <v>336</v>
      </c>
    </row>
    <row r="245" spans="1:11" ht="14.4">
      <c r="A245" s="28" t="str">
        <f>F245&amp;(COUNTIFS(F$2:F245,F245,K$2:K245,"Sparse"))</f>
        <v>MD0</v>
      </c>
      <c r="B245" s="28" t="str">
        <f>J245&amp;(COUNTIF(J$2:J245,J245))</f>
        <v>Sheffield1</v>
      </c>
      <c r="C245" s="31" t="s">
        <v>246</v>
      </c>
      <c r="D245" s="31" t="s">
        <v>246</v>
      </c>
      <c r="E245" s="32" t="s">
        <v>386</v>
      </c>
      <c r="F245" s="32" t="s">
        <v>387</v>
      </c>
      <c r="G245" s="32" t="s">
        <v>398</v>
      </c>
      <c r="H245" s="33" t="s">
        <v>904</v>
      </c>
      <c r="I245" s="34" t="s">
        <v>385</v>
      </c>
      <c r="J245" t="str">
        <f>C245</f>
        <v>Sheffield</v>
      </c>
      <c r="K245" s="44"/>
    </row>
    <row r="246" spans="1:11" ht="14.4">
      <c r="A246" s="28" t="str">
        <f>F246&amp;(COUNTIFS(F$2:F246,F246,K$2:K246,"Sparse"))</f>
        <v>SD48</v>
      </c>
      <c r="B246" s="28" t="str">
        <f>J246&amp;(COUNTIF(J$2:J246,J246))</f>
        <v>Kent9</v>
      </c>
      <c r="C246" s="31" t="s">
        <v>920</v>
      </c>
      <c r="D246" s="31" t="s">
        <v>920</v>
      </c>
      <c r="E246" s="32" t="s">
        <v>0</v>
      </c>
      <c r="F246" s="32" t="s">
        <v>382</v>
      </c>
      <c r="G246" s="32" t="s">
        <v>5</v>
      </c>
      <c r="H246" s="35" t="s">
        <v>905</v>
      </c>
      <c r="I246" s="34" t="s">
        <v>372</v>
      </c>
      <c r="J246" t="s">
        <v>316</v>
      </c>
      <c r="K246" s="44"/>
    </row>
    <row r="247" spans="1:11" ht="14.4">
      <c r="A247" s="28" t="str">
        <f>F247&amp;(COUNTIFS(F$2:F247,F247,K$2:K247,"Sparse"))</f>
        <v>UA11</v>
      </c>
      <c r="B247" s="28" t="str">
        <f>J247&amp;(COUNTIF(J$2:J247,J247))</f>
        <v>Unitary39</v>
      </c>
      <c r="C247" s="31" t="s">
        <v>326</v>
      </c>
      <c r="D247" s="31" t="s">
        <v>326</v>
      </c>
      <c r="E247" s="32" t="s">
        <v>369</v>
      </c>
      <c r="F247" s="32" t="s">
        <v>388</v>
      </c>
      <c r="G247" s="32" t="s">
        <v>397</v>
      </c>
      <c r="H247" s="35" t="s">
        <v>906</v>
      </c>
      <c r="I247" s="34" t="s">
        <v>383</v>
      </c>
      <c r="J247" s="45" t="s">
        <v>397</v>
      </c>
      <c r="K247" s="44" t="s">
        <v>336</v>
      </c>
    </row>
    <row r="248" spans="1:11" ht="14.4">
      <c r="A248" s="28" t="str">
        <f>F248&amp;(COUNTIFS(F$2:F248,F248,K$2:K248,"Sparse"))</f>
        <v>UA11</v>
      </c>
      <c r="B248" s="28" t="str">
        <f>J248&amp;(COUNTIF(J$2:J248,J248))</f>
        <v>Unitary40</v>
      </c>
      <c r="C248" s="31" t="s">
        <v>287</v>
      </c>
      <c r="D248" s="31" t="s">
        <v>287</v>
      </c>
      <c r="E248" s="32" t="s">
        <v>0</v>
      </c>
      <c r="F248" s="32" t="s">
        <v>388</v>
      </c>
      <c r="G248" s="32" t="s">
        <v>397</v>
      </c>
      <c r="H248" s="33" t="s">
        <v>902</v>
      </c>
      <c r="I248" s="34" t="s">
        <v>385</v>
      </c>
      <c r="J248" s="45" t="s">
        <v>397</v>
      </c>
      <c r="K248" s="44"/>
    </row>
    <row r="249" spans="1:11" ht="14.4">
      <c r="A249" s="28" t="str">
        <f>F249&amp;(COUNTIFS(F$2:F249,F249,K$2:K249,"Sparse"))</f>
        <v>MD0</v>
      </c>
      <c r="B249" s="28" t="str">
        <f>J249&amp;(COUNTIF(J$2:J249,J249))</f>
        <v>Solihull1</v>
      </c>
      <c r="C249" s="31" t="s">
        <v>247</v>
      </c>
      <c r="D249" s="31" t="s">
        <v>247</v>
      </c>
      <c r="E249" s="32" t="s">
        <v>369</v>
      </c>
      <c r="F249" s="32" t="s">
        <v>387</v>
      </c>
      <c r="G249" s="32" t="s">
        <v>398</v>
      </c>
      <c r="H249" s="33" t="s">
        <v>907</v>
      </c>
      <c r="I249" s="34" t="s">
        <v>385</v>
      </c>
      <c r="J249" t="str">
        <f>C249</f>
        <v>Solihull</v>
      </c>
      <c r="K249" s="44"/>
    </row>
    <row r="250" spans="1:11" ht="14.4">
      <c r="A250" s="28" t="str">
        <f>F250&amp;(COUNTIFS(F$2:F250,F250,K$2:K250,"Sparse"))</f>
        <v>SC12</v>
      </c>
      <c r="B250" s="28" t="str">
        <f>J250&amp;(COUNTIF(J$2:J250,J250))</f>
        <v>Somerset3</v>
      </c>
      <c r="C250" s="34" t="s">
        <v>327</v>
      </c>
      <c r="D250" s="34" t="s">
        <v>327</v>
      </c>
      <c r="E250" s="32" t="s">
        <v>1</v>
      </c>
      <c r="F250" s="32" t="s">
        <v>390</v>
      </c>
      <c r="G250" s="32" t="s">
        <v>302</v>
      </c>
      <c r="H250" s="34" t="s">
        <v>383</v>
      </c>
      <c r="I250" s="34" t="s">
        <v>383</v>
      </c>
      <c r="J250" t="str">
        <f>C250</f>
        <v>Somerset</v>
      </c>
      <c r="K250" s="44"/>
    </row>
    <row r="251" spans="1:11" ht="14.4">
      <c r="A251" s="28" t="str">
        <f>F251&amp;(COUNTIFS(F$2:F251,F251,K$2:K251,"Sparse"))</f>
        <v>SD48</v>
      </c>
      <c r="B251" s="28" t="str">
        <f>J251&amp;(COUNTIF(J$2:J251,J251))</f>
        <v>Buckinghamshire4</v>
      </c>
      <c r="C251" s="31" t="s">
        <v>138</v>
      </c>
      <c r="D251" s="31" t="s">
        <v>138</v>
      </c>
      <c r="E251" s="32" t="s">
        <v>0</v>
      </c>
      <c r="F251" s="32" t="s">
        <v>382</v>
      </c>
      <c r="G251" s="32" t="s">
        <v>5</v>
      </c>
      <c r="H251" s="33" t="s">
        <v>905</v>
      </c>
      <c r="I251" s="34" t="s">
        <v>372</v>
      </c>
      <c r="J251" t="s">
        <v>301</v>
      </c>
      <c r="K251" s="44"/>
    </row>
    <row r="252" spans="1:11" ht="14.4">
      <c r="A252" s="28" t="str">
        <f>F252&amp;(COUNTIFS(F$2:F252,F252,K$2:K252,"Sparse"))</f>
        <v>SD49</v>
      </c>
      <c r="B252" s="28" t="str">
        <f>J252&amp;(COUNTIF(J$2:J252,J252))</f>
        <v>Cambridgeshire6</v>
      </c>
      <c r="C252" s="31" t="s">
        <v>139</v>
      </c>
      <c r="D252" s="31" t="s">
        <v>139</v>
      </c>
      <c r="E252" s="32" t="s">
        <v>370</v>
      </c>
      <c r="F252" s="32" t="s">
        <v>382</v>
      </c>
      <c r="G252" s="32" t="s">
        <v>5</v>
      </c>
      <c r="H252" s="33" t="s">
        <v>906</v>
      </c>
      <c r="I252" s="34" t="s">
        <v>383</v>
      </c>
      <c r="J252" t="s">
        <v>303</v>
      </c>
      <c r="K252" s="44" t="s">
        <v>336</v>
      </c>
    </row>
    <row r="253" spans="1:11" ht="14.4">
      <c r="A253" s="28" t="str">
        <f>F253&amp;(COUNTIFS(F$2:F253,F253,K$2:K253,"Sparse"))</f>
        <v>SD50</v>
      </c>
      <c r="B253" s="28" t="str">
        <f>J253&amp;(COUNTIF(J$2:J253,J253))</f>
        <v>Derbyshire9</v>
      </c>
      <c r="C253" s="31" t="s">
        <v>140</v>
      </c>
      <c r="D253" s="31" t="s">
        <v>140</v>
      </c>
      <c r="E253" s="32" t="s">
        <v>368</v>
      </c>
      <c r="F253" s="32" t="s">
        <v>382</v>
      </c>
      <c r="G253" s="32" t="s">
        <v>5</v>
      </c>
      <c r="H253" s="35" t="s">
        <v>905</v>
      </c>
      <c r="I253" s="34" t="s">
        <v>372</v>
      </c>
      <c r="J253" t="s">
        <v>308</v>
      </c>
      <c r="K253" s="44" t="s">
        <v>336</v>
      </c>
    </row>
    <row r="254" spans="1:11" ht="14.4">
      <c r="A254" s="28" t="str">
        <f>F254&amp;(COUNTIFS(F$2:F254,F254,K$2:K254,"Sparse"))</f>
        <v>UA11</v>
      </c>
      <c r="B254" s="28" t="str">
        <f>J254&amp;(COUNTIF(J$2:J254,J254))</f>
        <v>Unitary41</v>
      </c>
      <c r="C254" s="31" t="s">
        <v>288</v>
      </c>
      <c r="D254" s="31" t="s">
        <v>288</v>
      </c>
      <c r="E254" s="32" t="s">
        <v>1</v>
      </c>
      <c r="F254" s="32" t="s">
        <v>388</v>
      </c>
      <c r="G254" s="32" t="s">
        <v>397</v>
      </c>
      <c r="H254" s="33" t="s">
        <v>902</v>
      </c>
      <c r="I254" s="34" t="s">
        <v>385</v>
      </c>
      <c r="J254" s="45" t="s">
        <v>397</v>
      </c>
      <c r="K254" s="44"/>
    </row>
    <row r="255" spans="1:11" ht="14.4">
      <c r="A255" s="28" t="str">
        <f>F255&amp;(COUNTIFS(F$2:F255,F255,K$2:K255,"Sparse"))</f>
        <v>SD51</v>
      </c>
      <c r="B255" s="28" t="str">
        <f>J255&amp;(COUNTIF(J$2:J255,J255))</f>
        <v>Devon6</v>
      </c>
      <c r="C255" s="31" t="s">
        <v>141</v>
      </c>
      <c r="D255" s="31" t="s">
        <v>141</v>
      </c>
      <c r="E255" s="32" t="s">
        <v>1</v>
      </c>
      <c r="F255" s="32" t="s">
        <v>382</v>
      </c>
      <c r="G255" s="32" t="s">
        <v>5</v>
      </c>
      <c r="H255" s="33" t="s">
        <v>903</v>
      </c>
      <c r="I255" s="34" t="s">
        <v>383</v>
      </c>
      <c r="J255" t="s">
        <v>309</v>
      </c>
      <c r="K255" s="44" t="s">
        <v>336</v>
      </c>
    </row>
    <row r="256" spans="1:11" ht="14.4">
      <c r="A256" s="28" t="str">
        <f>F256&amp;(COUNTIFS(F$2:F256,F256,K$2:K256,"Sparse"))</f>
        <v>SD52</v>
      </c>
      <c r="B256" s="28" t="str">
        <f>J256&amp;(COUNTIF(J$2:J256,J256))</f>
        <v>Lincolnshire6</v>
      </c>
      <c r="C256" s="31" t="s">
        <v>142</v>
      </c>
      <c r="D256" s="31" t="s">
        <v>142</v>
      </c>
      <c r="E256" s="32" t="s">
        <v>368</v>
      </c>
      <c r="F256" s="32" t="s">
        <v>382</v>
      </c>
      <c r="G256" s="32" t="s">
        <v>5</v>
      </c>
      <c r="H256" s="33" t="s">
        <v>906</v>
      </c>
      <c r="I256" s="34" t="s">
        <v>383</v>
      </c>
      <c r="J256" t="s">
        <v>319</v>
      </c>
      <c r="K256" s="44" t="s">
        <v>336</v>
      </c>
    </row>
    <row r="257" spans="1:11" ht="14.4">
      <c r="A257" s="28" t="str">
        <f>F257&amp;(COUNTIFS(F$2:F257,F257,K$2:K257,"Sparse"))</f>
        <v>SD53</v>
      </c>
      <c r="B257" s="28" t="str">
        <f>J257&amp;(COUNTIF(J$2:J257,J257))</f>
        <v>Lincolnshire7</v>
      </c>
      <c r="C257" s="31" t="s">
        <v>143</v>
      </c>
      <c r="D257" s="31" t="s">
        <v>143</v>
      </c>
      <c r="E257" s="32" t="s">
        <v>368</v>
      </c>
      <c r="F257" s="32" t="s">
        <v>382</v>
      </c>
      <c r="G257" s="32" t="s">
        <v>5</v>
      </c>
      <c r="H257" s="33" t="s">
        <v>906</v>
      </c>
      <c r="I257" s="34" t="s">
        <v>383</v>
      </c>
      <c r="J257" t="s">
        <v>319</v>
      </c>
      <c r="K257" s="44" t="s">
        <v>336</v>
      </c>
    </row>
    <row r="258" spans="1:11" ht="14.4">
      <c r="A258" s="28" t="str">
        <f>F258&amp;(COUNTIFS(F$2:F258,F258,K$2:K258,"Sparse"))</f>
        <v>SD54</v>
      </c>
      <c r="B258" s="28" t="str">
        <f>J258&amp;(COUNTIF(J$2:J258,J258))</f>
        <v>Cumbria7</v>
      </c>
      <c r="C258" s="31" t="s">
        <v>144</v>
      </c>
      <c r="D258" s="31" t="s">
        <v>144</v>
      </c>
      <c r="E258" s="32" t="s">
        <v>377</v>
      </c>
      <c r="F258" s="32" t="s">
        <v>382</v>
      </c>
      <c r="G258" s="32" t="s">
        <v>5</v>
      </c>
      <c r="H258" s="33" t="s">
        <v>903</v>
      </c>
      <c r="I258" s="34" t="s">
        <v>383</v>
      </c>
      <c r="J258" t="s">
        <v>307</v>
      </c>
      <c r="K258" s="44" t="s">
        <v>336</v>
      </c>
    </row>
    <row r="259" spans="1:11" ht="14.4">
      <c r="A259" s="28" t="str">
        <f>F259&amp;(COUNTIFS(F$2:F259,F259,K$2:K259,"Sparse"))</f>
        <v>SD55</v>
      </c>
      <c r="B259" s="28" t="str">
        <f>J259&amp;(COUNTIF(J$2:J259,J259))</f>
        <v>Norfolk8</v>
      </c>
      <c r="C259" s="31" t="s">
        <v>145</v>
      </c>
      <c r="D259" s="31" t="s">
        <v>145</v>
      </c>
      <c r="E259" s="32" t="s">
        <v>370</v>
      </c>
      <c r="F259" s="32" t="s">
        <v>382</v>
      </c>
      <c r="G259" s="32" t="s">
        <v>5</v>
      </c>
      <c r="H259" s="33" t="s">
        <v>903</v>
      </c>
      <c r="I259" s="34" t="s">
        <v>383</v>
      </c>
      <c r="J259" t="s">
        <v>320</v>
      </c>
      <c r="K259" s="44" t="s">
        <v>336</v>
      </c>
    </row>
    <row r="260" spans="1:11" ht="14.4">
      <c r="A260" s="28" t="str">
        <f>F260&amp;(COUNTIFS(F$2:F260,F260,K$2:K260,"Sparse"))</f>
        <v>SD56</v>
      </c>
      <c r="B260" s="28" t="str">
        <f>J260&amp;(COUNTIF(J$2:J260,J260))</f>
        <v>Northamptonshire7</v>
      </c>
      <c r="C260" s="31" t="s">
        <v>146</v>
      </c>
      <c r="D260" s="31" t="s">
        <v>146</v>
      </c>
      <c r="E260" s="32" t="s">
        <v>368</v>
      </c>
      <c r="F260" s="32" t="s">
        <v>382</v>
      </c>
      <c r="G260" s="32" t="s">
        <v>5</v>
      </c>
      <c r="H260" s="33" t="s">
        <v>903</v>
      </c>
      <c r="I260" s="34" t="s">
        <v>383</v>
      </c>
      <c r="J260" t="s">
        <v>322</v>
      </c>
      <c r="K260" s="44" t="s">
        <v>336</v>
      </c>
    </row>
    <row r="261" spans="1:11" ht="14.4">
      <c r="A261" s="28" t="str">
        <f>F261&amp;(COUNTIFS(F$2:F261,F261,K$2:K261,"Sparse"))</f>
        <v>SD57</v>
      </c>
      <c r="B261" s="28" t="str">
        <f>J261&amp;(COUNTIF(J$2:J261,J261))</f>
        <v>Oxfordshire4</v>
      </c>
      <c r="C261" s="31" t="s">
        <v>147</v>
      </c>
      <c r="D261" s="31" t="s">
        <v>147</v>
      </c>
      <c r="E261" s="32" t="s">
        <v>0</v>
      </c>
      <c r="F261" s="32" t="s">
        <v>382</v>
      </c>
      <c r="G261" s="32" t="s">
        <v>5</v>
      </c>
      <c r="H261" s="33" t="s">
        <v>903</v>
      </c>
      <c r="I261" s="34" t="s">
        <v>383</v>
      </c>
      <c r="J261" t="s">
        <v>325</v>
      </c>
      <c r="K261" s="44" t="s">
        <v>336</v>
      </c>
    </row>
    <row r="262" spans="1:11" ht="14.4">
      <c r="A262" s="28" t="str">
        <f>F262&amp;(COUNTIFS(F$2:F262,F262,K$2:K262,"Sparse"))</f>
        <v>SD57</v>
      </c>
      <c r="B262" s="28" t="str">
        <f>J262&amp;(COUNTIF(J$2:J262,J262))</f>
        <v>Lancashire11</v>
      </c>
      <c r="C262" s="31" t="s">
        <v>148</v>
      </c>
      <c r="D262" s="31" t="s">
        <v>148</v>
      </c>
      <c r="E262" s="32" t="s">
        <v>377</v>
      </c>
      <c r="F262" s="32" t="s">
        <v>382</v>
      </c>
      <c r="G262" s="32" t="s">
        <v>5</v>
      </c>
      <c r="H262" s="33" t="s">
        <v>902</v>
      </c>
      <c r="I262" s="34" t="s">
        <v>385</v>
      </c>
      <c r="J262" t="s">
        <v>317</v>
      </c>
      <c r="K262" s="44"/>
    </row>
    <row r="263" spans="1:11" ht="14.4">
      <c r="A263" s="28" t="str">
        <f>F263&amp;(COUNTIFS(F$2:F263,F263,K$2:K263,"Sparse"))</f>
        <v>SD58</v>
      </c>
      <c r="B263" s="28" t="str">
        <f>J263&amp;(COUNTIF(J$2:J263,J263))</f>
        <v>Somerset4</v>
      </c>
      <c r="C263" s="31" t="s">
        <v>149</v>
      </c>
      <c r="D263" s="31" t="s">
        <v>149</v>
      </c>
      <c r="E263" s="32" t="s">
        <v>1</v>
      </c>
      <c r="F263" s="32" t="s">
        <v>382</v>
      </c>
      <c r="G263" s="32" t="s">
        <v>5</v>
      </c>
      <c r="H263" s="33" t="s">
        <v>906</v>
      </c>
      <c r="I263" s="34" t="s">
        <v>383</v>
      </c>
      <c r="J263" t="s">
        <v>327</v>
      </c>
      <c r="K263" s="44" t="s">
        <v>336</v>
      </c>
    </row>
    <row r="264" spans="1:11" ht="14.4">
      <c r="A264" s="28" t="str">
        <f>F264&amp;(COUNTIFS(F$2:F264,F264,K$2:K264,"Sparse"))</f>
        <v>SD59</v>
      </c>
      <c r="B264" s="28" t="str">
        <f>J264&amp;(COUNTIF(J$2:J264,J264))</f>
        <v>Staffordshire5</v>
      </c>
      <c r="C264" s="31" t="s">
        <v>150</v>
      </c>
      <c r="D264" s="31" t="s">
        <v>150</v>
      </c>
      <c r="E264" s="32" t="s">
        <v>369</v>
      </c>
      <c r="F264" s="32" t="s">
        <v>382</v>
      </c>
      <c r="G264" s="32" t="s">
        <v>5</v>
      </c>
      <c r="H264" s="35" t="s">
        <v>905</v>
      </c>
      <c r="I264" s="34" t="s">
        <v>372</v>
      </c>
      <c r="J264" t="s">
        <v>328</v>
      </c>
      <c r="K264" s="44" t="s">
        <v>336</v>
      </c>
    </row>
    <row r="265" spans="1:11" ht="14.4">
      <c r="A265" s="28" t="str">
        <f>F265&amp;(COUNTIFS(F$2:F265,F265,K$2:K265,"Sparse"))</f>
        <v>MD0</v>
      </c>
      <c r="B265" s="28" t="str">
        <f>J265&amp;(COUNTIF(J$2:J265,J265))</f>
        <v>South Tyneside1</v>
      </c>
      <c r="C265" s="31" t="s">
        <v>248</v>
      </c>
      <c r="D265" s="31" t="s">
        <v>248</v>
      </c>
      <c r="E265" s="32" t="s">
        <v>391</v>
      </c>
      <c r="F265" s="32" t="s">
        <v>387</v>
      </c>
      <c r="G265" s="32" t="s">
        <v>398</v>
      </c>
      <c r="H265" s="33" t="s">
        <v>907</v>
      </c>
      <c r="I265" s="34" t="s">
        <v>385</v>
      </c>
      <c r="J265" t="str">
        <f>C265</f>
        <v>South Tyneside</v>
      </c>
      <c r="K265" s="44"/>
    </row>
    <row r="266" spans="1:11" ht="14.4">
      <c r="A266" s="28" t="str">
        <f>F266&amp;(COUNTIFS(F$2:F266,F266,K$2:K266,"Sparse"))</f>
        <v>UA11</v>
      </c>
      <c r="B266" s="28" t="str">
        <f>J266&amp;(COUNTIF(J$2:J266,J266))</f>
        <v>Unitary42</v>
      </c>
      <c r="C266" s="31" t="s">
        <v>289</v>
      </c>
      <c r="D266" s="31" t="s">
        <v>289</v>
      </c>
      <c r="E266" s="32" t="s">
        <v>0</v>
      </c>
      <c r="F266" s="32" t="s">
        <v>388</v>
      </c>
      <c r="G266" s="32" t="s">
        <v>397</v>
      </c>
      <c r="H266" s="33" t="s">
        <v>902</v>
      </c>
      <c r="I266" s="34" t="s">
        <v>385</v>
      </c>
      <c r="J266" s="45" t="s">
        <v>397</v>
      </c>
      <c r="K266" s="44"/>
    </row>
    <row r="267" spans="1:11" ht="14.4">
      <c r="A267" s="28" t="str">
        <f>F267&amp;(COUNTIFS(F$2:F267,F267,K$2:K267,"Sparse"))</f>
        <v>UA11</v>
      </c>
      <c r="B267" s="28" t="str">
        <f>J267&amp;(COUNTIF(J$2:J267,J267))</f>
        <v>Unitary43</v>
      </c>
      <c r="C267" s="31" t="s">
        <v>290</v>
      </c>
      <c r="D267" s="31" t="s">
        <v>290</v>
      </c>
      <c r="E267" s="32" t="s">
        <v>370</v>
      </c>
      <c r="F267" s="32" t="s">
        <v>388</v>
      </c>
      <c r="G267" s="32" t="s">
        <v>397</v>
      </c>
      <c r="H267" s="33" t="s">
        <v>902</v>
      </c>
      <c r="I267" s="34" t="s">
        <v>385</v>
      </c>
      <c r="J267" s="45" t="s">
        <v>397</v>
      </c>
      <c r="K267" s="44"/>
    </row>
    <row r="268" spans="1:11" ht="14.4">
      <c r="A268" s="28" t="str">
        <f>F268&amp;(COUNTIFS(F$2:F268,F268,K$2:K268,"Sparse"))</f>
        <v>L0</v>
      </c>
      <c r="B268" s="28" t="str">
        <f>J268&amp;(COUNTIF(J$2:J268,J268))</f>
        <v>London28</v>
      </c>
      <c r="C268" s="31" t="s">
        <v>218</v>
      </c>
      <c r="D268" s="31" t="s">
        <v>218</v>
      </c>
      <c r="E268" s="32" t="s">
        <v>384</v>
      </c>
      <c r="F268" s="32" t="s">
        <v>360</v>
      </c>
      <c r="G268" s="32" t="s">
        <v>384</v>
      </c>
      <c r="H268" s="33" t="s">
        <v>907</v>
      </c>
      <c r="I268" s="34" t="s">
        <v>385</v>
      </c>
      <c r="J268" t="str">
        <f>G268</f>
        <v>London</v>
      </c>
      <c r="K268" s="44"/>
    </row>
    <row r="269" spans="1:11" ht="14.4">
      <c r="A269" s="28" t="str">
        <f>F269&amp;(COUNTIFS(F$2:F269,F269,K$2:K269,"Sparse"))</f>
        <v>SD59</v>
      </c>
      <c r="B269" s="28" t="str">
        <f>J269&amp;(COUNTIF(J$2:J269,J269))</f>
        <v>Surrey7</v>
      </c>
      <c r="C269" s="31" t="s">
        <v>151</v>
      </c>
      <c r="D269" s="31" t="s">
        <v>151</v>
      </c>
      <c r="E269" s="32" t="s">
        <v>0</v>
      </c>
      <c r="F269" s="32" t="s">
        <v>382</v>
      </c>
      <c r="G269" s="32" t="s">
        <v>5</v>
      </c>
      <c r="H269" s="33" t="s">
        <v>907</v>
      </c>
      <c r="I269" s="34" t="s">
        <v>385</v>
      </c>
      <c r="J269" t="s">
        <v>330</v>
      </c>
      <c r="K269" s="44"/>
    </row>
    <row r="270" spans="1:11" ht="14.4">
      <c r="A270" s="28" t="str">
        <f>F270&amp;(COUNTIFS(F$2:F270,F270,K$2:K270,"Sparse"))</f>
        <v>SD59</v>
      </c>
      <c r="B270" s="28" t="str">
        <f>J270&amp;(COUNTIF(J$2:J270,J270))</f>
        <v>Hertfordshire7</v>
      </c>
      <c r="C270" s="31" t="s">
        <v>152</v>
      </c>
      <c r="D270" s="31" t="s">
        <v>152</v>
      </c>
      <c r="E270" s="32" t="s">
        <v>370</v>
      </c>
      <c r="F270" s="32" t="s">
        <v>382</v>
      </c>
      <c r="G270" s="32" t="s">
        <v>5</v>
      </c>
      <c r="H270" s="35" t="s">
        <v>902</v>
      </c>
      <c r="I270" s="34" t="s">
        <v>385</v>
      </c>
      <c r="J270" t="s">
        <v>315</v>
      </c>
      <c r="K270" s="44"/>
    </row>
    <row r="271" spans="1:11" ht="14.4">
      <c r="A271" s="28" t="str">
        <f>F271&amp;(COUNTIFS(F$2:F271,F271,K$2:K271,"Sparse"))</f>
        <v>SD60</v>
      </c>
      <c r="B271" s="28" t="str">
        <f>J271&amp;(COUNTIF(J$2:J271,J271))</f>
        <v>Suffolk4</v>
      </c>
      <c r="C271" s="31" t="s">
        <v>912</v>
      </c>
      <c r="D271" s="31" t="s">
        <v>912</v>
      </c>
      <c r="E271" s="32" t="s">
        <v>370</v>
      </c>
      <c r="F271" s="32" t="s">
        <v>382</v>
      </c>
      <c r="G271" s="32" t="s">
        <v>5</v>
      </c>
      <c r="H271" s="33" t="s">
        <v>906</v>
      </c>
      <c r="I271" s="34" t="s">
        <v>383</v>
      </c>
      <c r="J271" t="s">
        <v>329</v>
      </c>
      <c r="K271" s="44" t="s">
        <v>336</v>
      </c>
    </row>
    <row r="272" spans="1:11" ht="14.4">
      <c r="A272" s="28" t="str">
        <f>F272&amp;(COUNTIFS(F$2:F272,F272,K$2:K272,"Sparse"))</f>
        <v>MD0</v>
      </c>
      <c r="B272" s="28" t="str">
        <f>J272&amp;(COUNTIF(J$2:J272,J272))</f>
        <v>St Helens1</v>
      </c>
      <c r="C272" s="31" t="s">
        <v>249</v>
      </c>
      <c r="D272" s="31" t="s">
        <v>396</v>
      </c>
      <c r="E272" s="32" t="s">
        <v>377</v>
      </c>
      <c r="F272" s="32" t="s">
        <v>387</v>
      </c>
      <c r="G272" s="32" t="s">
        <v>398</v>
      </c>
      <c r="H272" s="33" t="s">
        <v>907</v>
      </c>
      <c r="I272" s="34" t="s">
        <v>385</v>
      </c>
      <c r="J272" t="str">
        <f>C272</f>
        <v>St Helens</v>
      </c>
      <c r="K272" s="44"/>
    </row>
    <row r="273" spans="1:11" ht="14.4">
      <c r="A273" s="28" t="str">
        <f>F273&amp;(COUNTIFS(F$2:F273,F273,K$2:K273,"Sparse"))</f>
        <v>SD61</v>
      </c>
      <c r="B273" s="28" t="str">
        <f>J273&amp;(COUNTIF(J$2:J273,J273))</f>
        <v>Staffordshire6</v>
      </c>
      <c r="C273" s="31" t="s">
        <v>154</v>
      </c>
      <c r="D273" s="31" t="s">
        <v>154</v>
      </c>
      <c r="E273" s="32" t="s">
        <v>369</v>
      </c>
      <c r="F273" s="32" t="s">
        <v>382</v>
      </c>
      <c r="G273" s="32" t="s">
        <v>5</v>
      </c>
      <c r="H273" s="35" t="s">
        <v>905</v>
      </c>
      <c r="I273" s="34" t="s">
        <v>372</v>
      </c>
      <c r="J273" t="s">
        <v>328</v>
      </c>
      <c r="K273" s="44" t="s">
        <v>336</v>
      </c>
    </row>
    <row r="274" spans="1:11" ht="14.4">
      <c r="A274" s="28" t="str">
        <f>F274&amp;(COUNTIFS(F$2:F274,F274,K$2:K274,"Sparse"))</f>
        <v>SC13</v>
      </c>
      <c r="B274" s="28" t="str">
        <f>J274&amp;(COUNTIF(J$2:J274,J274))</f>
        <v>Staffordshire7</v>
      </c>
      <c r="C274" s="34" t="s">
        <v>328</v>
      </c>
      <c r="D274" s="34" t="s">
        <v>328</v>
      </c>
      <c r="E274" s="32" t="s">
        <v>369</v>
      </c>
      <c r="F274" s="32" t="s">
        <v>390</v>
      </c>
      <c r="G274" s="32" t="s">
        <v>302</v>
      </c>
      <c r="H274" s="34" t="s">
        <v>372</v>
      </c>
      <c r="I274" s="34" t="s">
        <v>372</v>
      </c>
      <c r="J274" t="str">
        <f>C274</f>
        <v>Staffordshire</v>
      </c>
      <c r="K274" s="44" t="s">
        <v>336</v>
      </c>
    </row>
    <row r="275" spans="1:11" ht="14.4">
      <c r="A275" s="28" t="str">
        <f>F275&amp;(COUNTIFS(F$2:F275,F275,K$2:K275,"Sparse"))</f>
        <v>SD61</v>
      </c>
      <c r="B275" s="28" t="str">
        <f>J275&amp;(COUNTIF(J$2:J275,J275))</f>
        <v>Staffordshire8</v>
      </c>
      <c r="C275" s="31" t="s">
        <v>155</v>
      </c>
      <c r="D275" s="31" t="s">
        <v>155</v>
      </c>
      <c r="E275" s="32" t="s">
        <v>369</v>
      </c>
      <c r="F275" s="32" t="s">
        <v>382</v>
      </c>
      <c r="G275" s="32" t="s">
        <v>5</v>
      </c>
      <c r="H275" s="33" t="s">
        <v>906</v>
      </c>
      <c r="I275" s="34" t="s">
        <v>383</v>
      </c>
      <c r="J275" t="s">
        <v>328</v>
      </c>
      <c r="K275" s="44"/>
    </row>
    <row r="276" spans="1:11" ht="14.4">
      <c r="A276" s="28" t="str">
        <f>F276&amp;(COUNTIFS(F$2:F276,F276,K$2:K276,"Sparse"))</f>
        <v>SD61</v>
      </c>
      <c r="B276" s="28" t="str">
        <f>J276&amp;(COUNTIF(J$2:J276,J276))</f>
        <v>Hertfordshire8</v>
      </c>
      <c r="C276" s="31" t="s">
        <v>156</v>
      </c>
      <c r="D276" s="31" t="s">
        <v>156</v>
      </c>
      <c r="E276" s="32" t="s">
        <v>370</v>
      </c>
      <c r="F276" s="32" t="s">
        <v>382</v>
      </c>
      <c r="G276" s="32" t="s">
        <v>5</v>
      </c>
      <c r="H276" s="33" t="s">
        <v>902</v>
      </c>
      <c r="I276" s="34" t="s">
        <v>385</v>
      </c>
      <c r="J276" t="s">
        <v>315</v>
      </c>
      <c r="K276" s="44"/>
    </row>
    <row r="277" spans="1:11" ht="14.4">
      <c r="A277" s="28" t="str">
        <f>F277&amp;(COUNTIFS(F$2:F277,F277,K$2:K277,"Sparse"))</f>
        <v>MD0</v>
      </c>
      <c r="B277" s="28" t="str">
        <f>J277&amp;(COUNTIF(J$2:J277,J277))</f>
        <v>Stockport1</v>
      </c>
      <c r="C277" s="31" t="s">
        <v>250</v>
      </c>
      <c r="D277" s="31" t="s">
        <v>250</v>
      </c>
      <c r="E277" s="32" t="s">
        <v>377</v>
      </c>
      <c r="F277" s="32" t="s">
        <v>387</v>
      </c>
      <c r="G277" s="32" t="s">
        <v>398</v>
      </c>
      <c r="H277" s="33" t="s">
        <v>907</v>
      </c>
      <c r="I277" s="34" t="s">
        <v>385</v>
      </c>
      <c r="J277" t="str">
        <f>C277</f>
        <v>Stockport</v>
      </c>
      <c r="K277" s="44"/>
    </row>
    <row r="278" spans="1:11" ht="14.4">
      <c r="A278" s="28" t="str">
        <f>F278&amp;(COUNTIFS(F$2:F278,F278,K$2:K278,"Sparse"))</f>
        <v>UA11</v>
      </c>
      <c r="B278" s="28" t="str">
        <f>J278&amp;(COUNTIF(J$2:J278,J278))</f>
        <v>Unitary44</v>
      </c>
      <c r="C278" s="31" t="s">
        <v>291</v>
      </c>
      <c r="D278" s="31" t="s">
        <v>291</v>
      </c>
      <c r="E278" s="32" t="s">
        <v>391</v>
      </c>
      <c r="F278" s="32" t="s">
        <v>388</v>
      </c>
      <c r="G278" s="32" t="s">
        <v>397</v>
      </c>
      <c r="H278" s="33" t="s">
        <v>902</v>
      </c>
      <c r="I278" s="34" t="s">
        <v>385</v>
      </c>
      <c r="J278" s="45" t="s">
        <v>397</v>
      </c>
      <c r="K278" s="44"/>
    </row>
    <row r="279" spans="1:11" ht="14.4">
      <c r="A279" s="28" t="str">
        <f>F279&amp;(COUNTIFS(F$2:F279,F279,K$2:K279,"Sparse"))</f>
        <v>UA11</v>
      </c>
      <c r="B279" s="28" t="str">
        <f>J279&amp;(COUNTIF(J$2:J279,J279))</f>
        <v>Unitary45</v>
      </c>
      <c r="C279" s="31" t="s">
        <v>292</v>
      </c>
      <c r="D279" s="31" t="s">
        <v>292</v>
      </c>
      <c r="E279" s="32" t="s">
        <v>369</v>
      </c>
      <c r="F279" s="32" t="s">
        <v>388</v>
      </c>
      <c r="G279" s="32" t="s">
        <v>397</v>
      </c>
      <c r="H279" s="33" t="s">
        <v>902</v>
      </c>
      <c r="I279" s="34" t="s">
        <v>385</v>
      </c>
      <c r="J279" s="45" t="s">
        <v>397</v>
      </c>
      <c r="K279" s="44"/>
    </row>
    <row r="280" spans="1:11" ht="14.4">
      <c r="A280" s="28" t="str">
        <f>F280&amp;(COUNTIFS(F$2:F280,F280,K$2:K280,"Sparse"))</f>
        <v>SD62</v>
      </c>
      <c r="B280" s="28" t="str">
        <f>J280&amp;(COUNTIF(J$2:J280,J280))</f>
        <v>Warwickshire4</v>
      </c>
      <c r="C280" s="31" t="s">
        <v>157</v>
      </c>
      <c r="D280" s="31" t="s">
        <v>157</v>
      </c>
      <c r="E280" s="32" t="s">
        <v>369</v>
      </c>
      <c r="F280" s="32" t="s">
        <v>382</v>
      </c>
      <c r="G280" s="32" t="s">
        <v>5</v>
      </c>
      <c r="H280" s="33" t="s">
        <v>903</v>
      </c>
      <c r="I280" s="34" t="s">
        <v>383</v>
      </c>
      <c r="J280" t="s">
        <v>331</v>
      </c>
      <c r="K280" s="44" t="s">
        <v>336</v>
      </c>
    </row>
    <row r="281" spans="1:11" ht="14.4">
      <c r="A281" s="28" t="str">
        <f>F281&amp;(COUNTIFS(F$2:F281,F281,K$2:K281,"Sparse"))</f>
        <v>SD63</v>
      </c>
      <c r="B281" s="28" t="str">
        <f>J281&amp;(COUNTIF(J$2:J281,J281))</f>
        <v>Gloucestershire6</v>
      </c>
      <c r="C281" s="31" t="s">
        <v>158</v>
      </c>
      <c r="D281" s="31" t="s">
        <v>158</v>
      </c>
      <c r="E281" s="32" t="s">
        <v>1</v>
      </c>
      <c r="F281" s="32" t="s">
        <v>382</v>
      </c>
      <c r="G281" s="32" t="s">
        <v>5</v>
      </c>
      <c r="H281" s="33" t="s">
        <v>905</v>
      </c>
      <c r="I281" s="34" t="s">
        <v>372</v>
      </c>
      <c r="J281" t="s">
        <v>313</v>
      </c>
      <c r="K281" s="44" t="s">
        <v>336</v>
      </c>
    </row>
    <row r="282" spans="1:11" ht="14.4">
      <c r="A282" s="28" t="str">
        <f>F282&amp;(COUNTIFS(F$2:F282,F282,K$2:K282,"Sparse"))</f>
        <v>SC14</v>
      </c>
      <c r="B282" s="28" t="str">
        <f>J282&amp;(COUNTIF(J$2:J282,J282))</f>
        <v>Suffolk5</v>
      </c>
      <c r="C282" s="34" t="s">
        <v>329</v>
      </c>
      <c r="D282" s="34" t="s">
        <v>329</v>
      </c>
      <c r="E282" s="32" t="s">
        <v>370</v>
      </c>
      <c r="F282" s="32" t="s">
        <v>390</v>
      </c>
      <c r="G282" s="32" t="s">
        <v>302</v>
      </c>
      <c r="H282" s="34" t="s">
        <v>383</v>
      </c>
      <c r="I282" s="34" t="s">
        <v>383</v>
      </c>
      <c r="J282" t="str">
        <f>C282</f>
        <v>Suffolk</v>
      </c>
      <c r="K282" s="44" t="s">
        <v>336</v>
      </c>
    </row>
    <row r="283" spans="1:11" ht="14.4">
      <c r="A283" s="28" t="str">
        <f>F283&amp;(COUNTIFS(F$2:F283,F283,K$2:K283,"Sparse"))</f>
        <v>SD64</v>
      </c>
      <c r="B283" s="28" t="str">
        <f>J283&amp;(COUNTIF(J$2:J283,J283))</f>
        <v>Suffolk6</v>
      </c>
      <c r="C283" s="31" t="s">
        <v>911</v>
      </c>
      <c r="D283" s="31" t="s">
        <v>911</v>
      </c>
      <c r="E283" s="32" t="s">
        <v>370</v>
      </c>
      <c r="F283" s="32" t="s">
        <v>382</v>
      </c>
      <c r="G283" s="32" t="s">
        <v>5</v>
      </c>
      <c r="H283" s="33" t="s">
        <v>906</v>
      </c>
      <c r="I283" s="34" t="s">
        <v>383</v>
      </c>
      <c r="J283" t="s">
        <v>329</v>
      </c>
      <c r="K283" s="44" t="s">
        <v>336</v>
      </c>
    </row>
    <row r="284" spans="1:11" ht="14.4">
      <c r="A284" s="28" t="str">
        <f>F284&amp;(COUNTIFS(F$2:F284,F284,K$2:K284,"Sparse"))</f>
        <v>MD0</v>
      </c>
      <c r="B284" s="28" t="str">
        <f>J284&amp;(COUNTIF(J$2:J284,J284))</f>
        <v>Sunderland1</v>
      </c>
      <c r="C284" s="31" t="s">
        <v>251</v>
      </c>
      <c r="D284" s="31" t="s">
        <v>251</v>
      </c>
      <c r="E284" s="32" t="s">
        <v>391</v>
      </c>
      <c r="F284" s="32" t="s">
        <v>387</v>
      </c>
      <c r="G284" s="32" t="s">
        <v>398</v>
      </c>
      <c r="H284" s="33" t="s">
        <v>907</v>
      </c>
      <c r="I284" s="34" t="s">
        <v>385</v>
      </c>
      <c r="J284" t="str">
        <f>C284</f>
        <v>Sunderland</v>
      </c>
      <c r="K284" s="44"/>
    </row>
    <row r="285" spans="1:11" ht="14.4">
      <c r="A285" s="28" t="str">
        <f>F285&amp;(COUNTIFS(F$2:F285,F285,K$2:K285,"Sparse"))</f>
        <v>SC14</v>
      </c>
      <c r="B285" s="28" t="str">
        <f>J285&amp;(COUNTIF(J$2:J285,J285))</f>
        <v>Surrey8</v>
      </c>
      <c r="C285" s="34" t="s">
        <v>330</v>
      </c>
      <c r="D285" s="34" t="s">
        <v>330</v>
      </c>
      <c r="E285" s="32" t="s">
        <v>0</v>
      </c>
      <c r="F285" s="32" t="s">
        <v>390</v>
      </c>
      <c r="G285" s="32" t="s">
        <v>302</v>
      </c>
      <c r="H285" s="34" t="s">
        <v>385</v>
      </c>
      <c r="I285" s="34" t="s">
        <v>385</v>
      </c>
      <c r="J285" t="str">
        <f>C285</f>
        <v>Surrey</v>
      </c>
      <c r="K285" s="44"/>
    </row>
    <row r="286" spans="1:11" ht="14.4">
      <c r="A286" s="28" t="str">
        <f>F286&amp;(COUNTIFS(F$2:F286,F286,K$2:K286,"Sparse"))</f>
        <v>SD64</v>
      </c>
      <c r="B286" s="28" t="str">
        <f>J286&amp;(COUNTIF(J$2:J286,J286))</f>
        <v>Surrey9</v>
      </c>
      <c r="C286" s="31" t="s">
        <v>160</v>
      </c>
      <c r="D286" s="31" t="s">
        <v>160</v>
      </c>
      <c r="E286" s="32" t="s">
        <v>0</v>
      </c>
      <c r="F286" s="32" t="s">
        <v>382</v>
      </c>
      <c r="G286" s="32" t="s">
        <v>5</v>
      </c>
      <c r="H286" s="33" t="s">
        <v>902</v>
      </c>
      <c r="I286" s="34" t="s">
        <v>385</v>
      </c>
      <c r="J286" t="s">
        <v>330</v>
      </c>
      <c r="K286" s="44"/>
    </row>
    <row r="287" spans="1:11" ht="14.4">
      <c r="A287" s="28" t="str">
        <f>F287&amp;(COUNTIFS(F$2:F287,F287,K$2:K287,"Sparse"))</f>
        <v>L0</v>
      </c>
      <c r="B287" s="28" t="str">
        <f>J287&amp;(COUNTIF(J$2:J287,J287))</f>
        <v>London29</v>
      </c>
      <c r="C287" s="31" t="s">
        <v>219</v>
      </c>
      <c r="D287" s="31" t="s">
        <v>219</v>
      </c>
      <c r="E287" s="32" t="s">
        <v>384</v>
      </c>
      <c r="F287" s="32" t="s">
        <v>360</v>
      </c>
      <c r="G287" s="32" t="s">
        <v>384</v>
      </c>
      <c r="H287" s="33" t="s">
        <v>907</v>
      </c>
      <c r="I287" s="34" t="s">
        <v>385</v>
      </c>
      <c r="J287" t="str">
        <f>G287</f>
        <v>London</v>
      </c>
      <c r="K287" s="44"/>
    </row>
    <row r="288" spans="1:11" ht="14.4">
      <c r="A288" s="28" t="str">
        <f>F288&amp;(COUNTIFS(F$2:F288,F288,K$2:K288,"Sparse"))</f>
        <v>SD64</v>
      </c>
      <c r="B288" s="28" t="str">
        <f>J288&amp;(COUNTIF(J$2:J288,J288))</f>
        <v>Kent10</v>
      </c>
      <c r="C288" s="31" t="s">
        <v>161</v>
      </c>
      <c r="D288" s="31" t="s">
        <v>161</v>
      </c>
      <c r="E288" s="32" t="s">
        <v>0</v>
      </c>
      <c r="F288" s="32" t="s">
        <v>382</v>
      </c>
      <c r="G288" s="32" t="s">
        <v>5</v>
      </c>
      <c r="H288" s="35" t="s">
        <v>906</v>
      </c>
      <c r="I288" s="34" t="s">
        <v>383</v>
      </c>
      <c r="J288" t="s">
        <v>316</v>
      </c>
      <c r="K288" s="44"/>
    </row>
    <row r="289" spans="1:11" ht="14.4">
      <c r="A289" s="28" t="str">
        <f>F289&amp;(COUNTIFS(F$2:F289,F289,K$2:K289,"Sparse"))</f>
        <v>UA11</v>
      </c>
      <c r="B289" s="28" t="str">
        <f>J289&amp;(COUNTIF(J$2:J289,J289))</f>
        <v>Unitary46</v>
      </c>
      <c r="C289" s="31" t="s">
        <v>293</v>
      </c>
      <c r="D289" s="31" t="s">
        <v>293</v>
      </c>
      <c r="E289" s="32" t="s">
        <v>1</v>
      </c>
      <c r="F289" s="32" t="s">
        <v>388</v>
      </c>
      <c r="G289" s="32" t="s">
        <v>397</v>
      </c>
      <c r="H289" s="33" t="s">
        <v>902</v>
      </c>
      <c r="I289" s="34" t="s">
        <v>385</v>
      </c>
      <c r="J289" s="45" t="s">
        <v>397</v>
      </c>
      <c r="K289" s="44"/>
    </row>
    <row r="290" spans="1:11" ht="14.4">
      <c r="A290" s="28" t="str">
        <f>F290&amp;(COUNTIFS(F$2:F290,F290,K$2:K290,"Sparse"))</f>
        <v>MD0</v>
      </c>
      <c r="B290" s="28" t="str">
        <f>J290&amp;(COUNTIF(J$2:J290,J290))</f>
        <v>Tameside1</v>
      </c>
      <c r="C290" s="31" t="s">
        <v>252</v>
      </c>
      <c r="D290" s="31" t="s">
        <v>252</v>
      </c>
      <c r="E290" s="32" t="s">
        <v>377</v>
      </c>
      <c r="F290" s="32" t="s">
        <v>387</v>
      </c>
      <c r="G290" s="32" t="s">
        <v>398</v>
      </c>
      <c r="H290" s="33" t="s">
        <v>907</v>
      </c>
      <c r="I290" s="34" t="s">
        <v>385</v>
      </c>
      <c r="J290" t="str">
        <f>C290</f>
        <v>Tameside</v>
      </c>
      <c r="K290" s="44"/>
    </row>
    <row r="291" spans="1:11" ht="14.4">
      <c r="A291" s="28" t="str">
        <f>F291&amp;(COUNTIFS(F$2:F291,F291,K$2:K291,"Sparse"))</f>
        <v>SD64</v>
      </c>
      <c r="B291" s="28" t="str">
        <f>J291&amp;(COUNTIF(J$2:J291,J291))</f>
        <v>Staffordshire9</v>
      </c>
      <c r="C291" s="31" t="s">
        <v>162</v>
      </c>
      <c r="D291" s="31" t="s">
        <v>162</v>
      </c>
      <c r="E291" s="32" t="s">
        <v>369</v>
      </c>
      <c r="F291" s="32" t="s">
        <v>382</v>
      </c>
      <c r="G291" s="32" t="s">
        <v>5</v>
      </c>
      <c r="H291" s="33" t="s">
        <v>902</v>
      </c>
      <c r="I291" s="34" t="s">
        <v>385</v>
      </c>
      <c r="J291" t="s">
        <v>328</v>
      </c>
      <c r="K291" s="44"/>
    </row>
    <row r="292" spans="1:11" ht="14.4">
      <c r="A292" s="28" t="str">
        <f>F292&amp;(COUNTIFS(F$2:F292,F292,K$2:K292,"Sparse"))</f>
        <v>SD65</v>
      </c>
      <c r="B292" s="28" t="str">
        <f>J292&amp;(COUNTIF(J$2:J292,J292))</f>
        <v>Surrey10</v>
      </c>
      <c r="C292" s="31" t="s">
        <v>163</v>
      </c>
      <c r="D292" s="31" t="s">
        <v>163</v>
      </c>
      <c r="E292" s="32" t="s">
        <v>0</v>
      </c>
      <c r="F292" s="32" t="s">
        <v>382</v>
      </c>
      <c r="G292" s="32" t="s">
        <v>5</v>
      </c>
      <c r="H292" s="33" t="s">
        <v>905</v>
      </c>
      <c r="I292" s="34" t="s">
        <v>372</v>
      </c>
      <c r="J292" t="s">
        <v>330</v>
      </c>
      <c r="K292" s="44" t="s">
        <v>336</v>
      </c>
    </row>
    <row r="293" spans="1:11" ht="14.4">
      <c r="A293" s="28" t="str">
        <f>F293&amp;(COUNTIFS(F$2:F293,F293,K$2:K293,"Sparse"))</f>
        <v>SD66</v>
      </c>
      <c r="B293" s="28" t="str">
        <f>J293&amp;(COUNTIF(J$2:J293,J293))</f>
        <v>Somerset5</v>
      </c>
      <c r="C293" s="31" t="s">
        <v>164</v>
      </c>
      <c r="D293" s="31" t="s">
        <v>164</v>
      </c>
      <c r="E293" s="32" t="s">
        <v>1</v>
      </c>
      <c r="F293" s="32" t="s">
        <v>382</v>
      </c>
      <c r="G293" s="32" t="s">
        <v>5</v>
      </c>
      <c r="H293" s="35" t="s">
        <v>905</v>
      </c>
      <c r="I293" s="34" t="s">
        <v>372</v>
      </c>
      <c r="J293" t="s">
        <v>327</v>
      </c>
      <c r="K293" s="44" t="s">
        <v>336</v>
      </c>
    </row>
    <row r="294" spans="1:11" ht="14.4">
      <c r="A294" s="28" t="str">
        <f>F294&amp;(COUNTIFS(F$2:F294,F294,K$2:K294,"Sparse"))</f>
        <v>SD67</v>
      </c>
      <c r="B294" s="28" t="str">
        <f>J294&amp;(COUNTIF(J$2:J294,J294))</f>
        <v>Devon7</v>
      </c>
      <c r="C294" s="31" t="s">
        <v>165</v>
      </c>
      <c r="D294" s="31" t="s">
        <v>165</v>
      </c>
      <c r="E294" s="32" t="s">
        <v>1</v>
      </c>
      <c r="F294" s="32" t="s">
        <v>382</v>
      </c>
      <c r="G294" s="32" t="s">
        <v>5</v>
      </c>
      <c r="H294" s="33" t="s">
        <v>906</v>
      </c>
      <c r="I294" s="34" t="s">
        <v>383</v>
      </c>
      <c r="J294" t="s">
        <v>309</v>
      </c>
      <c r="K294" s="44" t="s">
        <v>336</v>
      </c>
    </row>
    <row r="295" spans="1:11" ht="14.4">
      <c r="A295" s="28" t="str">
        <f>F295&amp;(COUNTIFS(F$2:F295,F295,K$2:K295,"Sparse"))</f>
        <v>UA11</v>
      </c>
      <c r="B295" s="28" t="str">
        <f>J295&amp;(COUNTIF(J$2:J295,J295))</f>
        <v>Unitary47</v>
      </c>
      <c r="C295" s="31" t="s">
        <v>815</v>
      </c>
      <c r="D295" s="31" t="s">
        <v>815</v>
      </c>
      <c r="E295" s="32" t="s">
        <v>369</v>
      </c>
      <c r="F295" s="32" t="s">
        <v>388</v>
      </c>
      <c r="G295" s="32" t="s">
        <v>397</v>
      </c>
      <c r="H295" s="33" t="s">
        <v>902</v>
      </c>
      <c r="I295" s="34" t="s">
        <v>385</v>
      </c>
      <c r="J295" s="45" t="s">
        <v>397</v>
      </c>
      <c r="K295" s="44"/>
    </row>
    <row r="296" spans="1:11" ht="14.4">
      <c r="A296" s="28" t="str">
        <f>F296&amp;(COUNTIFS(F$2:F296,F296,K$2:K296,"Sparse"))</f>
        <v>SD67</v>
      </c>
      <c r="B296" s="28" t="str">
        <f>J296&amp;(COUNTIF(J$2:J296,J296))</f>
        <v>Essex12</v>
      </c>
      <c r="C296" s="31" t="s">
        <v>166</v>
      </c>
      <c r="D296" s="31" t="s">
        <v>166</v>
      </c>
      <c r="E296" s="32" t="s">
        <v>370</v>
      </c>
      <c r="F296" s="32" t="s">
        <v>382</v>
      </c>
      <c r="G296" s="32" t="s">
        <v>5</v>
      </c>
      <c r="H296" s="33" t="s">
        <v>906</v>
      </c>
      <c r="I296" s="34" t="s">
        <v>383</v>
      </c>
      <c r="J296" t="s">
        <v>312</v>
      </c>
      <c r="K296" s="44"/>
    </row>
    <row r="297" spans="1:11" ht="14.4">
      <c r="A297" s="28" t="str">
        <f>F297&amp;(COUNTIFS(F$2:F297,F297,K$2:K297,"Sparse"))</f>
        <v>SD67</v>
      </c>
      <c r="B297" s="28" t="str">
        <f>J297&amp;(COUNTIF(J$2:J297,J297))</f>
        <v>Hampshire11</v>
      </c>
      <c r="C297" s="31" t="s">
        <v>167</v>
      </c>
      <c r="D297" s="31" t="s">
        <v>167</v>
      </c>
      <c r="E297" s="32" t="s">
        <v>0</v>
      </c>
      <c r="F297" s="32" t="s">
        <v>382</v>
      </c>
      <c r="G297" s="32" t="s">
        <v>5</v>
      </c>
      <c r="H297" s="33" t="s">
        <v>905</v>
      </c>
      <c r="I297" s="34" t="s">
        <v>372</v>
      </c>
      <c r="J297" t="s">
        <v>314</v>
      </c>
      <c r="K297" s="44"/>
    </row>
    <row r="298" spans="1:11" ht="14.4">
      <c r="A298" s="28" t="str">
        <f>F298&amp;(COUNTIFS(F$2:F298,F298,K$2:K298,"Sparse"))</f>
        <v>SD68</v>
      </c>
      <c r="B298" s="28" t="str">
        <f>J298&amp;(COUNTIF(J$2:J298,J298))</f>
        <v>Gloucestershire7</v>
      </c>
      <c r="C298" s="31" t="s">
        <v>168</v>
      </c>
      <c r="D298" s="31" t="s">
        <v>168</v>
      </c>
      <c r="E298" s="32" t="s">
        <v>1</v>
      </c>
      <c r="F298" s="32" t="s">
        <v>382</v>
      </c>
      <c r="G298" s="32" t="s">
        <v>5</v>
      </c>
      <c r="H298" s="33" t="s">
        <v>906</v>
      </c>
      <c r="I298" s="34" t="s">
        <v>383</v>
      </c>
      <c r="J298" t="s">
        <v>313</v>
      </c>
      <c r="K298" s="44" t="s">
        <v>336</v>
      </c>
    </row>
    <row r="299" spans="1:11" ht="14.4">
      <c r="A299" s="28" t="str">
        <f>F299&amp;(COUNTIFS(F$2:F299,F299,K$2:K299,"Sparse"))</f>
        <v>SD68</v>
      </c>
      <c r="B299" s="28" t="str">
        <f>J299&amp;(COUNTIF(J$2:J299,J299))</f>
        <v>Kent11</v>
      </c>
      <c r="C299" s="31" t="s">
        <v>169</v>
      </c>
      <c r="D299" s="31" t="s">
        <v>169</v>
      </c>
      <c r="E299" s="32" t="s">
        <v>0</v>
      </c>
      <c r="F299" s="32" t="s">
        <v>382</v>
      </c>
      <c r="G299" s="32" t="s">
        <v>5</v>
      </c>
      <c r="H299" s="33" t="s">
        <v>902</v>
      </c>
      <c r="I299" s="34" t="s">
        <v>385</v>
      </c>
      <c r="J299" t="s">
        <v>316</v>
      </c>
      <c r="K299" s="44"/>
    </row>
    <row r="300" spans="1:11" ht="14.4">
      <c r="A300" s="28" t="str">
        <f>F300&amp;(COUNTIFS(F$2:F300,F300,K$2:K300,"Sparse"))</f>
        <v>SD68</v>
      </c>
      <c r="B300" s="28" t="str">
        <f>J300&amp;(COUNTIF(J$2:J300,J300))</f>
        <v>Hertfordshire9</v>
      </c>
      <c r="C300" s="31" t="s">
        <v>170</v>
      </c>
      <c r="D300" s="31" t="s">
        <v>170</v>
      </c>
      <c r="E300" s="32" t="s">
        <v>370</v>
      </c>
      <c r="F300" s="32" t="s">
        <v>382</v>
      </c>
      <c r="G300" s="32" t="s">
        <v>5</v>
      </c>
      <c r="H300" s="33" t="s">
        <v>907</v>
      </c>
      <c r="I300" s="34" t="s">
        <v>385</v>
      </c>
      <c r="J300" t="s">
        <v>315</v>
      </c>
      <c r="K300" s="44"/>
    </row>
    <row r="301" spans="1:11" ht="14.4">
      <c r="A301" s="28" t="str">
        <f>F301&amp;(COUNTIFS(F$2:F301,F301,K$2:K301,"Sparse"))</f>
        <v>UA11</v>
      </c>
      <c r="B301" s="28" t="str">
        <f>J301&amp;(COUNTIF(J$2:J301,J301))</f>
        <v>Unitary48</v>
      </c>
      <c r="C301" s="31" t="s">
        <v>294</v>
      </c>
      <c r="D301" s="31" t="s">
        <v>294</v>
      </c>
      <c r="E301" s="32" t="s">
        <v>370</v>
      </c>
      <c r="F301" s="32" t="s">
        <v>388</v>
      </c>
      <c r="G301" s="32" t="s">
        <v>397</v>
      </c>
      <c r="H301" s="33" t="s">
        <v>907</v>
      </c>
      <c r="I301" s="34" t="s">
        <v>385</v>
      </c>
      <c r="J301" s="45" t="s">
        <v>397</v>
      </c>
      <c r="K301" s="44"/>
    </row>
    <row r="302" spans="1:11" ht="14.4">
      <c r="A302" s="28" t="str">
        <f>F302&amp;(COUNTIFS(F$2:F302,F302,K$2:K302,"Sparse"))</f>
        <v>SD68</v>
      </c>
      <c r="B302" s="28" t="str">
        <f>J302&amp;(COUNTIF(J$2:J302,J302))</f>
        <v>Kent12</v>
      </c>
      <c r="C302" s="31" t="s">
        <v>351</v>
      </c>
      <c r="D302" s="31" t="s">
        <v>351</v>
      </c>
      <c r="E302" s="32" t="s">
        <v>0</v>
      </c>
      <c r="F302" s="32" t="s">
        <v>382</v>
      </c>
      <c r="G302" s="32" t="s">
        <v>5</v>
      </c>
      <c r="H302" s="33" t="s">
        <v>905</v>
      </c>
      <c r="I302" s="34" t="s">
        <v>372</v>
      </c>
      <c r="J302" t="s">
        <v>316</v>
      </c>
      <c r="K302" s="44"/>
    </row>
    <row r="303" spans="1:11" ht="14.4">
      <c r="A303" s="28" t="str">
        <f>F303&amp;(COUNTIFS(F$2:F303,F303,K$2:K303,"Sparse"))</f>
        <v>UA11</v>
      </c>
      <c r="B303" s="28" t="str">
        <f>J303&amp;(COUNTIF(J$2:J303,J303))</f>
        <v>Unitary49</v>
      </c>
      <c r="C303" s="31" t="s">
        <v>295</v>
      </c>
      <c r="D303" s="31" t="s">
        <v>295</v>
      </c>
      <c r="E303" s="32" t="s">
        <v>1</v>
      </c>
      <c r="F303" s="32" t="s">
        <v>388</v>
      </c>
      <c r="G303" s="32" t="s">
        <v>397</v>
      </c>
      <c r="H303" s="33" t="s">
        <v>902</v>
      </c>
      <c r="I303" s="34" t="s">
        <v>385</v>
      </c>
      <c r="J303" s="45" t="s">
        <v>397</v>
      </c>
      <c r="K303" s="44"/>
    </row>
    <row r="304" spans="1:11" ht="14.4">
      <c r="A304" s="28" t="str">
        <f>F304&amp;(COUNTIFS(F$2:F304,F304,K$2:K304,"Sparse"))</f>
        <v>SD69</v>
      </c>
      <c r="B304" s="28" t="str">
        <f>J304&amp;(COUNTIF(J$2:J304,J304))</f>
        <v>Devon8</v>
      </c>
      <c r="C304" s="31" t="s">
        <v>171</v>
      </c>
      <c r="D304" s="31" t="s">
        <v>171</v>
      </c>
      <c r="E304" s="32" t="s">
        <v>1</v>
      </c>
      <c r="F304" s="32" t="s">
        <v>382</v>
      </c>
      <c r="G304" s="32" t="s">
        <v>5</v>
      </c>
      <c r="H304" s="33" t="s">
        <v>903</v>
      </c>
      <c r="I304" s="34" t="s">
        <v>383</v>
      </c>
      <c r="J304" t="s">
        <v>309</v>
      </c>
      <c r="K304" s="44" t="s">
        <v>336</v>
      </c>
    </row>
    <row r="305" spans="1:11" ht="14.4">
      <c r="A305" s="28" t="str">
        <f>F305&amp;(COUNTIFS(F$2:F305,F305,K$2:K305,"Sparse"))</f>
        <v>L0</v>
      </c>
      <c r="B305" s="28" t="str">
        <f>J305&amp;(COUNTIF(J$2:J305,J305))</f>
        <v>London30</v>
      </c>
      <c r="C305" s="31" t="s">
        <v>220</v>
      </c>
      <c r="D305" s="31" t="s">
        <v>220</v>
      </c>
      <c r="E305" s="32" t="s">
        <v>384</v>
      </c>
      <c r="F305" s="32" t="s">
        <v>360</v>
      </c>
      <c r="G305" s="32" t="s">
        <v>384</v>
      </c>
      <c r="H305" s="33" t="s">
        <v>907</v>
      </c>
      <c r="I305" s="34" t="s">
        <v>385</v>
      </c>
      <c r="J305" t="str">
        <f>G305</f>
        <v>London</v>
      </c>
      <c r="K305" s="44"/>
    </row>
    <row r="306" spans="1:11" ht="14.4">
      <c r="A306" s="28" t="str">
        <f>F306&amp;(COUNTIFS(F$2:F306,F306,K$2:K306,"Sparse"))</f>
        <v>MD0</v>
      </c>
      <c r="B306" s="28" t="str">
        <f>J306&amp;(COUNTIF(J$2:J306,J306))</f>
        <v>Trafford1</v>
      </c>
      <c r="C306" s="31" t="s">
        <v>253</v>
      </c>
      <c r="D306" s="31" t="s">
        <v>253</v>
      </c>
      <c r="E306" s="32" t="s">
        <v>377</v>
      </c>
      <c r="F306" s="32" t="s">
        <v>387</v>
      </c>
      <c r="G306" s="32" t="s">
        <v>398</v>
      </c>
      <c r="H306" s="33" t="s">
        <v>907</v>
      </c>
      <c r="I306" s="34" t="s">
        <v>385</v>
      </c>
      <c r="J306" t="str">
        <f>C306</f>
        <v>Trafford</v>
      </c>
      <c r="K306" s="44"/>
    </row>
    <row r="307" spans="1:11" ht="14.4">
      <c r="A307" s="28" t="str">
        <f>F307&amp;(COUNTIFS(F$2:F307,F307,K$2:K307,"Sparse"))</f>
        <v>SD70</v>
      </c>
      <c r="B307" s="28" t="str">
        <f>J307&amp;(COUNTIF(J$2:J307,J307))</f>
        <v>Kent13</v>
      </c>
      <c r="C307" s="31" t="s">
        <v>172</v>
      </c>
      <c r="D307" s="31" t="s">
        <v>172</v>
      </c>
      <c r="E307" s="32" t="s">
        <v>0</v>
      </c>
      <c r="F307" s="32" t="s">
        <v>382</v>
      </c>
      <c r="G307" s="32" t="s">
        <v>5</v>
      </c>
      <c r="H307" s="35" t="s">
        <v>905</v>
      </c>
      <c r="I307" s="34" t="s">
        <v>372</v>
      </c>
      <c r="J307" t="s">
        <v>316</v>
      </c>
      <c r="K307" s="44" t="s">
        <v>336</v>
      </c>
    </row>
    <row r="308" spans="1:11" ht="14.4">
      <c r="A308" s="28" t="str">
        <f>F308&amp;(COUNTIFS(F$2:F308,F308,K$2:K308,"Sparse"))</f>
        <v>SD71</v>
      </c>
      <c r="B308" s="28" t="str">
        <f>J308&amp;(COUNTIF(J$2:J308,J308))</f>
        <v>Essex13</v>
      </c>
      <c r="C308" s="31" t="s">
        <v>173</v>
      </c>
      <c r="D308" s="31" t="s">
        <v>173</v>
      </c>
      <c r="E308" s="32" t="s">
        <v>370</v>
      </c>
      <c r="F308" s="32" t="s">
        <v>382</v>
      </c>
      <c r="G308" s="32" t="s">
        <v>5</v>
      </c>
      <c r="H308" s="33" t="s">
        <v>903</v>
      </c>
      <c r="I308" s="34" t="s">
        <v>383</v>
      </c>
      <c r="J308" t="s">
        <v>312</v>
      </c>
      <c r="K308" s="44" t="s">
        <v>336</v>
      </c>
    </row>
    <row r="309" spans="1:11" ht="14.4">
      <c r="A309" s="28" t="str">
        <f>F309&amp;(COUNTIFS(F$2:F309,F309,K$2:K309,"Sparse"))</f>
        <v>SD72</v>
      </c>
      <c r="B309" s="28" t="str">
        <f>J309&amp;(COUNTIF(J$2:J309,J309))</f>
        <v>Oxfordshire5</v>
      </c>
      <c r="C309" s="31" t="s">
        <v>174</v>
      </c>
      <c r="D309" s="31" t="s">
        <v>174</v>
      </c>
      <c r="E309" s="32" t="s">
        <v>0</v>
      </c>
      <c r="F309" s="32" t="s">
        <v>382</v>
      </c>
      <c r="G309" s="32" t="s">
        <v>5</v>
      </c>
      <c r="H309" s="33" t="s">
        <v>906</v>
      </c>
      <c r="I309" s="34" t="s">
        <v>383</v>
      </c>
      <c r="J309" t="s">
        <v>325</v>
      </c>
      <c r="K309" s="44" t="s">
        <v>336</v>
      </c>
    </row>
    <row r="310" spans="1:11" ht="14.4">
      <c r="A310" s="28" t="str">
        <f>F310&amp;(COUNTIFS(F$2:F310,F310,K$2:K310,"Sparse"))</f>
        <v>MD0</v>
      </c>
      <c r="B310" s="28" t="str">
        <f>J310&amp;(COUNTIF(J$2:J310,J310))</f>
        <v>Wakefield1</v>
      </c>
      <c r="C310" s="31" t="s">
        <v>254</v>
      </c>
      <c r="D310" s="31" t="s">
        <v>254</v>
      </c>
      <c r="E310" s="32" t="s">
        <v>386</v>
      </c>
      <c r="F310" s="32" t="s">
        <v>387</v>
      </c>
      <c r="G310" s="32" t="s">
        <v>398</v>
      </c>
      <c r="H310" s="35" t="s">
        <v>902</v>
      </c>
      <c r="I310" s="34" t="s">
        <v>385</v>
      </c>
      <c r="J310" t="str">
        <f>C310</f>
        <v>Wakefield</v>
      </c>
      <c r="K310" s="44"/>
    </row>
    <row r="311" spans="1:11" ht="14.4">
      <c r="A311" s="28" t="str">
        <f>F311&amp;(COUNTIFS(F$2:F311,F311,K$2:K311,"Sparse"))</f>
        <v>MD0</v>
      </c>
      <c r="B311" s="28" t="str">
        <f>J311&amp;(COUNTIF(J$2:J311,J311))</f>
        <v>Walsall1</v>
      </c>
      <c r="C311" s="31" t="s">
        <v>255</v>
      </c>
      <c r="D311" s="31" t="s">
        <v>255</v>
      </c>
      <c r="E311" s="32" t="s">
        <v>369</v>
      </c>
      <c r="F311" s="32" t="s">
        <v>387</v>
      </c>
      <c r="G311" s="32" t="s">
        <v>398</v>
      </c>
      <c r="H311" s="33" t="s">
        <v>907</v>
      </c>
      <c r="I311" s="34" t="s">
        <v>385</v>
      </c>
      <c r="J311" t="str">
        <f>C311</f>
        <v>Walsall</v>
      </c>
      <c r="K311" s="44"/>
    </row>
    <row r="312" spans="1:11" ht="14.4">
      <c r="A312" s="28" t="str">
        <f>F312&amp;(COUNTIFS(F$2:F312,F312,K$2:K312,"Sparse"))</f>
        <v>L0</v>
      </c>
      <c r="B312" s="28" t="str">
        <f>J312&amp;(COUNTIF(J$2:J312,J312))</f>
        <v>London31</v>
      </c>
      <c r="C312" s="31" t="s">
        <v>221</v>
      </c>
      <c r="D312" s="31" t="s">
        <v>221</v>
      </c>
      <c r="E312" s="32" t="s">
        <v>384</v>
      </c>
      <c r="F312" s="32" t="s">
        <v>360</v>
      </c>
      <c r="G312" s="32" t="s">
        <v>384</v>
      </c>
      <c r="H312" s="33" t="s">
        <v>907</v>
      </c>
      <c r="I312" s="34" t="s">
        <v>385</v>
      </c>
      <c r="J312" t="str">
        <f>G312</f>
        <v>London</v>
      </c>
      <c r="K312" s="44"/>
    </row>
    <row r="313" spans="1:11" ht="14.4">
      <c r="A313" s="28" t="str">
        <f>F313&amp;(COUNTIFS(F$2:F313,F313,K$2:K313,"Sparse"))</f>
        <v>L0</v>
      </c>
      <c r="B313" s="28" t="str">
        <f>J313&amp;(COUNTIF(J$2:J313,J313))</f>
        <v>London32</v>
      </c>
      <c r="C313" s="31" t="s">
        <v>222</v>
      </c>
      <c r="D313" s="31" t="s">
        <v>222</v>
      </c>
      <c r="E313" s="32" t="s">
        <v>384</v>
      </c>
      <c r="F313" s="32" t="s">
        <v>360</v>
      </c>
      <c r="G313" s="32" t="s">
        <v>384</v>
      </c>
      <c r="H313" s="33" t="s">
        <v>907</v>
      </c>
      <c r="I313" s="34" t="s">
        <v>385</v>
      </c>
      <c r="J313" t="str">
        <f>G313</f>
        <v>London</v>
      </c>
      <c r="K313" s="44"/>
    </row>
    <row r="314" spans="1:11" ht="14.4">
      <c r="A314" s="28" t="str">
        <f>F314&amp;(COUNTIFS(F$2:F314,F314,K$2:K314,"Sparse"))</f>
        <v>UA11</v>
      </c>
      <c r="B314" s="28" t="str">
        <f>J314&amp;(COUNTIF(J$2:J314,J314))</f>
        <v>Unitary50</v>
      </c>
      <c r="C314" s="31" t="s">
        <v>296</v>
      </c>
      <c r="D314" s="31" t="s">
        <v>296</v>
      </c>
      <c r="E314" s="32" t="s">
        <v>377</v>
      </c>
      <c r="F314" s="32" t="s">
        <v>388</v>
      </c>
      <c r="G314" s="32" t="s">
        <v>397</v>
      </c>
      <c r="H314" s="33" t="s">
        <v>902</v>
      </c>
      <c r="I314" s="34" t="s">
        <v>385</v>
      </c>
      <c r="J314" s="45" t="s">
        <v>397</v>
      </c>
      <c r="K314" s="44"/>
    </row>
    <row r="315" spans="1:11" ht="14.4">
      <c r="A315" s="28" t="str">
        <f>F315&amp;(COUNTIFS(F$2:F315,F315,K$2:K315,"Sparse"))</f>
        <v>SD72</v>
      </c>
      <c r="B315" s="28" t="str">
        <f>J315&amp;(COUNTIF(J$2:J315,J315))</f>
        <v>Warwickshire5</v>
      </c>
      <c r="C315" s="31" t="s">
        <v>175</v>
      </c>
      <c r="D315" s="31" t="s">
        <v>175</v>
      </c>
      <c r="E315" s="32" t="s">
        <v>369</v>
      </c>
      <c r="F315" s="32" t="s">
        <v>382</v>
      </c>
      <c r="G315" s="32" t="s">
        <v>5</v>
      </c>
      <c r="H315" s="35" t="s">
        <v>902</v>
      </c>
      <c r="I315" s="34" t="s">
        <v>385</v>
      </c>
      <c r="J315" t="s">
        <v>331</v>
      </c>
      <c r="K315" s="44"/>
    </row>
    <row r="316" spans="1:11" ht="14.4">
      <c r="A316" s="28" t="str">
        <f>F316&amp;(COUNTIFS(F$2:F316,F316,K$2:K316,"Sparse"))</f>
        <v>SC15</v>
      </c>
      <c r="B316" s="28" t="str">
        <f>J316&amp;(COUNTIF(J$2:J316,J316))</f>
        <v>Warwickshire6</v>
      </c>
      <c r="C316" s="34" t="s">
        <v>331</v>
      </c>
      <c r="D316" s="34" t="s">
        <v>331</v>
      </c>
      <c r="E316" s="32" t="s">
        <v>369</v>
      </c>
      <c r="F316" s="32" t="s">
        <v>390</v>
      </c>
      <c r="G316" s="32" t="s">
        <v>302</v>
      </c>
      <c r="H316" s="34" t="s">
        <v>372</v>
      </c>
      <c r="I316" s="34" t="s">
        <v>372</v>
      </c>
      <c r="J316" t="str">
        <f>C316</f>
        <v>Warwickshire</v>
      </c>
      <c r="K316" s="44" t="s">
        <v>336</v>
      </c>
    </row>
    <row r="317" spans="1:11" ht="14.4">
      <c r="A317" s="28" t="str">
        <f>F317&amp;(COUNTIFS(F$2:F317,F317,K$2:K317,"Sparse"))</f>
        <v>SD72</v>
      </c>
      <c r="B317" s="28" t="str">
        <f>J317&amp;(COUNTIF(J$2:J317,J317))</f>
        <v>Hertfordshire10</v>
      </c>
      <c r="C317" s="31" t="s">
        <v>176</v>
      </c>
      <c r="D317" s="31" t="s">
        <v>176</v>
      </c>
      <c r="E317" s="32" t="s">
        <v>370</v>
      </c>
      <c r="F317" s="32" t="s">
        <v>382</v>
      </c>
      <c r="G317" s="32" t="s">
        <v>5</v>
      </c>
      <c r="H317" s="33" t="s">
        <v>907</v>
      </c>
      <c r="I317" s="34" t="s">
        <v>385</v>
      </c>
      <c r="J317" t="s">
        <v>315</v>
      </c>
      <c r="K317" s="44"/>
    </row>
    <row r="318" spans="1:11" ht="14.4">
      <c r="A318" s="28" t="str">
        <f>F318&amp;(COUNTIFS(F$2:F318,F318,K$2:K318,"Sparse"))</f>
        <v>SD72</v>
      </c>
      <c r="B318" s="28" t="str">
        <f>J318&amp;(COUNTIF(J$2:J318,J318))</f>
        <v>Surrey11</v>
      </c>
      <c r="C318" s="31" t="s">
        <v>178</v>
      </c>
      <c r="D318" s="31" t="s">
        <v>178</v>
      </c>
      <c r="E318" s="32" t="s">
        <v>0</v>
      </c>
      <c r="F318" s="32" t="s">
        <v>382</v>
      </c>
      <c r="G318" s="32" t="s">
        <v>5</v>
      </c>
      <c r="H318" s="33" t="s">
        <v>906</v>
      </c>
      <c r="I318" s="34" t="s">
        <v>383</v>
      </c>
      <c r="J318" t="s">
        <v>330</v>
      </c>
      <c r="K318" s="44"/>
    </row>
    <row r="319" spans="1:11" ht="14.4">
      <c r="A319" s="28" t="str">
        <f>F319&amp;(COUNTIFS(F$2:F319,F319,K$2:K319,"Sparse"))</f>
        <v>SD73</v>
      </c>
      <c r="B319" s="28" t="str">
        <f>J319&amp;(COUNTIF(J$2:J319,J319))</f>
        <v>East Sussex6</v>
      </c>
      <c r="C319" s="31" t="s">
        <v>179</v>
      </c>
      <c r="D319" s="31" t="s">
        <v>179</v>
      </c>
      <c r="E319" s="32" t="s">
        <v>0</v>
      </c>
      <c r="F319" s="32" t="s">
        <v>382</v>
      </c>
      <c r="G319" s="32" t="s">
        <v>5</v>
      </c>
      <c r="H319" s="33" t="s">
        <v>903</v>
      </c>
      <c r="I319" s="34" t="s">
        <v>383</v>
      </c>
      <c r="J319" t="s">
        <v>311</v>
      </c>
      <c r="K319" s="44" t="s">
        <v>336</v>
      </c>
    </row>
    <row r="320" spans="1:11" ht="14.4">
      <c r="A320" s="28" t="str">
        <f>F320&amp;(COUNTIFS(F$2:F320,F320,K$2:K320,"Sparse"))</f>
        <v>SD73</v>
      </c>
      <c r="B320" s="28" t="str">
        <f>J320&amp;(COUNTIF(J$2:J320,J320))</f>
        <v>Northamptonshire8</v>
      </c>
      <c r="C320" s="31" t="s">
        <v>180</v>
      </c>
      <c r="D320" s="31" t="s">
        <v>180</v>
      </c>
      <c r="E320" s="32" t="s">
        <v>368</v>
      </c>
      <c r="F320" s="32" t="s">
        <v>382</v>
      </c>
      <c r="G320" s="32" t="s">
        <v>5</v>
      </c>
      <c r="H320" s="35" t="s">
        <v>905</v>
      </c>
      <c r="I320" s="34" t="s">
        <v>372</v>
      </c>
      <c r="J320" t="s">
        <v>322</v>
      </c>
      <c r="K320" s="44"/>
    </row>
    <row r="321" spans="1:11" ht="14.4">
      <c r="A321" s="28" t="str">
        <f>F321&amp;(COUNTIFS(F$2:F321,F321,K$2:K321,"Sparse"))</f>
        <v>SD73</v>
      </c>
      <c r="B321" s="28" t="str">
        <f>J321&amp;(COUNTIF(J$2:J321,J321))</f>
        <v>Hertfordshire11</v>
      </c>
      <c r="C321" s="31" t="s">
        <v>181</v>
      </c>
      <c r="D321" s="31" t="s">
        <v>181</v>
      </c>
      <c r="E321" s="32" t="s">
        <v>370</v>
      </c>
      <c r="F321" s="32" t="s">
        <v>382</v>
      </c>
      <c r="G321" s="32" t="s">
        <v>5</v>
      </c>
      <c r="H321" s="33" t="s">
        <v>902</v>
      </c>
      <c r="I321" s="34" t="s">
        <v>385</v>
      </c>
      <c r="J321" t="s">
        <v>315</v>
      </c>
      <c r="K321" s="44"/>
    </row>
    <row r="322" spans="1:11" ht="14.4">
      <c r="A322" s="28" t="str">
        <f>F322&amp;(COUNTIFS(F$2:F322,F322,K$2:K322,"Sparse"))</f>
        <v>UA11</v>
      </c>
      <c r="B322" s="28" t="str">
        <f>J322&amp;(COUNTIF(J$2:J322,J322))</f>
        <v>Unitary51</v>
      </c>
      <c r="C322" s="31" t="s">
        <v>297</v>
      </c>
      <c r="D322" s="31" t="s">
        <v>297</v>
      </c>
      <c r="E322" s="32" t="s">
        <v>0</v>
      </c>
      <c r="F322" s="32" t="s">
        <v>388</v>
      </c>
      <c r="G322" s="32" t="s">
        <v>397</v>
      </c>
      <c r="H322" s="35" t="s">
        <v>905</v>
      </c>
      <c r="I322" s="34" t="s">
        <v>372</v>
      </c>
      <c r="J322" s="45" t="s">
        <v>397</v>
      </c>
      <c r="K322" s="44"/>
    </row>
    <row r="323" spans="1:11" ht="14.4">
      <c r="A323" s="28" t="str">
        <f>F323&amp;(COUNTIFS(F$2:F323,F323,K$2:K323,"Sparse"))</f>
        <v>SD74</v>
      </c>
      <c r="B323" s="28" t="str">
        <f>J323&amp;(COUNTIF(J$2:J323,J323))</f>
        <v>Devon9</v>
      </c>
      <c r="C323" s="31" t="s">
        <v>182</v>
      </c>
      <c r="D323" s="31" t="s">
        <v>182</v>
      </c>
      <c r="E323" s="32" t="s">
        <v>1</v>
      </c>
      <c r="F323" s="32" t="s">
        <v>382</v>
      </c>
      <c r="G323" s="32" t="s">
        <v>5</v>
      </c>
      <c r="H323" s="33" t="s">
        <v>903</v>
      </c>
      <c r="I323" s="34" t="s">
        <v>383</v>
      </c>
      <c r="J323" t="s">
        <v>309</v>
      </c>
      <c r="K323" s="44" t="s">
        <v>336</v>
      </c>
    </row>
    <row r="324" spans="1:11" ht="14.4">
      <c r="A324" s="28" t="str">
        <f>F324&amp;(COUNTIFS(F$2:F324,F324,K$2:K324,"Sparse"))</f>
        <v>SD74</v>
      </c>
      <c r="B324" s="28" t="str">
        <f>J324&amp;(COUNTIF(J$2:J324,J324))</f>
        <v>Lancashire12</v>
      </c>
      <c r="C324" s="31" t="s">
        <v>184</v>
      </c>
      <c r="D324" s="31" t="s">
        <v>184</v>
      </c>
      <c r="E324" s="32" t="s">
        <v>377</v>
      </c>
      <c r="F324" s="32" t="s">
        <v>382</v>
      </c>
      <c r="G324" s="32" t="s">
        <v>5</v>
      </c>
      <c r="H324" s="33" t="s">
        <v>905</v>
      </c>
      <c r="I324" s="34" t="s">
        <v>372</v>
      </c>
      <c r="J324" t="s">
        <v>317</v>
      </c>
      <c r="K324" s="44"/>
    </row>
    <row r="325" spans="1:11" ht="14.4">
      <c r="A325" s="28" t="str">
        <f>F325&amp;(COUNTIFS(F$2:F325,F325,K$2:K325,"Sparse"))</f>
        <v>SD75</v>
      </c>
      <c r="B325" s="28" t="str">
        <f>J325&amp;(COUNTIF(J$2:J325,J325))</f>
        <v>Lincolnshire8</v>
      </c>
      <c r="C325" s="31" t="s">
        <v>185</v>
      </c>
      <c r="D325" s="31" t="s">
        <v>185</v>
      </c>
      <c r="E325" s="32" t="s">
        <v>368</v>
      </c>
      <c r="F325" s="32" t="s">
        <v>382</v>
      </c>
      <c r="G325" s="32" t="s">
        <v>5</v>
      </c>
      <c r="H325" s="33" t="s">
        <v>903</v>
      </c>
      <c r="I325" s="34" t="s">
        <v>383</v>
      </c>
      <c r="J325" t="s">
        <v>319</v>
      </c>
      <c r="K325" s="44" t="s">
        <v>336</v>
      </c>
    </row>
    <row r="326" spans="1:11" ht="14.4">
      <c r="A326" s="28" t="str">
        <f>F326&amp;(COUNTIFS(F$2:F326,F326,K$2:K326,"Sparse"))</f>
        <v>SD76</v>
      </c>
      <c r="B326" s="28" t="str">
        <f>J326&amp;(COUNTIF(J$2:J326,J326))</f>
        <v>Oxfordshire6</v>
      </c>
      <c r="C326" s="31" t="s">
        <v>186</v>
      </c>
      <c r="D326" s="31" t="s">
        <v>186</v>
      </c>
      <c r="E326" s="32" t="s">
        <v>0</v>
      </c>
      <c r="F326" s="32" t="s">
        <v>382</v>
      </c>
      <c r="G326" s="32" t="s">
        <v>5</v>
      </c>
      <c r="H326" s="33" t="s">
        <v>903</v>
      </c>
      <c r="I326" s="34" t="s">
        <v>383</v>
      </c>
      <c r="J326" t="s">
        <v>325</v>
      </c>
      <c r="K326" s="44" t="s">
        <v>336</v>
      </c>
    </row>
    <row r="327" spans="1:11" ht="14.4">
      <c r="A327" s="28" t="str">
        <f>F327&amp;(COUNTIFS(F$2:F327,F327,K$2:K327,"Sparse"))</f>
        <v>SD77</v>
      </c>
      <c r="B327" s="28" t="str">
        <f>J327&amp;(COUNTIF(J$2:J327,J327))</f>
        <v>Somerset6</v>
      </c>
      <c r="C327" s="31" t="s">
        <v>187</v>
      </c>
      <c r="D327" s="31" t="s">
        <v>187</v>
      </c>
      <c r="E327" s="32" t="s">
        <v>1</v>
      </c>
      <c r="F327" s="32" t="s">
        <v>382</v>
      </c>
      <c r="G327" s="32" t="s">
        <v>5</v>
      </c>
      <c r="H327" s="33" t="s">
        <v>903</v>
      </c>
      <c r="I327" s="34" t="s">
        <v>383</v>
      </c>
      <c r="J327" t="s">
        <v>327</v>
      </c>
      <c r="K327" s="44" t="s">
        <v>336</v>
      </c>
    </row>
    <row r="328" spans="1:11" ht="14.4">
      <c r="A328" s="28" t="str">
        <f>F328&amp;(COUNTIFS(F$2:F328,F328,K$2:K328,"Sparse"))</f>
        <v>SC15</v>
      </c>
      <c r="B328" s="28" t="str">
        <f>J328&amp;(COUNTIF(J$2:J328,J328))</f>
        <v>West Sussex7</v>
      </c>
      <c r="C328" s="34" t="s">
        <v>332</v>
      </c>
      <c r="D328" s="34" t="s">
        <v>332</v>
      </c>
      <c r="E328" s="32" t="s">
        <v>0</v>
      </c>
      <c r="F328" s="32" t="s">
        <v>390</v>
      </c>
      <c r="G328" s="32" t="s">
        <v>302</v>
      </c>
      <c r="H328" s="34" t="s">
        <v>372</v>
      </c>
      <c r="I328" s="34" t="s">
        <v>372</v>
      </c>
      <c r="J328" t="str">
        <f>C328</f>
        <v>West Sussex</v>
      </c>
      <c r="K328" s="44"/>
    </row>
    <row r="329" spans="1:11" ht="14.4">
      <c r="A329" s="28" t="str">
        <f>F329&amp;(COUNTIFS(F$2:F329,F329,K$2:K329,"Sparse"))</f>
        <v>L0</v>
      </c>
      <c r="B329" s="28" t="str">
        <f>J329&amp;(COUNTIF(J$2:J329,J329))</f>
        <v>London33</v>
      </c>
      <c r="C329" s="31" t="s">
        <v>188</v>
      </c>
      <c r="D329" s="31" t="s">
        <v>188</v>
      </c>
      <c r="E329" s="32" t="s">
        <v>384</v>
      </c>
      <c r="F329" s="32" t="s">
        <v>360</v>
      </c>
      <c r="G329" s="32" t="s">
        <v>384</v>
      </c>
      <c r="H329" s="33" t="s">
        <v>907</v>
      </c>
      <c r="I329" s="34" t="s">
        <v>385</v>
      </c>
      <c r="J329" t="str">
        <f>G329</f>
        <v>London</v>
      </c>
      <c r="K329" s="44"/>
    </row>
    <row r="330" spans="1:11" ht="14.4">
      <c r="A330" s="28" t="str">
        <f>F330&amp;(COUNTIFS(F$2:F330,F330,K$2:K330,"Sparse"))</f>
        <v>SD77</v>
      </c>
      <c r="B330" s="28" t="str">
        <f>J330&amp;(COUNTIF(J$2:J330,J330))</f>
        <v>Dorset1</v>
      </c>
      <c r="C330" s="31" t="s">
        <v>352</v>
      </c>
      <c r="D330" s="31" t="s">
        <v>352</v>
      </c>
      <c r="E330" s="32" t="s">
        <v>1</v>
      </c>
      <c r="F330" s="32" t="s">
        <v>382</v>
      </c>
      <c r="G330" s="32" t="s">
        <v>5</v>
      </c>
      <c r="H330" s="33" t="s">
        <v>902</v>
      </c>
      <c r="I330" s="34" t="s">
        <v>385</v>
      </c>
      <c r="J330" t="s">
        <v>310</v>
      </c>
      <c r="K330" s="44"/>
    </row>
    <row r="331" spans="1:11" ht="14.4">
      <c r="A331" s="28" t="str">
        <f>F331&amp;(COUNTIFS(F$2:F331,F331,K$2:K331,"Sparse"))</f>
        <v>MD0</v>
      </c>
      <c r="B331" s="28" t="str">
        <f>J331&amp;(COUNTIF(J$2:J331,J331))</f>
        <v>Wigan1</v>
      </c>
      <c r="C331" s="31" t="s">
        <v>256</v>
      </c>
      <c r="D331" s="31" t="s">
        <v>256</v>
      </c>
      <c r="E331" s="32" t="s">
        <v>377</v>
      </c>
      <c r="F331" s="32" t="s">
        <v>387</v>
      </c>
      <c r="G331" s="32" t="s">
        <v>398</v>
      </c>
      <c r="H331" s="33" t="s">
        <v>907</v>
      </c>
      <c r="I331" s="34" t="s">
        <v>385</v>
      </c>
      <c r="J331" t="str">
        <f>C331</f>
        <v>Wigan</v>
      </c>
      <c r="K331" s="44"/>
    </row>
    <row r="332" spans="1:11" ht="14.4">
      <c r="A332" s="28" t="str">
        <f>F332&amp;(COUNTIFS(F$2:F332,F332,K$2:K332,"Sparse"))</f>
        <v>UA11</v>
      </c>
      <c r="B332" s="28" t="str">
        <f>J332&amp;(COUNTIF(J$2:J332,J332))</f>
        <v>Unitary52</v>
      </c>
      <c r="C332" s="31" t="s">
        <v>298</v>
      </c>
      <c r="D332" s="31" t="s">
        <v>298</v>
      </c>
      <c r="E332" s="32" t="s">
        <v>1</v>
      </c>
      <c r="F332" s="32" t="s">
        <v>388</v>
      </c>
      <c r="G332" s="32" t="s">
        <v>397</v>
      </c>
      <c r="H332" s="35" t="s">
        <v>906</v>
      </c>
      <c r="I332" s="34" t="s">
        <v>383</v>
      </c>
      <c r="J332" s="45" t="s">
        <v>397</v>
      </c>
      <c r="K332" s="44"/>
    </row>
    <row r="333" spans="1:11" ht="14.4">
      <c r="A333" s="28" t="str">
        <f>F333&amp;(COUNTIFS(F$2:F333,F333,K$2:K333,"Sparse"))</f>
        <v>SD77</v>
      </c>
      <c r="B333" s="28" t="str">
        <f>J333&amp;(COUNTIF(J$2:J333,J333))</f>
        <v>Hampshire12</v>
      </c>
      <c r="C333" s="31" t="s">
        <v>189</v>
      </c>
      <c r="D333" s="31" t="s">
        <v>189</v>
      </c>
      <c r="E333" s="32" t="s">
        <v>0</v>
      </c>
      <c r="F333" s="32" t="s">
        <v>382</v>
      </c>
      <c r="G333" s="32" t="s">
        <v>5</v>
      </c>
      <c r="H333" s="33" t="s">
        <v>906</v>
      </c>
      <c r="I333" s="34" t="s">
        <v>383</v>
      </c>
      <c r="J333" t="s">
        <v>314</v>
      </c>
      <c r="K333" s="44"/>
    </row>
    <row r="334" spans="1:11" ht="14.4">
      <c r="A334" s="28" t="str">
        <f>F334&amp;(COUNTIFS(F$2:F334,F334,K$2:K334,"Sparse"))</f>
        <v>UA11</v>
      </c>
      <c r="B334" s="28" t="str">
        <f>J334&amp;(COUNTIF(J$2:J334,J334))</f>
        <v>Unitary53</v>
      </c>
      <c r="C334" s="31" t="s">
        <v>816</v>
      </c>
      <c r="D334" s="31" t="s">
        <v>816</v>
      </c>
      <c r="E334" s="32" t="s">
        <v>0</v>
      </c>
      <c r="F334" s="32" t="s">
        <v>388</v>
      </c>
      <c r="G334" s="32" t="s">
        <v>397</v>
      </c>
      <c r="H334" s="33" t="s">
        <v>902</v>
      </c>
      <c r="I334" s="34" t="s">
        <v>385</v>
      </c>
      <c r="J334" s="45" t="s">
        <v>397</v>
      </c>
      <c r="K334" s="44"/>
    </row>
    <row r="335" spans="1:11" ht="14.4">
      <c r="A335" s="28" t="str">
        <f>F335&amp;(COUNTIFS(F$2:F335,F335,K$2:K335,"Sparse"))</f>
        <v>MD0</v>
      </c>
      <c r="B335" s="28" t="str">
        <f>J335&amp;(COUNTIF(J$2:J335,J335))</f>
        <v>Wirral1</v>
      </c>
      <c r="C335" s="31" t="s">
        <v>257</v>
      </c>
      <c r="D335" s="31" t="s">
        <v>257</v>
      </c>
      <c r="E335" s="32" t="s">
        <v>377</v>
      </c>
      <c r="F335" s="32" t="s">
        <v>387</v>
      </c>
      <c r="G335" s="32" t="s">
        <v>398</v>
      </c>
      <c r="H335" s="33" t="s">
        <v>907</v>
      </c>
      <c r="I335" s="34" t="s">
        <v>385</v>
      </c>
      <c r="J335" t="str">
        <f>C335</f>
        <v>Wirral</v>
      </c>
      <c r="K335" s="44"/>
    </row>
    <row r="336" spans="1:11" ht="14.4">
      <c r="A336" s="28" t="str">
        <f>F336&amp;(COUNTIFS(F$2:F336,F336,K$2:K336,"Sparse"))</f>
        <v>SD77</v>
      </c>
      <c r="B336" s="28" t="str">
        <f>J336&amp;(COUNTIF(J$2:J336,J336))</f>
        <v>Surrey12</v>
      </c>
      <c r="C336" s="31" t="s">
        <v>190</v>
      </c>
      <c r="D336" s="31" t="s">
        <v>190</v>
      </c>
      <c r="E336" s="32" t="s">
        <v>0</v>
      </c>
      <c r="F336" s="32" t="s">
        <v>382</v>
      </c>
      <c r="G336" s="32" t="s">
        <v>5</v>
      </c>
      <c r="H336" s="33" t="s">
        <v>907</v>
      </c>
      <c r="I336" s="34" t="s">
        <v>385</v>
      </c>
      <c r="J336" t="s">
        <v>330</v>
      </c>
      <c r="K336" s="44"/>
    </row>
    <row r="337" spans="1:12" ht="14.4">
      <c r="A337" s="28" t="str">
        <f>F337&amp;(COUNTIFS(F$2:F337,F337,K$2:K337,"Sparse"))</f>
        <v>UA11</v>
      </c>
      <c r="B337" s="28" t="str">
        <f>J337&amp;(COUNTIF(J$2:J337,J337))</f>
        <v>Unitary54</v>
      </c>
      <c r="C337" s="31" t="s">
        <v>299</v>
      </c>
      <c r="D337" s="31" t="s">
        <v>299</v>
      </c>
      <c r="E337" s="32" t="s">
        <v>0</v>
      </c>
      <c r="F337" s="32" t="s">
        <v>388</v>
      </c>
      <c r="G337" s="32" t="s">
        <v>397</v>
      </c>
      <c r="H337" s="33" t="s">
        <v>902</v>
      </c>
      <c r="I337" s="34" t="s">
        <v>385</v>
      </c>
      <c r="J337" s="45" t="s">
        <v>397</v>
      </c>
      <c r="K337" s="44"/>
    </row>
    <row r="338" spans="1:12" ht="14.4">
      <c r="A338" s="28" t="str">
        <f>F338&amp;(COUNTIFS(F$2:F338,F338,K$2:K338,"Sparse"))</f>
        <v>MD0</v>
      </c>
      <c r="B338" s="28" t="str">
        <f>J338&amp;(COUNTIF(J$2:J338,J338))</f>
        <v>Wolverhampton1</v>
      </c>
      <c r="C338" s="31" t="s">
        <v>258</v>
      </c>
      <c r="D338" s="31" t="s">
        <v>258</v>
      </c>
      <c r="E338" s="32" t="s">
        <v>369</v>
      </c>
      <c r="F338" s="32" t="s">
        <v>387</v>
      </c>
      <c r="G338" s="32" t="s">
        <v>398</v>
      </c>
      <c r="H338" s="33" t="s">
        <v>907</v>
      </c>
      <c r="I338" s="34" t="s">
        <v>385</v>
      </c>
      <c r="J338" t="str">
        <f>C338</f>
        <v>Wolverhampton</v>
      </c>
      <c r="K338" s="44"/>
    </row>
    <row r="339" spans="1:12" ht="14.4">
      <c r="A339" s="28" t="str">
        <f>F339&amp;(COUNTIFS(F$2:F339,F339,K$2:K339,"Sparse"))</f>
        <v>SD77</v>
      </c>
      <c r="B339" s="28" t="str">
        <f>J339&amp;(COUNTIF(J$2:J339,J339))</f>
        <v>Worcestershire4</v>
      </c>
      <c r="C339" s="31" t="s">
        <v>191</v>
      </c>
      <c r="D339" s="31" t="s">
        <v>191</v>
      </c>
      <c r="E339" s="32" t="s">
        <v>369</v>
      </c>
      <c r="F339" s="32" t="s">
        <v>382</v>
      </c>
      <c r="G339" s="32" t="s">
        <v>5</v>
      </c>
      <c r="H339" s="33" t="s">
        <v>902</v>
      </c>
      <c r="I339" s="34" t="s">
        <v>385</v>
      </c>
      <c r="J339" t="s">
        <v>333</v>
      </c>
      <c r="K339" s="44"/>
    </row>
    <row r="340" spans="1:12" ht="14.4">
      <c r="A340" s="28" t="str">
        <f>F340&amp;(COUNTIFS(F$2:F340,F340,K$2:K340,"Sparse"))</f>
        <v>SC16</v>
      </c>
      <c r="B340" s="28" t="str">
        <f>J340&amp;(COUNTIF(J$2:J340,J340))</f>
        <v>Worcestershire5</v>
      </c>
      <c r="C340" s="34" t="s">
        <v>333</v>
      </c>
      <c r="D340" s="34" t="s">
        <v>333</v>
      </c>
      <c r="E340" s="32" t="s">
        <v>369</v>
      </c>
      <c r="F340" s="32" t="s">
        <v>390</v>
      </c>
      <c r="G340" s="32" t="s">
        <v>302</v>
      </c>
      <c r="H340" s="34" t="s">
        <v>372</v>
      </c>
      <c r="I340" s="34" t="s">
        <v>372</v>
      </c>
      <c r="J340" t="str">
        <f>C340</f>
        <v>Worcestershire</v>
      </c>
      <c r="K340" s="44" t="s">
        <v>336</v>
      </c>
    </row>
    <row r="341" spans="1:12" ht="14.4">
      <c r="A341" s="28" t="str">
        <f>F341&amp;(COUNTIFS(F$2:F341,F341,K$2:K341,"Sparse"))</f>
        <v>SD77</v>
      </c>
      <c r="B341" s="28" t="str">
        <f>J341&amp;(COUNTIF(J$2:J341,J341))</f>
        <v>West Sussex8</v>
      </c>
      <c r="C341" s="31" t="s">
        <v>192</v>
      </c>
      <c r="D341" s="31" t="s">
        <v>192</v>
      </c>
      <c r="E341" s="32" t="s">
        <v>0</v>
      </c>
      <c r="F341" s="32" t="s">
        <v>382</v>
      </c>
      <c r="G341" s="32" t="s">
        <v>5</v>
      </c>
      <c r="H341" s="33" t="s">
        <v>902</v>
      </c>
      <c r="I341" s="34" t="s">
        <v>385</v>
      </c>
      <c r="J341" t="s">
        <v>332</v>
      </c>
      <c r="K341" s="44"/>
    </row>
    <row r="342" spans="1:12" ht="14.4">
      <c r="A342" s="28" t="str">
        <f>F342&amp;(COUNTIFS(F$2:F342,F342,K$2:K342,"Sparse"))</f>
        <v>SD78</v>
      </c>
      <c r="B342" s="28" t="str">
        <f>J342&amp;(COUNTIF(J$2:J342,J342))</f>
        <v>Worcestershire6</v>
      </c>
      <c r="C342" s="31" t="s">
        <v>193</v>
      </c>
      <c r="D342" s="31" t="s">
        <v>193</v>
      </c>
      <c r="E342" s="32" t="s">
        <v>369</v>
      </c>
      <c r="F342" s="32" t="s">
        <v>382</v>
      </c>
      <c r="G342" s="32" t="s">
        <v>5</v>
      </c>
      <c r="H342" s="33" t="s">
        <v>903</v>
      </c>
      <c r="I342" s="34" t="s">
        <v>383</v>
      </c>
      <c r="J342" t="s">
        <v>333</v>
      </c>
      <c r="K342" s="44" t="s">
        <v>336</v>
      </c>
    </row>
    <row r="343" spans="1:12" ht="14.4">
      <c r="A343" s="28" t="str">
        <f>F343&amp;(COUNTIFS(F$2:F343,F343,K$2:K343,"Sparse"))</f>
        <v>SD78</v>
      </c>
      <c r="B343" s="28" t="str">
        <f>J343&amp;(COUNTIF(J$2:J343,J343))</f>
        <v>Buckinghamshire5</v>
      </c>
      <c r="C343" s="31" t="s">
        <v>194</v>
      </c>
      <c r="D343" s="31" t="s">
        <v>194</v>
      </c>
      <c r="E343" s="32" t="s">
        <v>0</v>
      </c>
      <c r="F343" s="32" t="s">
        <v>382</v>
      </c>
      <c r="G343" s="32" t="s">
        <v>5</v>
      </c>
      <c r="H343" s="35" t="s">
        <v>905</v>
      </c>
      <c r="I343" s="34" t="s">
        <v>372</v>
      </c>
      <c r="J343" t="s">
        <v>301</v>
      </c>
      <c r="K343" s="44"/>
    </row>
    <row r="344" spans="1:12" ht="14.4">
      <c r="A344" s="28" t="str">
        <f>F344&amp;(COUNTIFS(F$2:F344,F344,K$2:K344,"Sparse"))</f>
        <v>SD78</v>
      </c>
      <c r="B344" s="28" t="str">
        <f>J344&amp;(COUNTIF(J$2:J344,J344))</f>
        <v>Lancashire13</v>
      </c>
      <c r="C344" s="31" t="s">
        <v>195</v>
      </c>
      <c r="D344" s="31" t="s">
        <v>195</v>
      </c>
      <c r="E344" s="32" t="s">
        <v>377</v>
      </c>
      <c r="F344" s="32" t="s">
        <v>382</v>
      </c>
      <c r="G344" s="32" t="s">
        <v>5</v>
      </c>
      <c r="H344" s="35" t="s">
        <v>906</v>
      </c>
      <c r="I344" s="34" t="s">
        <v>383</v>
      </c>
      <c r="J344" t="s">
        <v>317</v>
      </c>
      <c r="K344" s="44"/>
    </row>
    <row r="345" spans="1:12" ht="14.4">
      <c r="A345" s="28" t="str">
        <f>F345&amp;(COUNTIFS(F$2:F345,F345,K$2:K345,"Sparse"))</f>
        <v>SD78</v>
      </c>
      <c r="B345" s="28" t="str">
        <f>J345&amp;(COUNTIF(J$2:J345,J345))</f>
        <v>Worcestershire7</v>
      </c>
      <c r="C345" s="31" t="s">
        <v>196</v>
      </c>
      <c r="D345" s="31" t="s">
        <v>196</v>
      </c>
      <c r="E345" s="32" t="s">
        <v>369</v>
      </c>
      <c r="F345" s="32" t="s">
        <v>382</v>
      </c>
      <c r="G345" s="32" t="s">
        <v>5</v>
      </c>
      <c r="H345" s="35" t="s">
        <v>905</v>
      </c>
      <c r="I345" s="34" t="s">
        <v>372</v>
      </c>
      <c r="J345" t="s">
        <v>333</v>
      </c>
      <c r="K345" s="44"/>
    </row>
    <row r="346" spans="1:12" ht="14.4">
      <c r="A346" s="28" t="str">
        <f>F346&amp;(COUNTIFS(F$2:F346,F346,K$2:K346,"Sparse"))</f>
        <v>UA11</v>
      </c>
      <c r="B346" s="28" t="str">
        <f>J346&amp;(COUNTIF(J$2:J346,J346))</f>
        <v>Unitary55</v>
      </c>
      <c r="C346" s="31" t="s">
        <v>300</v>
      </c>
      <c r="D346" s="31" t="s">
        <v>300</v>
      </c>
      <c r="E346" s="32" t="s">
        <v>386</v>
      </c>
      <c r="F346" s="32" t="s">
        <v>388</v>
      </c>
      <c r="G346" s="32" t="s">
        <v>397</v>
      </c>
      <c r="H346" s="33" t="s">
        <v>902</v>
      </c>
      <c r="I346" s="34" t="s">
        <v>385</v>
      </c>
      <c r="J346" s="45" t="s">
        <v>397</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0:L671">
    <sortCondition ref="L320"/>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423</v>
      </c>
      <c r="C1" s="99"/>
    </row>
    <row r="2" spans="1:18">
      <c r="A2" s="99"/>
      <c r="B2" s="99"/>
      <c r="C2" s="99"/>
    </row>
    <row r="3" spans="1:18">
      <c r="A3" s="99"/>
      <c r="B3" s="99" t="s">
        <v>424</v>
      </c>
      <c r="C3" s="99" t="s">
        <v>334</v>
      </c>
      <c r="D3" s="100" t="s">
        <v>425</v>
      </c>
      <c r="E3" s="100" t="s">
        <v>426</v>
      </c>
      <c r="F3" s="100" t="s">
        <v>427</v>
      </c>
      <c r="G3" s="100" t="s">
        <v>428</v>
      </c>
      <c r="H3" s="100" t="s">
        <v>429</v>
      </c>
      <c r="I3" s="100" t="s">
        <v>430</v>
      </c>
      <c r="J3" s="100" t="s">
        <v>431</v>
      </c>
      <c r="K3" s="100" t="s">
        <v>432</v>
      </c>
      <c r="L3" s="100" t="s">
        <v>433</v>
      </c>
      <c r="M3" s="100" t="s">
        <v>434</v>
      </c>
      <c r="N3" s="100" t="s">
        <v>435</v>
      </c>
      <c r="O3" s="100" t="s">
        <v>436</v>
      </c>
      <c r="P3" s="100" t="s">
        <v>437</v>
      </c>
      <c r="Q3" s="100" t="s">
        <v>438</v>
      </c>
      <c r="R3" s="100" t="s">
        <v>439</v>
      </c>
    </row>
    <row r="4" spans="1:18">
      <c r="A4" s="99"/>
      <c r="C4" s="99"/>
    </row>
    <row r="5" spans="1:18">
      <c r="A5" s="99"/>
      <c r="B5" s="99" t="s">
        <v>440</v>
      </c>
      <c r="C5" s="99"/>
    </row>
    <row r="6" spans="1:18">
      <c r="A6" s="100" t="str">
        <f>VLOOKUP(C6,classifications!C:F,4,FALSE)</f>
        <v>L</v>
      </c>
      <c r="B6" s="100" t="s">
        <v>441</v>
      </c>
      <c r="C6" s="100" t="s">
        <v>201</v>
      </c>
      <c r="D6" s="100" t="s">
        <v>337</v>
      </c>
      <c r="E6" s="100" t="s">
        <v>212</v>
      </c>
      <c r="F6" s="100" t="s">
        <v>338</v>
      </c>
      <c r="G6" s="100" t="s">
        <v>222</v>
      </c>
      <c r="H6" s="100" t="s">
        <v>218</v>
      </c>
      <c r="I6" s="100" t="s">
        <v>213</v>
      </c>
      <c r="J6" s="100" t="s">
        <v>207</v>
      </c>
      <c r="K6" s="100" t="s">
        <v>215</v>
      </c>
      <c r="L6" s="100" t="s">
        <v>203</v>
      </c>
      <c r="M6" s="100" t="s">
        <v>199</v>
      </c>
      <c r="N6" s="100" t="s">
        <v>220</v>
      </c>
      <c r="O6" s="100" t="s">
        <v>394</v>
      </c>
      <c r="P6" s="100" t="s">
        <v>211</v>
      </c>
      <c r="Q6" s="100" t="s">
        <v>214</v>
      </c>
      <c r="R6" s="100" t="s">
        <v>208</v>
      </c>
    </row>
    <row r="7" spans="1:18">
      <c r="A7" s="100" t="str">
        <f>VLOOKUP(C7,classifications!C:F,4,FALSE)</f>
        <v>L</v>
      </c>
      <c r="B7" s="100" t="s">
        <v>442</v>
      </c>
      <c r="C7" s="100" t="s">
        <v>205</v>
      </c>
      <c r="D7" s="100" t="s">
        <v>214</v>
      </c>
      <c r="E7" s="100" t="s">
        <v>221</v>
      </c>
      <c r="F7" s="100" t="s">
        <v>213</v>
      </c>
      <c r="G7" s="100" t="s">
        <v>218</v>
      </c>
      <c r="H7" s="100" t="s">
        <v>211</v>
      </c>
      <c r="I7" s="100" t="s">
        <v>206</v>
      </c>
      <c r="J7" s="100" t="s">
        <v>199</v>
      </c>
      <c r="K7" s="100" t="s">
        <v>207</v>
      </c>
      <c r="L7" s="100" t="s">
        <v>203</v>
      </c>
      <c r="M7" s="100" t="s">
        <v>202</v>
      </c>
      <c r="N7" s="100" t="s">
        <v>204</v>
      </c>
      <c r="O7" s="100" t="s">
        <v>339</v>
      </c>
      <c r="P7" s="100" t="s">
        <v>220</v>
      </c>
      <c r="Q7" s="100" t="s">
        <v>216</v>
      </c>
      <c r="R7" s="100" t="s">
        <v>217</v>
      </c>
    </row>
    <row r="8" spans="1:18">
      <c r="A8" s="100" t="str">
        <f>VLOOKUP(C8,classifications!C:F,4,FALSE)</f>
        <v>L</v>
      </c>
      <c r="B8" s="100" t="s">
        <v>443</v>
      </c>
      <c r="C8" s="100" t="s">
        <v>206</v>
      </c>
      <c r="D8" s="100" t="s">
        <v>218</v>
      </c>
      <c r="E8" s="100" t="s">
        <v>220</v>
      </c>
      <c r="F8" s="100" t="s">
        <v>213</v>
      </c>
      <c r="G8" s="100" t="s">
        <v>214</v>
      </c>
      <c r="H8" s="100" t="s">
        <v>212</v>
      </c>
      <c r="I8" s="100" t="s">
        <v>205</v>
      </c>
      <c r="J8" s="100" t="s">
        <v>207</v>
      </c>
      <c r="K8" s="100" t="s">
        <v>216</v>
      </c>
      <c r="L8" s="100" t="s">
        <v>199</v>
      </c>
      <c r="M8" s="100" t="s">
        <v>221</v>
      </c>
      <c r="N8" s="100" t="s">
        <v>337</v>
      </c>
      <c r="O8" s="100" t="s">
        <v>211</v>
      </c>
      <c r="P8" s="100" t="s">
        <v>203</v>
      </c>
      <c r="Q8" s="100" t="s">
        <v>339</v>
      </c>
      <c r="R8" s="100" t="s">
        <v>201</v>
      </c>
    </row>
    <row r="9" spans="1:18">
      <c r="A9" s="100" t="str">
        <f>VLOOKUP(C9,classifications!C:F,4,FALSE)</f>
        <v>L</v>
      </c>
      <c r="B9" s="100" t="s">
        <v>444</v>
      </c>
      <c r="C9" s="100" t="s">
        <v>337</v>
      </c>
      <c r="D9" s="100" t="s">
        <v>201</v>
      </c>
      <c r="E9" s="100" t="s">
        <v>212</v>
      </c>
      <c r="F9" s="100" t="s">
        <v>222</v>
      </c>
      <c r="G9" s="100" t="s">
        <v>213</v>
      </c>
      <c r="H9" s="100" t="s">
        <v>218</v>
      </c>
      <c r="I9" s="100" t="s">
        <v>338</v>
      </c>
      <c r="J9" s="100" t="s">
        <v>220</v>
      </c>
      <c r="K9" s="100" t="s">
        <v>207</v>
      </c>
      <c r="L9" s="100" t="s">
        <v>215</v>
      </c>
      <c r="M9" s="100" t="s">
        <v>206</v>
      </c>
      <c r="N9" s="100" t="s">
        <v>211</v>
      </c>
      <c r="O9" s="100" t="s">
        <v>199</v>
      </c>
      <c r="P9" s="100" t="s">
        <v>203</v>
      </c>
      <c r="Q9" s="100" t="s">
        <v>214</v>
      </c>
      <c r="R9" s="100" t="s">
        <v>394</v>
      </c>
    </row>
    <row r="10" spans="1:18">
      <c r="A10" s="100" t="str">
        <f>VLOOKUP(C10,classifications!C:F,4,FALSE)</f>
        <v>L</v>
      </c>
      <c r="B10" s="100" t="s">
        <v>445</v>
      </c>
      <c r="C10" s="100" t="s">
        <v>212</v>
      </c>
      <c r="D10" s="100" t="s">
        <v>337</v>
      </c>
      <c r="E10" s="100" t="s">
        <v>218</v>
      </c>
      <c r="F10" s="100" t="s">
        <v>213</v>
      </c>
      <c r="G10" s="100" t="s">
        <v>220</v>
      </c>
      <c r="H10" s="100" t="s">
        <v>201</v>
      </c>
      <c r="I10" s="100" t="s">
        <v>206</v>
      </c>
      <c r="J10" s="100" t="s">
        <v>222</v>
      </c>
      <c r="K10" s="100" t="s">
        <v>214</v>
      </c>
      <c r="L10" s="100" t="s">
        <v>207</v>
      </c>
      <c r="M10" s="100" t="s">
        <v>205</v>
      </c>
      <c r="N10" s="100" t="s">
        <v>199</v>
      </c>
      <c r="O10" s="100" t="s">
        <v>211</v>
      </c>
      <c r="P10" s="100" t="s">
        <v>203</v>
      </c>
      <c r="Q10" s="100" t="s">
        <v>221</v>
      </c>
      <c r="R10" s="100" t="s">
        <v>215</v>
      </c>
    </row>
    <row r="11" spans="1:18">
      <c r="A11" s="100" t="str">
        <f>VLOOKUP(C11,classifications!C:F,4,FALSE)</f>
        <v>L</v>
      </c>
      <c r="B11" s="100" t="s">
        <v>446</v>
      </c>
      <c r="C11" s="100" t="s">
        <v>338</v>
      </c>
      <c r="D11" s="100" t="s">
        <v>201</v>
      </c>
      <c r="E11" s="100" t="s">
        <v>337</v>
      </c>
      <c r="F11" s="100" t="s">
        <v>188</v>
      </c>
      <c r="G11" s="100" t="s">
        <v>212</v>
      </c>
      <c r="H11" s="100" t="s">
        <v>222</v>
      </c>
      <c r="I11" s="100" t="s">
        <v>394</v>
      </c>
      <c r="J11" s="100" t="s">
        <v>395</v>
      </c>
      <c r="K11" s="100" t="s">
        <v>208</v>
      </c>
      <c r="L11" s="100" t="s">
        <v>215</v>
      </c>
      <c r="M11" s="100" t="s">
        <v>197</v>
      </c>
      <c r="N11" s="100" t="s">
        <v>203</v>
      </c>
      <c r="O11" s="100" t="s">
        <v>213</v>
      </c>
      <c r="P11" s="100" t="s">
        <v>218</v>
      </c>
      <c r="Q11" s="100" t="s">
        <v>219</v>
      </c>
      <c r="R11" s="100" t="s">
        <v>199</v>
      </c>
    </row>
    <row r="12" spans="1:18">
      <c r="A12" s="100" t="str">
        <f>VLOOKUP(C12,classifications!C:F,4,FALSE)</f>
        <v>L</v>
      </c>
      <c r="B12" s="100" t="s">
        <v>447</v>
      </c>
      <c r="C12" s="100" t="s">
        <v>213</v>
      </c>
      <c r="D12" s="100" t="s">
        <v>218</v>
      </c>
      <c r="E12" s="100" t="s">
        <v>214</v>
      </c>
      <c r="F12" s="100" t="s">
        <v>212</v>
      </c>
      <c r="G12" s="100" t="s">
        <v>206</v>
      </c>
      <c r="H12" s="100" t="s">
        <v>220</v>
      </c>
      <c r="I12" s="100" t="s">
        <v>205</v>
      </c>
      <c r="J12" s="100" t="s">
        <v>207</v>
      </c>
      <c r="K12" s="100" t="s">
        <v>199</v>
      </c>
      <c r="L12" s="100" t="s">
        <v>222</v>
      </c>
      <c r="M12" s="100" t="s">
        <v>203</v>
      </c>
      <c r="N12" s="100" t="s">
        <v>337</v>
      </c>
      <c r="O12" s="100" t="s">
        <v>221</v>
      </c>
      <c r="P12" s="100" t="s">
        <v>211</v>
      </c>
      <c r="Q12" s="100" t="s">
        <v>201</v>
      </c>
      <c r="R12" s="100" t="s">
        <v>202</v>
      </c>
    </row>
    <row r="13" spans="1:18">
      <c r="A13" s="100" t="str">
        <f>VLOOKUP(C13,classifications!C:F,4,FALSE)</f>
        <v>L</v>
      </c>
      <c r="B13" s="100" t="s">
        <v>448</v>
      </c>
      <c r="C13" s="100" t="s">
        <v>214</v>
      </c>
      <c r="D13" s="100" t="s">
        <v>205</v>
      </c>
      <c r="E13" s="100" t="s">
        <v>213</v>
      </c>
      <c r="F13" s="100" t="s">
        <v>218</v>
      </c>
      <c r="G13" s="100" t="s">
        <v>221</v>
      </c>
      <c r="H13" s="100" t="s">
        <v>206</v>
      </c>
      <c r="I13" s="100" t="s">
        <v>207</v>
      </c>
      <c r="J13" s="100" t="s">
        <v>199</v>
      </c>
      <c r="K13" s="100" t="s">
        <v>211</v>
      </c>
      <c r="L13" s="100" t="s">
        <v>203</v>
      </c>
      <c r="M13" s="100" t="s">
        <v>220</v>
      </c>
      <c r="N13" s="100" t="s">
        <v>202</v>
      </c>
      <c r="O13" s="100" t="s">
        <v>212</v>
      </c>
      <c r="P13" s="100" t="s">
        <v>216</v>
      </c>
      <c r="Q13" s="100" t="s">
        <v>204</v>
      </c>
      <c r="R13" s="100" t="s">
        <v>217</v>
      </c>
    </row>
    <row r="14" spans="1:18">
      <c r="A14" s="100" t="str">
        <f>VLOOKUP(C14,classifications!C:F,4,FALSE)</f>
        <v>L</v>
      </c>
      <c r="B14" s="100" t="s">
        <v>449</v>
      </c>
      <c r="C14" s="100" t="s">
        <v>218</v>
      </c>
      <c r="D14" s="100" t="s">
        <v>213</v>
      </c>
      <c r="E14" s="100" t="s">
        <v>206</v>
      </c>
      <c r="F14" s="100" t="s">
        <v>214</v>
      </c>
      <c r="G14" s="100" t="s">
        <v>220</v>
      </c>
      <c r="H14" s="100" t="s">
        <v>212</v>
      </c>
      <c r="I14" s="100" t="s">
        <v>205</v>
      </c>
      <c r="J14" s="100" t="s">
        <v>207</v>
      </c>
      <c r="K14" s="100" t="s">
        <v>199</v>
      </c>
      <c r="L14" s="100" t="s">
        <v>337</v>
      </c>
      <c r="M14" s="100" t="s">
        <v>221</v>
      </c>
      <c r="N14" s="100" t="s">
        <v>203</v>
      </c>
      <c r="O14" s="100" t="s">
        <v>222</v>
      </c>
      <c r="P14" s="100" t="s">
        <v>211</v>
      </c>
      <c r="Q14" s="100" t="s">
        <v>201</v>
      </c>
      <c r="R14" s="100" t="s">
        <v>216</v>
      </c>
    </row>
    <row r="15" spans="1:18">
      <c r="A15" s="100" t="str">
        <f>VLOOKUP(C15,classifications!C:F,4,FALSE)</f>
        <v>L</v>
      </c>
      <c r="B15" s="100" t="s">
        <v>450</v>
      </c>
      <c r="C15" s="100" t="s">
        <v>220</v>
      </c>
      <c r="D15" s="100" t="s">
        <v>206</v>
      </c>
      <c r="E15" s="100" t="s">
        <v>218</v>
      </c>
      <c r="F15" s="100" t="s">
        <v>213</v>
      </c>
      <c r="G15" s="100" t="s">
        <v>212</v>
      </c>
      <c r="H15" s="100" t="s">
        <v>214</v>
      </c>
      <c r="I15" s="100" t="s">
        <v>205</v>
      </c>
      <c r="J15" s="100" t="s">
        <v>207</v>
      </c>
      <c r="K15" s="100" t="s">
        <v>337</v>
      </c>
      <c r="L15" s="100" t="s">
        <v>216</v>
      </c>
      <c r="M15" s="100" t="s">
        <v>199</v>
      </c>
      <c r="N15" s="100" t="s">
        <v>221</v>
      </c>
      <c r="O15" s="100" t="s">
        <v>222</v>
      </c>
      <c r="P15" s="100" t="s">
        <v>203</v>
      </c>
      <c r="Q15" s="100" t="s">
        <v>211</v>
      </c>
      <c r="R15" s="100" t="s">
        <v>201</v>
      </c>
    </row>
    <row r="16" spans="1:18">
      <c r="A16" s="100" t="str">
        <f>VLOOKUP(C16,classifications!C:F,4,FALSE)</f>
        <v>L</v>
      </c>
      <c r="B16" s="100" t="s">
        <v>451</v>
      </c>
      <c r="C16" s="100" t="s">
        <v>222</v>
      </c>
      <c r="D16" s="100" t="s">
        <v>213</v>
      </c>
      <c r="E16" s="100" t="s">
        <v>337</v>
      </c>
      <c r="F16" s="100" t="s">
        <v>215</v>
      </c>
      <c r="G16" s="100" t="s">
        <v>203</v>
      </c>
      <c r="H16" s="100" t="s">
        <v>212</v>
      </c>
      <c r="I16" s="100" t="s">
        <v>211</v>
      </c>
      <c r="J16" s="100" t="s">
        <v>201</v>
      </c>
      <c r="K16" s="100" t="s">
        <v>218</v>
      </c>
      <c r="L16" s="100" t="s">
        <v>394</v>
      </c>
      <c r="M16" s="100" t="s">
        <v>197</v>
      </c>
      <c r="N16" s="100" t="s">
        <v>214</v>
      </c>
      <c r="O16" s="100" t="s">
        <v>199</v>
      </c>
      <c r="P16" s="100" t="s">
        <v>219</v>
      </c>
      <c r="Q16" s="100" t="s">
        <v>202</v>
      </c>
      <c r="R16" s="100" t="s">
        <v>217</v>
      </c>
    </row>
    <row r="17" spans="1:18">
      <c r="A17" s="100" t="str">
        <f>VLOOKUP(C17,classifications!C:F,4,FALSE)</f>
        <v>L</v>
      </c>
      <c r="B17" s="100" t="s">
        <v>452</v>
      </c>
      <c r="C17" s="100" t="s">
        <v>188</v>
      </c>
      <c r="D17" s="100" t="s">
        <v>338</v>
      </c>
      <c r="E17" s="100" t="s">
        <v>201</v>
      </c>
      <c r="F17" s="100" t="s">
        <v>337</v>
      </c>
      <c r="G17" s="100" t="s">
        <v>212</v>
      </c>
      <c r="H17" s="100" t="s">
        <v>222</v>
      </c>
      <c r="I17" s="100" t="s">
        <v>220</v>
      </c>
      <c r="J17" s="100" t="s">
        <v>218</v>
      </c>
      <c r="K17" s="100" t="s">
        <v>394</v>
      </c>
      <c r="L17" s="100" t="s">
        <v>213</v>
      </c>
      <c r="M17" s="100" t="s">
        <v>395</v>
      </c>
      <c r="N17" s="100" t="s">
        <v>215</v>
      </c>
      <c r="O17" s="100" t="s">
        <v>203</v>
      </c>
      <c r="P17" s="100" t="s">
        <v>197</v>
      </c>
      <c r="Q17" s="100" t="s">
        <v>208</v>
      </c>
      <c r="R17" s="100" t="s">
        <v>207</v>
      </c>
    </row>
    <row r="18" spans="1:18">
      <c r="A18" s="100" t="str">
        <f>VLOOKUP(C18,classifications!C:F,4,FALSE)</f>
        <v>L</v>
      </c>
      <c r="B18" s="100" t="s">
        <v>453</v>
      </c>
      <c r="C18" s="100" t="s">
        <v>339</v>
      </c>
      <c r="D18" s="100" t="s">
        <v>221</v>
      </c>
      <c r="E18" s="100" t="s">
        <v>205</v>
      </c>
      <c r="F18" s="100" t="s">
        <v>216</v>
      </c>
      <c r="G18" s="100" t="s">
        <v>214</v>
      </c>
      <c r="H18" s="100" t="s">
        <v>204</v>
      </c>
      <c r="I18" s="100" t="s">
        <v>207</v>
      </c>
      <c r="J18" s="100" t="s">
        <v>211</v>
      </c>
      <c r="K18" s="100" t="s">
        <v>206</v>
      </c>
      <c r="L18" s="100" t="s">
        <v>199</v>
      </c>
      <c r="M18" s="100" t="s">
        <v>202</v>
      </c>
      <c r="N18" s="100" t="s">
        <v>217</v>
      </c>
      <c r="O18" s="100" t="s">
        <v>203</v>
      </c>
      <c r="P18" s="100" t="s">
        <v>210</v>
      </c>
      <c r="Q18" s="100" t="s">
        <v>218</v>
      </c>
      <c r="R18" s="100" t="s">
        <v>220</v>
      </c>
    </row>
    <row r="19" spans="1:18">
      <c r="A19" s="100" t="str">
        <f>VLOOKUP(C19,classifications!C:F,4,FALSE)</f>
        <v>L</v>
      </c>
      <c r="B19" s="100" t="s">
        <v>454</v>
      </c>
      <c r="C19" s="100" t="s">
        <v>197</v>
      </c>
      <c r="D19" s="100" t="s">
        <v>208</v>
      </c>
      <c r="E19" s="100" t="s">
        <v>217</v>
      </c>
      <c r="F19" s="100" t="s">
        <v>202</v>
      </c>
      <c r="G19" s="100" t="s">
        <v>203</v>
      </c>
      <c r="H19" s="100" t="s">
        <v>204</v>
      </c>
      <c r="I19" s="100" t="s">
        <v>200</v>
      </c>
      <c r="J19" s="100" t="s">
        <v>210</v>
      </c>
      <c r="K19" s="100" t="s">
        <v>215</v>
      </c>
      <c r="L19" s="100" t="s">
        <v>394</v>
      </c>
      <c r="M19" s="100" t="s">
        <v>211</v>
      </c>
      <c r="N19" s="100" t="s">
        <v>219</v>
      </c>
      <c r="O19" s="100" t="s">
        <v>395</v>
      </c>
      <c r="P19" s="100" t="s">
        <v>198</v>
      </c>
      <c r="Q19" s="100" t="s">
        <v>222</v>
      </c>
      <c r="R19" s="100" t="s">
        <v>199</v>
      </c>
    </row>
    <row r="20" spans="1:18">
      <c r="A20" s="100" t="str">
        <f>VLOOKUP(C20,classifications!C:F,4,FALSE)</f>
        <v>L</v>
      </c>
      <c r="B20" s="100" t="s">
        <v>455</v>
      </c>
      <c r="C20" s="100" t="s">
        <v>198</v>
      </c>
      <c r="D20" s="100" t="s">
        <v>209</v>
      </c>
      <c r="E20" s="100" t="s">
        <v>219</v>
      </c>
      <c r="F20" s="100" t="s">
        <v>210</v>
      </c>
      <c r="G20" s="100" t="s">
        <v>217</v>
      </c>
      <c r="H20" s="100" t="s">
        <v>200</v>
      </c>
      <c r="I20" s="100" t="s">
        <v>215</v>
      </c>
      <c r="J20" s="100" t="s">
        <v>208</v>
      </c>
      <c r="K20" s="100" t="s">
        <v>394</v>
      </c>
      <c r="L20" s="100" t="s">
        <v>202</v>
      </c>
      <c r="M20" s="100" t="s">
        <v>204</v>
      </c>
      <c r="N20" s="100" t="s">
        <v>211</v>
      </c>
      <c r="O20" s="100" t="s">
        <v>197</v>
      </c>
      <c r="P20" s="100" t="s">
        <v>221</v>
      </c>
      <c r="Q20" s="100" t="s">
        <v>203</v>
      </c>
      <c r="R20" s="100" t="s">
        <v>395</v>
      </c>
    </row>
    <row r="21" spans="1:18">
      <c r="A21" s="100" t="str">
        <f>VLOOKUP(C21,classifications!C:F,4,FALSE)</f>
        <v>L</v>
      </c>
      <c r="B21" s="100" t="s">
        <v>456</v>
      </c>
      <c r="C21" s="100" t="s">
        <v>199</v>
      </c>
      <c r="D21" s="100" t="s">
        <v>203</v>
      </c>
      <c r="E21" s="100" t="s">
        <v>207</v>
      </c>
      <c r="F21" s="100" t="s">
        <v>221</v>
      </c>
      <c r="G21" s="100" t="s">
        <v>211</v>
      </c>
      <c r="H21" s="100" t="s">
        <v>204</v>
      </c>
      <c r="I21" s="100" t="s">
        <v>214</v>
      </c>
      <c r="J21" s="100" t="s">
        <v>213</v>
      </c>
      <c r="K21" s="100" t="s">
        <v>202</v>
      </c>
      <c r="L21" s="100" t="s">
        <v>217</v>
      </c>
      <c r="M21" s="100" t="s">
        <v>218</v>
      </c>
      <c r="N21" s="100" t="s">
        <v>205</v>
      </c>
      <c r="O21" s="100" t="s">
        <v>216</v>
      </c>
      <c r="P21" s="100" t="s">
        <v>215</v>
      </c>
      <c r="Q21" s="100" t="s">
        <v>206</v>
      </c>
      <c r="R21" s="100" t="s">
        <v>208</v>
      </c>
    </row>
    <row r="22" spans="1:18">
      <c r="A22" s="100" t="str">
        <f>VLOOKUP(C22,classifications!C:F,4,FALSE)</f>
        <v>L</v>
      </c>
      <c r="B22" s="100" t="s">
        <v>457</v>
      </c>
      <c r="C22" s="100" t="s">
        <v>200</v>
      </c>
      <c r="D22" s="100" t="s">
        <v>209</v>
      </c>
      <c r="E22" s="100" t="s">
        <v>198</v>
      </c>
      <c r="F22" s="100" t="s">
        <v>210</v>
      </c>
      <c r="G22" s="100" t="s">
        <v>197</v>
      </c>
      <c r="H22" s="100" t="s">
        <v>395</v>
      </c>
      <c r="I22" s="100" t="s">
        <v>219</v>
      </c>
      <c r="J22" s="100" t="s">
        <v>394</v>
      </c>
      <c r="K22" s="100" t="s">
        <v>208</v>
      </c>
      <c r="L22" s="100" t="s">
        <v>202</v>
      </c>
      <c r="M22" s="100" t="s">
        <v>217</v>
      </c>
      <c r="N22" s="100" t="s">
        <v>204</v>
      </c>
      <c r="O22" s="100" t="s">
        <v>215</v>
      </c>
      <c r="P22" s="100" t="s">
        <v>211</v>
      </c>
      <c r="Q22" s="100" t="s">
        <v>203</v>
      </c>
      <c r="R22" s="100" t="s">
        <v>222</v>
      </c>
    </row>
    <row r="23" spans="1:18">
      <c r="A23" s="100" t="str">
        <f>VLOOKUP(C23,classifications!C:F,4,FALSE)</f>
        <v>L</v>
      </c>
      <c r="B23" s="100" t="s">
        <v>458</v>
      </c>
      <c r="C23" s="100" t="s">
        <v>202</v>
      </c>
      <c r="D23" s="100" t="s">
        <v>204</v>
      </c>
      <c r="E23" s="100" t="s">
        <v>217</v>
      </c>
      <c r="F23" s="100" t="s">
        <v>203</v>
      </c>
      <c r="G23" s="100" t="s">
        <v>211</v>
      </c>
      <c r="H23" s="100" t="s">
        <v>221</v>
      </c>
      <c r="I23" s="100" t="s">
        <v>210</v>
      </c>
      <c r="J23" s="100" t="s">
        <v>197</v>
      </c>
      <c r="K23" s="100" t="s">
        <v>199</v>
      </c>
      <c r="L23" s="100" t="s">
        <v>198</v>
      </c>
      <c r="M23" s="100" t="s">
        <v>205</v>
      </c>
      <c r="N23" s="100" t="s">
        <v>215</v>
      </c>
      <c r="O23" s="100" t="s">
        <v>214</v>
      </c>
      <c r="P23" s="100" t="s">
        <v>219</v>
      </c>
      <c r="Q23" s="100" t="s">
        <v>207</v>
      </c>
      <c r="R23" s="100" t="s">
        <v>208</v>
      </c>
    </row>
    <row r="24" spans="1:18">
      <c r="A24" s="100" t="str">
        <f>VLOOKUP(C24,classifications!C:F,4,FALSE)</f>
        <v>L</v>
      </c>
      <c r="B24" s="100" t="s">
        <v>459</v>
      </c>
      <c r="C24" s="100" t="s">
        <v>203</v>
      </c>
      <c r="D24" s="100" t="s">
        <v>199</v>
      </c>
      <c r="E24" s="100" t="s">
        <v>211</v>
      </c>
      <c r="F24" s="100" t="s">
        <v>202</v>
      </c>
      <c r="G24" s="100" t="s">
        <v>217</v>
      </c>
      <c r="H24" s="100" t="s">
        <v>204</v>
      </c>
      <c r="I24" s="100" t="s">
        <v>221</v>
      </c>
      <c r="J24" s="100" t="s">
        <v>207</v>
      </c>
      <c r="K24" s="100" t="s">
        <v>215</v>
      </c>
      <c r="L24" s="100" t="s">
        <v>197</v>
      </c>
      <c r="M24" s="100" t="s">
        <v>208</v>
      </c>
      <c r="N24" s="100" t="s">
        <v>214</v>
      </c>
      <c r="O24" s="100" t="s">
        <v>213</v>
      </c>
      <c r="P24" s="100" t="s">
        <v>205</v>
      </c>
      <c r="Q24" s="100" t="s">
        <v>222</v>
      </c>
      <c r="R24" s="100" t="s">
        <v>210</v>
      </c>
    </row>
    <row r="25" spans="1:18">
      <c r="A25" s="100" t="str">
        <f>VLOOKUP(C25,classifications!C:F,4,FALSE)</f>
        <v>L</v>
      </c>
      <c r="B25" s="100" t="s">
        <v>460</v>
      </c>
      <c r="C25" s="100" t="s">
        <v>204</v>
      </c>
      <c r="D25" s="100" t="s">
        <v>202</v>
      </c>
      <c r="E25" s="100" t="s">
        <v>217</v>
      </c>
      <c r="F25" s="100" t="s">
        <v>203</v>
      </c>
      <c r="G25" s="100" t="s">
        <v>211</v>
      </c>
      <c r="H25" s="100" t="s">
        <v>221</v>
      </c>
      <c r="I25" s="100" t="s">
        <v>199</v>
      </c>
      <c r="J25" s="100" t="s">
        <v>210</v>
      </c>
      <c r="K25" s="100" t="s">
        <v>197</v>
      </c>
      <c r="L25" s="100" t="s">
        <v>208</v>
      </c>
      <c r="M25" s="100" t="s">
        <v>207</v>
      </c>
      <c r="N25" s="100" t="s">
        <v>198</v>
      </c>
      <c r="O25" s="100" t="s">
        <v>205</v>
      </c>
      <c r="P25" s="100" t="s">
        <v>215</v>
      </c>
      <c r="Q25" s="100" t="s">
        <v>214</v>
      </c>
      <c r="R25" s="100" t="s">
        <v>219</v>
      </c>
    </row>
    <row r="26" spans="1:18">
      <c r="A26" s="100" t="str">
        <f>VLOOKUP(C26,classifications!C:F,4,FALSE)</f>
        <v>L</v>
      </c>
      <c r="B26" s="100" t="s">
        <v>461</v>
      </c>
      <c r="C26" s="100" t="s">
        <v>207</v>
      </c>
      <c r="D26" s="100" t="s">
        <v>199</v>
      </c>
      <c r="E26" s="100" t="s">
        <v>221</v>
      </c>
      <c r="F26" s="100" t="s">
        <v>203</v>
      </c>
      <c r="G26" s="100" t="s">
        <v>214</v>
      </c>
      <c r="H26" s="100" t="s">
        <v>213</v>
      </c>
      <c r="I26" s="100" t="s">
        <v>218</v>
      </c>
      <c r="J26" s="100" t="s">
        <v>211</v>
      </c>
      <c r="K26" s="100" t="s">
        <v>206</v>
      </c>
      <c r="L26" s="100" t="s">
        <v>216</v>
      </c>
      <c r="M26" s="100" t="s">
        <v>204</v>
      </c>
      <c r="N26" s="100" t="s">
        <v>205</v>
      </c>
      <c r="O26" s="100" t="s">
        <v>202</v>
      </c>
      <c r="P26" s="100" t="s">
        <v>220</v>
      </c>
      <c r="Q26" s="100" t="s">
        <v>212</v>
      </c>
      <c r="R26" s="100" t="s">
        <v>217</v>
      </c>
    </row>
    <row r="27" spans="1:18">
      <c r="A27" s="100" t="str">
        <f>VLOOKUP(C27,classifications!C:F,4,FALSE)</f>
        <v>L</v>
      </c>
      <c r="B27" s="100" t="s">
        <v>462</v>
      </c>
      <c r="C27" s="100" t="s">
        <v>208</v>
      </c>
      <c r="D27" s="100" t="s">
        <v>215</v>
      </c>
      <c r="E27" s="100" t="s">
        <v>394</v>
      </c>
      <c r="F27" s="100" t="s">
        <v>217</v>
      </c>
      <c r="G27" s="100" t="s">
        <v>197</v>
      </c>
      <c r="H27" s="100" t="s">
        <v>219</v>
      </c>
      <c r="I27" s="100" t="s">
        <v>203</v>
      </c>
      <c r="J27" s="100" t="s">
        <v>198</v>
      </c>
      <c r="K27" s="100" t="s">
        <v>204</v>
      </c>
      <c r="L27" s="100" t="s">
        <v>211</v>
      </c>
      <c r="M27" s="100" t="s">
        <v>210</v>
      </c>
      <c r="N27" s="100" t="s">
        <v>202</v>
      </c>
      <c r="O27" s="100" t="s">
        <v>395</v>
      </c>
      <c r="P27" s="100" t="s">
        <v>199</v>
      </c>
      <c r="Q27" s="100" t="s">
        <v>200</v>
      </c>
      <c r="R27" s="100" t="s">
        <v>209</v>
      </c>
    </row>
    <row r="28" spans="1:18">
      <c r="A28" s="100" t="str">
        <f>VLOOKUP(C28,classifications!C:F,4,FALSE)</f>
        <v>L</v>
      </c>
      <c r="B28" s="100" t="s">
        <v>463</v>
      </c>
      <c r="C28" s="100" t="s">
        <v>209</v>
      </c>
      <c r="D28" s="100" t="s">
        <v>198</v>
      </c>
      <c r="E28" s="100" t="s">
        <v>200</v>
      </c>
      <c r="F28" s="100" t="s">
        <v>219</v>
      </c>
      <c r="G28" s="100" t="s">
        <v>210</v>
      </c>
      <c r="H28" s="100" t="s">
        <v>394</v>
      </c>
      <c r="I28" s="100" t="s">
        <v>217</v>
      </c>
      <c r="J28" s="100" t="s">
        <v>208</v>
      </c>
      <c r="K28" s="100" t="s">
        <v>215</v>
      </c>
      <c r="L28" s="100" t="s">
        <v>202</v>
      </c>
      <c r="M28" s="100" t="s">
        <v>204</v>
      </c>
      <c r="N28" s="100" t="s">
        <v>211</v>
      </c>
      <c r="O28" s="100" t="s">
        <v>197</v>
      </c>
      <c r="P28" s="100" t="s">
        <v>395</v>
      </c>
      <c r="Q28" s="100" t="s">
        <v>221</v>
      </c>
      <c r="R28" s="100" t="s">
        <v>203</v>
      </c>
    </row>
    <row r="29" spans="1:18">
      <c r="A29" s="100" t="str">
        <f>VLOOKUP(C29,classifications!C:F,4,FALSE)</f>
        <v>L</v>
      </c>
      <c r="B29" s="100" t="s">
        <v>464</v>
      </c>
      <c r="C29" s="100" t="s">
        <v>210</v>
      </c>
      <c r="D29" s="100" t="s">
        <v>211</v>
      </c>
      <c r="E29" s="100" t="s">
        <v>204</v>
      </c>
      <c r="F29" s="100" t="s">
        <v>198</v>
      </c>
      <c r="G29" s="100" t="s">
        <v>202</v>
      </c>
      <c r="H29" s="100" t="s">
        <v>209</v>
      </c>
      <c r="I29" s="100" t="s">
        <v>200</v>
      </c>
      <c r="J29" s="100" t="s">
        <v>219</v>
      </c>
      <c r="K29" s="100" t="s">
        <v>217</v>
      </c>
      <c r="L29" s="100" t="s">
        <v>197</v>
      </c>
      <c r="M29" s="100" t="s">
        <v>215</v>
      </c>
      <c r="N29" s="100" t="s">
        <v>208</v>
      </c>
      <c r="O29" s="100" t="s">
        <v>203</v>
      </c>
      <c r="P29" s="100" t="s">
        <v>221</v>
      </c>
      <c r="Q29" s="100" t="s">
        <v>394</v>
      </c>
      <c r="R29" s="100" t="s">
        <v>205</v>
      </c>
    </row>
    <row r="30" spans="1:18">
      <c r="A30" s="100" t="str">
        <f>VLOOKUP(C30,classifications!C:F,4,FALSE)</f>
        <v>L</v>
      </c>
      <c r="B30" s="100" t="s">
        <v>465</v>
      </c>
      <c r="C30" s="100" t="s">
        <v>211</v>
      </c>
      <c r="D30" s="100" t="s">
        <v>203</v>
      </c>
      <c r="E30" s="100" t="s">
        <v>221</v>
      </c>
      <c r="F30" s="100" t="s">
        <v>204</v>
      </c>
      <c r="G30" s="100" t="s">
        <v>215</v>
      </c>
      <c r="H30" s="100" t="s">
        <v>210</v>
      </c>
      <c r="I30" s="100" t="s">
        <v>199</v>
      </c>
      <c r="J30" s="100" t="s">
        <v>217</v>
      </c>
      <c r="K30" s="100" t="s">
        <v>202</v>
      </c>
      <c r="L30" s="100" t="s">
        <v>205</v>
      </c>
      <c r="M30" s="100" t="s">
        <v>207</v>
      </c>
      <c r="N30" s="100" t="s">
        <v>214</v>
      </c>
      <c r="O30" s="100" t="s">
        <v>219</v>
      </c>
      <c r="P30" s="100" t="s">
        <v>208</v>
      </c>
      <c r="Q30" s="100" t="s">
        <v>213</v>
      </c>
      <c r="R30" s="100" t="s">
        <v>197</v>
      </c>
    </row>
    <row r="31" spans="1:18">
      <c r="A31" s="100" t="str">
        <f>VLOOKUP(C31,classifications!C:F,4,FALSE)</f>
        <v>L</v>
      </c>
      <c r="B31" s="100" t="s">
        <v>466</v>
      </c>
      <c r="C31" s="102" t="s">
        <v>394</v>
      </c>
      <c r="D31" s="100" t="s">
        <v>215</v>
      </c>
      <c r="E31" s="100" t="s">
        <v>219</v>
      </c>
      <c r="F31" s="100" t="s">
        <v>208</v>
      </c>
      <c r="G31" s="100" t="s">
        <v>395</v>
      </c>
      <c r="H31" s="100" t="s">
        <v>198</v>
      </c>
      <c r="I31" s="100" t="s">
        <v>217</v>
      </c>
      <c r="J31" s="100" t="s">
        <v>197</v>
      </c>
      <c r="K31" s="100" t="s">
        <v>211</v>
      </c>
      <c r="L31" s="100" t="s">
        <v>210</v>
      </c>
      <c r="M31" s="100" t="s">
        <v>200</v>
      </c>
      <c r="N31" s="100" t="s">
        <v>209</v>
      </c>
      <c r="O31" s="100" t="s">
        <v>222</v>
      </c>
      <c r="P31" s="100" t="s">
        <v>203</v>
      </c>
      <c r="Q31" s="100" t="s">
        <v>204</v>
      </c>
      <c r="R31" s="100" t="s">
        <v>202</v>
      </c>
    </row>
    <row r="32" spans="1:18">
      <c r="A32" s="100" t="str">
        <f>VLOOKUP(C32,classifications!C:F,4,FALSE)</f>
        <v>L</v>
      </c>
      <c r="B32" s="100" t="s">
        <v>467</v>
      </c>
      <c r="C32" s="100" t="s">
        <v>215</v>
      </c>
      <c r="D32" s="100" t="s">
        <v>219</v>
      </c>
      <c r="E32" s="100" t="s">
        <v>394</v>
      </c>
      <c r="F32" s="100" t="s">
        <v>208</v>
      </c>
      <c r="G32" s="100" t="s">
        <v>217</v>
      </c>
      <c r="H32" s="100" t="s">
        <v>211</v>
      </c>
      <c r="I32" s="100" t="s">
        <v>203</v>
      </c>
      <c r="J32" s="100" t="s">
        <v>198</v>
      </c>
      <c r="K32" s="100" t="s">
        <v>222</v>
      </c>
      <c r="L32" s="100" t="s">
        <v>210</v>
      </c>
      <c r="M32" s="100" t="s">
        <v>221</v>
      </c>
      <c r="N32" s="100" t="s">
        <v>197</v>
      </c>
      <c r="O32" s="100" t="s">
        <v>202</v>
      </c>
      <c r="P32" s="100" t="s">
        <v>204</v>
      </c>
      <c r="Q32" s="100" t="s">
        <v>199</v>
      </c>
      <c r="R32" s="100" t="s">
        <v>207</v>
      </c>
    </row>
    <row r="33" spans="1:18">
      <c r="A33" s="100" t="str">
        <f>VLOOKUP(C33,classifications!C:F,4,FALSE)</f>
        <v>L</v>
      </c>
      <c r="B33" s="100" t="s">
        <v>468</v>
      </c>
      <c r="C33" s="100" t="s">
        <v>216</v>
      </c>
      <c r="D33" s="100" t="s">
        <v>221</v>
      </c>
      <c r="E33" s="100" t="s">
        <v>207</v>
      </c>
      <c r="F33" s="100" t="s">
        <v>199</v>
      </c>
      <c r="G33" s="100" t="s">
        <v>214</v>
      </c>
      <c r="H33" s="100" t="s">
        <v>206</v>
      </c>
      <c r="I33" s="100" t="s">
        <v>339</v>
      </c>
      <c r="J33" s="100" t="s">
        <v>205</v>
      </c>
      <c r="K33" s="100" t="s">
        <v>220</v>
      </c>
      <c r="L33" s="100" t="s">
        <v>218</v>
      </c>
      <c r="M33" s="100" t="s">
        <v>213</v>
      </c>
      <c r="N33" s="100" t="s">
        <v>203</v>
      </c>
      <c r="O33" s="100" t="s">
        <v>211</v>
      </c>
      <c r="P33" s="100" t="s">
        <v>204</v>
      </c>
      <c r="Q33" s="100" t="s">
        <v>202</v>
      </c>
      <c r="R33" s="100" t="s">
        <v>217</v>
      </c>
    </row>
    <row r="34" spans="1:18">
      <c r="A34" s="100" t="str">
        <f>VLOOKUP(C34,classifications!C:F,4,FALSE)</f>
        <v>L</v>
      </c>
      <c r="B34" s="100" t="s">
        <v>469</v>
      </c>
      <c r="C34" s="100" t="s">
        <v>217</v>
      </c>
      <c r="D34" s="100" t="s">
        <v>202</v>
      </c>
      <c r="E34" s="100" t="s">
        <v>204</v>
      </c>
      <c r="F34" s="100" t="s">
        <v>203</v>
      </c>
      <c r="G34" s="100" t="s">
        <v>208</v>
      </c>
      <c r="H34" s="100" t="s">
        <v>215</v>
      </c>
      <c r="I34" s="100" t="s">
        <v>211</v>
      </c>
      <c r="J34" s="100" t="s">
        <v>219</v>
      </c>
      <c r="K34" s="100" t="s">
        <v>221</v>
      </c>
      <c r="L34" s="100" t="s">
        <v>198</v>
      </c>
      <c r="M34" s="100" t="s">
        <v>197</v>
      </c>
      <c r="N34" s="100" t="s">
        <v>199</v>
      </c>
      <c r="O34" s="100" t="s">
        <v>210</v>
      </c>
      <c r="P34" s="100" t="s">
        <v>394</v>
      </c>
      <c r="Q34" s="100" t="s">
        <v>207</v>
      </c>
      <c r="R34" s="100" t="s">
        <v>205</v>
      </c>
    </row>
    <row r="35" spans="1:18">
      <c r="A35" s="100" t="str">
        <f>VLOOKUP(C35,classifications!C:F,4,FALSE)</f>
        <v>L</v>
      </c>
      <c r="B35" s="100" t="s">
        <v>470</v>
      </c>
      <c r="C35" s="102" t="s">
        <v>395</v>
      </c>
      <c r="D35" s="100" t="s">
        <v>394</v>
      </c>
      <c r="E35" s="100" t="s">
        <v>200</v>
      </c>
      <c r="F35" s="100" t="s">
        <v>208</v>
      </c>
      <c r="G35" s="100" t="s">
        <v>219</v>
      </c>
      <c r="H35" s="100" t="s">
        <v>197</v>
      </c>
      <c r="I35" s="100" t="s">
        <v>215</v>
      </c>
      <c r="J35" s="100" t="s">
        <v>198</v>
      </c>
      <c r="K35" s="100" t="s">
        <v>210</v>
      </c>
      <c r="L35" s="100" t="s">
        <v>209</v>
      </c>
      <c r="M35" s="100" t="s">
        <v>217</v>
      </c>
      <c r="N35" s="100" t="s">
        <v>222</v>
      </c>
      <c r="O35" s="100" t="s">
        <v>211</v>
      </c>
      <c r="P35" s="100" t="s">
        <v>201</v>
      </c>
      <c r="Q35" s="100" t="s">
        <v>204</v>
      </c>
      <c r="R35" s="100" t="s">
        <v>202</v>
      </c>
    </row>
    <row r="36" spans="1:18">
      <c r="A36" s="100" t="str">
        <f>VLOOKUP(C36,classifications!C:F,4,FALSE)</f>
        <v>L</v>
      </c>
      <c r="B36" s="100" t="s">
        <v>471</v>
      </c>
      <c r="C36" s="100" t="s">
        <v>219</v>
      </c>
      <c r="D36" s="100" t="s">
        <v>198</v>
      </c>
      <c r="E36" s="100" t="s">
        <v>215</v>
      </c>
      <c r="F36" s="100" t="s">
        <v>394</v>
      </c>
      <c r="G36" s="100" t="s">
        <v>208</v>
      </c>
      <c r="H36" s="100" t="s">
        <v>217</v>
      </c>
      <c r="I36" s="100" t="s">
        <v>209</v>
      </c>
      <c r="J36" s="100" t="s">
        <v>210</v>
      </c>
      <c r="K36" s="100" t="s">
        <v>211</v>
      </c>
      <c r="L36" s="100" t="s">
        <v>202</v>
      </c>
      <c r="M36" s="100" t="s">
        <v>197</v>
      </c>
      <c r="N36" s="100" t="s">
        <v>200</v>
      </c>
      <c r="O36" s="100" t="s">
        <v>204</v>
      </c>
      <c r="P36" s="100" t="s">
        <v>395</v>
      </c>
      <c r="Q36" s="100" t="s">
        <v>203</v>
      </c>
      <c r="R36" s="100" t="s">
        <v>221</v>
      </c>
    </row>
    <row r="37" spans="1:18">
      <c r="A37" s="100" t="str">
        <f>VLOOKUP(C37,classifications!C:F,4,FALSE)</f>
        <v>L</v>
      </c>
      <c r="B37" s="100" t="s">
        <v>472</v>
      </c>
      <c r="C37" s="100" t="s">
        <v>221</v>
      </c>
      <c r="D37" s="100" t="s">
        <v>207</v>
      </c>
      <c r="E37" s="100" t="s">
        <v>211</v>
      </c>
      <c r="F37" s="100" t="s">
        <v>199</v>
      </c>
      <c r="G37" s="100" t="s">
        <v>204</v>
      </c>
      <c r="H37" s="100" t="s">
        <v>203</v>
      </c>
      <c r="I37" s="100" t="s">
        <v>214</v>
      </c>
      <c r="J37" s="100" t="s">
        <v>205</v>
      </c>
      <c r="K37" s="100" t="s">
        <v>202</v>
      </c>
      <c r="L37" s="100" t="s">
        <v>216</v>
      </c>
      <c r="M37" s="100" t="s">
        <v>217</v>
      </c>
      <c r="N37" s="100" t="s">
        <v>339</v>
      </c>
      <c r="O37" s="100" t="s">
        <v>215</v>
      </c>
      <c r="P37" s="100" t="s">
        <v>213</v>
      </c>
      <c r="Q37" s="100" t="s">
        <v>218</v>
      </c>
      <c r="R37" s="100" t="s">
        <v>210</v>
      </c>
    </row>
    <row r="39" spans="1:18">
      <c r="B39" s="99" t="s">
        <v>415</v>
      </c>
    </row>
    <row r="40" spans="1:18">
      <c r="A40" s="100" t="str">
        <f>VLOOKUP(C40,classifications!C:F,4,FALSE)</f>
        <v>MD</v>
      </c>
      <c r="B40" s="100" t="s">
        <v>473</v>
      </c>
      <c r="C40" s="100" t="s">
        <v>225</v>
      </c>
      <c r="D40" s="100" t="s">
        <v>241</v>
      </c>
      <c r="E40" s="100" t="s">
        <v>240</v>
      </c>
      <c r="F40" s="100" t="s">
        <v>252</v>
      </c>
      <c r="G40" s="100" t="s">
        <v>266</v>
      </c>
      <c r="H40" s="100" t="s">
        <v>227</v>
      </c>
      <c r="I40" s="100" t="s">
        <v>256</v>
      </c>
      <c r="J40" s="100" t="s">
        <v>274</v>
      </c>
      <c r="K40" s="100" t="s">
        <v>233</v>
      </c>
      <c r="L40" s="100" t="s">
        <v>815</v>
      </c>
      <c r="M40" s="100" t="s">
        <v>292</v>
      </c>
      <c r="N40" s="100" t="s">
        <v>228</v>
      </c>
      <c r="O40" s="100" t="s">
        <v>229</v>
      </c>
      <c r="P40" s="100" t="s">
        <v>243</v>
      </c>
      <c r="Q40" s="100" t="s">
        <v>242</v>
      </c>
      <c r="R40" s="100" t="s">
        <v>291</v>
      </c>
    </row>
    <row r="41" spans="1:18">
      <c r="A41" s="100" t="str">
        <f>VLOOKUP(C41,classifications!C:F,4,FALSE)</f>
        <v>MD</v>
      </c>
      <c r="B41" s="100" t="s">
        <v>474</v>
      </c>
      <c r="C41" s="100" t="s">
        <v>227</v>
      </c>
      <c r="D41" s="100" t="s">
        <v>228</v>
      </c>
      <c r="E41" s="100" t="s">
        <v>274</v>
      </c>
      <c r="F41" s="100" t="s">
        <v>225</v>
      </c>
      <c r="G41" s="100" t="s">
        <v>233</v>
      </c>
      <c r="H41" s="100" t="s">
        <v>256</v>
      </c>
      <c r="I41" s="100" t="s">
        <v>252</v>
      </c>
      <c r="J41" s="100" t="s">
        <v>265</v>
      </c>
      <c r="K41" s="100" t="s">
        <v>815</v>
      </c>
      <c r="L41" s="100" t="s">
        <v>291</v>
      </c>
      <c r="M41" s="100" t="s">
        <v>296</v>
      </c>
      <c r="N41" s="100" t="s">
        <v>266</v>
      </c>
      <c r="O41" s="100" t="s">
        <v>249</v>
      </c>
      <c r="P41" s="100" t="s">
        <v>242</v>
      </c>
      <c r="Q41" s="100" t="s">
        <v>241</v>
      </c>
      <c r="R41" s="100" t="s">
        <v>250</v>
      </c>
    </row>
    <row r="42" spans="1:18">
      <c r="A42" s="100" t="str">
        <f>VLOOKUP(C42,classifications!C:F,4,FALSE)</f>
        <v>MD</v>
      </c>
      <c r="B42" s="100" t="s">
        <v>475</v>
      </c>
      <c r="C42" s="100" t="s">
        <v>237</v>
      </c>
      <c r="D42" s="100" t="s">
        <v>280</v>
      </c>
      <c r="E42" s="100" t="s">
        <v>236</v>
      </c>
      <c r="F42" s="100" t="s">
        <v>272</v>
      </c>
      <c r="G42" s="100" t="s">
        <v>289</v>
      </c>
      <c r="H42" s="100" t="s">
        <v>817</v>
      </c>
      <c r="I42" s="100" t="s">
        <v>813</v>
      </c>
      <c r="J42" s="100" t="s">
        <v>238</v>
      </c>
      <c r="K42" s="100" t="s">
        <v>243</v>
      </c>
      <c r="L42" s="100" t="s">
        <v>819</v>
      </c>
      <c r="M42" s="100" t="s">
        <v>235</v>
      </c>
      <c r="N42" s="100" t="s">
        <v>284</v>
      </c>
      <c r="O42" s="100" t="s">
        <v>246</v>
      </c>
      <c r="P42" s="100" t="s">
        <v>285</v>
      </c>
      <c r="Q42" s="100" t="s">
        <v>224</v>
      </c>
      <c r="R42" s="100" t="s">
        <v>225</v>
      </c>
    </row>
    <row r="43" spans="1:18">
      <c r="A43" s="100" t="str">
        <f>VLOOKUP(C43,classifications!C:F,4,FALSE)</f>
        <v>MD</v>
      </c>
      <c r="B43" s="100" t="s">
        <v>476</v>
      </c>
      <c r="C43" s="100" t="s">
        <v>240</v>
      </c>
      <c r="D43" s="100" t="s">
        <v>241</v>
      </c>
      <c r="E43" s="100" t="s">
        <v>225</v>
      </c>
      <c r="F43" s="100" t="s">
        <v>261</v>
      </c>
      <c r="G43" s="100" t="s">
        <v>252</v>
      </c>
      <c r="H43" s="100" t="s">
        <v>255</v>
      </c>
      <c r="I43" s="100" t="s">
        <v>266</v>
      </c>
      <c r="J43" s="100" t="s">
        <v>244</v>
      </c>
      <c r="K43" s="100" t="s">
        <v>292</v>
      </c>
      <c r="L43" s="100" t="s">
        <v>815</v>
      </c>
      <c r="M43" s="100" t="s">
        <v>226</v>
      </c>
      <c r="N43" s="100" t="s">
        <v>256</v>
      </c>
      <c r="O43" s="100" t="s">
        <v>274</v>
      </c>
      <c r="P43" s="100" t="s">
        <v>242</v>
      </c>
      <c r="Q43" s="100" t="s">
        <v>229</v>
      </c>
      <c r="R43" s="100" t="s">
        <v>227</v>
      </c>
    </row>
    <row r="44" spans="1:18">
      <c r="A44" s="100" t="str">
        <f>VLOOKUP(C44,classifications!C:F,4,FALSE)</f>
        <v>MD</v>
      </c>
      <c r="B44" s="100" t="s">
        <v>477</v>
      </c>
      <c r="C44" s="100" t="s">
        <v>241</v>
      </c>
      <c r="D44" s="100" t="s">
        <v>240</v>
      </c>
      <c r="E44" s="100" t="s">
        <v>225</v>
      </c>
      <c r="F44" s="100" t="s">
        <v>252</v>
      </c>
      <c r="G44" s="100" t="s">
        <v>292</v>
      </c>
      <c r="H44" s="100" t="s">
        <v>255</v>
      </c>
      <c r="I44" s="100" t="s">
        <v>243</v>
      </c>
      <c r="J44" s="100" t="s">
        <v>269</v>
      </c>
      <c r="K44" s="100" t="s">
        <v>244</v>
      </c>
      <c r="L44" s="100" t="s">
        <v>266</v>
      </c>
      <c r="M44" s="100" t="s">
        <v>815</v>
      </c>
      <c r="N44" s="100" t="s">
        <v>261</v>
      </c>
      <c r="O44" s="100" t="s">
        <v>242</v>
      </c>
      <c r="P44" s="100" t="s">
        <v>256</v>
      </c>
      <c r="Q44" s="100" t="s">
        <v>275</v>
      </c>
      <c r="R44" s="100" t="s">
        <v>249</v>
      </c>
    </row>
    <row r="45" spans="1:18">
      <c r="A45" s="100" t="str">
        <f>VLOOKUP(C45,classifications!C:F,4,FALSE)</f>
        <v>MD</v>
      </c>
      <c r="B45" s="100" t="s">
        <v>478</v>
      </c>
      <c r="C45" s="100" t="s">
        <v>243</v>
      </c>
      <c r="D45" s="100" t="s">
        <v>241</v>
      </c>
      <c r="E45" s="100" t="s">
        <v>292</v>
      </c>
      <c r="F45" s="100" t="s">
        <v>252</v>
      </c>
      <c r="G45" s="100" t="s">
        <v>225</v>
      </c>
      <c r="H45" s="100" t="s">
        <v>238</v>
      </c>
      <c r="I45" s="100" t="s">
        <v>232</v>
      </c>
      <c r="J45" s="100" t="s">
        <v>269</v>
      </c>
      <c r="K45" s="100" t="s">
        <v>280</v>
      </c>
      <c r="L45" s="100" t="s">
        <v>819</v>
      </c>
      <c r="M45" s="100" t="s">
        <v>240</v>
      </c>
      <c r="N45" s="100" t="s">
        <v>244</v>
      </c>
      <c r="O45" s="100" t="s">
        <v>275</v>
      </c>
      <c r="P45" s="100" t="s">
        <v>236</v>
      </c>
      <c r="Q45" s="100" t="s">
        <v>258</v>
      </c>
      <c r="R45" s="100" t="s">
        <v>234</v>
      </c>
    </row>
    <row r="46" spans="1:18">
      <c r="A46" s="100" t="str">
        <f>VLOOKUP(C46,classifications!C:F,4,FALSE)</f>
        <v>MD</v>
      </c>
      <c r="B46" s="100" t="s">
        <v>479</v>
      </c>
      <c r="C46" s="100" t="s">
        <v>250</v>
      </c>
      <c r="D46" s="100" t="s">
        <v>247</v>
      </c>
      <c r="E46" s="100" t="s">
        <v>300</v>
      </c>
      <c r="F46" s="100" t="s">
        <v>814</v>
      </c>
      <c r="G46" s="100" t="s">
        <v>227</v>
      </c>
      <c r="H46" s="100" t="s">
        <v>296</v>
      </c>
      <c r="I46" s="100" t="s">
        <v>228</v>
      </c>
      <c r="J46" s="100" t="s">
        <v>231</v>
      </c>
      <c r="K46" s="100" t="s">
        <v>305</v>
      </c>
      <c r="L46" s="100" t="s">
        <v>259</v>
      </c>
      <c r="M46" s="100" t="s">
        <v>265</v>
      </c>
      <c r="N46" s="100" t="s">
        <v>293</v>
      </c>
      <c r="O46" s="100" t="s">
        <v>260</v>
      </c>
      <c r="P46" s="100" t="s">
        <v>233</v>
      </c>
      <c r="Q46" s="100" t="s">
        <v>274</v>
      </c>
      <c r="R46" s="100" t="s">
        <v>326</v>
      </c>
    </row>
    <row r="47" spans="1:18">
      <c r="A47" s="100" t="str">
        <f>VLOOKUP(C47,classifications!C:F,4,FALSE)</f>
        <v>MD</v>
      </c>
      <c r="B47" s="100" t="s">
        <v>480</v>
      </c>
      <c r="C47" s="100" t="s">
        <v>252</v>
      </c>
      <c r="D47" s="100" t="s">
        <v>256</v>
      </c>
      <c r="E47" s="100" t="s">
        <v>225</v>
      </c>
      <c r="F47" s="100" t="s">
        <v>241</v>
      </c>
      <c r="G47" s="100" t="s">
        <v>292</v>
      </c>
      <c r="H47" s="100" t="s">
        <v>249</v>
      </c>
      <c r="I47" s="100" t="s">
        <v>240</v>
      </c>
      <c r="J47" s="100" t="s">
        <v>242</v>
      </c>
      <c r="K47" s="100" t="s">
        <v>269</v>
      </c>
      <c r="L47" s="100" t="s">
        <v>227</v>
      </c>
      <c r="M47" s="100" t="s">
        <v>243</v>
      </c>
      <c r="N47" s="100" t="s">
        <v>230</v>
      </c>
      <c r="O47" s="100" t="s">
        <v>254</v>
      </c>
      <c r="P47" s="100" t="s">
        <v>223</v>
      </c>
      <c r="Q47" s="100" t="s">
        <v>815</v>
      </c>
      <c r="R47" s="100" t="s">
        <v>228</v>
      </c>
    </row>
    <row r="48" spans="1:18">
      <c r="A48" s="100" t="str">
        <f>VLOOKUP(C48,classifications!C:F,4,FALSE)</f>
        <v>MD</v>
      </c>
      <c r="B48" s="100" t="s">
        <v>481</v>
      </c>
      <c r="C48" s="100" t="s">
        <v>253</v>
      </c>
      <c r="D48" s="100" t="s">
        <v>293</v>
      </c>
      <c r="E48" s="100" t="s">
        <v>247</v>
      </c>
      <c r="F48" s="100" t="s">
        <v>296</v>
      </c>
      <c r="G48" s="100" t="s">
        <v>300</v>
      </c>
      <c r="H48" s="100" t="s">
        <v>250</v>
      </c>
      <c r="I48" s="100" t="s">
        <v>294</v>
      </c>
      <c r="J48" s="100" t="s">
        <v>260</v>
      </c>
      <c r="K48" s="100" t="s">
        <v>288</v>
      </c>
      <c r="L48" s="100" t="s">
        <v>814</v>
      </c>
      <c r="M48" s="100" t="s">
        <v>276</v>
      </c>
      <c r="N48" s="100" t="s">
        <v>259</v>
      </c>
      <c r="O48" s="100" t="s">
        <v>291</v>
      </c>
      <c r="P48" s="100" t="s">
        <v>285</v>
      </c>
      <c r="Q48" s="100" t="s">
        <v>281</v>
      </c>
      <c r="R48" s="100" t="s">
        <v>817</v>
      </c>
    </row>
    <row r="49" spans="1:18">
      <c r="A49" s="100" t="str">
        <f>VLOOKUP(C49,classifications!C:F,4,FALSE)</f>
        <v>MD</v>
      </c>
      <c r="B49" s="100" t="s">
        <v>482</v>
      </c>
      <c r="C49" s="100" t="s">
        <v>256</v>
      </c>
      <c r="D49" s="100" t="s">
        <v>252</v>
      </c>
      <c r="E49" s="100" t="s">
        <v>242</v>
      </c>
      <c r="F49" s="100" t="s">
        <v>249</v>
      </c>
      <c r="G49" s="100" t="s">
        <v>230</v>
      </c>
      <c r="H49" s="100" t="s">
        <v>225</v>
      </c>
      <c r="I49" s="100" t="s">
        <v>254</v>
      </c>
      <c r="J49" s="100" t="s">
        <v>223</v>
      </c>
      <c r="K49" s="100" t="s">
        <v>227</v>
      </c>
      <c r="L49" s="100" t="s">
        <v>233</v>
      </c>
      <c r="M49" s="100" t="s">
        <v>292</v>
      </c>
      <c r="N49" s="100" t="s">
        <v>241</v>
      </c>
      <c r="O49" s="100" t="s">
        <v>228</v>
      </c>
      <c r="P49" s="100" t="s">
        <v>269</v>
      </c>
      <c r="Q49" s="100" t="s">
        <v>291</v>
      </c>
      <c r="R49" s="100" t="s">
        <v>815</v>
      </c>
    </row>
    <row r="50" spans="1:18">
      <c r="A50" s="100" t="str">
        <f>VLOOKUP(C50,classifications!C:F,4,FALSE)</f>
        <v>MD</v>
      </c>
      <c r="B50" s="100" t="s">
        <v>483</v>
      </c>
      <c r="C50" s="100" t="s">
        <v>234</v>
      </c>
      <c r="D50" s="100" t="s">
        <v>275</v>
      </c>
      <c r="E50" s="100" t="s">
        <v>292</v>
      </c>
      <c r="F50" s="100" t="s">
        <v>269</v>
      </c>
      <c r="G50" s="100" t="s">
        <v>249</v>
      </c>
      <c r="H50" s="100" t="s">
        <v>255</v>
      </c>
      <c r="I50" s="100" t="s">
        <v>241</v>
      </c>
      <c r="J50" s="100" t="s">
        <v>232</v>
      </c>
      <c r="K50" s="100" t="s">
        <v>819</v>
      </c>
      <c r="L50" s="100" t="s">
        <v>242</v>
      </c>
      <c r="M50" s="100" t="s">
        <v>252</v>
      </c>
      <c r="N50" s="100" t="s">
        <v>251</v>
      </c>
      <c r="O50" s="100" t="s">
        <v>244</v>
      </c>
      <c r="P50" s="100" t="s">
        <v>258</v>
      </c>
      <c r="Q50" s="100" t="s">
        <v>243</v>
      </c>
      <c r="R50" s="100" t="s">
        <v>223</v>
      </c>
    </row>
    <row r="51" spans="1:18">
      <c r="A51" s="100" t="str">
        <f>VLOOKUP(C51,classifications!C:F,4,FALSE)</f>
        <v>MD</v>
      </c>
      <c r="B51" s="100" t="s">
        <v>484</v>
      </c>
      <c r="C51" s="100" t="s">
        <v>236</v>
      </c>
      <c r="D51" s="100" t="s">
        <v>280</v>
      </c>
      <c r="E51" s="100" t="s">
        <v>238</v>
      </c>
      <c r="F51" s="100" t="s">
        <v>819</v>
      </c>
      <c r="G51" s="100" t="s">
        <v>243</v>
      </c>
      <c r="H51" s="100" t="s">
        <v>246</v>
      </c>
      <c r="I51" s="100" t="s">
        <v>292</v>
      </c>
      <c r="J51" s="100" t="s">
        <v>232</v>
      </c>
      <c r="K51" s="100" t="s">
        <v>275</v>
      </c>
      <c r="L51" s="100" t="s">
        <v>251</v>
      </c>
      <c r="M51" s="100" t="s">
        <v>258</v>
      </c>
      <c r="N51" s="100" t="s">
        <v>244</v>
      </c>
      <c r="O51" s="100" t="s">
        <v>234</v>
      </c>
      <c r="P51" s="100" t="s">
        <v>241</v>
      </c>
      <c r="Q51" s="100" t="s">
        <v>252</v>
      </c>
      <c r="R51" s="100" t="s">
        <v>225</v>
      </c>
    </row>
    <row r="52" spans="1:18">
      <c r="A52" s="100" t="str">
        <f>VLOOKUP(C52,classifications!C:F,4,FALSE)</f>
        <v>MD</v>
      </c>
      <c r="B52" s="100" t="s">
        <v>485</v>
      </c>
      <c r="C52" s="100" t="s">
        <v>249</v>
      </c>
      <c r="D52" s="100" t="s">
        <v>242</v>
      </c>
      <c r="E52" s="100" t="s">
        <v>223</v>
      </c>
      <c r="F52" s="100" t="s">
        <v>230</v>
      </c>
      <c r="G52" s="100" t="s">
        <v>256</v>
      </c>
      <c r="H52" s="100" t="s">
        <v>254</v>
      </c>
      <c r="I52" s="100" t="s">
        <v>265</v>
      </c>
      <c r="J52" s="100" t="s">
        <v>291</v>
      </c>
      <c r="K52" s="100" t="s">
        <v>252</v>
      </c>
      <c r="L52" s="100" t="s">
        <v>231</v>
      </c>
      <c r="M52" s="100" t="s">
        <v>232</v>
      </c>
      <c r="N52" s="100" t="s">
        <v>292</v>
      </c>
      <c r="O52" s="100" t="s">
        <v>269</v>
      </c>
      <c r="P52" s="100" t="s">
        <v>228</v>
      </c>
      <c r="Q52" s="100" t="s">
        <v>225</v>
      </c>
      <c r="R52" s="100" t="s">
        <v>234</v>
      </c>
    </row>
    <row r="53" spans="1:18">
      <c r="A53" s="100" t="str">
        <f>VLOOKUP(C53,classifications!C:F,4,FALSE)</f>
        <v>MD</v>
      </c>
      <c r="B53" s="100" t="s">
        <v>486</v>
      </c>
      <c r="C53" s="100" t="s">
        <v>245</v>
      </c>
      <c r="D53" s="100" t="s">
        <v>257</v>
      </c>
      <c r="E53" s="100" t="s">
        <v>239</v>
      </c>
      <c r="F53" s="100" t="s">
        <v>323</v>
      </c>
      <c r="G53" s="100" t="s">
        <v>290</v>
      </c>
      <c r="H53" s="100" t="s">
        <v>295</v>
      </c>
      <c r="I53" s="100" t="s">
        <v>282</v>
      </c>
      <c r="J53" s="100" t="s">
        <v>811</v>
      </c>
      <c r="K53" s="100" t="s">
        <v>263</v>
      </c>
      <c r="L53" s="100" t="s">
        <v>265</v>
      </c>
      <c r="M53" s="100" t="s">
        <v>231</v>
      </c>
      <c r="N53" s="100" t="s">
        <v>268</v>
      </c>
      <c r="O53" s="100" t="s">
        <v>250</v>
      </c>
      <c r="P53" s="100" t="s">
        <v>271</v>
      </c>
      <c r="Q53" s="100" t="s">
        <v>277</v>
      </c>
      <c r="R53" s="100" t="s">
        <v>283</v>
      </c>
    </row>
    <row r="54" spans="1:18">
      <c r="A54" s="100" t="str">
        <f>VLOOKUP(C54,classifications!C:F,4,FALSE)</f>
        <v>MD</v>
      </c>
      <c r="B54" s="100" t="s">
        <v>487</v>
      </c>
      <c r="C54" s="100" t="s">
        <v>257</v>
      </c>
      <c r="D54" s="100" t="s">
        <v>245</v>
      </c>
      <c r="E54" s="100" t="s">
        <v>239</v>
      </c>
      <c r="F54" s="100" t="s">
        <v>282</v>
      </c>
      <c r="G54" s="100" t="s">
        <v>323</v>
      </c>
      <c r="H54" s="100" t="s">
        <v>290</v>
      </c>
      <c r="I54" s="100" t="s">
        <v>811</v>
      </c>
      <c r="J54" s="100" t="s">
        <v>265</v>
      </c>
      <c r="K54" s="100" t="s">
        <v>231</v>
      </c>
      <c r="L54" s="100" t="s">
        <v>277</v>
      </c>
      <c r="M54" s="100" t="s">
        <v>249</v>
      </c>
      <c r="N54" s="100" t="s">
        <v>242</v>
      </c>
      <c r="O54" s="100" t="s">
        <v>228</v>
      </c>
      <c r="P54" s="100" t="s">
        <v>251</v>
      </c>
      <c r="Q54" s="100" t="s">
        <v>223</v>
      </c>
      <c r="R54" s="100" t="s">
        <v>230</v>
      </c>
    </row>
    <row r="55" spans="1:18">
      <c r="A55" s="100" t="str">
        <f>VLOOKUP(C55,classifications!C:F,4,FALSE)</f>
        <v>MD</v>
      </c>
      <c r="B55" s="100" t="s">
        <v>488</v>
      </c>
      <c r="C55" s="100" t="s">
        <v>223</v>
      </c>
      <c r="D55" s="100" t="s">
        <v>242</v>
      </c>
      <c r="E55" s="100" t="s">
        <v>230</v>
      </c>
      <c r="F55" s="100" t="s">
        <v>249</v>
      </c>
      <c r="G55" s="100" t="s">
        <v>254</v>
      </c>
      <c r="H55" s="100" t="s">
        <v>256</v>
      </c>
      <c r="I55" s="100" t="s">
        <v>267</v>
      </c>
      <c r="J55" s="100" t="s">
        <v>291</v>
      </c>
      <c r="K55" s="100" t="s">
        <v>228</v>
      </c>
      <c r="L55" s="100" t="s">
        <v>231</v>
      </c>
      <c r="M55" s="100" t="s">
        <v>265</v>
      </c>
      <c r="N55" s="100" t="s">
        <v>252</v>
      </c>
      <c r="O55" s="100" t="s">
        <v>292</v>
      </c>
      <c r="P55" s="100" t="s">
        <v>255</v>
      </c>
      <c r="Q55" s="100" t="s">
        <v>815</v>
      </c>
      <c r="R55" s="100" t="s">
        <v>233</v>
      </c>
    </row>
    <row r="56" spans="1:18">
      <c r="A56" s="100" t="str">
        <f>VLOOKUP(C56,classifications!C:F,4,FALSE)</f>
        <v>MD</v>
      </c>
      <c r="B56" s="100" t="s">
        <v>489</v>
      </c>
      <c r="C56" s="100" t="s">
        <v>230</v>
      </c>
      <c r="D56" s="100" t="s">
        <v>242</v>
      </c>
      <c r="E56" s="100" t="s">
        <v>223</v>
      </c>
      <c r="F56" s="100" t="s">
        <v>254</v>
      </c>
      <c r="G56" s="100" t="s">
        <v>249</v>
      </c>
      <c r="H56" s="100" t="s">
        <v>256</v>
      </c>
      <c r="I56" s="100" t="s">
        <v>292</v>
      </c>
      <c r="J56" s="100" t="s">
        <v>291</v>
      </c>
      <c r="K56" s="100" t="s">
        <v>267</v>
      </c>
      <c r="L56" s="100" t="s">
        <v>252</v>
      </c>
      <c r="M56" s="100" t="s">
        <v>228</v>
      </c>
      <c r="N56" s="100" t="s">
        <v>233</v>
      </c>
      <c r="O56" s="100" t="s">
        <v>231</v>
      </c>
      <c r="P56" s="100" t="s">
        <v>265</v>
      </c>
      <c r="Q56" s="100" t="s">
        <v>225</v>
      </c>
      <c r="R56" s="100" t="s">
        <v>255</v>
      </c>
    </row>
    <row r="57" spans="1:18">
      <c r="A57" s="100" t="str">
        <f>VLOOKUP(C57,classifications!C:F,4,FALSE)</f>
        <v>MD</v>
      </c>
      <c r="B57" s="100" t="s">
        <v>490</v>
      </c>
      <c r="C57" s="100" t="s">
        <v>242</v>
      </c>
      <c r="D57" s="100" t="s">
        <v>223</v>
      </c>
      <c r="E57" s="100" t="s">
        <v>230</v>
      </c>
      <c r="F57" s="100" t="s">
        <v>249</v>
      </c>
      <c r="G57" s="100" t="s">
        <v>254</v>
      </c>
      <c r="H57" s="100" t="s">
        <v>256</v>
      </c>
      <c r="I57" s="100" t="s">
        <v>291</v>
      </c>
      <c r="J57" s="100" t="s">
        <v>252</v>
      </c>
      <c r="K57" s="100" t="s">
        <v>228</v>
      </c>
      <c r="L57" s="100" t="s">
        <v>292</v>
      </c>
      <c r="M57" s="100" t="s">
        <v>231</v>
      </c>
      <c r="N57" s="100" t="s">
        <v>265</v>
      </c>
      <c r="O57" s="100" t="s">
        <v>241</v>
      </c>
      <c r="P57" s="100" t="s">
        <v>815</v>
      </c>
      <c r="Q57" s="100" t="s">
        <v>225</v>
      </c>
      <c r="R57" s="100" t="s">
        <v>255</v>
      </c>
    </row>
    <row r="58" spans="1:18">
      <c r="A58" s="100" t="str">
        <f>VLOOKUP(C58,classifications!C:F,4,FALSE)</f>
        <v>MD</v>
      </c>
      <c r="B58" s="100" t="s">
        <v>491</v>
      </c>
      <c r="C58" s="100" t="s">
        <v>246</v>
      </c>
      <c r="D58" s="100" t="s">
        <v>235</v>
      </c>
      <c r="E58" s="100" t="s">
        <v>238</v>
      </c>
      <c r="F58" s="100" t="s">
        <v>266</v>
      </c>
      <c r="G58" s="100" t="s">
        <v>229</v>
      </c>
      <c r="H58" s="100" t="s">
        <v>231</v>
      </c>
      <c r="I58" s="100" t="s">
        <v>225</v>
      </c>
      <c r="J58" s="100" t="s">
        <v>233</v>
      </c>
      <c r="K58" s="100" t="s">
        <v>254</v>
      </c>
      <c r="L58" s="100" t="s">
        <v>282</v>
      </c>
      <c r="M58" s="100" t="s">
        <v>243</v>
      </c>
      <c r="N58" s="100" t="s">
        <v>232</v>
      </c>
      <c r="O58" s="100" t="s">
        <v>242</v>
      </c>
      <c r="P58" s="100" t="s">
        <v>817</v>
      </c>
      <c r="Q58" s="100" t="s">
        <v>280</v>
      </c>
      <c r="R58" s="100" t="s">
        <v>236</v>
      </c>
    </row>
    <row r="59" spans="1:18">
      <c r="A59" s="100" t="str">
        <f>VLOOKUP(C59,classifications!C:F,4,FALSE)</f>
        <v>MD</v>
      </c>
      <c r="B59" s="100" t="s">
        <v>492</v>
      </c>
      <c r="C59" s="100" t="s">
        <v>232</v>
      </c>
      <c r="D59" s="100" t="s">
        <v>292</v>
      </c>
      <c r="E59" s="100" t="s">
        <v>249</v>
      </c>
      <c r="F59" s="100" t="s">
        <v>254</v>
      </c>
      <c r="G59" s="100" t="s">
        <v>242</v>
      </c>
      <c r="H59" s="100" t="s">
        <v>243</v>
      </c>
      <c r="I59" s="100" t="s">
        <v>269</v>
      </c>
      <c r="J59" s="100" t="s">
        <v>234</v>
      </c>
      <c r="K59" s="100" t="s">
        <v>252</v>
      </c>
      <c r="L59" s="100" t="s">
        <v>238</v>
      </c>
      <c r="M59" s="100" t="s">
        <v>251</v>
      </c>
      <c r="N59" s="100" t="s">
        <v>230</v>
      </c>
      <c r="O59" s="100" t="s">
        <v>223</v>
      </c>
      <c r="P59" s="100" t="s">
        <v>241</v>
      </c>
      <c r="Q59" s="100" t="s">
        <v>265</v>
      </c>
      <c r="R59" s="100" t="s">
        <v>291</v>
      </c>
    </row>
    <row r="60" spans="1:18">
      <c r="A60" s="100" t="str">
        <f>VLOOKUP(C60,classifications!C:F,4,FALSE)</f>
        <v>MD</v>
      </c>
      <c r="B60" s="100" t="s">
        <v>493</v>
      </c>
      <c r="C60" s="102" t="s">
        <v>238</v>
      </c>
      <c r="D60" s="100" t="s">
        <v>280</v>
      </c>
      <c r="E60" s="100" t="s">
        <v>243</v>
      </c>
      <c r="F60" s="100" t="s">
        <v>236</v>
      </c>
      <c r="G60" s="100" t="s">
        <v>232</v>
      </c>
      <c r="H60" s="100" t="s">
        <v>246</v>
      </c>
      <c r="I60" s="100" t="s">
        <v>292</v>
      </c>
      <c r="J60" s="100" t="s">
        <v>289</v>
      </c>
      <c r="K60" s="100" t="s">
        <v>229</v>
      </c>
      <c r="L60" s="100" t="s">
        <v>225</v>
      </c>
      <c r="M60" s="100" t="s">
        <v>266</v>
      </c>
      <c r="N60" s="100" t="s">
        <v>819</v>
      </c>
      <c r="O60" s="100" t="s">
        <v>282</v>
      </c>
      <c r="P60" s="100" t="s">
        <v>241</v>
      </c>
      <c r="Q60" s="100" t="s">
        <v>269</v>
      </c>
      <c r="R60" s="100" t="s">
        <v>258</v>
      </c>
    </row>
    <row r="61" spans="1:18">
      <c r="A61" s="100" t="str">
        <f>VLOOKUP(C61,classifications!C:F,4,FALSE)</f>
        <v>MD</v>
      </c>
      <c r="B61" s="100" t="s">
        <v>494</v>
      </c>
      <c r="C61" s="100" t="s">
        <v>239</v>
      </c>
      <c r="D61" s="100" t="s">
        <v>282</v>
      </c>
      <c r="E61" s="100" t="s">
        <v>257</v>
      </c>
      <c r="F61" s="100" t="s">
        <v>811</v>
      </c>
      <c r="G61" s="100" t="s">
        <v>245</v>
      </c>
      <c r="H61" s="100" t="s">
        <v>251</v>
      </c>
      <c r="I61" s="100" t="s">
        <v>231</v>
      </c>
      <c r="J61" s="100" t="s">
        <v>249</v>
      </c>
      <c r="K61" s="100" t="s">
        <v>265</v>
      </c>
      <c r="L61" s="100" t="s">
        <v>323</v>
      </c>
      <c r="M61" s="100" t="s">
        <v>277</v>
      </c>
      <c r="N61" s="100" t="s">
        <v>242</v>
      </c>
      <c r="O61" s="100" t="s">
        <v>223</v>
      </c>
      <c r="P61" s="100" t="s">
        <v>291</v>
      </c>
      <c r="Q61" s="100" t="s">
        <v>232</v>
      </c>
      <c r="R61" s="100" t="s">
        <v>248</v>
      </c>
    </row>
    <row r="62" spans="1:18">
      <c r="A62" s="100" t="str">
        <f>VLOOKUP(C62,classifications!C:F,4,FALSE)</f>
        <v>MD</v>
      </c>
      <c r="B62" s="100" t="s">
        <v>495</v>
      </c>
      <c r="C62" s="100" t="s">
        <v>248</v>
      </c>
      <c r="D62" s="100" t="s">
        <v>251</v>
      </c>
      <c r="E62" s="100" t="s">
        <v>270</v>
      </c>
      <c r="F62" s="100" t="s">
        <v>811</v>
      </c>
      <c r="G62" s="100" t="s">
        <v>234</v>
      </c>
      <c r="H62" s="100" t="s">
        <v>239</v>
      </c>
      <c r="I62" s="100" t="s">
        <v>232</v>
      </c>
      <c r="J62" s="100" t="s">
        <v>249</v>
      </c>
      <c r="K62" s="100" t="s">
        <v>258</v>
      </c>
      <c r="L62" s="100" t="s">
        <v>277</v>
      </c>
      <c r="M62" s="100" t="s">
        <v>275</v>
      </c>
      <c r="N62" s="100" t="s">
        <v>282</v>
      </c>
      <c r="O62" s="100" t="s">
        <v>292</v>
      </c>
      <c r="P62" s="100" t="s">
        <v>257</v>
      </c>
      <c r="Q62" s="100" t="s">
        <v>819</v>
      </c>
      <c r="R62" s="100" t="s">
        <v>255</v>
      </c>
    </row>
    <row r="63" spans="1:18">
      <c r="A63" s="100" t="str">
        <f>VLOOKUP(C63,classifications!C:F,4,FALSE)</f>
        <v>MD</v>
      </c>
      <c r="B63" s="100" t="s">
        <v>496</v>
      </c>
      <c r="C63" s="100" t="s">
        <v>251</v>
      </c>
      <c r="D63" s="100" t="s">
        <v>248</v>
      </c>
      <c r="E63" s="100" t="s">
        <v>282</v>
      </c>
      <c r="F63" s="100" t="s">
        <v>239</v>
      </c>
      <c r="G63" s="100" t="s">
        <v>232</v>
      </c>
      <c r="H63" s="100" t="s">
        <v>811</v>
      </c>
      <c r="I63" s="100" t="s">
        <v>270</v>
      </c>
      <c r="J63" s="100" t="s">
        <v>292</v>
      </c>
      <c r="K63" s="100" t="s">
        <v>234</v>
      </c>
      <c r="L63" s="100" t="s">
        <v>249</v>
      </c>
      <c r="M63" s="100" t="s">
        <v>277</v>
      </c>
      <c r="N63" s="100" t="s">
        <v>252</v>
      </c>
      <c r="O63" s="100" t="s">
        <v>242</v>
      </c>
      <c r="P63" s="100" t="s">
        <v>269</v>
      </c>
      <c r="Q63" s="100" t="s">
        <v>243</v>
      </c>
      <c r="R63" s="100" t="s">
        <v>254</v>
      </c>
    </row>
    <row r="64" spans="1:18">
      <c r="A64" s="100" t="str">
        <f>VLOOKUP(C64,classifications!C:F,4,FALSE)</f>
        <v>MD</v>
      </c>
      <c r="B64" s="100" t="s">
        <v>497</v>
      </c>
      <c r="C64" s="100" t="s">
        <v>224</v>
      </c>
      <c r="D64" s="100" t="s">
        <v>235</v>
      </c>
      <c r="E64" s="100" t="s">
        <v>226</v>
      </c>
      <c r="F64" s="100" t="s">
        <v>246</v>
      </c>
      <c r="G64" s="100" t="s">
        <v>244</v>
      </c>
      <c r="H64" s="100" t="s">
        <v>272</v>
      </c>
      <c r="I64" s="100" t="s">
        <v>229</v>
      </c>
      <c r="J64" s="100" t="s">
        <v>236</v>
      </c>
      <c r="K64" s="100" t="s">
        <v>233</v>
      </c>
      <c r="L64" s="100" t="s">
        <v>280</v>
      </c>
      <c r="M64" s="100" t="s">
        <v>225</v>
      </c>
      <c r="N64" s="100" t="s">
        <v>255</v>
      </c>
      <c r="O64" s="100" t="s">
        <v>258</v>
      </c>
      <c r="P64" s="100" t="s">
        <v>240</v>
      </c>
      <c r="Q64" s="100" t="s">
        <v>266</v>
      </c>
      <c r="R64" s="100" t="s">
        <v>817</v>
      </c>
    </row>
    <row r="65" spans="1:18">
      <c r="A65" s="100" t="str">
        <f>VLOOKUP(C65,classifications!C:F,4,FALSE)</f>
        <v>MD</v>
      </c>
      <c r="B65" s="100" t="s">
        <v>498</v>
      </c>
      <c r="C65" s="100" t="s">
        <v>229</v>
      </c>
      <c r="D65" s="100" t="s">
        <v>266</v>
      </c>
      <c r="E65" s="100" t="s">
        <v>225</v>
      </c>
      <c r="F65" s="100" t="s">
        <v>274</v>
      </c>
      <c r="G65" s="100" t="s">
        <v>246</v>
      </c>
      <c r="H65" s="100" t="s">
        <v>240</v>
      </c>
      <c r="I65" s="100" t="s">
        <v>233</v>
      </c>
      <c r="J65" s="100" t="s">
        <v>241</v>
      </c>
      <c r="K65" s="100" t="s">
        <v>226</v>
      </c>
      <c r="L65" s="100" t="s">
        <v>281</v>
      </c>
      <c r="M65" s="100" t="s">
        <v>255</v>
      </c>
      <c r="N65" s="100" t="s">
        <v>291</v>
      </c>
      <c r="O65" s="100" t="s">
        <v>244</v>
      </c>
      <c r="P65" s="100" t="s">
        <v>231</v>
      </c>
      <c r="Q65" s="100" t="s">
        <v>258</v>
      </c>
      <c r="R65" s="100" t="s">
        <v>293</v>
      </c>
    </row>
    <row r="66" spans="1:18">
      <c r="A66" s="100" t="str">
        <f>VLOOKUP(C66,classifications!C:F,4,FALSE)</f>
        <v>MD</v>
      </c>
      <c r="B66" s="100" t="s">
        <v>499</v>
      </c>
      <c r="C66" s="100" t="s">
        <v>231</v>
      </c>
      <c r="D66" s="100" t="s">
        <v>266</v>
      </c>
      <c r="E66" s="100" t="s">
        <v>291</v>
      </c>
      <c r="F66" s="100" t="s">
        <v>249</v>
      </c>
      <c r="G66" s="100" t="s">
        <v>265</v>
      </c>
      <c r="H66" s="100" t="s">
        <v>242</v>
      </c>
      <c r="I66" s="100" t="s">
        <v>255</v>
      </c>
      <c r="J66" s="100" t="s">
        <v>254</v>
      </c>
      <c r="K66" s="100" t="s">
        <v>223</v>
      </c>
      <c r="L66" s="100" t="s">
        <v>230</v>
      </c>
      <c r="M66" s="100" t="s">
        <v>233</v>
      </c>
      <c r="N66" s="100" t="s">
        <v>228</v>
      </c>
      <c r="O66" s="100" t="s">
        <v>225</v>
      </c>
      <c r="P66" s="100" t="s">
        <v>239</v>
      </c>
      <c r="Q66" s="100" t="s">
        <v>256</v>
      </c>
      <c r="R66" s="100" t="s">
        <v>250</v>
      </c>
    </row>
    <row r="67" spans="1:18">
      <c r="A67" s="100" t="str">
        <f>VLOOKUP(C67,classifications!C:F,4,FALSE)</f>
        <v>MD</v>
      </c>
      <c r="B67" s="100" t="s">
        <v>500</v>
      </c>
      <c r="C67" s="100" t="s">
        <v>244</v>
      </c>
      <c r="D67" s="100" t="s">
        <v>258</v>
      </c>
      <c r="E67" s="100" t="s">
        <v>255</v>
      </c>
      <c r="F67" s="100" t="s">
        <v>241</v>
      </c>
      <c r="G67" s="100" t="s">
        <v>819</v>
      </c>
      <c r="H67" s="100" t="s">
        <v>292</v>
      </c>
      <c r="I67" s="100" t="s">
        <v>240</v>
      </c>
      <c r="J67" s="100" t="s">
        <v>275</v>
      </c>
      <c r="K67" s="100" t="s">
        <v>243</v>
      </c>
      <c r="L67" s="100" t="s">
        <v>225</v>
      </c>
      <c r="M67" s="100" t="s">
        <v>266</v>
      </c>
      <c r="N67" s="100" t="s">
        <v>234</v>
      </c>
      <c r="O67" s="100" t="s">
        <v>229</v>
      </c>
      <c r="P67" s="100" t="s">
        <v>261</v>
      </c>
      <c r="Q67" s="100" t="s">
        <v>252</v>
      </c>
      <c r="R67" s="100" t="s">
        <v>280</v>
      </c>
    </row>
    <row r="68" spans="1:18">
      <c r="A68" s="100" t="str">
        <f>VLOOKUP(C68,classifications!C:F,4,FALSE)</f>
        <v>MD</v>
      </c>
      <c r="B68" s="100" t="s">
        <v>501</v>
      </c>
      <c r="C68" s="100" t="s">
        <v>247</v>
      </c>
      <c r="D68" s="100" t="s">
        <v>305</v>
      </c>
      <c r="E68" s="100" t="s">
        <v>259</v>
      </c>
      <c r="F68" s="100" t="s">
        <v>250</v>
      </c>
      <c r="G68" s="100" t="s">
        <v>814</v>
      </c>
      <c r="H68" s="100" t="s">
        <v>260</v>
      </c>
      <c r="I68" s="100" t="s">
        <v>253</v>
      </c>
      <c r="J68" s="100" t="s">
        <v>283</v>
      </c>
      <c r="K68" s="100" t="s">
        <v>300</v>
      </c>
      <c r="L68" s="100" t="s">
        <v>296</v>
      </c>
      <c r="M68" s="100" t="s">
        <v>288</v>
      </c>
      <c r="N68" s="100" t="s">
        <v>279</v>
      </c>
      <c r="O68" s="100" t="s">
        <v>326</v>
      </c>
      <c r="P68" s="100" t="s">
        <v>298</v>
      </c>
      <c r="Q68" s="100" t="s">
        <v>818</v>
      </c>
      <c r="R68" s="100" t="s">
        <v>293</v>
      </c>
    </row>
    <row r="69" spans="1:18">
      <c r="A69" s="100" t="str">
        <f>VLOOKUP(C69,classifications!C:F,4,FALSE)</f>
        <v>MD</v>
      </c>
      <c r="B69" s="100" t="s">
        <v>502</v>
      </c>
      <c r="C69" s="100" t="s">
        <v>255</v>
      </c>
      <c r="D69" s="100" t="s">
        <v>258</v>
      </c>
      <c r="E69" s="100" t="s">
        <v>244</v>
      </c>
      <c r="F69" s="100" t="s">
        <v>241</v>
      </c>
      <c r="G69" s="100" t="s">
        <v>266</v>
      </c>
      <c r="H69" s="100" t="s">
        <v>240</v>
      </c>
      <c r="I69" s="100" t="s">
        <v>242</v>
      </c>
      <c r="J69" s="100" t="s">
        <v>231</v>
      </c>
      <c r="K69" s="100" t="s">
        <v>292</v>
      </c>
      <c r="L69" s="100" t="s">
        <v>225</v>
      </c>
      <c r="M69" s="100" t="s">
        <v>249</v>
      </c>
      <c r="N69" s="100" t="s">
        <v>234</v>
      </c>
      <c r="O69" s="100" t="s">
        <v>230</v>
      </c>
      <c r="P69" s="100" t="s">
        <v>291</v>
      </c>
      <c r="Q69" s="100" t="s">
        <v>223</v>
      </c>
      <c r="R69" s="100" t="s">
        <v>252</v>
      </c>
    </row>
    <row r="70" spans="1:18">
      <c r="A70" s="100" t="str">
        <f>VLOOKUP(C70,classifications!C:F,4,FALSE)</f>
        <v>MD</v>
      </c>
      <c r="B70" s="100" t="s">
        <v>503</v>
      </c>
      <c r="C70" s="100" t="s">
        <v>258</v>
      </c>
      <c r="D70" s="100" t="s">
        <v>244</v>
      </c>
      <c r="E70" s="100" t="s">
        <v>255</v>
      </c>
      <c r="F70" s="100" t="s">
        <v>819</v>
      </c>
      <c r="G70" s="100" t="s">
        <v>241</v>
      </c>
      <c r="H70" s="100" t="s">
        <v>275</v>
      </c>
      <c r="I70" s="100" t="s">
        <v>292</v>
      </c>
      <c r="J70" s="100" t="s">
        <v>266</v>
      </c>
      <c r="K70" s="100" t="s">
        <v>243</v>
      </c>
      <c r="L70" s="100" t="s">
        <v>234</v>
      </c>
      <c r="M70" s="100" t="s">
        <v>240</v>
      </c>
      <c r="N70" s="100" t="s">
        <v>229</v>
      </c>
      <c r="O70" s="100" t="s">
        <v>225</v>
      </c>
      <c r="P70" s="100" t="s">
        <v>280</v>
      </c>
      <c r="Q70" s="100" t="s">
        <v>232</v>
      </c>
      <c r="R70" s="100" t="s">
        <v>242</v>
      </c>
    </row>
    <row r="71" spans="1:18">
      <c r="A71" s="100" t="str">
        <f>VLOOKUP(C71,classifications!C:F,4,FALSE)</f>
        <v>MD</v>
      </c>
      <c r="B71" s="100" t="s">
        <v>504</v>
      </c>
      <c r="C71" s="100" t="s">
        <v>226</v>
      </c>
      <c r="D71" s="100" t="s">
        <v>240</v>
      </c>
      <c r="E71" s="100" t="s">
        <v>233</v>
      </c>
      <c r="F71" s="100" t="s">
        <v>225</v>
      </c>
      <c r="G71" s="100" t="s">
        <v>229</v>
      </c>
      <c r="H71" s="100" t="s">
        <v>274</v>
      </c>
      <c r="I71" s="100" t="s">
        <v>266</v>
      </c>
      <c r="J71" s="100" t="s">
        <v>261</v>
      </c>
      <c r="K71" s="100" t="s">
        <v>241</v>
      </c>
      <c r="L71" s="100" t="s">
        <v>273</v>
      </c>
      <c r="M71" s="100" t="s">
        <v>244</v>
      </c>
      <c r="N71" s="100" t="s">
        <v>255</v>
      </c>
      <c r="O71" s="100" t="s">
        <v>227</v>
      </c>
      <c r="P71" s="100" t="s">
        <v>228</v>
      </c>
      <c r="Q71" s="100" t="s">
        <v>246</v>
      </c>
      <c r="R71" s="100" t="s">
        <v>252</v>
      </c>
    </row>
    <row r="72" spans="1:18">
      <c r="A72" s="100" t="str">
        <f>VLOOKUP(C72,classifications!C:F,4,FALSE)</f>
        <v>MD</v>
      </c>
      <c r="B72" s="100" t="s">
        <v>505</v>
      </c>
      <c r="C72" s="100" t="s">
        <v>228</v>
      </c>
      <c r="D72" s="100" t="s">
        <v>227</v>
      </c>
      <c r="E72" s="100" t="s">
        <v>233</v>
      </c>
      <c r="F72" s="100" t="s">
        <v>265</v>
      </c>
      <c r="G72" s="100" t="s">
        <v>291</v>
      </c>
      <c r="H72" s="100" t="s">
        <v>242</v>
      </c>
      <c r="I72" s="100" t="s">
        <v>274</v>
      </c>
      <c r="J72" s="100" t="s">
        <v>225</v>
      </c>
      <c r="K72" s="100" t="s">
        <v>266</v>
      </c>
      <c r="L72" s="100" t="s">
        <v>815</v>
      </c>
      <c r="M72" s="100" t="s">
        <v>256</v>
      </c>
      <c r="N72" s="100" t="s">
        <v>223</v>
      </c>
      <c r="O72" s="100" t="s">
        <v>230</v>
      </c>
      <c r="P72" s="100" t="s">
        <v>249</v>
      </c>
      <c r="Q72" s="100" t="s">
        <v>254</v>
      </c>
      <c r="R72" s="100" t="s">
        <v>296</v>
      </c>
    </row>
    <row r="73" spans="1:18">
      <c r="A73" s="100" t="str">
        <f>VLOOKUP(C73,classifications!C:F,4,FALSE)</f>
        <v>MD</v>
      </c>
      <c r="B73" s="100" t="s">
        <v>506</v>
      </c>
      <c r="C73" s="100" t="s">
        <v>233</v>
      </c>
      <c r="D73" s="100" t="s">
        <v>228</v>
      </c>
      <c r="E73" s="100" t="s">
        <v>274</v>
      </c>
      <c r="F73" s="100" t="s">
        <v>225</v>
      </c>
      <c r="G73" s="100" t="s">
        <v>227</v>
      </c>
      <c r="H73" s="100" t="s">
        <v>256</v>
      </c>
      <c r="I73" s="100" t="s">
        <v>266</v>
      </c>
      <c r="J73" s="100" t="s">
        <v>242</v>
      </c>
      <c r="K73" s="100" t="s">
        <v>291</v>
      </c>
      <c r="L73" s="100" t="s">
        <v>230</v>
      </c>
      <c r="M73" s="100" t="s">
        <v>231</v>
      </c>
      <c r="N73" s="100" t="s">
        <v>254</v>
      </c>
      <c r="O73" s="100" t="s">
        <v>815</v>
      </c>
      <c r="P73" s="100" t="s">
        <v>226</v>
      </c>
      <c r="Q73" s="100" t="s">
        <v>223</v>
      </c>
      <c r="R73" s="100" t="s">
        <v>229</v>
      </c>
    </row>
    <row r="74" spans="1:18">
      <c r="A74" s="100" t="str">
        <f>VLOOKUP(C74,classifications!C:F,4,FALSE)</f>
        <v>MD</v>
      </c>
      <c r="B74" s="100" t="s">
        <v>507</v>
      </c>
      <c r="C74" s="100" t="s">
        <v>235</v>
      </c>
      <c r="D74" s="100" t="s">
        <v>246</v>
      </c>
      <c r="E74" s="100" t="s">
        <v>233</v>
      </c>
      <c r="F74" s="100" t="s">
        <v>817</v>
      </c>
      <c r="G74" s="100" t="s">
        <v>238</v>
      </c>
      <c r="H74" s="100" t="s">
        <v>229</v>
      </c>
      <c r="I74" s="100" t="s">
        <v>225</v>
      </c>
      <c r="J74" s="100" t="s">
        <v>254</v>
      </c>
      <c r="K74" s="100" t="s">
        <v>266</v>
      </c>
      <c r="L74" s="100" t="s">
        <v>226</v>
      </c>
      <c r="M74" s="100" t="s">
        <v>231</v>
      </c>
      <c r="N74" s="100" t="s">
        <v>274</v>
      </c>
      <c r="O74" s="100" t="s">
        <v>236</v>
      </c>
      <c r="P74" s="100" t="s">
        <v>293</v>
      </c>
      <c r="Q74" s="100" t="s">
        <v>267</v>
      </c>
      <c r="R74" s="100" t="s">
        <v>296</v>
      </c>
    </row>
    <row r="75" spans="1:18">
      <c r="A75" s="100" t="str">
        <f>VLOOKUP(C75,classifications!C:F,4,FALSE)</f>
        <v>MD</v>
      </c>
      <c r="B75" s="100" t="s">
        <v>508</v>
      </c>
      <c r="C75" s="100" t="s">
        <v>254</v>
      </c>
      <c r="D75" s="100" t="s">
        <v>242</v>
      </c>
      <c r="E75" s="100" t="s">
        <v>230</v>
      </c>
      <c r="F75" s="100" t="s">
        <v>223</v>
      </c>
      <c r="G75" s="100" t="s">
        <v>249</v>
      </c>
      <c r="H75" s="100" t="s">
        <v>256</v>
      </c>
      <c r="I75" s="100" t="s">
        <v>291</v>
      </c>
      <c r="J75" s="100" t="s">
        <v>267</v>
      </c>
      <c r="K75" s="100" t="s">
        <v>231</v>
      </c>
      <c r="L75" s="100" t="s">
        <v>232</v>
      </c>
      <c r="M75" s="100" t="s">
        <v>292</v>
      </c>
      <c r="N75" s="100" t="s">
        <v>228</v>
      </c>
      <c r="O75" s="100" t="s">
        <v>815</v>
      </c>
      <c r="P75" s="100" t="s">
        <v>252</v>
      </c>
      <c r="Q75" s="100" t="s">
        <v>278</v>
      </c>
      <c r="R75" s="100" t="s">
        <v>225</v>
      </c>
    </row>
    <row r="77" spans="1:18">
      <c r="B77" s="99" t="s">
        <v>509</v>
      </c>
    </row>
    <row r="78" spans="1:18">
      <c r="A78" s="100" t="str">
        <f>VLOOKUP(C78,classifications!C:F,4,FALSE)</f>
        <v>UA</v>
      </c>
      <c r="B78" s="100" t="s">
        <v>510</v>
      </c>
      <c r="C78" s="102" t="s">
        <v>259</v>
      </c>
      <c r="D78" s="100" t="s">
        <v>305</v>
      </c>
      <c r="E78" s="100" t="s">
        <v>247</v>
      </c>
      <c r="F78" s="100" t="s">
        <v>814</v>
      </c>
      <c r="G78" s="100" t="s">
        <v>326</v>
      </c>
      <c r="H78" s="100" t="s">
        <v>818</v>
      </c>
      <c r="I78" s="100" t="s">
        <v>300</v>
      </c>
      <c r="J78" s="100" t="s">
        <v>250</v>
      </c>
      <c r="K78" s="100" t="s">
        <v>279</v>
      </c>
      <c r="L78" s="100" t="s">
        <v>298</v>
      </c>
      <c r="M78" s="100" t="s">
        <v>304</v>
      </c>
      <c r="N78" s="100" t="s">
        <v>260</v>
      </c>
      <c r="O78" s="100" t="s">
        <v>283</v>
      </c>
      <c r="P78" s="100" t="s">
        <v>288</v>
      </c>
      <c r="Q78" s="100" t="s">
        <v>268</v>
      </c>
      <c r="R78" s="100" t="s">
        <v>297</v>
      </c>
    </row>
    <row r="79" spans="1:18">
      <c r="A79" s="100" t="str">
        <f>VLOOKUP(C79,classifications!C:F,4,FALSE)</f>
        <v>UA</v>
      </c>
      <c r="B79" s="100" t="s">
        <v>511</v>
      </c>
      <c r="C79" s="102" t="s">
        <v>260</v>
      </c>
      <c r="D79" s="100" t="s">
        <v>293</v>
      </c>
      <c r="E79" s="100" t="s">
        <v>304</v>
      </c>
      <c r="F79" s="100" t="s">
        <v>247</v>
      </c>
      <c r="G79" s="100" t="s">
        <v>250</v>
      </c>
      <c r="H79" s="100" t="s">
        <v>259</v>
      </c>
      <c r="I79" s="100" t="s">
        <v>296</v>
      </c>
      <c r="J79" s="100" t="s">
        <v>814</v>
      </c>
      <c r="K79" s="100" t="s">
        <v>228</v>
      </c>
      <c r="L79" s="100" t="s">
        <v>281</v>
      </c>
      <c r="M79" s="100" t="s">
        <v>300</v>
      </c>
      <c r="N79" s="100" t="s">
        <v>276</v>
      </c>
      <c r="O79" s="100" t="s">
        <v>253</v>
      </c>
      <c r="P79" s="100" t="s">
        <v>274</v>
      </c>
      <c r="Q79" s="100" t="s">
        <v>288</v>
      </c>
      <c r="R79" s="100" t="s">
        <v>298</v>
      </c>
    </row>
    <row r="80" spans="1:18">
      <c r="A80" s="100" t="str">
        <f>VLOOKUP(C80,classifications!C:F,4,FALSE)</f>
        <v>UA</v>
      </c>
      <c r="B80" s="100" t="s">
        <v>512</v>
      </c>
      <c r="C80" s="102" t="s">
        <v>261</v>
      </c>
      <c r="D80" s="100" t="s">
        <v>240</v>
      </c>
      <c r="E80" s="100" t="s">
        <v>241</v>
      </c>
      <c r="F80" s="100" t="s">
        <v>225</v>
      </c>
      <c r="G80" s="100" t="s">
        <v>252</v>
      </c>
      <c r="H80" s="100" t="s">
        <v>226</v>
      </c>
      <c r="I80" s="100" t="s">
        <v>292</v>
      </c>
      <c r="J80" s="100" t="s">
        <v>266</v>
      </c>
      <c r="K80" s="100" t="s">
        <v>815</v>
      </c>
      <c r="L80" s="100" t="s">
        <v>244</v>
      </c>
      <c r="M80" s="100" t="s">
        <v>274</v>
      </c>
      <c r="N80" s="100" t="s">
        <v>273</v>
      </c>
      <c r="O80" s="100" t="s">
        <v>269</v>
      </c>
      <c r="P80" s="100" t="s">
        <v>229</v>
      </c>
      <c r="Q80" s="100" t="s">
        <v>227</v>
      </c>
      <c r="R80" s="100" t="s">
        <v>255</v>
      </c>
    </row>
    <row r="81" spans="1:18">
      <c r="A81" s="100" t="str">
        <f>VLOOKUP(C81,classifications!C:F,4,FALSE)</f>
        <v>UA</v>
      </c>
      <c r="B81" s="100" t="s">
        <v>513</v>
      </c>
      <c r="C81" s="102" t="s">
        <v>262</v>
      </c>
      <c r="D81" s="100" t="s">
        <v>277</v>
      </c>
      <c r="E81" s="100" t="s">
        <v>270</v>
      </c>
      <c r="F81" s="100" t="s">
        <v>811</v>
      </c>
      <c r="G81" s="100" t="s">
        <v>251</v>
      </c>
      <c r="H81" s="100" t="s">
        <v>257</v>
      </c>
      <c r="I81" s="100" t="s">
        <v>282</v>
      </c>
      <c r="J81" s="100" t="s">
        <v>248</v>
      </c>
      <c r="K81" s="100" t="s">
        <v>275</v>
      </c>
      <c r="L81" s="100" t="s">
        <v>265</v>
      </c>
      <c r="M81" s="100" t="s">
        <v>239</v>
      </c>
      <c r="N81" s="100" t="s">
        <v>245</v>
      </c>
      <c r="O81" s="100" t="s">
        <v>292</v>
      </c>
      <c r="P81" s="100" t="s">
        <v>249</v>
      </c>
      <c r="Q81" s="100" t="s">
        <v>232</v>
      </c>
      <c r="R81" s="100" t="s">
        <v>252</v>
      </c>
    </row>
    <row r="82" spans="1:18">
      <c r="A82" s="100" t="e">
        <f>VLOOKUP(C82,classifications!C:F,4,FALSE)</f>
        <v>#N/A</v>
      </c>
      <c r="B82" s="100" t="s">
        <v>514</v>
      </c>
      <c r="C82" s="102" t="s">
        <v>263</v>
      </c>
      <c r="D82" s="100" t="s">
        <v>290</v>
      </c>
      <c r="E82" s="100" t="s">
        <v>295</v>
      </c>
      <c r="F82" s="100" t="s">
        <v>245</v>
      </c>
      <c r="G82" s="100" t="s">
        <v>283</v>
      </c>
      <c r="H82" s="100" t="s">
        <v>282</v>
      </c>
      <c r="I82" s="100" t="s">
        <v>257</v>
      </c>
      <c r="J82" s="100" t="s">
        <v>300</v>
      </c>
      <c r="K82" s="100" t="s">
        <v>239</v>
      </c>
      <c r="L82" s="100" t="s">
        <v>813</v>
      </c>
      <c r="M82" s="100" t="s">
        <v>250</v>
      </c>
      <c r="N82" s="100" t="s">
        <v>279</v>
      </c>
      <c r="O82" s="100" t="s">
        <v>323</v>
      </c>
      <c r="P82" s="100" t="s">
        <v>265</v>
      </c>
      <c r="Q82" s="100" t="s">
        <v>817</v>
      </c>
      <c r="R82" s="100" t="s">
        <v>271</v>
      </c>
    </row>
    <row r="83" spans="1:18">
      <c r="A83" s="100" t="str">
        <f>VLOOKUP(C83,classifications!C:F,4,FALSE)</f>
        <v>UA</v>
      </c>
      <c r="B83" s="100" t="s">
        <v>515</v>
      </c>
      <c r="C83" s="102" t="s">
        <v>264</v>
      </c>
      <c r="D83" s="100" t="s">
        <v>297</v>
      </c>
      <c r="E83" s="100" t="s">
        <v>276</v>
      </c>
      <c r="F83" s="100" t="s">
        <v>260</v>
      </c>
      <c r="G83" s="100" t="s">
        <v>299</v>
      </c>
      <c r="H83" s="100" t="s">
        <v>285</v>
      </c>
      <c r="I83" s="100" t="s">
        <v>816</v>
      </c>
      <c r="J83" s="100" t="s">
        <v>304</v>
      </c>
      <c r="K83" s="100" t="s">
        <v>293</v>
      </c>
      <c r="L83" s="100" t="s">
        <v>294</v>
      </c>
      <c r="M83" s="100" t="s">
        <v>253</v>
      </c>
      <c r="N83" s="100" t="s">
        <v>288</v>
      </c>
      <c r="O83" s="100" t="s">
        <v>247</v>
      </c>
      <c r="P83" s="100" t="s">
        <v>259</v>
      </c>
      <c r="Q83" s="100" t="s">
        <v>296</v>
      </c>
      <c r="R83" s="100" t="s">
        <v>250</v>
      </c>
    </row>
    <row r="84" spans="1:18">
      <c r="A84" s="100" t="str">
        <f>VLOOKUP(C84,classifications!C:F,4,FALSE)</f>
        <v>UA</v>
      </c>
      <c r="B84" s="100" t="s">
        <v>516</v>
      </c>
      <c r="C84" s="102" t="s">
        <v>813</v>
      </c>
      <c r="D84" s="100" t="s">
        <v>284</v>
      </c>
      <c r="E84" s="100" t="s">
        <v>817</v>
      </c>
      <c r="F84" s="100" t="s">
        <v>289</v>
      </c>
      <c r="G84" s="100" t="s">
        <v>263</v>
      </c>
      <c r="H84" s="100" t="s">
        <v>290</v>
      </c>
      <c r="I84" s="100" t="s">
        <v>282</v>
      </c>
      <c r="J84" s="100" t="s">
        <v>300</v>
      </c>
      <c r="K84" s="100" t="s">
        <v>239</v>
      </c>
      <c r="L84" s="100" t="s">
        <v>246</v>
      </c>
      <c r="M84" s="100" t="s">
        <v>274</v>
      </c>
      <c r="N84" s="100" t="s">
        <v>238</v>
      </c>
      <c r="O84" s="100" t="s">
        <v>229</v>
      </c>
      <c r="P84" s="100" t="s">
        <v>293</v>
      </c>
      <c r="Q84" s="100" t="s">
        <v>285</v>
      </c>
      <c r="R84" s="100" t="s">
        <v>250</v>
      </c>
    </row>
    <row r="85" spans="1:18">
      <c r="A85" s="100" t="str">
        <f>VLOOKUP(C85,classifications!C:F,4,FALSE)</f>
        <v>UA</v>
      </c>
      <c r="B85" s="100" t="s">
        <v>517</v>
      </c>
      <c r="C85" s="102" t="s">
        <v>817</v>
      </c>
      <c r="D85" s="100" t="s">
        <v>289</v>
      </c>
      <c r="E85" s="100" t="s">
        <v>282</v>
      </c>
      <c r="F85" s="100" t="s">
        <v>284</v>
      </c>
      <c r="G85" s="100" t="s">
        <v>246</v>
      </c>
      <c r="H85" s="100" t="s">
        <v>813</v>
      </c>
      <c r="I85" s="100" t="s">
        <v>229</v>
      </c>
      <c r="J85" s="100" t="s">
        <v>235</v>
      </c>
      <c r="K85" s="100" t="s">
        <v>293</v>
      </c>
      <c r="L85" s="100" t="s">
        <v>238</v>
      </c>
      <c r="M85" s="100" t="s">
        <v>266</v>
      </c>
      <c r="N85" s="100" t="s">
        <v>225</v>
      </c>
      <c r="O85" s="100" t="s">
        <v>239</v>
      </c>
      <c r="P85" s="100" t="s">
        <v>274</v>
      </c>
      <c r="Q85" s="100" t="s">
        <v>290</v>
      </c>
      <c r="R85" s="100" t="s">
        <v>233</v>
      </c>
    </row>
    <row r="86" spans="1:18">
      <c r="A86" s="100" t="str">
        <f>VLOOKUP(C86,classifications!C:F,4,FALSE)</f>
        <v>UA</v>
      </c>
      <c r="B86" s="100" t="s">
        <v>518</v>
      </c>
      <c r="C86" s="102" t="s">
        <v>304</v>
      </c>
      <c r="D86" s="100" t="s">
        <v>298</v>
      </c>
      <c r="E86" s="100" t="s">
        <v>260</v>
      </c>
      <c r="F86" s="100" t="s">
        <v>305</v>
      </c>
      <c r="G86" s="100" t="s">
        <v>259</v>
      </c>
      <c r="H86" s="100" t="s">
        <v>297</v>
      </c>
      <c r="I86" s="100" t="s">
        <v>814</v>
      </c>
      <c r="J86" s="100" t="s">
        <v>326</v>
      </c>
      <c r="K86" s="100" t="s">
        <v>288</v>
      </c>
      <c r="L86" s="100" t="s">
        <v>818</v>
      </c>
      <c r="M86" s="100" t="s">
        <v>250</v>
      </c>
      <c r="N86" s="100" t="s">
        <v>296</v>
      </c>
      <c r="O86" s="100" t="s">
        <v>247</v>
      </c>
      <c r="P86" s="100" t="s">
        <v>293</v>
      </c>
      <c r="Q86" s="100" t="s">
        <v>279</v>
      </c>
      <c r="R86" s="100" t="s">
        <v>228</v>
      </c>
    </row>
    <row r="87" spans="1:18">
      <c r="A87" s="100" t="str">
        <f>VLOOKUP(C87,classifications!C:F,4,FALSE)</f>
        <v>UA</v>
      </c>
      <c r="B87" s="100" t="s">
        <v>519</v>
      </c>
      <c r="C87" s="102" t="s">
        <v>306</v>
      </c>
      <c r="D87" s="100" t="s">
        <v>268</v>
      </c>
      <c r="E87" s="100" t="s">
        <v>323</v>
      </c>
      <c r="F87" s="100" t="s">
        <v>326</v>
      </c>
      <c r="G87" s="100" t="s">
        <v>279</v>
      </c>
      <c r="H87" s="100" t="s">
        <v>271</v>
      </c>
      <c r="I87" s="100" t="s">
        <v>814</v>
      </c>
      <c r="J87" s="100" t="s">
        <v>818</v>
      </c>
      <c r="K87" s="100" t="s">
        <v>305</v>
      </c>
      <c r="L87" s="100" t="s">
        <v>298</v>
      </c>
      <c r="M87" s="100" t="s">
        <v>245</v>
      </c>
      <c r="N87" s="100" t="s">
        <v>267</v>
      </c>
      <c r="O87" s="100" t="s">
        <v>257</v>
      </c>
      <c r="P87" s="100" t="s">
        <v>259</v>
      </c>
      <c r="Q87" s="100" t="s">
        <v>283</v>
      </c>
      <c r="R87" s="100" t="s">
        <v>288</v>
      </c>
    </row>
    <row r="88" spans="1:18">
      <c r="A88" s="100" t="str">
        <f>VLOOKUP(C88,classifications!C:F,4,FALSE)</f>
        <v>UA</v>
      </c>
      <c r="B88" s="100" t="s">
        <v>520</v>
      </c>
      <c r="C88" s="102" t="s">
        <v>265</v>
      </c>
      <c r="D88" s="100" t="s">
        <v>249</v>
      </c>
      <c r="E88" s="100" t="s">
        <v>228</v>
      </c>
      <c r="F88" s="100" t="s">
        <v>291</v>
      </c>
      <c r="G88" s="100" t="s">
        <v>231</v>
      </c>
      <c r="H88" s="100" t="s">
        <v>227</v>
      </c>
      <c r="I88" s="100" t="s">
        <v>266</v>
      </c>
      <c r="J88" s="100" t="s">
        <v>242</v>
      </c>
      <c r="K88" s="100" t="s">
        <v>223</v>
      </c>
      <c r="L88" s="100" t="s">
        <v>230</v>
      </c>
      <c r="M88" s="100" t="s">
        <v>225</v>
      </c>
      <c r="N88" s="100" t="s">
        <v>254</v>
      </c>
      <c r="O88" s="100" t="s">
        <v>252</v>
      </c>
      <c r="P88" s="100" t="s">
        <v>274</v>
      </c>
      <c r="Q88" s="100" t="s">
        <v>239</v>
      </c>
      <c r="R88" s="100" t="s">
        <v>815</v>
      </c>
    </row>
    <row r="89" spans="1:18">
      <c r="A89" s="100" t="str">
        <f>VLOOKUP(C89,classifications!C:F,4,FALSE)</f>
        <v>UA</v>
      </c>
      <c r="B89" s="100" t="s">
        <v>521</v>
      </c>
      <c r="C89" s="102" t="s">
        <v>266</v>
      </c>
      <c r="D89" s="100" t="s">
        <v>229</v>
      </c>
      <c r="E89" s="100" t="s">
        <v>225</v>
      </c>
      <c r="F89" s="100" t="s">
        <v>231</v>
      </c>
      <c r="G89" s="100" t="s">
        <v>291</v>
      </c>
      <c r="H89" s="100" t="s">
        <v>255</v>
      </c>
      <c r="I89" s="100" t="s">
        <v>241</v>
      </c>
      <c r="J89" s="100" t="s">
        <v>265</v>
      </c>
      <c r="K89" s="100" t="s">
        <v>240</v>
      </c>
      <c r="L89" s="100" t="s">
        <v>233</v>
      </c>
      <c r="M89" s="100" t="s">
        <v>274</v>
      </c>
      <c r="N89" s="100" t="s">
        <v>228</v>
      </c>
      <c r="O89" s="100" t="s">
        <v>242</v>
      </c>
      <c r="P89" s="100" t="s">
        <v>227</v>
      </c>
      <c r="Q89" s="100" t="s">
        <v>815</v>
      </c>
      <c r="R89" s="100" t="s">
        <v>252</v>
      </c>
    </row>
    <row r="90" spans="1:18">
      <c r="A90" s="100" t="str">
        <f>VLOOKUP(C90,classifications!C:F,4,FALSE)</f>
        <v>UA</v>
      </c>
      <c r="B90" s="100" t="s">
        <v>522</v>
      </c>
      <c r="C90" s="102" t="s">
        <v>267</v>
      </c>
      <c r="D90" s="102" t="s">
        <v>223</v>
      </c>
      <c r="E90" s="100" t="s">
        <v>254</v>
      </c>
      <c r="F90" s="100" t="s">
        <v>230</v>
      </c>
      <c r="G90" s="100" t="s">
        <v>242</v>
      </c>
      <c r="H90" s="100" t="s">
        <v>256</v>
      </c>
      <c r="I90" s="100" t="s">
        <v>249</v>
      </c>
      <c r="J90" s="100" t="s">
        <v>233</v>
      </c>
      <c r="K90" s="100" t="s">
        <v>231</v>
      </c>
      <c r="L90" s="100" t="s">
        <v>228</v>
      </c>
      <c r="M90" s="100" t="s">
        <v>323</v>
      </c>
      <c r="N90" s="100" t="s">
        <v>252</v>
      </c>
      <c r="O90" s="100" t="s">
        <v>291</v>
      </c>
      <c r="P90" s="100" t="s">
        <v>246</v>
      </c>
      <c r="Q90" s="100" t="s">
        <v>232</v>
      </c>
      <c r="R90" s="100" t="s">
        <v>257</v>
      </c>
    </row>
    <row r="91" spans="1:18">
      <c r="A91" s="100" t="e">
        <f>VLOOKUP(C91,classifications!C:F,4,FALSE)</f>
        <v>#N/A</v>
      </c>
      <c r="B91" s="100" t="s">
        <v>522</v>
      </c>
      <c r="C91" s="31" t="s">
        <v>810</v>
      </c>
      <c r="D91" s="100" t="s">
        <v>223</v>
      </c>
      <c r="E91" s="100" t="s">
        <v>254</v>
      </c>
      <c r="F91" s="100" t="s">
        <v>230</v>
      </c>
      <c r="G91" s="100" t="s">
        <v>242</v>
      </c>
      <c r="H91" s="100" t="s">
        <v>256</v>
      </c>
      <c r="I91" s="100" t="s">
        <v>249</v>
      </c>
      <c r="J91" s="100" t="s">
        <v>233</v>
      </c>
      <c r="K91" s="100" t="s">
        <v>231</v>
      </c>
      <c r="L91" s="100" t="s">
        <v>228</v>
      </c>
      <c r="M91" s="100" t="s">
        <v>323</v>
      </c>
      <c r="N91" s="100" t="s">
        <v>252</v>
      </c>
      <c r="O91" s="100" t="s">
        <v>291</v>
      </c>
      <c r="P91" s="100" t="s">
        <v>246</v>
      </c>
      <c r="Q91" s="100" t="s">
        <v>232</v>
      </c>
      <c r="R91" s="100" t="s">
        <v>257</v>
      </c>
    </row>
    <row r="92" spans="1:18">
      <c r="A92" s="100" t="str">
        <f>VLOOKUP(C92,classifications!C:F,4,FALSE)</f>
        <v>UA</v>
      </c>
      <c r="B92" s="100" t="s">
        <v>523</v>
      </c>
      <c r="C92" s="102" t="s">
        <v>305</v>
      </c>
      <c r="D92" s="100" t="s">
        <v>814</v>
      </c>
      <c r="E92" s="100" t="s">
        <v>326</v>
      </c>
      <c r="F92" s="100" t="s">
        <v>298</v>
      </c>
      <c r="G92" s="100" t="s">
        <v>259</v>
      </c>
      <c r="H92" s="100" t="s">
        <v>818</v>
      </c>
      <c r="I92" s="100" t="s">
        <v>247</v>
      </c>
      <c r="J92" s="100" t="s">
        <v>250</v>
      </c>
      <c r="K92" s="100" t="s">
        <v>304</v>
      </c>
      <c r="L92" s="100" t="s">
        <v>279</v>
      </c>
      <c r="M92" s="100" t="s">
        <v>268</v>
      </c>
      <c r="N92" s="100" t="s">
        <v>300</v>
      </c>
      <c r="O92" s="100" t="s">
        <v>283</v>
      </c>
      <c r="P92" s="100" t="s">
        <v>260</v>
      </c>
      <c r="Q92" s="100" t="s">
        <v>288</v>
      </c>
      <c r="R92" s="100" t="s">
        <v>296</v>
      </c>
    </row>
    <row r="93" spans="1:18">
      <c r="A93" s="100" t="str">
        <f>VLOOKUP(C93,classifications!C:F,4,FALSE)</f>
        <v>UA</v>
      </c>
      <c r="B93" s="100" t="s">
        <v>524</v>
      </c>
      <c r="C93" s="102" t="s">
        <v>268</v>
      </c>
      <c r="D93" s="100" t="s">
        <v>323</v>
      </c>
      <c r="E93" s="100" t="s">
        <v>306</v>
      </c>
      <c r="F93" s="100" t="s">
        <v>326</v>
      </c>
      <c r="G93" s="100" t="s">
        <v>279</v>
      </c>
      <c r="H93" s="100" t="s">
        <v>271</v>
      </c>
      <c r="I93" s="100" t="s">
        <v>818</v>
      </c>
      <c r="J93" s="100" t="s">
        <v>814</v>
      </c>
      <c r="K93" s="100" t="s">
        <v>305</v>
      </c>
      <c r="L93" s="100" t="s">
        <v>245</v>
      </c>
      <c r="M93" s="100" t="s">
        <v>283</v>
      </c>
      <c r="N93" s="100" t="s">
        <v>288</v>
      </c>
      <c r="O93" s="100" t="s">
        <v>257</v>
      </c>
      <c r="P93" s="100" t="s">
        <v>250</v>
      </c>
      <c r="Q93" s="100" t="s">
        <v>298</v>
      </c>
      <c r="R93" s="100" t="s">
        <v>259</v>
      </c>
    </row>
    <row r="94" spans="1:18">
      <c r="A94" s="100" t="str">
        <f>VLOOKUP(C94,classifications!C:F,4,FALSE)</f>
        <v>UA</v>
      </c>
      <c r="B94" s="100" t="s">
        <v>525</v>
      </c>
      <c r="C94" s="102" t="s">
        <v>269</v>
      </c>
      <c r="D94" s="100" t="s">
        <v>292</v>
      </c>
      <c r="E94" s="100" t="s">
        <v>241</v>
      </c>
      <c r="F94" s="100" t="s">
        <v>252</v>
      </c>
      <c r="G94" s="100" t="s">
        <v>815</v>
      </c>
      <c r="H94" s="100" t="s">
        <v>249</v>
      </c>
      <c r="I94" s="100" t="s">
        <v>234</v>
      </c>
      <c r="J94" s="100" t="s">
        <v>242</v>
      </c>
      <c r="K94" s="100" t="s">
        <v>232</v>
      </c>
      <c r="L94" s="100" t="s">
        <v>256</v>
      </c>
      <c r="M94" s="100" t="s">
        <v>243</v>
      </c>
      <c r="N94" s="100" t="s">
        <v>225</v>
      </c>
      <c r="O94" s="100" t="s">
        <v>254</v>
      </c>
      <c r="P94" s="100" t="s">
        <v>291</v>
      </c>
      <c r="Q94" s="100" t="s">
        <v>275</v>
      </c>
      <c r="R94" s="100" t="s">
        <v>240</v>
      </c>
    </row>
    <row r="95" spans="1:18">
      <c r="A95" s="100" t="str">
        <f>VLOOKUP(C95,classifications!C:F,4,FALSE)</f>
        <v>UA</v>
      </c>
      <c r="B95" s="100" t="s">
        <v>526</v>
      </c>
      <c r="C95" s="102" t="s">
        <v>270</v>
      </c>
      <c r="D95" s="100" t="s">
        <v>811</v>
      </c>
      <c r="E95" s="100" t="s">
        <v>277</v>
      </c>
      <c r="F95" s="100" t="s">
        <v>251</v>
      </c>
      <c r="G95" s="100" t="s">
        <v>248</v>
      </c>
      <c r="H95" s="100" t="s">
        <v>275</v>
      </c>
      <c r="I95" s="100" t="s">
        <v>234</v>
      </c>
      <c r="J95" s="100" t="s">
        <v>255</v>
      </c>
      <c r="K95" s="100" t="s">
        <v>258</v>
      </c>
      <c r="L95" s="100" t="s">
        <v>819</v>
      </c>
      <c r="M95" s="100" t="s">
        <v>292</v>
      </c>
      <c r="N95" s="100" t="s">
        <v>232</v>
      </c>
      <c r="O95" s="100" t="s">
        <v>239</v>
      </c>
      <c r="P95" s="100" t="s">
        <v>249</v>
      </c>
      <c r="Q95" s="100" t="s">
        <v>269</v>
      </c>
      <c r="R95" s="100" t="s">
        <v>262</v>
      </c>
    </row>
    <row r="96" spans="1:18">
      <c r="A96" s="100" t="str">
        <f>VLOOKUP(C96,classifications!C:F,4,FALSE)</f>
        <v>UA</v>
      </c>
      <c r="B96" s="100" t="s">
        <v>527</v>
      </c>
      <c r="C96" s="102" t="s">
        <v>818</v>
      </c>
      <c r="D96" s="100" t="s">
        <v>326</v>
      </c>
      <c r="E96" s="100" t="s">
        <v>305</v>
      </c>
      <c r="F96" s="100" t="s">
        <v>259</v>
      </c>
      <c r="G96" s="100" t="s">
        <v>298</v>
      </c>
      <c r="H96" s="100" t="s">
        <v>286</v>
      </c>
      <c r="I96" s="100" t="s">
        <v>814</v>
      </c>
      <c r="J96" s="100" t="s">
        <v>279</v>
      </c>
      <c r="K96" s="100" t="s">
        <v>268</v>
      </c>
      <c r="L96" s="100" t="s">
        <v>304</v>
      </c>
      <c r="M96" s="100" t="s">
        <v>306</v>
      </c>
      <c r="N96" s="100" t="s">
        <v>247</v>
      </c>
      <c r="O96" s="100" t="s">
        <v>271</v>
      </c>
      <c r="P96" s="100" t="s">
        <v>323</v>
      </c>
      <c r="Q96" s="100" t="s">
        <v>250</v>
      </c>
      <c r="R96" s="100" t="s">
        <v>283</v>
      </c>
    </row>
    <row r="97" spans="1:18">
      <c r="A97" s="100" t="str">
        <f>VLOOKUP(C97,classifications!C:F,4,FALSE)</f>
        <v>UA</v>
      </c>
      <c r="B97" s="100" t="s">
        <v>528</v>
      </c>
      <c r="C97" s="102" t="s">
        <v>271</v>
      </c>
      <c r="D97" s="100" t="s">
        <v>279</v>
      </c>
      <c r="E97" s="100" t="s">
        <v>295</v>
      </c>
      <c r="F97" s="100" t="s">
        <v>268</v>
      </c>
      <c r="G97" s="100" t="s">
        <v>323</v>
      </c>
      <c r="H97" s="100" t="s">
        <v>306</v>
      </c>
      <c r="I97" s="100" t="s">
        <v>245</v>
      </c>
      <c r="J97" s="100" t="s">
        <v>283</v>
      </c>
      <c r="K97" s="100" t="s">
        <v>818</v>
      </c>
      <c r="L97" s="100" t="s">
        <v>326</v>
      </c>
      <c r="M97" s="100" t="s">
        <v>257</v>
      </c>
      <c r="N97" s="100" t="s">
        <v>263</v>
      </c>
      <c r="O97" s="100" t="s">
        <v>259</v>
      </c>
      <c r="P97" s="100" t="s">
        <v>290</v>
      </c>
      <c r="Q97" s="100" t="s">
        <v>814</v>
      </c>
      <c r="R97" s="100" t="s">
        <v>305</v>
      </c>
    </row>
    <row r="98" spans="1:18">
      <c r="A98" s="100" t="str">
        <f>VLOOKUP(C98,classifications!C:F,4,FALSE)</f>
        <v>UA</v>
      </c>
      <c r="B98" s="100" t="s">
        <v>529</v>
      </c>
      <c r="C98" s="102" t="s">
        <v>819</v>
      </c>
      <c r="D98" s="100" t="s">
        <v>275</v>
      </c>
      <c r="E98" s="100" t="s">
        <v>244</v>
      </c>
      <c r="F98" s="100" t="s">
        <v>292</v>
      </c>
      <c r="G98" s="100" t="s">
        <v>258</v>
      </c>
      <c r="H98" s="100" t="s">
        <v>234</v>
      </c>
      <c r="I98" s="100" t="s">
        <v>243</v>
      </c>
      <c r="J98" s="100" t="s">
        <v>236</v>
      </c>
      <c r="K98" s="100" t="s">
        <v>280</v>
      </c>
      <c r="L98" s="100" t="s">
        <v>241</v>
      </c>
      <c r="M98" s="100" t="s">
        <v>255</v>
      </c>
      <c r="N98" s="100" t="s">
        <v>232</v>
      </c>
      <c r="O98" s="100" t="s">
        <v>269</v>
      </c>
      <c r="P98" s="100" t="s">
        <v>251</v>
      </c>
      <c r="Q98" s="100" t="s">
        <v>270</v>
      </c>
      <c r="R98" s="100" t="s">
        <v>252</v>
      </c>
    </row>
    <row r="99" spans="1:18">
      <c r="A99" s="100" t="str">
        <f>VLOOKUP(C99,classifications!C:F,4,FALSE)</f>
        <v>UA</v>
      </c>
      <c r="B99" s="100" t="s">
        <v>530</v>
      </c>
      <c r="C99" s="102" t="s">
        <v>272</v>
      </c>
      <c r="D99" s="100" t="s">
        <v>273</v>
      </c>
      <c r="E99" s="100" t="s">
        <v>280</v>
      </c>
      <c r="F99" s="100" t="s">
        <v>229</v>
      </c>
      <c r="G99" s="100" t="s">
        <v>244</v>
      </c>
      <c r="H99" s="100" t="s">
        <v>261</v>
      </c>
      <c r="I99" s="100" t="s">
        <v>240</v>
      </c>
      <c r="J99" s="100" t="s">
        <v>226</v>
      </c>
      <c r="K99" s="100" t="s">
        <v>258</v>
      </c>
      <c r="L99" s="100" t="s">
        <v>266</v>
      </c>
      <c r="M99" s="100" t="s">
        <v>243</v>
      </c>
      <c r="N99" s="100" t="s">
        <v>241</v>
      </c>
      <c r="O99" s="100" t="s">
        <v>225</v>
      </c>
      <c r="P99" s="100" t="s">
        <v>819</v>
      </c>
      <c r="Q99" s="100" t="s">
        <v>289</v>
      </c>
      <c r="R99" s="100" t="s">
        <v>281</v>
      </c>
    </row>
    <row r="100" spans="1:18">
      <c r="A100" s="100" t="str">
        <f>VLOOKUP(C100,classifications!C:F,4,FALSE)</f>
        <v>UA</v>
      </c>
      <c r="B100" s="100" t="s">
        <v>531</v>
      </c>
      <c r="C100" s="102" t="s">
        <v>273</v>
      </c>
      <c r="D100" s="100" t="s">
        <v>272</v>
      </c>
      <c r="E100" s="100" t="s">
        <v>229</v>
      </c>
      <c r="F100" s="100" t="s">
        <v>281</v>
      </c>
      <c r="G100" s="100" t="s">
        <v>261</v>
      </c>
      <c r="H100" s="100" t="s">
        <v>226</v>
      </c>
      <c r="I100" s="100" t="s">
        <v>240</v>
      </c>
      <c r="J100" s="100" t="s">
        <v>225</v>
      </c>
      <c r="K100" s="100" t="s">
        <v>241</v>
      </c>
      <c r="L100" s="100" t="s">
        <v>274</v>
      </c>
      <c r="M100" s="100" t="s">
        <v>266</v>
      </c>
      <c r="N100" s="100" t="s">
        <v>244</v>
      </c>
      <c r="O100" s="100" t="s">
        <v>276</v>
      </c>
      <c r="P100" s="100" t="s">
        <v>243</v>
      </c>
      <c r="Q100" s="100" t="s">
        <v>280</v>
      </c>
      <c r="R100" s="100" t="s">
        <v>294</v>
      </c>
    </row>
    <row r="101" spans="1:18">
      <c r="A101" s="100" t="str">
        <f>VLOOKUP(C101,classifications!C:F,4,FALSE)</f>
        <v>UA</v>
      </c>
      <c r="B101" s="100" t="s">
        <v>532</v>
      </c>
      <c r="C101" s="102" t="s">
        <v>274</v>
      </c>
      <c r="D101" s="100" t="s">
        <v>227</v>
      </c>
      <c r="E101" s="100" t="s">
        <v>225</v>
      </c>
      <c r="F101" s="100" t="s">
        <v>233</v>
      </c>
      <c r="G101" s="100" t="s">
        <v>228</v>
      </c>
      <c r="H101" s="100" t="s">
        <v>293</v>
      </c>
      <c r="I101" s="100" t="s">
        <v>291</v>
      </c>
      <c r="J101" s="100" t="s">
        <v>266</v>
      </c>
      <c r="K101" s="100" t="s">
        <v>815</v>
      </c>
      <c r="L101" s="100" t="s">
        <v>229</v>
      </c>
      <c r="M101" s="100" t="s">
        <v>296</v>
      </c>
      <c r="N101" s="100" t="s">
        <v>256</v>
      </c>
      <c r="O101" s="100" t="s">
        <v>240</v>
      </c>
      <c r="P101" s="100" t="s">
        <v>265</v>
      </c>
      <c r="Q101" s="100" t="s">
        <v>241</v>
      </c>
      <c r="R101" s="100" t="s">
        <v>252</v>
      </c>
    </row>
    <row r="102" spans="1:18">
      <c r="A102" s="100" t="str">
        <f>VLOOKUP(C102,classifications!C:F,4,FALSE)</f>
        <v>UA</v>
      </c>
      <c r="B102" s="100" t="s">
        <v>533</v>
      </c>
      <c r="C102" s="102" t="s">
        <v>275</v>
      </c>
      <c r="D102" s="100" t="s">
        <v>819</v>
      </c>
      <c r="E102" s="100" t="s">
        <v>234</v>
      </c>
      <c r="F102" s="100" t="s">
        <v>292</v>
      </c>
      <c r="G102" s="100" t="s">
        <v>241</v>
      </c>
      <c r="H102" s="100" t="s">
        <v>244</v>
      </c>
      <c r="I102" s="100" t="s">
        <v>258</v>
      </c>
      <c r="J102" s="100" t="s">
        <v>269</v>
      </c>
      <c r="K102" s="100" t="s">
        <v>243</v>
      </c>
      <c r="L102" s="100" t="s">
        <v>255</v>
      </c>
      <c r="M102" s="100" t="s">
        <v>252</v>
      </c>
      <c r="N102" s="100" t="s">
        <v>240</v>
      </c>
      <c r="O102" s="100" t="s">
        <v>270</v>
      </c>
      <c r="P102" s="100" t="s">
        <v>232</v>
      </c>
      <c r="Q102" s="100" t="s">
        <v>249</v>
      </c>
      <c r="R102" s="100" t="s">
        <v>251</v>
      </c>
    </row>
    <row r="103" spans="1:18">
      <c r="A103" s="100" t="str">
        <f>VLOOKUP(C103,classifications!C:F,4,FALSE)</f>
        <v>UA</v>
      </c>
      <c r="B103" s="100" t="s">
        <v>534</v>
      </c>
      <c r="C103" s="102" t="s">
        <v>276</v>
      </c>
      <c r="D103" s="100" t="s">
        <v>294</v>
      </c>
      <c r="E103" s="100" t="s">
        <v>281</v>
      </c>
      <c r="F103" s="100" t="s">
        <v>293</v>
      </c>
      <c r="G103" s="100" t="s">
        <v>285</v>
      </c>
      <c r="H103" s="100" t="s">
        <v>260</v>
      </c>
      <c r="I103" s="100" t="s">
        <v>296</v>
      </c>
      <c r="J103" s="100" t="s">
        <v>274</v>
      </c>
      <c r="K103" s="100" t="s">
        <v>815</v>
      </c>
      <c r="L103" s="100" t="s">
        <v>225</v>
      </c>
      <c r="M103" s="100" t="s">
        <v>253</v>
      </c>
      <c r="N103" s="100" t="s">
        <v>264</v>
      </c>
      <c r="O103" s="100" t="s">
        <v>227</v>
      </c>
      <c r="P103" s="100" t="s">
        <v>229</v>
      </c>
      <c r="Q103" s="100" t="s">
        <v>233</v>
      </c>
      <c r="R103" s="100" t="s">
        <v>273</v>
      </c>
    </row>
    <row r="104" spans="1:18">
      <c r="A104" s="100" t="str">
        <f>VLOOKUP(C104,classifications!C:F,4,FALSE)</f>
        <v>UA</v>
      </c>
      <c r="B104" s="100" t="s">
        <v>535</v>
      </c>
      <c r="C104" s="102" t="s">
        <v>277</v>
      </c>
      <c r="D104" s="100" t="s">
        <v>811</v>
      </c>
      <c r="E104" s="100" t="s">
        <v>270</v>
      </c>
      <c r="F104" s="100" t="s">
        <v>251</v>
      </c>
      <c r="G104" s="100" t="s">
        <v>239</v>
      </c>
      <c r="H104" s="100" t="s">
        <v>230</v>
      </c>
      <c r="I104" s="100" t="s">
        <v>282</v>
      </c>
      <c r="J104" s="100" t="s">
        <v>265</v>
      </c>
      <c r="K104" s="100" t="s">
        <v>257</v>
      </c>
      <c r="L104" s="100" t="s">
        <v>249</v>
      </c>
      <c r="M104" s="100" t="s">
        <v>291</v>
      </c>
      <c r="N104" s="100" t="s">
        <v>242</v>
      </c>
      <c r="O104" s="100" t="s">
        <v>262</v>
      </c>
      <c r="P104" s="100" t="s">
        <v>292</v>
      </c>
      <c r="Q104" s="100" t="s">
        <v>254</v>
      </c>
      <c r="R104" s="100" t="s">
        <v>231</v>
      </c>
    </row>
    <row r="105" spans="1:18">
      <c r="A105" s="100" t="str">
        <f>VLOOKUP(C105,classifications!C:F,4,FALSE)</f>
        <v>UA</v>
      </c>
      <c r="B105" s="100" t="s">
        <v>536</v>
      </c>
      <c r="C105" s="102" t="s">
        <v>278</v>
      </c>
      <c r="D105" s="100" t="s">
        <v>291</v>
      </c>
      <c r="E105" s="100" t="s">
        <v>254</v>
      </c>
      <c r="F105" s="100" t="s">
        <v>230</v>
      </c>
      <c r="G105" s="100" t="s">
        <v>242</v>
      </c>
      <c r="H105" s="100" t="s">
        <v>228</v>
      </c>
      <c r="I105" s="100" t="s">
        <v>296</v>
      </c>
      <c r="J105" s="100" t="s">
        <v>265</v>
      </c>
      <c r="K105" s="100" t="s">
        <v>223</v>
      </c>
      <c r="L105" s="100" t="s">
        <v>815</v>
      </c>
      <c r="M105" s="100" t="s">
        <v>249</v>
      </c>
      <c r="N105" s="100" t="s">
        <v>231</v>
      </c>
      <c r="O105" s="100" t="s">
        <v>814</v>
      </c>
      <c r="P105" s="100" t="s">
        <v>266</v>
      </c>
      <c r="Q105" s="100" t="s">
        <v>293</v>
      </c>
      <c r="R105" s="100" t="s">
        <v>277</v>
      </c>
    </row>
    <row r="106" spans="1:18">
      <c r="A106" s="100" t="str">
        <f>VLOOKUP(C106,classifications!C:F,4,FALSE)</f>
        <v>UA</v>
      </c>
      <c r="B106" s="100" t="s">
        <v>537</v>
      </c>
      <c r="C106" s="102" t="s">
        <v>279</v>
      </c>
      <c r="D106" s="100" t="s">
        <v>283</v>
      </c>
      <c r="E106" s="100" t="s">
        <v>268</v>
      </c>
      <c r="F106" s="100" t="s">
        <v>271</v>
      </c>
      <c r="G106" s="100" t="s">
        <v>259</v>
      </c>
      <c r="H106" s="100" t="s">
        <v>305</v>
      </c>
      <c r="I106" s="100" t="s">
        <v>818</v>
      </c>
      <c r="J106" s="100" t="s">
        <v>326</v>
      </c>
      <c r="K106" s="100" t="s">
        <v>323</v>
      </c>
      <c r="L106" s="100" t="s">
        <v>288</v>
      </c>
      <c r="M106" s="100" t="s">
        <v>306</v>
      </c>
      <c r="N106" s="100" t="s">
        <v>298</v>
      </c>
      <c r="O106" s="100" t="s">
        <v>814</v>
      </c>
      <c r="P106" s="100" t="s">
        <v>250</v>
      </c>
      <c r="Q106" s="100" t="s">
        <v>247</v>
      </c>
      <c r="R106" s="100" t="s">
        <v>245</v>
      </c>
    </row>
    <row r="107" spans="1:18">
      <c r="A107" s="100" t="str">
        <f>VLOOKUP(C107,classifications!C:F,4,FALSE)</f>
        <v>UA</v>
      </c>
      <c r="B107" s="100" t="s">
        <v>538</v>
      </c>
      <c r="C107" s="102" t="s">
        <v>323</v>
      </c>
      <c r="D107" s="101" t="s">
        <v>268</v>
      </c>
      <c r="E107" s="100" t="s">
        <v>245</v>
      </c>
      <c r="F107" s="100" t="s">
        <v>257</v>
      </c>
      <c r="G107" s="100" t="s">
        <v>306</v>
      </c>
      <c r="H107" s="100" t="s">
        <v>239</v>
      </c>
      <c r="I107" s="100" t="s">
        <v>326</v>
      </c>
      <c r="J107" s="100" t="s">
        <v>267</v>
      </c>
      <c r="K107" s="100" t="s">
        <v>814</v>
      </c>
      <c r="L107" s="100" t="s">
        <v>279</v>
      </c>
      <c r="M107" s="100" t="s">
        <v>271</v>
      </c>
      <c r="N107" s="100" t="s">
        <v>223</v>
      </c>
      <c r="O107" s="100" t="s">
        <v>811</v>
      </c>
      <c r="P107" s="100" t="s">
        <v>228</v>
      </c>
      <c r="Q107" s="100" t="s">
        <v>254</v>
      </c>
      <c r="R107" s="100" t="s">
        <v>250</v>
      </c>
    </row>
    <row r="108" spans="1:18">
      <c r="A108" s="100" t="str">
        <f>VLOOKUP(C108,classifications!C:F,4,FALSE)</f>
        <v>UA</v>
      </c>
      <c r="B108" s="100" t="s">
        <v>539</v>
      </c>
      <c r="C108" s="102" t="s">
        <v>280</v>
      </c>
      <c r="D108" s="100" t="s">
        <v>238</v>
      </c>
      <c r="E108" s="100" t="s">
        <v>236</v>
      </c>
      <c r="F108" s="100" t="s">
        <v>243</v>
      </c>
      <c r="G108" s="100" t="s">
        <v>819</v>
      </c>
      <c r="H108" s="100" t="s">
        <v>272</v>
      </c>
      <c r="I108" s="100" t="s">
        <v>244</v>
      </c>
      <c r="J108" s="100" t="s">
        <v>258</v>
      </c>
      <c r="K108" s="100" t="s">
        <v>229</v>
      </c>
      <c r="L108" s="100" t="s">
        <v>246</v>
      </c>
      <c r="M108" s="100" t="s">
        <v>292</v>
      </c>
      <c r="N108" s="100" t="s">
        <v>289</v>
      </c>
      <c r="O108" s="100" t="s">
        <v>241</v>
      </c>
      <c r="P108" s="100" t="s">
        <v>225</v>
      </c>
      <c r="Q108" s="100" t="s">
        <v>266</v>
      </c>
      <c r="R108" s="100" t="s">
        <v>232</v>
      </c>
    </row>
    <row r="109" spans="1:18">
      <c r="A109" s="100" t="str">
        <f>VLOOKUP(C109,classifications!C:F,4,FALSE)</f>
        <v>UA</v>
      </c>
      <c r="B109" s="100" t="s">
        <v>540</v>
      </c>
      <c r="C109" s="102" t="s">
        <v>281</v>
      </c>
      <c r="D109" s="100" t="s">
        <v>294</v>
      </c>
      <c r="E109" s="100" t="s">
        <v>293</v>
      </c>
      <c r="F109" s="100" t="s">
        <v>276</v>
      </c>
      <c r="G109" s="100" t="s">
        <v>229</v>
      </c>
      <c r="H109" s="100" t="s">
        <v>225</v>
      </c>
      <c r="I109" s="100" t="s">
        <v>266</v>
      </c>
      <c r="J109" s="100" t="s">
        <v>815</v>
      </c>
      <c r="K109" s="100" t="s">
        <v>241</v>
      </c>
      <c r="L109" s="100" t="s">
        <v>274</v>
      </c>
      <c r="M109" s="100" t="s">
        <v>273</v>
      </c>
      <c r="N109" s="100" t="s">
        <v>240</v>
      </c>
      <c r="O109" s="100" t="s">
        <v>260</v>
      </c>
      <c r="P109" s="100" t="s">
        <v>228</v>
      </c>
      <c r="Q109" s="100" t="s">
        <v>291</v>
      </c>
      <c r="R109" s="100" t="s">
        <v>227</v>
      </c>
    </row>
    <row r="110" spans="1:18">
      <c r="A110" s="100" t="str">
        <f>VLOOKUP(C110,classifications!C:F,4,FALSE)</f>
        <v>UA</v>
      </c>
      <c r="B110" s="100" t="s">
        <v>541</v>
      </c>
      <c r="C110" s="102" t="s">
        <v>282</v>
      </c>
      <c r="D110" s="100" t="s">
        <v>239</v>
      </c>
      <c r="E110" s="100" t="s">
        <v>257</v>
      </c>
      <c r="F110" s="100" t="s">
        <v>251</v>
      </c>
      <c r="G110" s="100" t="s">
        <v>289</v>
      </c>
      <c r="H110" s="100" t="s">
        <v>817</v>
      </c>
      <c r="I110" s="100" t="s">
        <v>811</v>
      </c>
      <c r="J110" s="100" t="s">
        <v>266</v>
      </c>
      <c r="K110" s="100" t="s">
        <v>265</v>
      </c>
      <c r="L110" s="100" t="s">
        <v>249</v>
      </c>
      <c r="M110" s="100" t="s">
        <v>277</v>
      </c>
      <c r="N110" s="100" t="s">
        <v>245</v>
      </c>
      <c r="O110" s="100" t="s">
        <v>231</v>
      </c>
      <c r="P110" s="100" t="s">
        <v>232</v>
      </c>
      <c r="Q110" s="100" t="s">
        <v>225</v>
      </c>
      <c r="R110" s="100" t="s">
        <v>252</v>
      </c>
    </row>
    <row r="111" spans="1:18">
      <c r="A111" s="100" t="e">
        <f>VLOOKUP(C111,classifications!C:F,4,FALSE)</f>
        <v>#N/A</v>
      </c>
      <c r="B111" s="100" t="s">
        <v>542</v>
      </c>
      <c r="C111" s="102" t="s">
        <v>283</v>
      </c>
      <c r="D111" s="100" t="s">
        <v>279</v>
      </c>
      <c r="E111" s="100" t="s">
        <v>247</v>
      </c>
      <c r="F111" s="100" t="s">
        <v>263</v>
      </c>
      <c r="G111" s="100" t="s">
        <v>290</v>
      </c>
      <c r="H111" s="100" t="s">
        <v>259</v>
      </c>
      <c r="I111" s="100" t="s">
        <v>295</v>
      </c>
      <c r="J111" s="100" t="s">
        <v>250</v>
      </c>
      <c r="K111" s="100" t="s">
        <v>305</v>
      </c>
      <c r="L111" s="100" t="s">
        <v>245</v>
      </c>
      <c r="M111" s="100" t="s">
        <v>268</v>
      </c>
      <c r="N111" s="100" t="s">
        <v>271</v>
      </c>
      <c r="O111" s="100" t="s">
        <v>300</v>
      </c>
      <c r="P111" s="100" t="s">
        <v>288</v>
      </c>
      <c r="Q111" s="100" t="s">
        <v>323</v>
      </c>
      <c r="R111" s="100" t="s">
        <v>814</v>
      </c>
    </row>
    <row r="112" spans="1:18">
      <c r="A112" s="100" t="str">
        <f>VLOOKUP(C112,classifications!C:F,4,FALSE)</f>
        <v>UA</v>
      </c>
      <c r="B112" s="100" t="s">
        <v>543</v>
      </c>
      <c r="C112" s="102" t="s">
        <v>284</v>
      </c>
      <c r="D112" s="100" t="s">
        <v>289</v>
      </c>
      <c r="E112" s="100" t="s">
        <v>817</v>
      </c>
      <c r="F112" s="100" t="s">
        <v>813</v>
      </c>
      <c r="G112" s="100" t="s">
        <v>282</v>
      </c>
      <c r="H112" s="100" t="s">
        <v>229</v>
      </c>
      <c r="I112" s="100" t="s">
        <v>290</v>
      </c>
      <c r="J112" s="100" t="s">
        <v>239</v>
      </c>
      <c r="K112" s="100" t="s">
        <v>238</v>
      </c>
      <c r="L112" s="100" t="s">
        <v>225</v>
      </c>
      <c r="M112" s="100" t="s">
        <v>266</v>
      </c>
      <c r="N112" s="100" t="s">
        <v>243</v>
      </c>
      <c r="O112" s="100" t="s">
        <v>274</v>
      </c>
      <c r="P112" s="100" t="s">
        <v>280</v>
      </c>
      <c r="Q112" s="100" t="s">
        <v>246</v>
      </c>
      <c r="R112" s="100" t="s">
        <v>293</v>
      </c>
    </row>
    <row r="113" spans="1:18">
      <c r="A113" s="100" t="str">
        <f>VLOOKUP(C113,classifications!C:F,4,FALSE)</f>
        <v>UA</v>
      </c>
      <c r="B113" s="100" t="s">
        <v>544</v>
      </c>
      <c r="C113" s="102" t="s">
        <v>285</v>
      </c>
      <c r="D113" s="100" t="s">
        <v>276</v>
      </c>
      <c r="E113" s="100" t="s">
        <v>294</v>
      </c>
      <c r="F113" s="100" t="s">
        <v>281</v>
      </c>
      <c r="G113" s="100" t="s">
        <v>293</v>
      </c>
      <c r="H113" s="100" t="s">
        <v>287</v>
      </c>
      <c r="I113" s="100" t="s">
        <v>817</v>
      </c>
      <c r="J113" s="100" t="s">
        <v>253</v>
      </c>
      <c r="K113" s="100" t="s">
        <v>289</v>
      </c>
      <c r="L113" s="100" t="s">
        <v>264</v>
      </c>
      <c r="M113" s="100" t="s">
        <v>260</v>
      </c>
      <c r="N113" s="100" t="s">
        <v>296</v>
      </c>
      <c r="O113" s="100" t="s">
        <v>273</v>
      </c>
      <c r="P113" s="100" t="s">
        <v>229</v>
      </c>
      <c r="Q113" s="100" t="s">
        <v>274</v>
      </c>
      <c r="R113" s="100" t="s">
        <v>284</v>
      </c>
    </row>
    <row r="114" spans="1:18">
      <c r="A114" s="100" t="str">
        <f>VLOOKUP(C114,classifications!C:F,4,FALSE)</f>
        <v>UA</v>
      </c>
      <c r="B114" s="100" t="s">
        <v>545</v>
      </c>
      <c r="C114" s="102" t="s">
        <v>811</v>
      </c>
      <c r="D114" s="100" t="s">
        <v>277</v>
      </c>
      <c r="E114" s="100" t="s">
        <v>270</v>
      </c>
      <c r="F114" s="100" t="s">
        <v>239</v>
      </c>
      <c r="G114" s="100" t="s">
        <v>251</v>
      </c>
      <c r="H114" s="100" t="s">
        <v>257</v>
      </c>
      <c r="I114" s="100" t="s">
        <v>249</v>
      </c>
      <c r="J114" s="100" t="s">
        <v>282</v>
      </c>
      <c r="K114" s="100" t="s">
        <v>265</v>
      </c>
      <c r="L114" s="100" t="s">
        <v>291</v>
      </c>
      <c r="M114" s="100" t="s">
        <v>248</v>
      </c>
      <c r="N114" s="100" t="s">
        <v>245</v>
      </c>
      <c r="O114" s="100" t="s">
        <v>231</v>
      </c>
      <c r="P114" s="100" t="s">
        <v>242</v>
      </c>
      <c r="Q114" s="100" t="s">
        <v>223</v>
      </c>
      <c r="R114" s="100" t="s">
        <v>230</v>
      </c>
    </row>
    <row r="115" spans="1:18">
      <c r="A115" s="100" t="str">
        <f>VLOOKUP(C115,classifications!C:F,4,FALSE)</f>
        <v>UA</v>
      </c>
      <c r="B115" s="100" t="s">
        <v>546</v>
      </c>
      <c r="C115" s="102" t="s">
        <v>286</v>
      </c>
      <c r="D115" s="100" t="s">
        <v>818</v>
      </c>
      <c r="E115" s="100" t="s">
        <v>326</v>
      </c>
      <c r="F115" s="100" t="s">
        <v>298</v>
      </c>
      <c r="G115" s="100" t="s">
        <v>305</v>
      </c>
      <c r="H115" s="100" t="s">
        <v>259</v>
      </c>
      <c r="I115" s="100" t="s">
        <v>304</v>
      </c>
      <c r="J115" s="100" t="s">
        <v>279</v>
      </c>
      <c r="K115" s="100" t="s">
        <v>814</v>
      </c>
      <c r="L115" s="100" t="s">
        <v>268</v>
      </c>
      <c r="M115" s="100" t="s">
        <v>297</v>
      </c>
      <c r="N115" s="100" t="s">
        <v>247</v>
      </c>
      <c r="O115" s="100" t="s">
        <v>260</v>
      </c>
      <c r="P115" s="100" t="s">
        <v>271</v>
      </c>
      <c r="Q115" s="100" t="s">
        <v>306</v>
      </c>
      <c r="R115" s="100" t="s">
        <v>283</v>
      </c>
    </row>
    <row r="116" spans="1:18">
      <c r="A116" s="100" t="str">
        <f>VLOOKUP(C116,classifications!C:F,4,FALSE)</f>
        <v>UA</v>
      </c>
      <c r="B116" s="100" t="s">
        <v>547</v>
      </c>
      <c r="C116" s="102" t="s">
        <v>326</v>
      </c>
      <c r="D116" s="100" t="s">
        <v>818</v>
      </c>
      <c r="E116" s="100" t="s">
        <v>305</v>
      </c>
      <c r="F116" s="100" t="s">
        <v>814</v>
      </c>
      <c r="G116" s="100" t="s">
        <v>298</v>
      </c>
      <c r="H116" s="100" t="s">
        <v>268</v>
      </c>
      <c r="I116" s="100" t="s">
        <v>259</v>
      </c>
      <c r="J116" s="100" t="s">
        <v>279</v>
      </c>
      <c r="K116" s="100" t="s">
        <v>323</v>
      </c>
      <c r="L116" s="100" t="s">
        <v>306</v>
      </c>
      <c r="M116" s="100" t="s">
        <v>250</v>
      </c>
      <c r="N116" s="100" t="s">
        <v>304</v>
      </c>
      <c r="O116" s="100" t="s">
        <v>300</v>
      </c>
      <c r="P116" s="100" t="s">
        <v>247</v>
      </c>
      <c r="Q116" s="100" t="s">
        <v>286</v>
      </c>
      <c r="R116" s="100" t="s">
        <v>271</v>
      </c>
    </row>
    <row r="117" spans="1:18">
      <c r="A117" s="100" t="str">
        <f>VLOOKUP(C117,classifications!C:F,4,FALSE)</f>
        <v>UA</v>
      </c>
      <c r="B117" s="100" t="s">
        <v>548</v>
      </c>
      <c r="C117" s="102" t="s">
        <v>287</v>
      </c>
      <c r="D117" s="100" t="s">
        <v>285</v>
      </c>
      <c r="E117" s="100" t="s">
        <v>273</v>
      </c>
      <c r="F117" s="100" t="s">
        <v>276</v>
      </c>
      <c r="G117" s="100" t="s">
        <v>281</v>
      </c>
      <c r="H117" s="100" t="s">
        <v>294</v>
      </c>
      <c r="I117" s="100" t="s">
        <v>272</v>
      </c>
      <c r="J117" s="100" t="s">
        <v>293</v>
      </c>
      <c r="K117" s="100" t="s">
        <v>264</v>
      </c>
      <c r="L117" s="100" t="s">
        <v>289</v>
      </c>
      <c r="M117" s="100" t="s">
        <v>229</v>
      </c>
      <c r="N117" s="100" t="s">
        <v>817</v>
      </c>
      <c r="O117" s="100" t="s">
        <v>260</v>
      </c>
      <c r="P117" s="100" t="s">
        <v>226</v>
      </c>
      <c r="Q117" s="100" t="s">
        <v>261</v>
      </c>
      <c r="R117" s="100" t="s">
        <v>225</v>
      </c>
    </row>
    <row r="118" spans="1:18">
      <c r="A118" s="100" t="str">
        <f>VLOOKUP(C118,classifications!C:F,4,FALSE)</f>
        <v>UA</v>
      </c>
      <c r="B118" s="100" t="s">
        <v>549</v>
      </c>
      <c r="C118" s="102" t="s">
        <v>288</v>
      </c>
      <c r="D118" s="100" t="s">
        <v>279</v>
      </c>
      <c r="E118" s="100" t="s">
        <v>250</v>
      </c>
      <c r="F118" s="100" t="s">
        <v>304</v>
      </c>
      <c r="G118" s="100" t="s">
        <v>300</v>
      </c>
      <c r="H118" s="100" t="s">
        <v>814</v>
      </c>
      <c r="I118" s="100" t="s">
        <v>259</v>
      </c>
      <c r="J118" s="100" t="s">
        <v>296</v>
      </c>
      <c r="K118" s="100" t="s">
        <v>247</v>
      </c>
      <c r="L118" s="100" t="s">
        <v>293</v>
      </c>
      <c r="M118" s="100" t="s">
        <v>260</v>
      </c>
      <c r="N118" s="100" t="s">
        <v>305</v>
      </c>
      <c r="O118" s="100" t="s">
        <v>253</v>
      </c>
      <c r="P118" s="100" t="s">
        <v>268</v>
      </c>
      <c r="Q118" s="100" t="s">
        <v>283</v>
      </c>
      <c r="R118" s="100" t="s">
        <v>298</v>
      </c>
    </row>
    <row r="119" spans="1:18">
      <c r="A119" s="100" t="str">
        <f>VLOOKUP(C119,classifications!C:F,4,FALSE)</f>
        <v>UA</v>
      </c>
      <c r="B119" s="100" t="s">
        <v>550</v>
      </c>
      <c r="C119" s="102" t="s">
        <v>289</v>
      </c>
      <c r="D119" s="100" t="s">
        <v>817</v>
      </c>
      <c r="E119" s="100" t="s">
        <v>284</v>
      </c>
      <c r="F119" s="100" t="s">
        <v>282</v>
      </c>
      <c r="G119" s="100" t="s">
        <v>238</v>
      </c>
      <c r="H119" s="100" t="s">
        <v>229</v>
      </c>
      <c r="I119" s="100" t="s">
        <v>280</v>
      </c>
      <c r="J119" s="100" t="s">
        <v>813</v>
      </c>
      <c r="K119" s="100" t="s">
        <v>243</v>
      </c>
      <c r="L119" s="100" t="s">
        <v>246</v>
      </c>
      <c r="M119" s="100" t="s">
        <v>266</v>
      </c>
      <c r="N119" s="100" t="s">
        <v>239</v>
      </c>
      <c r="O119" s="100" t="s">
        <v>225</v>
      </c>
      <c r="P119" s="100" t="s">
        <v>293</v>
      </c>
      <c r="Q119" s="100" t="s">
        <v>281</v>
      </c>
      <c r="R119" s="100" t="s">
        <v>274</v>
      </c>
    </row>
    <row r="120" spans="1:18">
      <c r="A120" s="100" t="str">
        <f>VLOOKUP(C120,classifications!C:F,4,FALSE)</f>
        <v>UA</v>
      </c>
      <c r="B120" s="100" t="s">
        <v>551</v>
      </c>
      <c r="C120" s="102" t="s">
        <v>290</v>
      </c>
      <c r="D120" s="100" t="s">
        <v>263</v>
      </c>
      <c r="E120" s="100" t="s">
        <v>257</v>
      </c>
      <c r="F120" s="100" t="s">
        <v>245</v>
      </c>
      <c r="G120" s="100" t="s">
        <v>239</v>
      </c>
      <c r="H120" s="100" t="s">
        <v>282</v>
      </c>
      <c r="I120" s="100" t="s">
        <v>295</v>
      </c>
      <c r="J120" s="100" t="s">
        <v>265</v>
      </c>
      <c r="K120" s="100" t="s">
        <v>250</v>
      </c>
      <c r="L120" s="100" t="s">
        <v>283</v>
      </c>
      <c r="M120" s="100" t="s">
        <v>228</v>
      </c>
      <c r="N120" s="100" t="s">
        <v>266</v>
      </c>
      <c r="O120" s="100" t="s">
        <v>279</v>
      </c>
      <c r="P120" s="100" t="s">
        <v>231</v>
      </c>
      <c r="Q120" s="100" t="s">
        <v>323</v>
      </c>
      <c r="R120" s="100" t="s">
        <v>811</v>
      </c>
    </row>
    <row r="121" spans="1:18">
      <c r="A121" s="100" t="str">
        <f>VLOOKUP(C121,classifications!C:F,4,FALSE)</f>
        <v>UA</v>
      </c>
      <c r="B121" s="100" t="s">
        <v>552</v>
      </c>
      <c r="C121" s="102" t="s">
        <v>291</v>
      </c>
      <c r="D121" s="100" t="s">
        <v>815</v>
      </c>
      <c r="E121" s="100" t="s">
        <v>265</v>
      </c>
      <c r="F121" s="100" t="s">
        <v>249</v>
      </c>
      <c r="G121" s="100" t="s">
        <v>242</v>
      </c>
      <c r="H121" s="100" t="s">
        <v>228</v>
      </c>
      <c r="I121" s="100" t="s">
        <v>231</v>
      </c>
      <c r="J121" s="100" t="s">
        <v>266</v>
      </c>
      <c r="K121" s="100" t="s">
        <v>254</v>
      </c>
      <c r="L121" s="100" t="s">
        <v>274</v>
      </c>
      <c r="M121" s="100" t="s">
        <v>230</v>
      </c>
      <c r="N121" s="100" t="s">
        <v>223</v>
      </c>
      <c r="O121" s="100" t="s">
        <v>225</v>
      </c>
      <c r="P121" s="100" t="s">
        <v>227</v>
      </c>
      <c r="Q121" s="100" t="s">
        <v>296</v>
      </c>
      <c r="R121" s="100" t="s">
        <v>278</v>
      </c>
    </row>
    <row r="122" spans="1:18">
      <c r="A122" s="100" t="str">
        <f>VLOOKUP(C122,classifications!C:F,4,FALSE)</f>
        <v>UA</v>
      </c>
      <c r="B122" s="100" t="s">
        <v>553</v>
      </c>
      <c r="C122" s="102" t="s">
        <v>292</v>
      </c>
      <c r="D122" s="100" t="s">
        <v>252</v>
      </c>
      <c r="E122" s="100" t="s">
        <v>241</v>
      </c>
      <c r="F122" s="100" t="s">
        <v>269</v>
      </c>
      <c r="G122" s="100" t="s">
        <v>232</v>
      </c>
      <c r="H122" s="100" t="s">
        <v>242</v>
      </c>
      <c r="I122" s="100" t="s">
        <v>225</v>
      </c>
      <c r="J122" s="100" t="s">
        <v>234</v>
      </c>
      <c r="K122" s="100" t="s">
        <v>243</v>
      </c>
      <c r="L122" s="100" t="s">
        <v>249</v>
      </c>
      <c r="M122" s="100" t="s">
        <v>230</v>
      </c>
      <c r="N122" s="100" t="s">
        <v>256</v>
      </c>
      <c r="O122" s="100" t="s">
        <v>244</v>
      </c>
      <c r="P122" s="100" t="s">
        <v>819</v>
      </c>
      <c r="Q122" s="100" t="s">
        <v>240</v>
      </c>
      <c r="R122" s="100" t="s">
        <v>275</v>
      </c>
    </row>
    <row r="123" spans="1:18">
      <c r="A123" s="100" t="str">
        <f>VLOOKUP(C123,classifications!C:F,4,FALSE)</f>
        <v>UA</v>
      </c>
      <c r="B123" s="100" t="s">
        <v>554</v>
      </c>
      <c r="C123" s="102" t="s">
        <v>293</v>
      </c>
      <c r="D123" s="100" t="s">
        <v>296</v>
      </c>
      <c r="E123" s="100" t="s">
        <v>274</v>
      </c>
      <c r="F123" s="100" t="s">
        <v>294</v>
      </c>
      <c r="G123" s="100" t="s">
        <v>281</v>
      </c>
      <c r="H123" s="100" t="s">
        <v>260</v>
      </c>
      <c r="I123" s="100" t="s">
        <v>291</v>
      </c>
      <c r="J123" s="100" t="s">
        <v>227</v>
      </c>
      <c r="K123" s="100" t="s">
        <v>276</v>
      </c>
      <c r="L123" s="100" t="s">
        <v>815</v>
      </c>
      <c r="M123" s="100" t="s">
        <v>266</v>
      </c>
      <c r="N123" s="100" t="s">
        <v>228</v>
      </c>
      <c r="O123" s="100" t="s">
        <v>253</v>
      </c>
      <c r="P123" s="100" t="s">
        <v>250</v>
      </c>
      <c r="Q123" s="100" t="s">
        <v>225</v>
      </c>
      <c r="R123" s="100" t="s">
        <v>233</v>
      </c>
    </row>
    <row r="124" spans="1:18" s="101" customFormat="1">
      <c r="A124" s="100" t="str">
        <f>VLOOKUP(C124,classifications!C:F,4,FALSE)</f>
        <v>UA</v>
      </c>
      <c r="B124" s="100" t="s">
        <v>555</v>
      </c>
      <c r="C124" s="102" t="s">
        <v>294</v>
      </c>
      <c r="D124" s="100" t="s">
        <v>276</v>
      </c>
      <c r="E124" s="100" t="s">
        <v>293</v>
      </c>
      <c r="F124" s="100" t="s">
        <v>281</v>
      </c>
      <c r="G124" s="100" t="s">
        <v>285</v>
      </c>
      <c r="H124" s="100" t="s">
        <v>296</v>
      </c>
      <c r="I124" s="100" t="s">
        <v>253</v>
      </c>
      <c r="J124" s="100" t="s">
        <v>815</v>
      </c>
      <c r="K124" s="100" t="s">
        <v>274</v>
      </c>
      <c r="L124" s="100" t="s">
        <v>225</v>
      </c>
      <c r="M124" s="100" t="s">
        <v>291</v>
      </c>
      <c r="N124" s="100" t="s">
        <v>260</v>
      </c>
      <c r="O124" s="100" t="s">
        <v>266</v>
      </c>
      <c r="P124" s="100" t="s">
        <v>229</v>
      </c>
      <c r="Q124" s="100" t="s">
        <v>241</v>
      </c>
      <c r="R124" s="100" t="s">
        <v>228</v>
      </c>
    </row>
    <row r="125" spans="1:18" s="101" customFormat="1">
      <c r="A125" s="100" t="str">
        <f>VLOOKUP(C125,classifications!C:F,4,FALSE)</f>
        <v>UA</v>
      </c>
      <c r="B125" s="100" t="s">
        <v>556</v>
      </c>
      <c r="C125" s="102" t="s">
        <v>295</v>
      </c>
      <c r="D125" s="100" t="s">
        <v>245</v>
      </c>
      <c r="E125" s="100" t="s">
        <v>271</v>
      </c>
      <c r="F125" s="100" t="s">
        <v>263</v>
      </c>
      <c r="G125" s="100" t="s">
        <v>290</v>
      </c>
      <c r="H125" s="100" t="s">
        <v>283</v>
      </c>
      <c r="I125" s="100" t="s">
        <v>257</v>
      </c>
      <c r="J125" s="100" t="s">
        <v>279</v>
      </c>
      <c r="K125" s="100" t="s">
        <v>323</v>
      </c>
      <c r="L125" s="100" t="s">
        <v>239</v>
      </c>
      <c r="M125" s="100" t="s">
        <v>265</v>
      </c>
      <c r="N125" s="100" t="s">
        <v>268</v>
      </c>
      <c r="O125" s="100" t="s">
        <v>811</v>
      </c>
      <c r="P125" s="100" t="s">
        <v>262</v>
      </c>
      <c r="Q125" s="100" t="s">
        <v>277</v>
      </c>
      <c r="R125" s="100" t="s">
        <v>306</v>
      </c>
    </row>
    <row r="126" spans="1:18" s="101" customFormat="1">
      <c r="A126" s="100" t="str">
        <f>VLOOKUP(C126,classifications!C:F,4,FALSE)</f>
        <v>UA</v>
      </c>
      <c r="B126" s="100" t="s">
        <v>557</v>
      </c>
      <c r="C126" s="102" t="s">
        <v>296</v>
      </c>
      <c r="D126" s="100" t="s">
        <v>293</v>
      </c>
      <c r="E126" s="100" t="s">
        <v>291</v>
      </c>
      <c r="F126" s="100" t="s">
        <v>228</v>
      </c>
      <c r="G126" s="100" t="s">
        <v>227</v>
      </c>
      <c r="H126" s="100" t="s">
        <v>815</v>
      </c>
      <c r="I126" s="100" t="s">
        <v>274</v>
      </c>
      <c r="J126" s="100" t="s">
        <v>814</v>
      </c>
      <c r="K126" s="100" t="s">
        <v>300</v>
      </c>
      <c r="L126" s="100" t="s">
        <v>250</v>
      </c>
      <c r="M126" s="100" t="s">
        <v>278</v>
      </c>
      <c r="N126" s="100" t="s">
        <v>265</v>
      </c>
      <c r="O126" s="100" t="s">
        <v>253</v>
      </c>
      <c r="P126" s="100" t="s">
        <v>233</v>
      </c>
      <c r="Q126" s="100" t="s">
        <v>254</v>
      </c>
      <c r="R126" s="100" t="s">
        <v>225</v>
      </c>
    </row>
    <row r="127" spans="1:18" s="101" customFormat="1">
      <c r="A127" s="100" t="str">
        <f>VLOOKUP(C127,classifications!C:F,4,FALSE)</f>
        <v>UA</v>
      </c>
      <c r="B127" s="100" t="s">
        <v>558</v>
      </c>
      <c r="C127" s="102" t="s">
        <v>297</v>
      </c>
      <c r="D127" s="100" t="s">
        <v>304</v>
      </c>
      <c r="E127" s="100" t="s">
        <v>264</v>
      </c>
      <c r="F127" s="100" t="s">
        <v>299</v>
      </c>
      <c r="G127" s="100" t="s">
        <v>816</v>
      </c>
      <c r="H127" s="100" t="s">
        <v>260</v>
      </c>
      <c r="I127" s="100" t="s">
        <v>259</v>
      </c>
      <c r="J127" s="100" t="s">
        <v>298</v>
      </c>
      <c r="K127" s="100" t="s">
        <v>247</v>
      </c>
      <c r="L127" s="100" t="s">
        <v>288</v>
      </c>
      <c r="M127" s="100" t="s">
        <v>305</v>
      </c>
      <c r="N127" s="100" t="s">
        <v>814</v>
      </c>
      <c r="O127" s="100" t="s">
        <v>276</v>
      </c>
      <c r="P127" s="100" t="s">
        <v>253</v>
      </c>
      <c r="Q127" s="100" t="s">
        <v>293</v>
      </c>
      <c r="R127" s="100" t="s">
        <v>296</v>
      </c>
    </row>
    <row r="128" spans="1:18" s="101" customFormat="1">
      <c r="A128" s="100" t="str">
        <f>VLOOKUP(C128,classifications!C:F,4,FALSE)</f>
        <v>UA</v>
      </c>
      <c r="B128" s="100" t="s">
        <v>559</v>
      </c>
      <c r="C128" s="102" t="s">
        <v>814</v>
      </c>
      <c r="D128" s="100" t="s">
        <v>305</v>
      </c>
      <c r="E128" s="100" t="s">
        <v>326</v>
      </c>
      <c r="F128" s="100" t="s">
        <v>300</v>
      </c>
      <c r="G128" s="100" t="s">
        <v>296</v>
      </c>
      <c r="H128" s="100" t="s">
        <v>259</v>
      </c>
      <c r="I128" s="100" t="s">
        <v>250</v>
      </c>
      <c r="J128" s="100" t="s">
        <v>247</v>
      </c>
      <c r="K128" s="100" t="s">
        <v>298</v>
      </c>
      <c r="L128" s="100" t="s">
        <v>818</v>
      </c>
      <c r="M128" s="100" t="s">
        <v>304</v>
      </c>
      <c r="N128" s="100" t="s">
        <v>268</v>
      </c>
      <c r="O128" s="100" t="s">
        <v>278</v>
      </c>
      <c r="P128" s="100" t="s">
        <v>260</v>
      </c>
      <c r="Q128" s="100" t="s">
        <v>323</v>
      </c>
      <c r="R128" s="100" t="s">
        <v>228</v>
      </c>
    </row>
    <row r="129" spans="1:18" s="101" customFormat="1">
      <c r="A129" s="100" t="str">
        <f>VLOOKUP(C129,classifications!C:F,4,FALSE)</f>
        <v>UA</v>
      </c>
      <c r="B129" s="100" t="s">
        <v>560</v>
      </c>
      <c r="C129" s="102" t="s">
        <v>298</v>
      </c>
      <c r="D129" s="100" t="s">
        <v>305</v>
      </c>
      <c r="E129" s="100" t="s">
        <v>304</v>
      </c>
      <c r="F129" s="100" t="s">
        <v>326</v>
      </c>
      <c r="G129" s="100" t="s">
        <v>818</v>
      </c>
      <c r="H129" s="100" t="s">
        <v>814</v>
      </c>
      <c r="I129" s="100" t="s">
        <v>259</v>
      </c>
      <c r="J129" s="100" t="s">
        <v>279</v>
      </c>
      <c r="K129" s="100" t="s">
        <v>260</v>
      </c>
      <c r="L129" s="100" t="s">
        <v>247</v>
      </c>
      <c r="M129" s="100" t="s">
        <v>250</v>
      </c>
      <c r="N129" s="100" t="s">
        <v>268</v>
      </c>
      <c r="O129" s="100" t="s">
        <v>286</v>
      </c>
      <c r="P129" s="100" t="s">
        <v>306</v>
      </c>
      <c r="Q129" s="100" t="s">
        <v>297</v>
      </c>
      <c r="R129" s="100" t="s">
        <v>288</v>
      </c>
    </row>
    <row r="130" spans="1:18" s="101" customFormat="1">
      <c r="A130" s="100" t="str">
        <f>VLOOKUP(C130,classifications!C:F,4,FALSE)</f>
        <v>UA</v>
      </c>
      <c r="B130" s="100" t="s">
        <v>561</v>
      </c>
      <c r="C130" s="102" t="s">
        <v>816</v>
      </c>
      <c r="D130" s="100" t="s">
        <v>299</v>
      </c>
      <c r="E130" s="100" t="s">
        <v>297</v>
      </c>
      <c r="F130" s="100" t="s">
        <v>264</v>
      </c>
      <c r="G130" s="100" t="s">
        <v>304</v>
      </c>
      <c r="H130" s="100" t="s">
        <v>259</v>
      </c>
      <c r="I130" s="100" t="s">
        <v>247</v>
      </c>
      <c r="J130" s="100" t="s">
        <v>260</v>
      </c>
      <c r="K130" s="100" t="s">
        <v>298</v>
      </c>
      <c r="L130" s="100" t="s">
        <v>305</v>
      </c>
      <c r="M130" s="100" t="s">
        <v>286</v>
      </c>
      <c r="N130" s="100" t="s">
        <v>279</v>
      </c>
      <c r="O130" s="100" t="s">
        <v>814</v>
      </c>
      <c r="P130" s="100" t="s">
        <v>288</v>
      </c>
      <c r="Q130" s="100" t="s">
        <v>253</v>
      </c>
      <c r="R130" s="100" t="s">
        <v>818</v>
      </c>
    </row>
    <row r="131" spans="1:18" s="101" customFormat="1">
      <c r="A131" s="100" t="str">
        <f>VLOOKUP(C131,classifications!C:F,4,FALSE)</f>
        <v>UA</v>
      </c>
      <c r="B131" s="100" t="s">
        <v>562</v>
      </c>
      <c r="C131" s="102" t="s">
        <v>299</v>
      </c>
      <c r="D131" s="100" t="s">
        <v>816</v>
      </c>
      <c r="E131" s="100" t="s">
        <v>297</v>
      </c>
      <c r="F131" s="100" t="s">
        <v>264</v>
      </c>
      <c r="G131" s="100" t="s">
        <v>304</v>
      </c>
      <c r="H131" s="100" t="s">
        <v>259</v>
      </c>
      <c r="I131" s="100" t="s">
        <v>298</v>
      </c>
      <c r="J131" s="100" t="s">
        <v>305</v>
      </c>
      <c r="K131" s="100" t="s">
        <v>247</v>
      </c>
      <c r="L131" s="100" t="s">
        <v>260</v>
      </c>
      <c r="M131" s="100" t="s">
        <v>288</v>
      </c>
      <c r="N131" s="100" t="s">
        <v>286</v>
      </c>
      <c r="O131" s="100" t="s">
        <v>279</v>
      </c>
      <c r="P131" s="100" t="s">
        <v>250</v>
      </c>
      <c r="Q131" s="100" t="s">
        <v>814</v>
      </c>
      <c r="R131" s="100" t="s">
        <v>818</v>
      </c>
    </row>
    <row r="132" spans="1:18">
      <c r="A132" s="100" t="str">
        <f>VLOOKUP(C132,classifications!C:F,4,FALSE)</f>
        <v>UA</v>
      </c>
      <c r="B132" s="100" t="s">
        <v>563</v>
      </c>
      <c r="C132" s="102" t="s">
        <v>815</v>
      </c>
      <c r="D132" s="100" t="s">
        <v>291</v>
      </c>
      <c r="E132" s="100" t="s">
        <v>225</v>
      </c>
      <c r="F132" s="100" t="s">
        <v>269</v>
      </c>
      <c r="G132" s="100" t="s">
        <v>241</v>
      </c>
      <c r="H132" s="100" t="s">
        <v>242</v>
      </c>
      <c r="I132" s="100" t="s">
        <v>228</v>
      </c>
      <c r="J132" s="100" t="s">
        <v>274</v>
      </c>
      <c r="K132" s="100" t="s">
        <v>254</v>
      </c>
      <c r="L132" s="100" t="s">
        <v>227</v>
      </c>
      <c r="M132" s="100" t="s">
        <v>256</v>
      </c>
      <c r="N132" s="100" t="s">
        <v>266</v>
      </c>
      <c r="O132" s="100" t="s">
        <v>296</v>
      </c>
      <c r="P132" s="100" t="s">
        <v>249</v>
      </c>
      <c r="Q132" s="100" t="s">
        <v>252</v>
      </c>
      <c r="R132" s="100" t="s">
        <v>233</v>
      </c>
    </row>
    <row r="133" spans="1:18" s="101" customFormat="1">
      <c r="A133" s="100" t="str">
        <f>VLOOKUP(C133,classifications!C:F,4,FALSE)</f>
        <v>UA</v>
      </c>
      <c r="B133" s="100" t="s">
        <v>564</v>
      </c>
      <c r="C133" s="102" t="s">
        <v>300</v>
      </c>
      <c r="D133" s="100" t="s">
        <v>814</v>
      </c>
      <c r="E133" s="100" t="s">
        <v>250</v>
      </c>
      <c r="F133" s="100" t="s">
        <v>296</v>
      </c>
      <c r="G133" s="100" t="s">
        <v>259</v>
      </c>
      <c r="H133" s="100" t="s">
        <v>247</v>
      </c>
      <c r="I133" s="100" t="s">
        <v>293</v>
      </c>
      <c r="J133" s="100" t="s">
        <v>305</v>
      </c>
      <c r="K133" s="100" t="s">
        <v>253</v>
      </c>
      <c r="L133" s="100" t="s">
        <v>288</v>
      </c>
      <c r="M133" s="100" t="s">
        <v>326</v>
      </c>
      <c r="N133" s="100" t="s">
        <v>260</v>
      </c>
      <c r="O133" s="100" t="s">
        <v>228</v>
      </c>
      <c r="P133" s="100" t="s">
        <v>278</v>
      </c>
      <c r="Q133" s="100" t="s">
        <v>265</v>
      </c>
      <c r="R133" s="100" t="s">
        <v>283</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417</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565</v>
      </c>
      <c r="C136" s="100" t="s">
        <v>301</v>
      </c>
      <c r="D136" s="100" t="s">
        <v>325</v>
      </c>
      <c r="E136" s="100" t="s">
        <v>330</v>
      </c>
      <c r="F136" s="100" t="s">
        <v>303</v>
      </c>
      <c r="G136" s="100" t="s">
        <v>314</v>
      </c>
      <c r="H136" s="100" t="s">
        <v>313</v>
      </c>
      <c r="I136" s="100" t="s">
        <v>331</v>
      </c>
      <c r="J136" s="100" t="s">
        <v>315</v>
      </c>
      <c r="K136" s="100" t="s">
        <v>318</v>
      </c>
      <c r="L136" s="100" t="s">
        <v>332</v>
      </c>
      <c r="M136" s="100" t="s">
        <v>321</v>
      </c>
      <c r="N136" s="100" t="s">
        <v>333</v>
      </c>
      <c r="O136" s="100" t="s">
        <v>327</v>
      </c>
      <c r="P136" s="100" t="s">
        <v>312</v>
      </c>
      <c r="Q136" s="100" t="s">
        <v>329</v>
      </c>
      <c r="R136" s="100" t="s">
        <v>322</v>
      </c>
    </row>
    <row r="137" spans="1:18" s="101" customFormat="1">
      <c r="A137" s="100" t="str">
        <f>VLOOKUP(C137,classifications!C:F,4,FALSE)</f>
        <v>SC</v>
      </c>
      <c r="B137" s="100" t="s">
        <v>566</v>
      </c>
      <c r="C137" s="100" t="s">
        <v>303</v>
      </c>
      <c r="D137" s="100" t="s">
        <v>325</v>
      </c>
      <c r="E137" s="100" t="s">
        <v>331</v>
      </c>
      <c r="F137" s="100" t="s">
        <v>313</v>
      </c>
      <c r="G137" s="100" t="s">
        <v>318</v>
      </c>
      <c r="H137" s="100" t="s">
        <v>329</v>
      </c>
      <c r="I137" s="100" t="s">
        <v>333</v>
      </c>
      <c r="J137" s="100" t="s">
        <v>301</v>
      </c>
      <c r="K137" s="100" t="s">
        <v>314</v>
      </c>
      <c r="L137" s="100" t="s">
        <v>322</v>
      </c>
      <c r="M137" s="100" t="s">
        <v>327</v>
      </c>
      <c r="N137" s="100" t="s">
        <v>328</v>
      </c>
      <c r="O137" s="100" t="s">
        <v>312</v>
      </c>
      <c r="P137" s="100" t="s">
        <v>321</v>
      </c>
      <c r="Q137" s="100" t="s">
        <v>315</v>
      </c>
      <c r="R137" s="100" t="s">
        <v>332</v>
      </c>
    </row>
    <row r="138" spans="1:18" s="101" customFormat="1">
      <c r="A138" s="100" t="str">
        <f>VLOOKUP(C138,classifications!C:F,4,FALSE)</f>
        <v>SC</v>
      </c>
      <c r="B138" s="100" t="s">
        <v>567</v>
      </c>
      <c r="C138" s="100" t="s">
        <v>307</v>
      </c>
      <c r="D138" s="100" t="s">
        <v>308</v>
      </c>
      <c r="E138" s="100" t="s">
        <v>321</v>
      </c>
      <c r="F138" s="100" t="s">
        <v>319</v>
      </c>
      <c r="G138" s="100" t="s">
        <v>328</v>
      </c>
      <c r="H138" s="100" t="s">
        <v>324</v>
      </c>
      <c r="I138" s="100" t="s">
        <v>329</v>
      </c>
      <c r="J138" s="100" t="s">
        <v>333</v>
      </c>
      <c r="K138" s="100" t="s">
        <v>320</v>
      </c>
      <c r="L138" s="100" t="s">
        <v>327</v>
      </c>
      <c r="M138" s="100" t="s">
        <v>331</v>
      </c>
      <c r="N138" s="100" t="s">
        <v>313</v>
      </c>
      <c r="O138" s="100" t="s">
        <v>309</v>
      </c>
      <c r="P138" s="100" t="s">
        <v>317</v>
      </c>
      <c r="Q138" s="100" t="s">
        <v>318</v>
      </c>
      <c r="R138" s="100" t="s">
        <v>310</v>
      </c>
    </row>
    <row r="139" spans="1:18" s="101" customFormat="1">
      <c r="A139" s="100" t="str">
        <f>VLOOKUP(C139,classifications!C:F,4,FALSE)</f>
        <v>SC</v>
      </c>
      <c r="B139" s="100" t="s">
        <v>568</v>
      </c>
      <c r="C139" s="102" t="s">
        <v>308</v>
      </c>
      <c r="D139" s="100" t="s">
        <v>324</v>
      </c>
      <c r="E139" s="100" t="s">
        <v>328</v>
      </c>
      <c r="F139" s="100" t="s">
        <v>333</v>
      </c>
      <c r="G139" s="100" t="s">
        <v>329</v>
      </c>
      <c r="H139" s="100" t="s">
        <v>307</v>
      </c>
      <c r="I139" s="100" t="s">
        <v>319</v>
      </c>
      <c r="J139" s="100" t="s">
        <v>331</v>
      </c>
      <c r="K139" s="100" t="s">
        <v>320</v>
      </c>
      <c r="L139" s="100" t="s">
        <v>317</v>
      </c>
      <c r="M139" s="100" t="s">
        <v>313</v>
      </c>
      <c r="N139" s="100" t="s">
        <v>322</v>
      </c>
      <c r="O139" s="100" t="s">
        <v>327</v>
      </c>
      <c r="P139" s="100" t="s">
        <v>318</v>
      </c>
      <c r="Q139" s="100" t="s">
        <v>321</v>
      </c>
      <c r="R139" s="100" t="s">
        <v>312</v>
      </c>
    </row>
    <row r="140" spans="1:18" s="101" customFormat="1">
      <c r="A140" s="100" t="str">
        <f>VLOOKUP(C140,classifications!C:F,4,FALSE)</f>
        <v>SC</v>
      </c>
      <c r="B140" s="100" t="s">
        <v>569</v>
      </c>
      <c r="C140" s="100" t="s">
        <v>309</v>
      </c>
      <c r="D140" s="100" t="s">
        <v>321</v>
      </c>
      <c r="E140" s="100" t="s">
        <v>311</v>
      </c>
      <c r="F140" s="100" t="s">
        <v>310</v>
      </c>
      <c r="G140" s="100" t="s">
        <v>327</v>
      </c>
      <c r="H140" s="100" t="s">
        <v>313</v>
      </c>
      <c r="I140" s="100" t="s">
        <v>332</v>
      </c>
      <c r="J140" s="100" t="s">
        <v>307</v>
      </c>
      <c r="K140" s="100" t="s">
        <v>333</v>
      </c>
      <c r="L140" s="100" t="s">
        <v>329</v>
      </c>
      <c r="M140" s="100" t="s">
        <v>331</v>
      </c>
      <c r="N140" s="100" t="s">
        <v>319</v>
      </c>
      <c r="O140" s="100" t="s">
        <v>320</v>
      </c>
      <c r="P140" s="100" t="s">
        <v>312</v>
      </c>
      <c r="Q140" s="100" t="s">
        <v>318</v>
      </c>
      <c r="R140" s="100" t="s">
        <v>314</v>
      </c>
    </row>
    <row r="141" spans="1:18" s="101" customFormat="1">
      <c r="A141" s="100" t="str">
        <f>VLOOKUP(C141,classifications!C:F,4,FALSE)</f>
        <v>UA</v>
      </c>
      <c r="B141" s="100" t="s">
        <v>570</v>
      </c>
      <c r="C141" s="100" t="s">
        <v>310</v>
      </c>
      <c r="D141" s="100" t="s">
        <v>309</v>
      </c>
      <c r="E141" s="100" t="s">
        <v>327</v>
      </c>
      <c r="F141" s="100" t="s">
        <v>321</v>
      </c>
      <c r="G141" s="100" t="s">
        <v>313</v>
      </c>
      <c r="H141" s="100" t="s">
        <v>311</v>
      </c>
      <c r="I141" s="100" t="s">
        <v>329</v>
      </c>
      <c r="J141" s="100" t="s">
        <v>332</v>
      </c>
      <c r="K141" s="100" t="s">
        <v>333</v>
      </c>
      <c r="L141" s="100" t="s">
        <v>320</v>
      </c>
      <c r="M141" s="100" t="s">
        <v>307</v>
      </c>
      <c r="N141" s="100" t="s">
        <v>331</v>
      </c>
      <c r="O141" s="100" t="s">
        <v>318</v>
      </c>
      <c r="P141" s="100" t="s">
        <v>314</v>
      </c>
      <c r="Q141" s="100" t="s">
        <v>319</v>
      </c>
      <c r="R141" s="100" t="s">
        <v>301</v>
      </c>
    </row>
    <row r="142" spans="1:18" s="101" customFormat="1">
      <c r="A142" s="100" t="str">
        <f>VLOOKUP(C142,classifications!C:F,4,FALSE)</f>
        <v>SC</v>
      </c>
      <c r="B142" s="100" t="s">
        <v>571</v>
      </c>
      <c r="C142" s="100" t="s">
        <v>311</v>
      </c>
      <c r="D142" s="100" t="s">
        <v>332</v>
      </c>
      <c r="E142" s="100" t="s">
        <v>309</v>
      </c>
      <c r="F142" s="100" t="s">
        <v>313</v>
      </c>
      <c r="G142" s="100" t="s">
        <v>333</v>
      </c>
      <c r="H142" s="100" t="s">
        <v>327</v>
      </c>
      <c r="I142" s="100" t="s">
        <v>310</v>
      </c>
      <c r="J142" s="100" t="s">
        <v>329</v>
      </c>
      <c r="K142" s="100" t="s">
        <v>316</v>
      </c>
      <c r="L142" s="100" t="s">
        <v>312</v>
      </c>
      <c r="M142" s="100" t="s">
        <v>331</v>
      </c>
      <c r="N142" s="100" t="s">
        <v>321</v>
      </c>
      <c r="O142" s="100" t="s">
        <v>320</v>
      </c>
      <c r="P142" s="100" t="s">
        <v>314</v>
      </c>
      <c r="Q142" s="100" t="s">
        <v>319</v>
      </c>
      <c r="R142" s="100" t="s">
        <v>307</v>
      </c>
    </row>
    <row r="143" spans="1:18" s="101" customFormat="1">
      <c r="A143" s="100" t="str">
        <f>VLOOKUP(C143,classifications!C:F,4,FALSE)</f>
        <v>SC</v>
      </c>
      <c r="B143" s="100" t="s">
        <v>572</v>
      </c>
      <c r="C143" s="100" t="s">
        <v>312</v>
      </c>
      <c r="D143" s="100" t="s">
        <v>316</v>
      </c>
      <c r="E143" s="100" t="s">
        <v>314</v>
      </c>
      <c r="F143" s="100" t="s">
        <v>332</v>
      </c>
      <c r="G143" s="100" t="s">
        <v>331</v>
      </c>
      <c r="H143" s="100" t="s">
        <v>333</v>
      </c>
      <c r="I143" s="100" t="s">
        <v>313</v>
      </c>
      <c r="J143" s="100" t="s">
        <v>328</v>
      </c>
      <c r="K143" s="100" t="s">
        <v>329</v>
      </c>
      <c r="L143" s="100" t="s">
        <v>322</v>
      </c>
      <c r="M143" s="100" t="s">
        <v>324</v>
      </c>
      <c r="N143" s="100" t="s">
        <v>317</v>
      </c>
      <c r="O143" s="100" t="s">
        <v>308</v>
      </c>
      <c r="P143" s="100" t="s">
        <v>315</v>
      </c>
      <c r="Q143" s="100" t="s">
        <v>311</v>
      </c>
      <c r="R143" s="100" t="s">
        <v>309</v>
      </c>
    </row>
    <row r="144" spans="1:18" s="101" customFormat="1">
      <c r="A144" s="100" t="str">
        <f>VLOOKUP(C144,classifications!C:F,4,FALSE)</f>
        <v>SC</v>
      </c>
      <c r="B144" s="100" t="s">
        <v>573</v>
      </c>
      <c r="C144" s="100" t="s">
        <v>313</v>
      </c>
      <c r="D144" s="100" t="s">
        <v>331</v>
      </c>
      <c r="E144" s="100" t="s">
        <v>333</v>
      </c>
      <c r="F144" s="100" t="s">
        <v>329</v>
      </c>
      <c r="G144" s="100" t="s">
        <v>327</v>
      </c>
      <c r="H144" s="100" t="s">
        <v>321</v>
      </c>
      <c r="I144" s="100" t="s">
        <v>318</v>
      </c>
      <c r="J144" s="100" t="s">
        <v>328</v>
      </c>
      <c r="K144" s="100" t="s">
        <v>301</v>
      </c>
      <c r="L144" s="100" t="s">
        <v>332</v>
      </c>
      <c r="M144" s="100" t="s">
        <v>325</v>
      </c>
      <c r="N144" s="100" t="s">
        <v>309</v>
      </c>
      <c r="O144" s="100" t="s">
        <v>324</v>
      </c>
      <c r="P144" s="100" t="s">
        <v>312</v>
      </c>
      <c r="Q144" s="100" t="s">
        <v>308</v>
      </c>
      <c r="R144" s="100" t="s">
        <v>314</v>
      </c>
    </row>
    <row r="145" spans="1:18" s="101" customFormat="1">
      <c r="A145" s="100" t="str">
        <f>VLOOKUP(C145,classifications!C:F,4,FALSE)</f>
        <v>SC</v>
      </c>
      <c r="B145" s="100" t="s">
        <v>574</v>
      </c>
      <c r="C145" s="100" t="s">
        <v>314</v>
      </c>
      <c r="D145" s="100" t="s">
        <v>312</v>
      </c>
      <c r="E145" s="100" t="s">
        <v>332</v>
      </c>
      <c r="F145" s="100" t="s">
        <v>316</v>
      </c>
      <c r="G145" s="100" t="s">
        <v>313</v>
      </c>
      <c r="H145" s="100" t="s">
        <v>331</v>
      </c>
      <c r="I145" s="100" t="s">
        <v>325</v>
      </c>
      <c r="J145" s="100" t="s">
        <v>301</v>
      </c>
      <c r="K145" s="100" t="s">
        <v>333</v>
      </c>
      <c r="L145" s="100" t="s">
        <v>318</v>
      </c>
      <c r="M145" s="100" t="s">
        <v>315</v>
      </c>
      <c r="N145" s="100" t="s">
        <v>328</v>
      </c>
      <c r="O145" s="100" t="s">
        <v>329</v>
      </c>
      <c r="P145" s="100" t="s">
        <v>309</v>
      </c>
      <c r="Q145" s="100" t="s">
        <v>303</v>
      </c>
      <c r="R145" s="100" t="s">
        <v>330</v>
      </c>
    </row>
    <row r="146" spans="1:18" s="101" customFormat="1">
      <c r="A146" s="100" t="str">
        <f>VLOOKUP(C146,classifications!C:F,4,FALSE)</f>
        <v>SC</v>
      </c>
      <c r="B146" s="100" t="s">
        <v>575</v>
      </c>
      <c r="C146" s="100" t="s">
        <v>333</v>
      </c>
      <c r="D146" s="100" t="s">
        <v>331</v>
      </c>
      <c r="E146" s="100" t="s">
        <v>313</v>
      </c>
      <c r="F146" s="100" t="s">
        <v>329</v>
      </c>
      <c r="G146" s="100" t="s">
        <v>328</v>
      </c>
      <c r="H146" s="100" t="s">
        <v>308</v>
      </c>
      <c r="I146" s="100" t="s">
        <v>324</v>
      </c>
      <c r="J146" s="100" t="s">
        <v>327</v>
      </c>
      <c r="K146" s="100" t="s">
        <v>320</v>
      </c>
      <c r="L146" s="100" t="s">
        <v>321</v>
      </c>
      <c r="M146" s="100" t="s">
        <v>307</v>
      </c>
      <c r="N146" s="100" t="s">
        <v>318</v>
      </c>
      <c r="O146" s="100" t="s">
        <v>312</v>
      </c>
      <c r="P146" s="100" t="s">
        <v>322</v>
      </c>
      <c r="Q146" s="100" t="s">
        <v>319</v>
      </c>
      <c r="R146" s="100" t="s">
        <v>301</v>
      </c>
    </row>
    <row r="147" spans="1:18" s="101" customFormat="1">
      <c r="A147" s="100" t="str">
        <f>VLOOKUP(C147,classifications!C:F,4,FALSE)</f>
        <v>SC</v>
      </c>
      <c r="B147" s="100" t="s">
        <v>576</v>
      </c>
      <c r="C147" s="100" t="s">
        <v>315</v>
      </c>
      <c r="D147" s="100" t="s">
        <v>325</v>
      </c>
      <c r="E147" s="100" t="s">
        <v>314</v>
      </c>
      <c r="F147" s="100" t="s">
        <v>312</v>
      </c>
      <c r="G147" s="100" t="s">
        <v>316</v>
      </c>
      <c r="H147" s="100" t="s">
        <v>330</v>
      </c>
      <c r="I147" s="100" t="s">
        <v>332</v>
      </c>
      <c r="J147" s="100" t="s">
        <v>301</v>
      </c>
      <c r="K147" s="100" t="s">
        <v>322</v>
      </c>
      <c r="L147" s="100" t="s">
        <v>331</v>
      </c>
      <c r="M147" s="100" t="s">
        <v>303</v>
      </c>
      <c r="N147" s="100" t="s">
        <v>313</v>
      </c>
      <c r="O147" s="100" t="s">
        <v>333</v>
      </c>
      <c r="P147" s="100" t="s">
        <v>328</v>
      </c>
      <c r="Q147" s="100" t="s">
        <v>329</v>
      </c>
      <c r="R147" s="100" t="s">
        <v>324</v>
      </c>
    </row>
    <row r="148" spans="1:18" s="101" customFormat="1">
      <c r="A148" s="100" t="str">
        <f>VLOOKUP(C148,classifications!C:F,4,FALSE)</f>
        <v>SC</v>
      </c>
      <c r="B148" s="100" t="s">
        <v>577</v>
      </c>
      <c r="C148" s="100" t="s">
        <v>316</v>
      </c>
      <c r="D148" s="100" t="s">
        <v>312</v>
      </c>
      <c r="E148" s="100" t="s">
        <v>314</v>
      </c>
      <c r="F148" s="100" t="s">
        <v>332</v>
      </c>
      <c r="G148" s="100" t="s">
        <v>313</v>
      </c>
      <c r="H148" s="100" t="s">
        <v>333</v>
      </c>
      <c r="I148" s="100" t="s">
        <v>331</v>
      </c>
      <c r="J148" s="100" t="s">
        <v>322</v>
      </c>
      <c r="K148" s="100" t="s">
        <v>317</v>
      </c>
      <c r="L148" s="100" t="s">
        <v>329</v>
      </c>
      <c r="M148" s="100" t="s">
        <v>328</v>
      </c>
      <c r="N148" s="100" t="s">
        <v>324</v>
      </c>
      <c r="O148" s="100" t="s">
        <v>311</v>
      </c>
      <c r="P148" s="100" t="s">
        <v>315</v>
      </c>
      <c r="Q148" s="100" t="s">
        <v>308</v>
      </c>
      <c r="R148" s="100" t="s">
        <v>319</v>
      </c>
    </row>
    <row r="149" spans="1:18" s="101" customFormat="1">
      <c r="A149" s="100" t="str">
        <f>VLOOKUP(C149,classifications!C:F,4,FALSE)</f>
        <v>SC</v>
      </c>
      <c r="B149" s="100" t="s">
        <v>578</v>
      </c>
      <c r="C149" s="100" t="s">
        <v>317</v>
      </c>
      <c r="D149" s="100" t="s">
        <v>324</v>
      </c>
      <c r="E149" s="100" t="s">
        <v>328</v>
      </c>
      <c r="F149" s="100" t="s">
        <v>308</v>
      </c>
      <c r="G149" s="100" t="s">
        <v>307</v>
      </c>
      <c r="H149" s="100" t="s">
        <v>322</v>
      </c>
      <c r="I149" s="100" t="s">
        <v>316</v>
      </c>
      <c r="J149" s="100" t="s">
        <v>331</v>
      </c>
      <c r="K149" s="100" t="s">
        <v>333</v>
      </c>
      <c r="L149" s="100" t="s">
        <v>313</v>
      </c>
      <c r="M149" s="100" t="s">
        <v>312</v>
      </c>
      <c r="N149" s="100" t="s">
        <v>329</v>
      </c>
      <c r="O149" s="100" t="s">
        <v>319</v>
      </c>
      <c r="P149" s="100" t="s">
        <v>320</v>
      </c>
      <c r="Q149" s="100" t="s">
        <v>318</v>
      </c>
      <c r="R149" s="100" t="s">
        <v>321</v>
      </c>
    </row>
    <row r="150" spans="1:18" s="101" customFormat="1">
      <c r="A150" s="100" t="str">
        <f>VLOOKUP(C150,classifications!C:F,4,FALSE)</f>
        <v>SC</v>
      </c>
      <c r="B150" s="100" t="s">
        <v>579</v>
      </c>
      <c r="C150" s="102" t="s">
        <v>318</v>
      </c>
      <c r="D150" s="100" t="s">
        <v>331</v>
      </c>
      <c r="E150" s="100" t="s">
        <v>313</v>
      </c>
      <c r="F150" s="100" t="s">
        <v>328</v>
      </c>
      <c r="G150" s="100" t="s">
        <v>321</v>
      </c>
      <c r="H150" s="100" t="s">
        <v>333</v>
      </c>
      <c r="I150" s="100" t="s">
        <v>324</v>
      </c>
      <c r="J150" s="100" t="s">
        <v>329</v>
      </c>
      <c r="K150" s="100" t="s">
        <v>301</v>
      </c>
      <c r="L150" s="100" t="s">
        <v>327</v>
      </c>
      <c r="M150" s="100" t="s">
        <v>308</v>
      </c>
      <c r="N150" s="100" t="s">
        <v>325</v>
      </c>
      <c r="O150" s="100" t="s">
        <v>314</v>
      </c>
      <c r="P150" s="100" t="s">
        <v>322</v>
      </c>
      <c r="Q150" s="100" t="s">
        <v>307</v>
      </c>
      <c r="R150" s="100" t="s">
        <v>309</v>
      </c>
    </row>
    <row r="151" spans="1:18" s="101" customFormat="1">
      <c r="A151" s="100" t="str">
        <f>VLOOKUP(C151,classifications!C:F,4,FALSE)</f>
        <v>SC</v>
      </c>
      <c r="B151" s="100" t="s">
        <v>580</v>
      </c>
      <c r="C151" s="100" t="s">
        <v>319</v>
      </c>
      <c r="D151" s="100" t="s">
        <v>320</v>
      </c>
      <c r="E151" s="100" t="s">
        <v>308</v>
      </c>
      <c r="F151" s="100" t="s">
        <v>329</v>
      </c>
      <c r="G151" s="100" t="s">
        <v>307</v>
      </c>
      <c r="H151" s="100" t="s">
        <v>324</v>
      </c>
      <c r="I151" s="100" t="s">
        <v>333</v>
      </c>
      <c r="J151" s="100" t="s">
        <v>328</v>
      </c>
      <c r="K151" s="100" t="s">
        <v>327</v>
      </c>
      <c r="L151" s="100" t="s">
        <v>331</v>
      </c>
      <c r="M151" s="100" t="s">
        <v>313</v>
      </c>
      <c r="N151" s="100" t="s">
        <v>309</v>
      </c>
      <c r="O151" s="100" t="s">
        <v>321</v>
      </c>
      <c r="P151" s="100" t="s">
        <v>317</v>
      </c>
      <c r="Q151" s="100" t="s">
        <v>318</v>
      </c>
      <c r="R151" s="100" t="s">
        <v>312</v>
      </c>
    </row>
    <row r="152" spans="1:18" s="101" customFormat="1">
      <c r="A152" s="100" t="str">
        <f>VLOOKUP(C152,classifications!C:F,4,FALSE)</f>
        <v>SC</v>
      </c>
      <c r="B152" s="100" t="s">
        <v>581</v>
      </c>
      <c r="C152" s="100" t="s">
        <v>320</v>
      </c>
      <c r="D152" s="100" t="s">
        <v>329</v>
      </c>
      <c r="E152" s="100" t="s">
        <v>319</v>
      </c>
      <c r="F152" s="100" t="s">
        <v>327</v>
      </c>
      <c r="G152" s="100" t="s">
        <v>308</v>
      </c>
      <c r="H152" s="100" t="s">
        <v>333</v>
      </c>
      <c r="I152" s="100" t="s">
        <v>307</v>
      </c>
      <c r="J152" s="100" t="s">
        <v>313</v>
      </c>
      <c r="K152" s="100" t="s">
        <v>324</v>
      </c>
      <c r="L152" s="100" t="s">
        <v>331</v>
      </c>
      <c r="M152" s="100" t="s">
        <v>328</v>
      </c>
      <c r="N152" s="100" t="s">
        <v>321</v>
      </c>
      <c r="O152" s="100" t="s">
        <v>309</v>
      </c>
      <c r="P152" s="100" t="s">
        <v>318</v>
      </c>
      <c r="Q152" s="100" t="s">
        <v>317</v>
      </c>
      <c r="R152" s="100" t="s">
        <v>311</v>
      </c>
    </row>
    <row r="153" spans="1:18" s="101" customFormat="1">
      <c r="A153" s="100" t="str">
        <f>VLOOKUP(C153,classifications!C:F,4,FALSE)</f>
        <v>SC</v>
      </c>
      <c r="B153" s="100" t="s">
        <v>582</v>
      </c>
      <c r="C153" s="102" t="s">
        <v>321</v>
      </c>
      <c r="D153" s="100" t="s">
        <v>327</v>
      </c>
      <c r="E153" s="100" t="s">
        <v>313</v>
      </c>
      <c r="F153" s="100" t="s">
        <v>309</v>
      </c>
      <c r="G153" s="100" t="s">
        <v>307</v>
      </c>
      <c r="H153" s="100" t="s">
        <v>331</v>
      </c>
      <c r="I153" s="100" t="s">
        <v>333</v>
      </c>
      <c r="J153" s="100" t="s">
        <v>318</v>
      </c>
      <c r="K153" s="100" t="s">
        <v>310</v>
      </c>
      <c r="L153" s="100" t="s">
        <v>329</v>
      </c>
      <c r="M153" s="100" t="s">
        <v>320</v>
      </c>
      <c r="N153" s="100" t="s">
        <v>328</v>
      </c>
      <c r="O153" s="100" t="s">
        <v>308</v>
      </c>
      <c r="P153" s="100" t="s">
        <v>319</v>
      </c>
      <c r="Q153" s="100" t="s">
        <v>332</v>
      </c>
      <c r="R153" s="100" t="s">
        <v>311</v>
      </c>
    </row>
    <row r="154" spans="1:18" s="101" customFormat="1">
      <c r="A154" s="100" t="str">
        <f>VLOOKUP(C154,classifications!C:F,4,FALSE)</f>
        <v>SC</v>
      </c>
      <c r="B154" s="100" t="s">
        <v>583</v>
      </c>
      <c r="C154" s="100" t="s">
        <v>322</v>
      </c>
      <c r="D154" s="100" t="s">
        <v>324</v>
      </c>
      <c r="E154" s="100" t="s">
        <v>331</v>
      </c>
      <c r="F154" s="100" t="s">
        <v>328</v>
      </c>
      <c r="G154" s="100" t="s">
        <v>333</v>
      </c>
      <c r="H154" s="100" t="s">
        <v>308</v>
      </c>
      <c r="I154" s="100" t="s">
        <v>329</v>
      </c>
      <c r="J154" s="100" t="s">
        <v>313</v>
      </c>
      <c r="K154" s="100" t="s">
        <v>316</v>
      </c>
      <c r="L154" s="100" t="s">
        <v>312</v>
      </c>
      <c r="M154" s="100" t="s">
        <v>317</v>
      </c>
      <c r="N154" s="100" t="s">
        <v>301</v>
      </c>
      <c r="O154" s="100" t="s">
        <v>318</v>
      </c>
      <c r="P154" s="100" t="s">
        <v>325</v>
      </c>
      <c r="Q154" s="100" t="s">
        <v>314</v>
      </c>
      <c r="R154" s="100" t="s">
        <v>315</v>
      </c>
    </row>
    <row r="155" spans="1:18" s="101" customFormat="1">
      <c r="A155" s="100" t="str">
        <f>VLOOKUP(C155,classifications!C:F,4,FALSE)</f>
        <v>SC</v>
      </c>
      <c r="B155" s="100" t="s">
        <v>584</v>
      </c>
      <c r="C155" s="100" t="s">
        <v>324</v>
      </c>
      <c r="D155" s="100" t="s">
        <v>328</v>
      </c>
      <c r="E155" s="100" t="s">
        <v>308</v>
      </c>
      <c r="F155" s="100" t="s">
        <v>331</v>
      </c>
      <c r="G155" s="100" t="s">
        <v>317</v>
      </c>
      <c r="H155" s="100" t="s">
        <v>333</v>
      </c>
      <c r="I155" s="100" t="s">
        <v>322</v>
      </c>
      <c r="J155" s="100" t="s">
        <v>329</v>
      </c>
      <c r="K155" s="100" t="s">
        <v>307</v>
      </c>
      <c r="L155" s="100" t="s">
        <v>319</v>
      </c>
      <c r="M155" s="100" t="s">
        <v>313</v>
      </c>
      <c r="N155" s="100" t="s">
        <v>318</v>
      </c>
      <c r="O155" s="100" t="s">
        <v>320</v>
      </c>
      <c r="P155" s="100" t="s">
        <v>312</v>
      </c>
      <c r="Q155" s="100" t="s">
        <v>316</v>
      </c>
      <c r="R155" s="100" t="s">
        <v>327</v>
      </c>
    </row>
    <row r="156" spans="1:18" s="101" customFormat="1">
      <c r="A156" s="100" t="str">
        <f>VLOOKUP(C156,classifications!C:F,4,FALSE)</f>
        <v>SC</v>
      </c>
      <c r="B156" s="100" t="s">
        <v>585</v>
      </c>
      <c r="C156" s="100" t="s">
        <v>325</v>
      </c>
      <c r="D156" s="100" t="s">
        <v>301</v>
      </c>
      <c r="E156" s="100" t="s">
        <v>303</v>
      </c>
      <c r="F156" s="100" t="s">
        <v>331</v>
      </c>
      <c r="G156" s="100" t="s">
        <v>313</v>
      </c>
      <c r="H156" s="100" t="s">
        <v>314</v>
      </c>
      <c r="I156" s="100" t="s">
        <v>315</v>
      </c>
      <c r="J156" s="100" t="s">
        <v>318</v>
      </c>
      <c r="K156" s="100" t="s">
        <v>333</v>
      </c>
      <c r="L156" s="100" t="s">
        <v>330</v>
      </c>
      <c r="M156" s="100" t="s">
        <v>322</v>
      </c>
      <c r="N156" s="100" t="s">
        <v>332</v>
      </c>
      <c r="O156" s="100" t="s">
        <v>312</v>
      </c>
      <c r="P156" s="100" t="s">
        <v>329</v>
      </c>
      <c r="Q156" s="100" t="s">
        <v>321</v>
      </c>
      <c r="R156" s="100" t="s">
        <v>327</v>
      </c>
    </row>
    <row r="157" spans="1:18" s="101" customFormat="1">
      <c r="A157" s="100" t="str">
        <f>VLOOKUP(C157,classifications!C:F,4,FALSE)</f>
        <v>SC</v>
      </c>
      <c r="B157" s="100" t="s">
        <v>586</v>
      </c>
      <c r="C157" s="100" t="s">
        <v>327</v>
      </c>
      <c r="D157" s="100" t="s">
        <v>329</v>
      </c>
      <c r="E157" s="100" t="s">
        <v>321</v>
      </c>
      <c r="F157" s="100" t="s">
        <v>313</v>
      </c>
      <c r="G157" s="100" t="s">
        <v>320</v>
      </c>
      <c r="H157" s="100" t="s">
        <v>333</v>
      </c>
      <c r="I157" s="100" t="s">
        <v>331</v>
      </c>
      <c r="J157" s="100" t="s">
        <v>309</v>
      </c>
      <c r="K157" s="100" t="s">
        <v>310</v>
      </c>
      <c r="L157" s="100" t="s">
        <v>307</v>
      </c>
      <c r="M157" s="100" t="s">
        <v>318</v>
      </c>
      <c r="N157" s="100" t="s">
        <v>308</v>
      </c>
      <c r="O157" s="100" t="s">
        <v>319</v>
      </c>
      <c r="P157" s="100" t="s">
        <v>328</v>
      </c>
      <c r="Q157" s="100" t="s">
        <v>301</v>
      </c>
      <c r="R157" s="100" t="s">
        <v>311</v>
      </c>
    </row>
    <row r="158" spans="1:18" s="101" customFormat="1">
      <c r="A158" s="100" t="str">
        <f>VLOOKUP(C158,classifications!C:F,4,FALSE)</f>
        <v>SC</v>
      </c>
      <c r="B158" s="100" t="s">
        <v>587</v>
      </c>
      <c r="C158" s="100" t="s">
        <v>328</v>
      </c>
      <c r="D158" s="100" t="s">
        <v>324</v>
      </c>
      <c r="E158" s="100" t="s">
        <v>308</v>
      </c>
      <c r="F158" s="100" t="s">
        <v>333</v>
      </c>
      <c r="G158" s="100" t="s">
        <v>331</v>
      </c>
      <c r="H158" s="100" t="s">
        <v>329</v>
      </c>
      <c r="I158" s="100" t="s">
        <v>313</v>
      </c>
      <c r="J158" s="100" t="s">
        <v>322</v>
      </c>
      <c r="K158" s="100" t="s">
        <v>307</v>
      </c>
      <c r="L158" s="100" t="s">
        <v>318</v>
      </c>
      <c r="M158" s="100" t="s">
        <v>317</v>
      </c>
      <c r="N158" s="100" t="s">
        <v>312</v>
      </c>
      <c r="O158" s="100" t="s">
        <v>319</v>
      </c>
      <c r="P158" s="100" t="s">
        <v>320</v>
      </c>
      <c r="Q158" s="100" t="s">
        <v>316</v>
      </c>
      <c r="R158" s="100" t="s">
        <v>327</v>
      </c>
    </row>
    <row r="159" spans="1:18" s="101" customFormat="1">
      <c r="A159" s="100" t="str">
        <f>VLOOKUP(C159,classifications!C:F,4,FALSE)</f>
        <v>SC</v>
      </c>
      <c r="B159" s="100" t="s">
        <v>588</v>
      </c>
      <c r="C159" s="100" t="s">
        <v>329</v>
      </c>
      <c r="D159" s="100" t="s">
        <v>333</v>
      </c>
      <c r="E159" s="100" t="s">
        <v>320</v>
      </c>
      <c r="F159" s="100" t="s">
        <v>313</v>
      </c>
      <c r="G159" s="100" t="s">
        <v>331</v>
      </c>
      <c r="H159" s="100" t="s">
        <v>327</v>
      </c>
      <c r="I159" s="100" t="s">
        <v>308</v>
      </c>
      <c r="J159" s="100" t="s">
        <v>328</v>
      </c>
      <c r="K159" s="100" t="s">
        <v>324</v>
      </c>
      <c r="L159" s="100" t="s">
        <v>319</v>
      </c>
      <c r="M159" s="100" t="s">
        <v>307</v>
      </c>
      <c r="N159" s="100" t="s">
        <v>321</v>
      </c>
      <c r="O159" s="100" t="s">
        <v>318</v>
      </c>
      <c r="P159" s="100" t="s">
        <v>322</v>
      </c>
      <c r="Q159" s="100" t="s">
        <v>312</v>
      </c>
      <c r="R159" s="100" t="s">
        <v>301</v>
      </c>
    </row>
    <row r="160" spans="1:18" s="101" customFormat="1">
      <c r="A160" s="100" t="str">
        <f>VLOOKUP(C160,classifications!C:F,4,FALSE)</f>
        <v>SC</v>
      </c>
      <c r="B160" s="100" t="s">
        <v>589</v>
      </c>
      <c r="C160" s="100" t="s">
        <v>330</v>
      </c>
      <c r="D160" s="100" t="s">
        <v>303</v>
      </c>
      <c r="E160" s="100" t="s">
        <v>325</v>
      </c>
      <c r="F160" s="100" t="s">
        <v>314</v>
      </c>
      <c r="G160" s="100" t="s">
        <v>315</v>
      </c>
      <c r="H160" s="100" t="s">
        <v>332</v>
      </c>
      <c r="I160" s="100" t="s">
        <v>301</v>
      </c>
      <c r="J160" s="100" t="s">
        <v>313</v>
      </c>
      <c r="K160" s="100" t="s">
        <v>312</v>
      </c>
      <c r="L160" s="100" t="s">
        <v>331</v>
      </c>
      <c r="M160" s="100" t="s">
        <v>321</v>
      </c>
      <c r="N160" s="100" t="s">
        <v>316</v>
      </c>
      <c r="O160" s="100" t="s">
        <v>318</v>
      </c>
      <c r="P160" s="100" t="s">
        <v>333</v>
      </c>
      <c r="Q160" s="100" t="s">
        <v>309</v>
      </c>
      <c r="R160" s="100" t="s">
        <v>311</v>
      </c>
    </row>
    <row r="161" spans="1:18">
      <c r="A161" s="100" t="str">
        <f>VLOOKUP(C161,classifications!C:F,4,FALSE)</f>
        <v>SC</v>
      </c>
      <c r="B161" s="100" t="s">
        <v>590</v>
      </c>
      <c r="C161" s="100" t="s">
        <v>331</v>
      </c>
      <c r="D161" s="100" t="s">
        <v>313</v>
      </c>
      <c r="E161" s="100" t="s">
        <v>333</v>
      </c>
      <c r="F161" s="100" t="s">
        <v>328</v>
      </c>
      <c r="G161" s="100" t="s">
        <v>329</v>
      </c>
      <c r="H161" s="100" t="s">
        <v>318</v>
      </c>
      <c r="I161" s="100" t="s">
        <v>324</v>
      </c>
      <c r="J161" s="100" t="s">
        <v>308</v>
      </c>
      <c r="K161" s="100" t="s">
        <v>322</v>
      </c>
      <c r="L161" s="100" t="s">
        <v>301</v>
      </c>
      <c r="M161" s="100" t="s">
        <v>327</v>
      </c>
      <c r="N161" s="100" t="s">
        <v>321</v>
      </c>
      <c r="O161" s="100" t="s">
        <v>325</v>
      </c>
      <c r="P161" s="100" t="s">
        <v>312</v>
      </c>
      <c r="Q161" s="100" t="s">
        <v>307</v>
      </c>
      <c r="R161" s="100" t="s">
        <v>314</v>
      </c>
    </row>
    <row r="162" spans="1:18" s="101" customFormat="1">
      <c r="A162" s="100" t="str">
        <f>VLOOKUP(C162,classifications!C:F,4,FALSE)</f>
        <v>SC</v>
      </c>
      <c r="B162" s="100" t="s">
        <v>591</v>
      </c>
      <c r="C162" s="100" t="s">
        <v>332</v>
      </c>
      <c r="D162" s="100" t="s">
        <v>311</v>
      </c>
      <c r="E162" s="100" t="s">
        <v>314</v>
      </c>
      <c r="F162" s="100" t="s">
        <v>312</v>
      </c>
      <c r="G162" s="100" t="s">
        <v>313</v>
      </c>
      <c r="H162" s="100" t="s">
        <v>309</v>
      </c>
      <c r="I162" s="100" t="s">
        <v>316</v>
      </c>
      <c r="J162" s="100" t="s">
        <v>331</v>
      </c>
      <c r="K162" s="100" t="s">
        <v>333</v>
      </c>
      <c r="L162" s="100" t="s">
        <v>329</v>
      </c>
      <c r="M162" s="100" t="s">
        <v>325</v>
      </c>
      <c r="N162" s="100" t="s">
        <v>321</v>
      </c>
      <c r="O162" s="100" t="s">
        <v>327</v>
      </c>
      <c r="P162" s="100" t="s">
        <v>328</v>
      </c>
      <c r="Q162" s="100" t="s">
        <v>315</v>
      </c>
      <c r="R162" s="100" t="s">
        <v>310</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592</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593</v>
      </c>
      <c r="C165" s="100" t="s">
        <v>11</v>
      </c>
      <c r="D165" s="100" t="s">
        <v>88</v>
      </c>
      <c r="E165" s="100" t="s">
        <v>194</v>
      </c>
      <c r="F165" s="100" t="s">
        <v>344</v>
      </c>
      <c r="G165" s="100" t="s">
        <v>147</v>
      </c>
      <c r="H165" s="100" t="s">
        <v>35</v>
      </c>
      <c r="I165" s="100" t="s">
        <v>56</v>
      </c>
      <c r="J165" s="100" t="s">
        <v>96</v>
      </c>
      <c r="K165" s="100" t="s">
        <v>167</v>
      </c>
      <c r="L165" s="100" t="s">
        <v>174</v>
      </c>
      <c r="M165" s="100" t="s">
        <v>136</v>
      </c>
      <c r="N165" s="100" t="s">
        <v>186</v>
      </c>
      <c r="O165" s="100" t="s">
        <v>55</v>
      </c>
      <c r="P165" s="100" t="s">
        <v>33</v>
      </c>
      <c r="Q165" s="100" t="s">
        <v>139</v>
      </c>
      <c r="R165" s="100" t="s">
        <v>64</v>
      </c>
    </row>
    <row r="166" spans="1:18" s="101" customFormat="1">
      <c r="A166" s="100" t="str">
        <f>VLOOKUP(C166,classifications!C:F,4,FALSE)</f>
        <v>SD</v>
      </c>
      <c r="B166" s="100" t="s">
        <v>594</v>
      </c>
      <c r="C166" s="100" t="s">
        <v>38</v>
      </c>
      <c r="D166" s="100" t="s">
        <v>138</v>
      </c>
      <c r="E166" s="100" t="s">
        <v>82</v>
      </c>
      <c r="F166" s="100" t="s">
        <v>136</v>
      </c>
      <c r="G166" s="100" t="s">
        <v>87</v>
      </c>
      <c r="H166" s="100" t="s">
        <v>189</v>
      </c>
      <c r="I166" s="100" t="s">
        <v>170</v>
      </c>
      <c r="J166" s="100" t="s">
        <v>152</v>
      </c>
      <c r="K166" s="100" t="s">
        <v>173</v>
      </c>
      <c r="L166" s="100" t="s">
        <v>55</v>
      </c>
      <c r="M166" s="100" t="s">
        <v>178</v>
      </c>
      <c r="N166" s="100" t="s">
        <v>104</v>
      </c>
      <c r="O166" s="100" t="s">
        <v>21</v>
      </c>
      <c r="P166" s="100" t="s">
        <v>147</v>
      </c>
      <c r="Q166" s="100" t="s">
        <v>56</v>
      </c>
      <c r="R166" s="100" t="s">
        <v>105</v>
      </c>
    </row>
    <row r="167" spans="1:18" s="101" customFormat="1">
      <c r="A167" s="100" t="str">
        <f>VLOOKUP(C167,classifications!C:F,4,FALSE)</f>
        <v>SD</v>
      </c>
      <c r="B167" s="100" t="s">
        <v>595</v>
      </c>
      <c r="C167" s="100" t="s">
        <v>138</v>
      </c>
      <c r="D167" s="100" t="s">
        <v>38</v>
      </c>
      <c r="E167" s="100" t="s">
        <v>21</v>
      </c>
      <c r="F167" s="100" t="s">
        <v>136</v>
      </c>
      <c r="G167" s="100" t="s">
        <v>173</v>
      </c>
      <c r="H167" s="100" t="s">
        <v>87</v>
      </c>
      <c r="I167" s="100" t="s">
        <v>170</v>
      </c>
      <c r="J167" s="100" t="s">
        <v>189</v>
      </c>
      <c r="K167" s="100" t="s">
        <v>105</v>
      </c>
      <c r="L167" s="100" t="s">
        <v>55</v>
      </c>
      <c r="M167" s="100" t="s">
        <v>82</v>
      </c>
      <c r="N167" s="100" t="s">
        <v>44</v>
      </c>
      <c r="O167" s="100" t="s">
        <v>163</v>
      </c>
      <c r="P167" s="100" t="s">
        <v>157</v>
      </c>
      <c r="Q167" s="100" t="s">
        <v>147</v>
      </c>
      <c r="R167" s="100" t="s">
        <v>178</v>
      </c>
    </row>
    <row r="168" spans="1:18" s="101" customFormat="1">
      <c r="A168" s="100" t="str">
        <f>VLOOKUP(C168,classifications!C:F,4,FALSE)</f>
        <v>SD</v>
      </c>
      <c r="B168" s="100" t="s">
        <v>596</v>
      </c>
      <c r="C168" s="100" t="s">
        <v>194</v>
      </c>
      <c r="D168" s="100" t="s">
        <v>11</v>
      </c>
      <c r="E168" s="100" t="s">
        <v>344</v>
      </c>
      <c r="F168" s="100" t="s">
        <v>56</v>
      </c>
      <c r="G168" s="100" t="s">
        <v>350</v>
      </c>
      <c r="H168" s="100" t="s">
        <v>96</v>
      </c>
      <c r="I168" s="100" t="s">
        <v>174</v>
      </c>
      <c r="J168" s="100" t="s">
        <v>33</v>
      </c>
      <c r="K168" s="100" t="s">
        <v>64</v>
      </c>
      <c r="L168" s="100" t="s">
        <v>35</v>
      </c>
      <c r="M168" s="100" t="s">
        <v>152</v>
      </c>
      <c r="N168" s="100" t="s">
        <v>88</v>
      </c>
      <c r="O168" s="100" t="s">
        <v>77</v>
      </c>
      <c r="P168" s="100" t="s">
        <v>147</v>
      </c>
      <c r="Q168" s="100" t="s">
        <v>47</v>
      </c>
      <c r="R168" s="100" t="s">
        <v>104</v>
      </c>
    </row>
    <row r="169" spans="1:18" s="101" customFormat="1">
      <c r="A169" s="100" t="str">
        <f>VLOOKUP(C169,classifications!C:F,4,FALSE)</f>
        <v>SD</v>
      </c>
      <c r="B169" s="100" t="s">
        <v>597</v>
      </c>
      <c r="C169" s="100" t="s">
        <v>27</v>
      </c>
      <c r="D169" s="100" t="s">
        <v>118</v>
      </c>
      <c r="E169" s="100" t="s">
        <v>176</v>
      </c>
      <c r="F169" s="100" t="s">
        <v>66</v>
      </c>
      <c r="G169" s="100" t="s">
        <v>181</v>
      </c>
      <c r="H169" s="100" t="s">
        <v>34</v>
      </c>
      <c r="I169" s="100" t="s">
        <v>131</v>
      </c>
      <c r="J169" s="100" t="s">
        <v>46</v>
      </c>
      <c r="K169" s="100" t="s">
        <v>175</v>
      </c>
      <c r="L169" s="100" t="s">
        <v>48</v>
      </c>
      <c r="M169" s="100" t="s">
        <v>129</v>
      </c>
      <c r="N169" s="100" t="s">
        <v>85</v>
      </c>
      <c r="O169" s="100" t="s">
        <v>190</v>
      </c>
      <c r="P169" s="100" t="s">
        <v>47</v>
      </c>
      <c r="Q169" s="100" t="s">
        <v>120</v>
      </c>
      <c r="R169" s="100" t="s">
        <v>117</v>
      </c>
    </row>
    <row r="170" spans="1:18" s="101" customFormat="1">
      <c r="A170" s="100" t="str">
        <f>VLOOKUP(C170,classifications!C:F,4,FALSE)</f>
        <v>SD</v>
      </c>
      <c r="B170" s="100" t="s">
        <v>598</v>
      </c>
      <c r="C170" s="100" t="s">
        <v>52</v>
      </c>
      <c r="D170" s="100" t="s">
        <v>103</v>
      </c>
      <c r="E170" s="100" t="s">
        <v>146</v>
      </c>
      <c r="F170" s="100" t="s">
        <v>102</v>
      </c>
      <c r="G170" s="100" t="s">
        <v>12</v>
      </c>
      <c r="H170" s="100" t="s">
        <v>100</v>
      </c>
      <c r="I170" s="100" t="s">
        <v>186</v>
      </c>
      <c r="J170" s="100" t="s">
        <v>145</v>
      </c>
      <c r="K170" s="100" t="s">
        <v>109</v>
      </c>
      <c r="L170" s="100" t="s">
        <v>58</v>
      </c>
      <c r="M170" s="100" t="s">
        <v>167</v>
      </c>
      <c r="N170" s="100" t="s">
        <v>168</v>
      </c>
      <c r="O170" s="100" t="s">
        <v>10</v>
      </c>
      <c r="P170" s="100" t="s">
        <v>70</v>
      </c>
      <c r="Q170" s="100" t="s">
        <v>153</v>
      </c>
      <c r="R170" s="100" t="s">
        <v>130</v>
      </c>
    </row>
    <row r="171" spans="1:18" s="101" customFormat="1">
      <c r="A171" s="100" t="str">
        <f>VLOOKUP(C171,classifications!C:F,4,FALSE)</f>
        <v>SD</v>
      </c>
      <c r="B171" s="100" t="s">
        <v>599</v>
      </c>
      <c r="C171" s="100" t="s">
        <v>68</v>
      </c>
      <c r="D171" s="100" t="s">
        <v>142</v>
      </c>
      <c r="E171" s="100" t="s">
        <v>20</v>
      </c>
      <c r="F171" s="100" t="s">
        <v>15</v>
      </c>
      <c r="G171" s="100" t="s">
        <v>196</v>
      </c>
      <c r="H171" s="100" t="s">
        <v>7</v>
      </c>
      <c r="I171" s="100" t="s">
        <v>65</v>
      </c>
      <c r="J171" s="100" t="s">
        <v>347</v>
      </c>
      <c r="K171" s="100" t="s">
        <v>30</v>
      </c>
      <c r="L171" s="100" t="s">
        <v>378</v>
      </c>
      <c r="M171" s="100" t="s">
        <v>18</v>
      </c>
      <c r="N171" s="100" t="s">
        <v>91</v>
      </c>
      <c r="O171" s="100" t="s">
        <v>99</v>
      </c>
      <c r="P171" s="100" t="s">
        <v>184</v>
      </c>
      <c r="Q171" s="100" t="s">
        <v>59</v>
      </c>
      <c r="R171" s="100" t="s">
        <v>143</v>
      </c>
    </row>
    <row r="172" spans="1:18" s="101" customFormat="1">
      <c r="A172" s="100" t="str">
        <f>VLOOKUP(C172,classifications!C:F,4,FALSE)</f>
        <v>SD</v>
      </c>
      <c r="B172" s="100" t="s">
        <v>600</v>
      </c>
      <c r="C172" s="100" t="s">
        <v>88</v>
      </c>
      <c r="D172" s="100" t="s">
        <v>35</v>
      </c>
      <c r="E172" s="100" t="s">
        <v>96</v>
      </c>
      <c r="F172" s="100" t="s">
        <v>344</v>
      </c>
      <c r="G172" s="100" t="s">
        <v>11</v>
      </c>
      <c r="H172" s="100" t="s">
        <v>32</v>
      </c>
      <c r="I172" s="100" t="s">
        <v>41</v>
      </c>
      <c r="J172" s="100" t="s">
        <v>19</v>
      </c>
      <c r="K172" s="100" t="s">
        <v>33</v>
      </c>
      <c r="L172" s="100" t="s">
        <v>167</v>
      </c>
      <c r="M172" s="100" t="s">
        <v>154</v>
      </c>
      <c r="N172" s="100" t="s">
        <v>128</v>
      </c>
      <c r="O172" s="100" t="s">
        <v>10</v>
      </c>
      <c r="P172" s="100" t="s">
        <v>143</v>
      </c>
      <c r="Q172" s="100" t="s">
        <v>346</v>
      </c>
      <c r="R172" s="100" t="s">
        <v>153</v>
      </c>
    </row>
    <row r="173" spans="1:18" s="101" customFormat="1">
      <c r="A173" s="100" t="str">
        <f>VLOOKUP(C173,classifications!C:F,4,FALSE)</f>
        <v>SD</v>
      </c>
      <c r="B173" s="100" t="s">
        <v>601</v>
      </c>
      <c r="C173" s="100" t="s">
        <v>139</v>
      </c>
      <c r="D173" s="100" t="s">
        <v>174</v>
      </c>
      <c r="E173" s="100" t="s">
        <v>147</v>
      </c>
      <c r="F173" s="100" t="s">
        <v>173</v>
      </c>
      <c r="G173" s="100" t="s">
        <v>167</v>
      </c>
      <c r="H173" s="100" t="s">
        <v>189</v>
      </c>
      <c r="I173" s="100" t="s">
        <v>11</v>
      </c>
      <c r="J173" s="100" t="s">
        <v>136</v>
      </c>
      <c r="K173" s="100" t="s">
        <v>351</v>
      </c>
      <c r="L173" s="100" t="s">
        <v>146</v>
      </c>
      <c r="M173" s="100" t="s">
        <v>186</v>
      </c>
      <c r="N173" s="100" t="s">
        <v>55</v>
      </c>
      <c r="O173" s="100" t="s">
        <v>56</v>
      </c>
      <c r="P173" s="100" t="s">
        <v>79</v>
      </c>
      <c r="Q173" s="100" t="s">
        <v>52</v>
      </c>
      <c r="R173" s="100" t="s">
        <v>88</v>
      </c>
    </row>
    <row r="174" spans="1:18" s="101" customFormat="1">
      <c r="A174" s="100" t="str">
        <f>VLOOKUP(C174,classifications!C:F,4,FALSE)</f>
        <v>SD</v>
      </c>
      <c r="B174" s="100" t="s">
        <v>602</v>
      </c>
      <c r="C174" s="100" t="s">
        <v>6</v>
      </c>
      <c r="D174" s="100" t="s">
        <v>51</v>
      </c>
      <c r="E174" s="100" t="s">
        <v>30</v>
      </c>
      <c r="F174" s="100" t="s">
        <v>177</v>
      </c>
      <c r="G174" s="100" t="s">
        <v>15</v>
      </c>
      <c r="H174" s="100" t="s">
        <v>108</v>
      </c>
      <c r="I174" s="100" t="s">
        <v>134</v>
      </c>
      <c r="J174" s="100" t="s">
        <v>171</v>
      </c>
      <c r="K174" s="100" t="s">
        <v>347</v>
      </c>
      <c r="L174" s="100" t="s">
        <v>7</v>
      </c>
      <c r="M174" s="100" t="s">
        <v>42</v>
      </c>
      <c r="N174" s="100" t="s">
        <v>107</v>
      </c>
      <c r="O174" s="100" t="s">
        <v>196</v>
      </c>
      <c r="P174" s="100" t="s">
        <v>110</v>
      </c>
      <c r="Q174" s="100" t="s">
        <v>17</v>
      </c>
      <c r="R174" s="100" t="s">
        <v>195</v>
      </c>
    </row>
    <row r="175" spans="1:18" s="101" customFormat="1">
      <c r="A175" s="100" t="str">
        <f>VLOOKUP(C175,classifications!C:F,4,FALSE)</f>
        <v>SD</v>
      </c>
      <c r="B175" s="100" t="s">
        <v>603</v>
      </c>
      <c r="C175" s="100" t="s">
        <v>13</v>
      </c>
      <c r="D175" s="100" t="s">
        <v>119</v>
      </c>
      <c r="E175" s="100" t="s">
        <v>76</v>
      </c>
      <c r="F175" s="100" t="s">
        <v>28</v>
      </c>
      <c r="G175" s="100" t="s">
        <v>99</v>
      </c>
      <c r="H175" s="100" t="s">
        <v>65</v>
      </c>
      <c r="I175" s="100" t="s">
        <v>30</v>
      </c>
      <c r="J175" s="100" t="s">
        <v>177</v>
      </c>
      <c r="K175" s="100" t="s">
        <v>89</v>
      </c>
      <c r="L175" s="100" t="s">
        <v>51</v>
      </c>
      <c r="M175" s="100" t="s">
        <v>92</v>
      </c>
      <c r="N175" s="100" t="s">
        <v>6</v>
      </c>
      <c r="O175" s="100" t="s">
        <v>74</v>
      </c>
      <c r="P175" s="100" t="s">
        <v>9</v>
      </c>
      <c r="Q175" s="100" t="s">
        <v>196</v>
      </c>
      <c r="R175" s="100" t="s">
        <v>348</v>
      </c>
    </row>
    <row r="176" spans="1:18" s="101" customFormat="1">
      <c r="A176" s="100" t="str">
        <f>VLOOKUP(C176,classifications!C:F,4,FALSE)</f>
        <v>SD</v>
      </c>
      <c r="B176" s="100" t="s">
        <v>604</v>
      </c>
      <c r="C176" s="100" t="s">
        <v>30</v>
      </c>
      <c r="D176" s="100" t="s">
        <v>15</v>
      </c>
      <c r="E176" s="100" t="s">
        <v>107</v>
      </c>
      <c r="F176" s="100" t="s">
        <v>196</v>
      </c>
      <c r="G176" s="100" t="s">
        <v>7</v>
      </c>
      <c r="H176" s="100" t="s">
        <v>99</v>
      </c>
      <c r="I176" s="100" t="s">
        <v>86</v>
      </c>
      <c r="J176" s="100" t="s">
        <v>65</v>
      </c>
      <c r="K176" s="100" t="s">
        <v>28</v>
      </c>
      <c r="L176" s="100" t="s">
        <v>59</v>
      </c>
      <c r="M176" s="100" t="s">
        <v>347</v>
      </c>
      <c r="N176" s="100" t="s">
        <v>36</v>
      </c>
      <c r="O176" s="100" t="s">
        <v>39</v>
      </c>
      <c r="P176" s="100" t="s">
        <v>143</v>
      </c>
      <c r="Q176" s="100" t="s">
        <v>191</v>
      </c>
      <c r="R176" s="100" t="s">
        <v>42</v>
      </c>
    </row>
    <row r="177" spans="1:18" s="101" customFormat="1">
      <c r="A177" s="100" t="str">
        <f>VLOOKUP(C177,classifications!C:F,4,FALSE)</f>
        <v>SD</v>
      </c>
      <c r="B177" s="100" t="s">
        <v>605</v>
      </c>
      <c r="C177" s="100" t="s">
        <v>42</v>
      </c>
      <c r="D177" s="100" t="s">
        <v>15</v>
      </c>
      <c r="E177" s="100" t="s">
        <v>114</v>
      </c>
      <c r="F177" s="100" t="s">
        <v>17</v>
      </c>
      <c r="G177" s="100" t="s">
        <v>30</v>
      </c>
      <c r="H177" s="100" t="s">
        <v>115</v>
      </c>
      <c r="I177" s="100" t="s">
        <v>347</v>
      </c>
      <c r="J177" s="100" t="s">
        <v>196</v>
      </c>
      <c r="K177" s="100" t="s">
        <v>184</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606</v>
      </c>
      <c r="C178" s="100" t="s">
        <v>62</v>
      </c>
      <c r="D178" s="100" t="s">
        <v>132</v>
      </c>
      <c r="E178" s="100" t="s">
        <v>45</v>
      </c>
      <c r="F178" s="100" t="s">
        <v>50</v>
      </c>
      <c r="G178" s="100" t="s">
        <v>182</v>
      </c>
      <c r="H178" s="100" t="s">
        <v>78</v>
      </c>
      <c r="I178" s="100" t="s">
        <v>123</v>
      </c>
      <c r="J178" s="100" t="s">
        <v>12</v>
      </c>
      <c r="K178" s="100" t="s">
        <v>109</v>
      </c>
      <c r="L178" s="100" t="s">
        <v>100</v>
      </c>
      <c r="M178" s="100" t="s">
        <v>155</v>
      </c>
      <c r="N178" s="100" t="s">
        <v>124</v>
      </c>
      <c r="O178" s="100" t="s">
        <v>97</v>
      </c>
      <c r="P178" s="100" t="s">
        <v>44</v>
      </c>
      <c r="Q178" s="100" t="s">
        <v>102</v>
      </c>
      <c r="R178" s="100" t="s">
        <v>168</v>
      </c>
    </row>
    <row r="179" spans="1:18" s="101" customFormat="1">
      <c r="A179" s="100" t="str">
        <f>VLOOKUP(C179,classifications!C:F,4,FALSE)</f>
        <v>SD</v>
      </c>
      <c r="B179" s="100" t="s">
        <v>607</v>
      </c>
      <c r="C179" s="100" t="s">
        <v>144</v>
      </c>
      <c r="D179" s="100" t="s">
        <v>141</v>
      </c>
      <c r="E179" s="100" t="s">
        <v>183</v>
      </c>
      <c r="F179" s="100" t="s">
        <v>45</v>
      </c>
      <c r="G179" s="100" t="s">
        <v>71</v>
      </c>
      <c r="H179" s="100" t="s">
        <v>37</v>
      </c>
      <c r="I179" s="100" t="s">
        <v>53</v>
      </c>
      <c r="J179" s="100" t="s">
        <v>108</v>
      </c>
      <c r="K179" s="100" t="s">
        <v>44</v>
      </c>
      <c r="L179" s="100" t="s">
        <v>50</v>
      </c>
      <c r="M179" s="100" t="s">
        <v>159</v>
      </c>
      <c r="N179" s="100" t="s">
        <v>121</v>
      </c>
      <c r="O179" s="100" t="s">
        <v>132</v>
      </c>
      <c r="P179" s="100" t="s">
        <v>165</v>
      </c>
      <c r="Q179" s="100" t="s">
        <v>113</v>
      </c>
      <c r="R179" s="100" t="s">
        <v>62</v>
      </c>
    </row>
    <row r="180" spans="1:18" s="101" customFormat="1">
      <c r="A180" s="100" t="str">
        <f>VLOOKUP(C180,classifications!C:F,4,FALSE)</f>
        <v>SD</v>
      </c>
      <c r="B180" s="100" t="s">
        <v>608</v>
      </c>
      <c r="C180" s="100" t="s">
        <v>7</v>
      </c>
      <c r="D180" s="100" t="s">
        <v>347</v>
      </c>
      <c r="E180" s="100" t="s">
        <v>65</v>
      </c>
      <c r="F180" s="100" t="s">
        <v>143</v>
      </c>
      <c r="G180" s="100" t="s">
        <v>346</v>
      </c>
      <c r="H180" s="100" t="s">
        <v>184</v>
      </c>
      <c r="I180" s="100" t="s">
        <v>15</v>
      </c>
      <c r="J180" s="100" t="s">
        <v>39</v>
      </c>
      <c r="K180" s="100" t="s">
        <v>86</v>
      </c>
      <c r="L180" s="100" t="s">
        <v>196</v>
      </c>
      <c r="M180" s="100" t="s">
        <v>148</v>
      </c>
      <c r="N180" s="100" t="s">
        <v>107</v>
      </c>
      <c r="O180" s="100" t="s">
        <v>72</v>
      </c>
      <c r="P180" s="100" t="s">
        <v>155</v>
      </c>
      <c r="Q180" s="100" t="s">
        <v>30</v>
      </c>
      <c r="R180" s="100" t="s">
        <v>154</v>
      </c>
    </row>
    <row r="181" spans="1:18" s="101" customFormat="1">
      <c r="A181" s="100" t="str">
        <f>VLOOKUP(C181,classifications!C:F,4,FALSE)</f>
        <v>SD</v>
      </c>
      <c r="B181" s="100" t="s">
        <v>609</v>
      </c>
      <c r="C181" s="100" t="s">
        <v>17</v>
      </c>
      <c r="D181" s="100" t="s">
        <v>9</v>
      </c>
      <c r="E181" s="100" t="s">
        <v>99</v>
      </c>
      <c r="F181" s="100" t="s">
        <v>42</v>
      </c>
      <c r="G181" s="100" t="s">
        <v>15</v>
      </c>
      <c r="H181" s="100" t="s">
        <v>126</v>
      </c>
      <c r="I181" s="100" t="s">
        <v>30</v>
      </c>
      <c r="J181" s="100" t="s">
        <v>348</v>
      </c>
      <c r="K181" s="100" t="s">
        <v>107</v>
      </c>
      <c r="L181" s="100" t="s">
        <v>28</v>
      </c>
      <c r="M181" s="100" t="s">
        <v>347</v>
      </c>
      <c r="N181" s="100" t="s">
        <v>36</v>
      </c>
      <c r="O181" s="100" t="s">
        <v>110</v>
      </c>
      <c r="P181" s="100" t="s">
        <v>65</v>
      </c>
      <c r="Q181" s="100" t="s">
        <v>7</v>
      </c>
      <c r="R181" s="100" t="s">
        <v>6</v>
      </c>
    </row>
    <row r="182" spans="1:18" s="101" customFormat="1">
      <c r="A182" s="100" t="str">
        <f>VLOOKUP(C182,classifications!C:F,4,FALSE)</f>
        <v>SD</v>
      </c>
      <c r="B182" s="100" t="s">
        <v>610</v>
      </c>
      <c r="C182" s="100" t="s">
        <v>36</v>
      </c>
      <c r="D182" s="100" t="s">
        <v>99</v>
      </c>
      <c r="E182" s="100" t="s">
        <v>28</v>
      </c>
      <c r="F182" s="100" t="s">
        <v>30</v>
      </c>
      <c r="G182" s="100" t="s">
        <v>107</v>
      </c>
      <c r="H182" s="100" t="s">
        <v>196</v>
      </c>
      <c r="I182" s="100" t="s">
        <v>9</v>
      </c>
      <c r="J182" s="100" t="s">
        <v>191</v>
      </c>
      <c r="K182" s="100" t="s">
        <v>65</v>
      </c>
      <c r="L182" s="100" t="s">
        <v>15</v>
      </c>
      <c r="M182" s="100" t="s">
        <v>348</v>
      </c>
      <c r="N182" s="100" t="s">
        <v>95</v>
      </c>
      <c r="O182" s="100" t="s">
        <v>17</v>
      </c>
      <c r="P182" s="100" t="s">
        <v>90</v>
      </c>
      <c r="Q182" s="100" t="s">
        <v>162</v>
      </c>
      <c r="R182" s="100" t="s">
        <v>42</v>
      </c>
    </row>
    <row r="183" spans="1:18" s="101" customFormat="1">
      <c r="A183" s="100" t="str">
        <f>VLOOKUP(C183,classifications!C:F,4,FALSE)</f>
        <v>SD</v>
      </c>
      <c r="B183" s="100" t="s">
        <v>611</v>
      </c>
      <c r="C183" s="100" t="s">
        <v>50</v>
      </c>
      <c r="D183" s="100" t="s">
        <v>132</v>
      </c>
      <c r="E183" s="100" t="s">
        <v>78</v>
      </c>
      <c r="F183" s="100" t="s">
        <v>45</v>
      </c>
      <c r="G183" s="100" t="s">
        <v>44</v>
      </c>
      <c r="H183" s="100" t="s">
        <v>62</v>
      </c>
      <c r="I183" s="100" t="s">
        <v>109</v>
      </c>
      <c r="J183" s="100" t="s">
        <v>123</v>
      </c>
      <c r="K183" s="100" t="s">
        <v>182</v>
      </c>
      <c r="L183" s="100" t="s">
        <v>98</v>
      </c>
      <c r="M183" s="100" t="s">
        <v>193</v>
      </c>
      <c r="N183" s="100" t="s">
        <v>97</v>
      </c>
      <c r="O183" s="100" t="s">
        <v>157</v>
      </c>
      <c r="P183" s="100" t="s">
        <v>12</v>
      </c>
      <c r="Q183" s="100" t="s">
        <v>141</v>
      </c>
      <c r="R183" s="100" t="s">
        <v>101</v>
      </c>
    </row>
    <row r="184" spans="1:18" s="101" customFormat="1">
      <c r="A184" s="100" t="str">
        <f>VLOOKUP(C184,classifications!C:F,4,FALSE)</f>
        <v>SD</v>
      </c>
      <c r="B184" s="100" t="s">
        <v>612</v>
      </c>
      <c r="C184" s="100" t="s">
        <v>65</v>
      </c>
      <c r="D184" s="100" t="s">
        <v>7</v>
      </c>
      <c r="E184" s="100" t="s">
        <v>196</v>
      </c>
      <c r="F184" s="100" t="s">
        <v>72</v>
      </c>
      <c r="G184" s="100" t="s">
        <v>348</v>
      </c>
      <c r="H184" s="100" t="s">
        <v>107</v>
      </c>
      <c r="I184" s="100" t="s">
        <v>28</v>
      </c>
      <c r="J184" s="100" t="s">
        <v>91</v>
      </c>
      <c r="K184" s="100" t="s">
        <v>99</v>
      </c>
      <c r="L184" s="100" t="s">
        <v>86</v>
      </c>
      <c r="M184" s="100" t="s">
        <v>30</v>
      </c>
      <c r="N184" s="100" t="s">
        <v>25</v>
      </c>
      <c r="O184" s="100" t="s">
        <v>39</v>
      </c>
      <c r="P184" s="100" t="s">
        <v>9</v>
      </c>
      <c r="Q184" s="100" t="s">
        <v>143</v>
      </c>
      <c r="R184" s="100" t="s">
        <v>148</v>
      </c>
    </row>
    <row r="185" spans="1:18" s="101" customFormat="1">
      <c r="A185" s="100" t="str">
        <f>VLOOKUP(C185,classifications!C:F,4,FALSE)</f>
        <v>SD</v>
      </c>
      <c r="B185" s="100" t="s">
        <v>613</v>
      </c>
      <c r="C185" s="100" t="s">
        <v>86</v>
      </c>
      <c r="D185" s="100" t="s">
        <v>39</v>
      </c>
      <c r="E185" s="100" t="s">
        <v>126</v>
      </c>
      <c r="F185" s="100" t="s">
        <v>7</v>
      </c>
      <c r="G185" s="100" t="s">
        <v>347</v>
      </c>
      <c r="H185" s="100" t="s">
        <v>148</v>
      </c>
      <c r="I185" s="100" t="s">
        <v>184</v>
      </c>
      <c r="J185" s="100" t="s">
        <v>196</v>
      </c>
      <c r="K185" s="100" t="s">
        <v>143</v>
      </c>
      <c r="L185" s="100" t="s">
        <v>30</v>
      </c>
      <c r="M185" s="100" t="s">
        <v>65</v>
      </c>
      <c r="N185" s="100" t="s">
        <v>94</v>
      </c>
      <c r="O185" s="100" t="s">
        <v>91</v>
      </c>
      <c r="P185" s="100" t="s">
        <v>346</v>
      </c>
      <c r="Q185" s="100" t="s">
        <v>101</v>
      </c>
      <c r="R185" s="100" t="s">
        <v>58</v>
      </c>
    </row>
    <row r="186" spans="1:18" s="101" customFormat="1">
      <c r="A186" s="100" t="str">
        <f>VLOOKUP(C186,classifications!C:F,4,FALSE)</f>
        <v>SD</v>
      </c>
      <c r="B186" s="100" t="s">
        <v>614</v>
      </c>
      <c r="C186" s="100" t="s">
        <v>110</v>
      </c>
      <c r="D186" s="100" t="s">
        <v>107</v>
      </c>
      <c r="E186" s="100" t="s">
        <v>150</v>
      </c>
      <c r="F186" s="100" t="s">
        <v>184</v>
      </c>
      <c r="G186" s="100" t="s">
        <v>347</v>
      </c>
      <c r="H186" s="100" t="s">
        <v>185</v>
      </c>
      <c r="I186" s="100" t="s">
        <v>7</v>
      </c>
      <c r="J186" s="100" t="s">
        <v>196</v>
      </c>
      <c r="K186" s="100" t="s">
        <v>20</v>
      </c>
      <c r="L186" s="100" t="s">
        <v>15</v>
      </c>
      <c r="M186" s="100" t="s">
        <v>65</v>
      </c>
      <c r="N186" s="100" t="s">
        <v>70</v>
      </c>
      <c r="O186" s="100" t="s">
        <v>112</v>
      </c>
      <c r="P186" s="100" t="s">
        <v>346</v>
      </c>
      <c r="Q186" s="100" t="s">
        <v>39</v>
      </c>
      <c r="R186" s="100" t="s">
        <v>94</v>
      </c>
    </row>
    <row r="187" spans="1:18" s="101" customFormat="1">
      <c r="A187" s="100" t="str">
        <f>VLOOKUP(C187,classifications!C:F,4,FALSE)</f>
        <v>SD</v>
      </c>
      <c r="B187" s="100" t="s">
        <v>615</v>
      </c>
      <c r="C187" s="100" t="s">
        <v>140</v>
      </c>
      <c r="D187" s="100" t="s">
        <v>58</v>
      </c>
      <c r="E187" s="100" t="s">
        <v>346</v>
      </c>
      <c r="F187" s="100" t="s">
        <v>39</v>
      </c>
      <c r="G187" s="100" t="s">
        <v>135</v>
      </c>
      <c r="H187" s="100" t="s">
        <v>347</v>
      </c>
      <c r="I187" s="100" t="s">
        <v>112</v>
      </c>
      <c r="J187" s="100" t="s">
        <v>100</v>
      </c>
      <c r="K187" s="100" t="s">
        <v>115</v>
      </c>
      <c r="L187" s="100" t="s">
        <v>148</v>
      </c>
      <c r="M187" s="100" t="s">
        <v>49</v>
      </c>
      <c r="N187" s="100" t="s">
        <v>185</v>
      </c>
      <c r="O187" s="100" t="s">
        <v>184</v>
      </c>
      <c r="P187" s="100" t="s">
        <v>158</v>
      </c>
      <c r="Q187" s="100" t="s">
        <v>155</v>
      </c>
      <c r="R187" s="100" t="s">
        <v>94</v>
      </c>
    </row>
    <row r="188" spans="1:18" s="101" customFormat="1">
      <c r="A188" s="100" t="str">
        <f>VLOOKUP(C188,classifications!C:F,4,FALSE)</f>
        <v>SD</v>
      </c>
      <c r="B188" s="100" t="s">
        <v>616</v>
      </c>
      <c r="C188" s="100" t="s">
        <v>53</v>
      </c>
      <c r="D188" s="100" t="s">
        <v>183</v>
      </c>
      <c r="E188" s="100" t="s">
        <v>127</v>
      </c>
      <c r="F188" s="100" t="s">
        <v>106</v>
      </c>
      <c r="G188" s="100" t="s">
        <v>165</v>
      </c>
      <c r="H188" s="100" t="s">
        <v>37</v>
      </c>
      <c r="I188" s="100" t="s">
        <v>8</v>
      </c>
      <c r="J188" s="100" t="s">
        <v>113</v>
      </c>
      <c r="K188" s="100" t="s">
        <v>141</v>
      </c>
      <c r="L188" s="100" t="s">
        <v>71</v>
      </c>
      <c r="M188" s="100" t="s">
        <v>179</v>
      </c>
      <c r="N188" s="100" t="s">
        <v>159</v>
      </c>
      <c r="O188" s="100" t="s">
        <v>144</v>
      </c>
      <c r="P188" s="100" t="s">
        <v>93</v>
      </c>
      <c r="Q188" s="100" t="s">
        <v>54</v>
      </c>
      <c r="R188" s="100" t="s">
        <v>195</v>
      </c>
    </row>
    <row r="189" spans="1:18" s="101" customFormat="1">
      <c r="A189" s="100" t="str">
        <f>VLOOKUP(C189,classifications!C:F,4,FALSE)</f>
        <v>SD</v>
      </c>
      <c r="B189" s="100" t="s">
        <v>617</v>
      </c>
      <c r="C189" s="100" t="s">
        <v>66</v>
      </c>
      <c r="D189" s="100" t="s">
        <v>34</v>
      </c>
      <c r="E189" s="100" t="s">
        <v>191</v>
      </c>
      <c r="F189" s="100" t="s">
        <v>175</v>
      </c>
      <c r="G189" s="100" t="s">
        <v>73</v>
      </c>
      <c r="H189" s="100" t="s">
        <v>92</v>
      </c>
      <c r="I189" s="100" t="s">
        <v>131</v>
      </c>
      <c r="J189" s="100" t="s">
        <v>120</v>
      </c>
      <c r="K189" s="100" t="s">
        <v>95</v>
      </c>
      <c r="L189" s="100" t="s">
        <v>30</v>
      </c>
      <c r="M189" s="100" t="s">
        <v>90</v>
      </c>
      <c r="N189" s="100" t="s">
        <v>41</v>
      </c>
      <c r="O189" s="100" t="s">
        <v>29</v>
      </c>
      <c r="P189" s="100" t="s">
        <v>59</v>
      </c>
      <c r="Q189" s="100" t="s">
        <v>60</v>
      </c>
      <c r="R189" s="100" t="s">
        <v>181</v>
      </c>
    </row>
    <row r="190" spans="1:18" s="101" customFormat="1">
      <c r="A190" s="100" t="str">
        <f>VLOOKUP(C190,classifications!C:F,4,FALSE)</f>
        <v>SD</v>
      </c>
      <c r="B190" s="100" t="s">
        <v>618</v>
      </c>
      <c r="C190" s="100" t="s">
        <v>102</v>
      </c>
      <c r="D190" s="100" t="s">
        <v>12</v>
      </c>
      <c r="E190" s="100" t="s">
        <v>109</v>
      </c>
      <c r="F190" s="100" t="s">
        <v>101</v>
      </c>
      <c r="G190" s="100" t="s">
        <v>100</v>
      </c>
      <c r="H190" s="100" t="s">
        <v>158</v>
      </c>
      <c r="I190" s="100" t="s">
        <v>78</v>
      </c>
      <c r="J190" s="100" t="s">
        <v>58</v>
      </c>
      <c r="K190" s="100" t="s">
        <v>97</v>
      </c>
      <c r="L190" s="100" t="s">
        <v>346</v>
      </c>
      <c r="M190" s="100" t="s">
        <v>168</v>
      </c>
      <c r="N190" s="100" t="s">
        <v>94</v>
      </c>
      <c r="O190" s="100" t="s">
        <v>103</v>
      </c>
      <c r="P190" s="100" t="s">
        <v>164</v>
      </c>
      <c r="Q190" s="100" t="s">
        <v>153</v>
      </c>
      <c r="R190" s="100" t="s">
        <v>145</v>
      </c>
    </row>
    <row r="191" spans="1:18" s="101" customFormat="1">
      <c r="A191" s="100" t="str">
        <f>VLOOKUP(C191,classifications!C:F,4,FALSE)</f>
        <v>SD</v>
      </c>
      <c r="B191" s="100" t="s">
        <v>619</v>
      </c>
      <c r="C191" s="100" t="s">
        <v>108</v>
      </c>
      <c r="D191" s="100" t="s">
        <v>195</v>
      </c>
      <c r="E191" s="100" t="s">
        <v>171</v>
      </c>
      <c r="F191" s="100" t="s">
        <v>71</v>
      </c>
      <c r="G191" s="100" t="s">
        <v>165</v>
      </c>
      <c r="H191" s="100" t="s">
        <v>134</v>
      </c>
      <c r="I191" s="100" t="s">
        <v>133</v>
      </c>
      <c r="J191" s="100" t="s">
        <v>137</v>
      </c>
      <c r="K191" s="100" t="s">
        <v>6</v>
      </c>
      <c r="L191" s="100" t="s">
        <v>51</v>
      </c>
      <c r="M191" s="100" t="s">
        <v>93</v>
      </c>
      <c r="N191" s="100" t="s">
        <v>177</v>
      </c>
      <c r="O191" s="100" t="s">
        <v>4</v>
      </c>
      <c r="P191" s="100" t="s">
        <v>141</v>
      </c>
      <c r="Q191" s="100" t="s">
        <v>101</v>
      </c>
      <c r="R191" s="100" t="s">
        <v>92</v>
      </c>
    </row>
    <row r="192" spans="1:18" s="101" customFormat="1">
      <c r="A192" s="100" t="str">
        <f>VLOOKUP(C192,classifications!C:F,4,FALSE)</f>
        <v>SD</v>
      </c>
      <c r="B192" s="100" t="s">
        <v>620</v>
      </c>
      <c r="C192" s="100" t="s">
        <v>141</v>
      </c>
      <c r="D192" s="100" t="s">
        <v>183</v>
      </c>
      <c r="E192" s="100" t="s">
        <v>37</v>
      </c>
      <c r="F192" s="100" t="s">
        <v>144</v>
      </c>
      <c r="G192" s="100" t="s">
        <v>121</v>
      </c>
      <c r="H192" s="100" t="s">
        <v>159</v>
      </c>
      <c r="I192" s="100" t="s">
        <v>71</v>
      </c>
      <c r="J192" s="100" t="s">
        <v>44</v>
      </c>
      <c r="K192" s="100" t="s">
        <v>165</v>
      </c>
      <c r="L192" s="100" t="s">
        <v>45</v>
      </c>
      <c r="M192" s="100" t="s">
        <v>50</v>
      </c>
      <c r="N192" s="100" t="s">
        <v>157</v>
      </c>
      <c r="O192" s="100" t="s">
        <v>78</v>
      </c>
      <c r="P192" s="100" t="s">
        <v>93</v>
      </c>
      <c r="Q192" s="100" t="s">
        <v>53</v>
      </c>
      <c r="R192" s="100" t="s">
        <v>132</v>
      </c>
    </row>
    <row r="193" spans="1:18" s="101" customFormat="1">
      <c r="A193" s="100" t="str">
        <f>VLOOKUP(C193,classifications!C:F,4,FALSE)</f>
        <v>SD</v>
      </c>
      <c r="B193" s="100" t="s">
        <v>621</v>
      </c>
      <c r="C193" s="100" t="s">
        <v>165</v>
      </c>
      <c r="D193" s="100" t="s">
        <v>93</v>
      </c>
      <c r="E193" s="100" t="s">
        <v>71</v>
      </c>
      <c r="F193" s="100" t="s">
        <v>159</v>
      </c>
      <c r="G193" s="100" t="s">
        <v>8</v>
      </c>
      <c r="H193" s="100" t="s">
        <v>53</v>
      </c>
      <c r="I193" s="100" t="s">
        <v>134</v>
      </c>
      <c r="J193" s="100" t="s">
        <v>171</v>
      </c>
      <c r="K193" s="100" t="s">
        <v>108</v>
      </c>
      <c r="L193" s="100" t="s">
        <v>183</v>
      </c>
      <c r="M193" s="100" t="s">
        <v>195</v>
      </c>
      <c r="N193" s="100" t="s">
        <v>179</v>
      </c>
      <c r="O193" s="100" t="s">
        <v>106</v>
      </c>
      <c r="P193" s="100" t="s">
        <v>141</v>
      </c>
      <c r="Q193" s="100" t="s">
        <v>37</v>
      </c>
      <c r="R193" s="100" t="s">
        <v>164</v>
      </c>
    </row>
    <row r="194" spans="1:18" s="101" customFormat="1">
      <c r="A194" s="100" t="str">
        <f>VLOOKUP(C194,classifications!C:F,4,FALSE)</f>
        <v>SD</v>
      </c>
      <c r="B194" s="100" t="s">
        <v>622</v>
      </c>
      <c r="C194" s="100" t="s">
        <v>171</v>
      </c>
      <c r="D194" s="100" t="s">
        <v>108</v>
      </c>
      <c r="E194" s="100" t="s">
        <v>165</v>
      </c>
      <c r="F194" s="100" t="s">
        <v>195</v>
      </c>
      <c r="G194" s="100" t="s">
        <v>134</v>
      </c>
      <c r="H194" s="100" t="s">
        <v>71</v>
      </c>
      <c r="I194" s="100" t="s">
        <v>182</v>
      </c>
      <c r="J194" s="100" t="s">
        <v>4</v>
      </c>
      <c r="K194" s="100" t="s">
        <v>6</v>
      </c>
      <c r="L194" s="100" t="s">
        <v>93</v>
      </c>
      <c r="M194" s="100" t="s">
        <v>155</v>
      </c>
      <c r="N194" s="100" t="s">
        <v>177</v>
      </c>
      <c r="O194" s="100" t="s">
        <v>185</v>
      </c>
      <c r="P194" s="100" t="s">
        <v>51</v>
      </c>
      <c r="Q194" s="100" t="s">
        <v>132</v>
      </c>
      <c r="R194" s="100" t="s">
        <v>113</v>
      </c>
    </row>
    <row r="195" spans="1:18" s="101" customFormat="1">
      <c r="A195" s="100" t="str">
        <f>VLOOKUP(C195,classifications!C:F,4,FALSE)</f>
        <v>SD</v>
      </c>
      <c r="B195" s="100" t="s">
        <v>623</v>
      </c>
      <c r="C195" s="100" t="s">
        <v>182</v>
      </c>
      <c r="D195" s="100" t="s">
        <v>132</v>
      </c>
      <c r="E195" s="100" t="s">
        <v>45</v>
      </c>
      <c r="F195" s="100" t="s">
        <v>62</v>
      </c>
      <c r="G195" s="100" t="s">
        <v>50</v>
      </c>
      <c r="H195" s="100" t="s">
        <v>97</v>
      </c>
      <c r="I195" s="100" t="s">
        <v>98</v>
      </c>
      <c r="J195" s="100" t="s">
        <v>109</v>
      </c>
      <c r="K195" s="100" t="s">
        <v>78</v>
      </c>
      <c r="L195" s="100" t="s">
        <v>102</v>
      </c>
      <c r="M195" s="100" t="s">
        <v>12</v>
      </c>
      <c r="N195" s="100" t="s">
        <v>155</v>
      </c>
      <c r="O195" s="100" t="s">
        <v>171</v>
      </c>
      <c r="P195" s="100" t="s">
        <v>23</v>
      </c>
      <c r="Q195" s="100" t="s">
        <v>158</v>
      </c>
      <c r="R195" s="100" t="s">
        <v>101</v>
      </c>
    </row>
    <row r="196" spans="1:18" s="101" customFormat="1">
      <c r="A196" s="100" t="e">
        <f>VLOOKUP(C196,classifications!C:F,4,FALSE)</f>
        <v>#N/A</v>
      </c>
      <c r="B196" s="100" t="s">
        <v>624</v>
      </c>
      <c r="C196" s="100" t="s">
        <v>40</v>
      </c>
      <c r="D196" s="100" t="s">
        <v>183</v>
      </c>
      <c r="E196" s="100" t="s">
        <v>127</v>
      </c>
      <c r="F196" s="100" t="s">
        <v>53</v>
      </c>
      <c r="G196" s="100" t="s">
        <v>93</v>
      </c>
      <c r="H196" s="100" t="s">
        <v>121</v>
      </c>
      <c r="I196" s="100" t="s">
        <v>37</v>
      </c>
      <c r="J196" s="100" t="s">
        <v>187</v>
      </c>
      <c r="K196" s="100" t="s">
        <v>71</v>
      </c>
      <c r="L196" s="100" t="s">
        <v>141</v>
      </c>
      <c r="M196" s="100" t="s">
        <v>8</v>
      </c>
      <c r="N196" s="100" t="s">
        <v>54</v>
      </c>
      <c r="O196" s="100" t="s">
        <v>113</v>
      </c>
      <c r="P196" s="100" t="s">
        <v>165</v>
      </c>
      <c r="Q196" s="100" t="s">
        <v>45</v>
      </c>
      <c r="R196" s="100" t="s">
        <v>159</v>
      </c>
    </row>
    <row r="197" spans="1:18" s="101" customFormat="1">
      <c r="A197" s="100" t="e">
        <f>VLOOKUP(C197,classifications!C:F,4,FALSE)</f>
        <v>#N/A</v>
      </c>
      <c r="B197" s="100" t="s">
        <v>625</v>
      </c>
      <c r="C197" s="100" t="s">
        <v>54</v>
      </c>
      <c r="D197" s="100" t="s">
        <v>44</v>
      </c>
      <c r="E197" s="100" t="s">
        <v>53</v>
      </c>
      <c r="F197" s="100" t="s">
        <v>98</v>
      </c>
      <c r="G197" s="100" t="s">
        <v>78</v>
      </c>
      <c r="H197" s="100" t="s">
        <v>157</v>
      </c>
      <c r="I197" s="100" t="s">
        <v>37</v>
      </c>
      <c r="J197" s="100" t="s">
        <v>183</v>
      </c>
      <c r="K197" s="100" t="s">
        <v>179</v>
      </c>
      <c r="L197" s="100" t="s">
        <v>109</v>
      </c>
      <c r="M197" s="100" t="s">
        <v>182</v>
      </c>
      <c r="N197" s="100" t="s">
        <v>121</v>
      </c>
      <c r="O197" s="100" t="s">
        <v>45</v>
      </c>
      <c r="P197" s="100" t="s">
        <v>127</v>
      </c>
      <c r="Q197" s="100" t="s">
        <v>50</v>
      </c>
      <c r="R197" s="100" t="s">
        <v>193</v>
      </c>
    </row>
    <row r="198" spans="1:18" s="101" customFormat="1">
      <c r="A198" s="100" t="e">
        <f>VLOOKUP(C198,classifications!C:F,4,FALSE)</f>
        <v>#N/A</v>
      </c>
      <c r="B198" s="100" t="s">
        <v>626</v>
      </c>
      <c r="C198" s="100" t="s">
        <v>109</v>
      </c>
      <c r="D198" s="100" t="s">
        <v>12</v>
      </c>
      <c r="E198" s="100" t="s">
        <v>78</v>
      </c>
      <c r="F198" s="100" t="s">
        <v>102</v>
      </c>
      <c r="G198" s="100" t="s">
        <v>193</v>
      </c>
      <c r="H198" s="100" t="s">
        <v>100</v>
      </c>
      <c r="I198" s="100" t="s">
        <v>98</v>
      </c>
      <c r="J198" s="100" t="s">
        <v>97</v>
      </c>
      <c r="K198" s="100" t="s">
        <v>168</v>
      </c>
      <c r="L198" s="100" t="s">
        <v>103</v>
      </c>
      <c r="M198" s="100" t="s">
        <v>101</v>
      </c>
      <c r="N198" s="100" t="s">
        <v>50</v>
      </c>
      <c r="O198" s="100" t="s">
        <v>158</v>
      </c>
      <c r="P198" s="100" t="s">
        <v>123</v>
      </c>
      <c r="Q198" s="100" t="s">
        <v>145</v>
      </c>
      <c r="R198" s="100" t="s">
        <v>182</v>
      </c>
    </row>
    <row r="199" spans="1:18" s="101" customFormat="1">
      <c r="A199" s="100" t="e">
        <f>VLOOKUP(C199,classifications!C:F,4,FALSE)</f>
        <v>#N/A</v>
      </c>
      <c r="B199" s="100" t="s">
        <v>627</v>
      </c>
      <c r="C199" s="100" t="s">
        <v>121</v>
      </c>
      <c r="D199" s="100" t="s">
        <v>141</v>
      </c>
      <c r="E199" s="100" t="s">
        <v>183</v>
      </c>
      <c r="F199" s="100" t="s">
        <v>159</v>
      </c>
      <c r="G199" s="100" t="s">
        <v>37</v>
      </c>
      <c r="H199" s="100" t="s">
        <v>93</v>
      </c>
      <c r="I199" s="100" t="s">
        <v>44</v>
      </c>
      <c r="J199" s="100" t="s">
        <v>78</v>
      </c>
      <c r="K199" s="100" t="s">
        <v>109</v>
      </c>
      <c r="L199" s="100" t="s">
        <v>62</v>
      </c>
      <c r="M199" s="100" t="s">
        <v>12</v>
      </c>
      <c r="N199" s="100" t="s">
        <v>50</v>
      </c>
      <c r="O199" s="100" t="s">
        <v>45</v>
      </c>
      <c r="P199" s="100" t="s">
        <v>171</v>
      </c>
      <c r="Q199" s="100" t="s">
        <v>157</v>
      </c>
      <c r="R199" s="100" t="s">
        <v>71</v>
      </c>
    </row>
    <row r="200" spans="1:18" s="101" customFormat="1">
      <c r="A200" s="100" t="e">
        <f>VLOOKUP(C200,classifications!C:F,4,FALSE)</f>
        <v>#N/A</v>
      </c>
      <c r="B200" s="100" t="s">
        <v>628</v>
      </c>
      <c r="C200" s="100" t="s">
        <v>183</v>
      </c>
      <c r="D200" s="100" t="s">
        <v>141</v>
      </c>
      <c r="E200" s="100" t="s">
        <v>37</v>
      </c>
      <c r="F200" s="100" t="s">
        <v>53</v>
      </c>
      <c r="G200" s="100" t="s">
        <v>127</v>
      </c>
      <c r="H200" s="100" t="s">
        <v>144</v>
      </c>
      <c r="I200" s="100" t="s">
        <v>165</v>
      </c>
      <c r="J200" s="100" t="s">
        <v>113</v>
      </c>
      <c r="K200" s="100" t="s">
        <v>71</v>
      </c>
      <c r="L200" s="100" t="s">
        <v>121</v>
      </c>
      <c r="M200" s="100" t="s">
        <v>159</v>
      </c>
      <c r="N200" s="100" t="s">
        <v>93</v>
      </c>
      <c r="O200" s="100" t="s">
        <v>106</v>
      </c>
      <c r="P200" s="100" t="s">
        <v>44</v>
      </c>
      <c r="Q200" s="100" t="s">
        <v>108</v>
      </c>
      <c r="R200" s="100" t="s">
        <v>50</v>
      </c>
    </row>
    <row r="201" spans="1:18" s="101" customFormat="1">
      <c r="A201" s="100" t="str">
        <f>VLOOKUP(C201,classifications!C:F,4,FALSE)</f>
        <v>SD</v>
      </c>
      <c r="B201" s="100" t="s">
        <v>629</v>
      </c>
      <c r="C201" s="100" t="s">
        <v>352</v>
      </c>
      <c r="D201" s="100" t="s">
        <v>108</v>
      </c>
      <c r="E201" s="100" t="s">
        <v>4</v>
      </c>
      <c r="F201" s="100" t="s">
        <v>171</v>
      </c>
      <c r="G201" s="100" t="s">
        <v>165</v>
      </c>
      <c r="H201" s="100" t="s">
        <v>71</v>
      </c>
      <c r="I201" s="100" t="s">
        <v>195</v>
      </c>
      <c r="J201" s="100" t="s">
        <v>164</v>
      </c>
      <c r="K201" s="100" t="s">
        <v>192</v>
      </c>
      <c r="L201" s="100" t="s">
        <v>6</v>
      </c>
      <c r="M201" s="100" t="s">
        <v>134</v>
      </c>
      <c r="N201" s="100" t="s">
        <v>93</v>
      </c>
      <c r="O201" s="100" t="s">
        <v>30</v>
      </c>
      <c r="P201" s="100" t="s">
        <v>101</v>
      </c>
      <c r="Q201" s="100" t="s">
        <v>92</v>
      </c>
      <c r="R201" s="100" t="s">
        <v>183</v>
      </c>
    </row>
    <row r="202" spans="1:18" s="101" customFormat="1">
      <c r="A202" s="100" t="str">
        <f>VLOOKUP(C202,classifications!C:F,4,FALSE)</f>
        <v>SD</v>
      </c>
      <c r="B202" s="100" t="s">
        <v>630</v>
      </c>
      <c r="C202" s="100" t="s">
        <v>60</v>
      </c>
      <c r="D202" s="100" t="s">
        <v>192</v>
      </c>
      <c r="E202" s="100" t="s">
        <v>137</v>
      </c>
      <c r="F202" s="100" t="s">
        <v>34</v>
      </c>
      <c r="G202" s="100" t="s">
        <v>169</v>
      </c>
      <c r="H202" s="100" t="s">
        <v>66</v>
      </c>
      <c r="I202" s="100" t="s">
        <v>8</v>
      </c>
      <c r="J202" s="100" t="s">
        <v>4</v>
      </c>
      <c r="K202" s="100" t="s">
        <v>196</v>
      </c>
      <c r="L202" s="100" t="s">
        <v>83</v>
      </c>
      <c r="M202" s="100" t="s">
        <v>164</v>
      </c>
      <c r="N202" s="100" t="s">
        <v>133</v>
      </c>
      <c r="O202" s="100" t="s">
        <v>191</v>
      </c>
      <c r="P202" s="100" t="s">
        <v>93</v>
      </c>
      <c r="Q202" s="100" t="s">
        <v>29</v>
      </c>
      <c r="R202" s="100" t="s">
        <v>90</v>
      </c>
    </row>
    <row r="203" spans="1:18" s="101" customFormat="1">
      <c r="A203" s="100" t="str">
        <f>VLOOKUP(C203,classifications!C:F,4,FALSE)</f>
        <v>SD</v>
      </c>
      <c r="B203" s="100" t="s">
        <v>631</v>
      </c>
      <c r="C203" s="100" t="s">
        <v>83</v>
      </c>
      <c r="D203" s="100" t="s">
        <v>169</v>
      </c>
      <c r="E203" s="100" t="s">
        <v>76</v>
      </c>
      <c r="F203" s="100" t="s">
        <v>137</v>
      </c>
      <c r="G203" s="100" t="s">
        <v>74</v>
      </c>
      <c r="H203" s="100" t="s">
        <v>95</v>
      </c>
      <c r="I203" s="100" t="s">
        <v>90</v>
      </c>
      <c r="J203" s="100" t="s">
        <v>191</v>
      </c>
      <c r="K203" s="100" t="s">
        <v>192</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632</v>
      </c>
      <c r="C204" s="100" t="s">
        <v>93</v>
      </c>
      <c r="D204" s="100" t="s">
        <v>165</v>
      </c>
      <c r="E204" s="100" t="s">
        <v>134</v>
      </c>
      <c r="F204" s="100" t="s">
        <v>125</v>
      </c>
      <c r="G204" s="100" t="s">
        <v>159</v>
      </c>
      <c r="H204" s="100" t="s">
        <v>4</v>
      </c>
      <c r="I204" s="100" t="s">
        <v>8</v>
      </c>
      <c r="J204" s="100" t="s">
        <v>71</v>
      </c>
      <c r="K204" s="100" t="s">
        <v>37</v>
      </c>
      <c r="L204" s="100" t="s">
        <v>137</v>
      </c>
      <c r="M204" s="100" t="s">
        <v>183</v>
      </c>
      <c r="N204" s="100" t="s">
        <v>171</v>
      </c>
      <c r="O204" s="100" t="s">
        <v>67</v>
      </c>
      <c r="P204" s="100" t="s">
        <v>108</v>
      </c>
      <c r="Q204" s="100" t="s">
        <v>179</v>
      </c>
      <c r="R204" s="100" t="s">
        <v>141</v>
      </c>
    </row>
    <row r="205" spans="1:18" s="101" customFormat="1">
      <c r="A205" s="100" t="str">
        <f>VLOOKUP(C205,classifications!C:F,4,FALSE)</f>
        <v>SD</v>
      </c>
      <c r="B205" s="100" t="s">
        <v>633</v>
      </c>
      <c r="C205" s="100" t="s">
        <v>127</v>
      </c>
      <c r="D205" s="100" t="s">
        <v>53</v>
      </c>
      <c r="E205" s="100" t="s">
        <v>183</v>
      </c>
      <c r="F205" s="100" t="s">
        <v>113</v>
      </c>
      <c r="G205" s="100" t="s">
        <v>37</v>
      </c>
      <c r="H205" s="100" t="s">
        <v>71</v>
      </c>
      <c r="I205" s="100" t="s">
        <v>165</v>
      </c>
      <c r="J205" s="100" t="s">
        <v>141</v>
      </c>
      <c r="K205" s="100" t="s">
        <v>93</v>
      </c>
      <c r="L205" s="100" t="s">
        <v>8</v>
      </c>
      <c r="M205" s="100" t="s">
        <v>98</v>
      </c>
      <c r="N205" s="100" t="s">
        <v>40</v>
      </c>
      <c r="O205" s="100" t="s">
        <v>106</v>
      </c>
      <c r="P205" s="100" t="s">
        <v>121</v>
      </c>
      <c r="Q205" s="100" t="s">
        <v>187</v>
      </c>
      <c r="R205" s="100" t="s">
        <v>159</v>
      </c>
    </row>
    <row r="206" spans="1:18" s="101" customFormat="1">
      <c r="A206" s="100" t="str">
        <f>VLOOKUP(C206,classifications!C:F,4,FALSE)</f>
        <v>SD</v>
      </c>
      <c r="B206" s="100" t="s">
        <v>634</v>
      </c>
      <c r="C206" s="100" t="s">
        <v>179</v>
      </c>
      <c r="D206" s="100" t="s">
        <v>106</v>
      </c>
      <c r="E206" s="100" t="s">
        <v>165</v>
      </c>
      <c r="F206" s="100" t="s">
        <v>159</v>
      </c>
      <c r="G206" s="100" t="s">
        <v>37</v>
      </c>
      <c r="H206" s="100" t="s">
        <v>87</v>
      </c>
      <c r="I206" s="100" t="s">
        <v>93</v>
      </c>
      <c r="J206" s="100" t="s">
        <v>53</v>
      </c>
      <c r="K206" s="100" t="s">
        <v>67</v>
      </c>
      <c r="L206" s="100" t="s">
        <v>141</v>
      </c>
      <c r="M206" s="100" t="s">
        <v>157</v>
      </c>
      <c r="N206" s="100" t="s">
        <v>55</v>
      </c>
      <c r="O206" s="100" t="s">
        <v>81</v>
      </c>
      <c r="P206" s="100" t="s">
        <v>183</v>
      </c>
      <c r="Q206" s="100" t="s">
        <v>104</v>
      </c>
      <c r="R206" s="100" t="s">
        <v>78</v>
      </c>
    </row>
    <row r="207" spans="1:18" s="101" customFormat="1">
      <c r="A207" s="100" t="str">
        <f>VLOOKUP(C207,classifications!C:F,4,FALSE)</f>
        <v>SD</v>
      </c>
      <c r="B207" s="100" t="s">
        <v>635</v>
      </c>
      <c r="C207" s="100" t="s">
        <v>14</v>
      </c>
      <c r="D207" s="100" t="s">
        <v>47</v>
      </c>
      <c r="E207" s="100" t="s">
        <v>41</v>
      </c>
      <c r="F207" s="100" t="s">
        <v>19</v>
      </c>
      <c r="G207" s="100" t="s">
        <v>73</v>
      </c>
      <c r="H207" s="100" t="s">
        <v>111</v>
      </c>
      <c r="I207" s="100" t="s">
        <v>344</v>
      </c>
      <c r="J207" s="100" t="s">
        <v>116</v>
      </c>
      <c r="K207" s="100" t="s">
        <v>156</v>
      </c>
      <c r="L207" s="100" t="s">
        <v>90</v>
      </c>
      <c r="M207" s="100" t="s">
        <v>122</v>
      </c>
      <c r="N207" s="100" t="s">
        <v>348</v>
      </c>
      <c r="O207" s="100" t="s">
        <v>96</v>
      </c>
      <c r="P207" s="100" t="s">
        <v>75</v>
      </c>
      <c r="Q207" s="100" t="s">
        <v>33</v>
      </c>
      <c r="R207" s="100" t="s">
        <v>161</v>
      </c>
    </row>
    <row r="208" spans="1:18" s="101" customFormat="1">
      <c r="A208" s="100" t="str">
        <f>VLOOKUP(C208,classifications!C:F,4,FALSE)</f>
        <v>SD</v>
      </c>
      <c r="B208" s="100" t="s">
        <v>636</v>
      </c>
      <c r="C208" s="100" t="s">
        <v>19</v>
      </c>
      <c r="D208" s="100" t="s">
        <v>96</v>
      </c>
      <c r="E208" s="100" t="s">
        <v>143</v>
      </c>
      <c r="F208" s="100" t="s">
        <v>111</v>
      </c>
      <c r="G208" s="100" t="s">
        <v>41</v>
      </c>
      <c r="H208" s="100" t="s">
        <v>347</v>
      </c>
      <c r="I208" s="100" t="s">
        <v>39</v>
      </c>
      <c r="J208" s="100" t="s">
        <v>184</v>
      </c>
      <c r="K208" s="100" t="s">
        <v>88</v>
      </c>
      <c r="L208" s="100" t="s">
        <v>158</v>
      </c>
      <c r="M208" s="100" t="s">
        <v>153</v>
      </c>
      <c r="N208" s="100" t="s">
        <v>128</v>
      </c>
      <c r="O208" s="100" t="s">
        <v>58</v>
      </c>
      <c r="P208" s="100" t="s">
        <v>154</v>
      </c>
      <c r="Q208" s="100" t="s">
        <v>10</v>
      </c>
      <c r="R208" s="100" t="s">
        <v>32</v>
      </c>
    </row>
    <row r="209" spans="1:18" s="101" customFormat="1">
      <c r="A209" s="100" t="str">
        <f>VLOOKUP(C209,classifications!C:F,4,FALSE)</f>
        <v>SD</v>
      </c>
      <c r="B209" s="100" t="s">
        <v>637</v>
      </c>
      <c r="C209" s="100" t="s">
        <v>21</v>
      </c>
      <c r="D209" s="100" t="s">
        <v>64</v>
      </c>
      <c r="E209" s="100" t="s">
        <v>189</v>
      </c>
      <c r="F209" s="100" t="s">
        <v>55</v>
      </c>
      <c r="G209" s="100" t="s">
        <v>136</v>
      </c>
      <c r="H209" s="100" t="s">
        <v>170</v>
      </c>
      <c r="I209" s="100" t="s">
        <v>87</v>
      </c>
      <c r="J209" s="100" t="s">
        <v>160</v>
      </c>
      <c r="K209" s="100" t="s">
        <v>174</v>
      </c>
      <c r="L209" s="100" t="s">
        <v>151</v>
      </c>
      <c r="M209" s="100" t="s">
        <v>105</v>
      </c>
      <c r="N209" s="100" t="s">
        <v>167</v>
      </c>
      <c r="O209" s="100" t="s">
        <v>163</v>
      </c>
      <c r="P209" s="100" t="s">
        <v>350</v>
      </c>
      <c r="Q209" s="100" t="s">
        <v>104</v>
      </c>
      <c r="R209" s="100" t="s">
        <v>186</v>
      </c>
    </row>
    <row r="210" spans="1:18" s="101" customFormat="1">
      <c r="A210" s="100" t="str">
        <f>VLOOKUP(C210,classifications!C:F,4,FALSE)</f>
        <v>SD</v>
      </c>
      <c r="B210" s="100" t="s">
        <v>638</v>
      </c>
      <c r="C210" s="100" t="s">
        <v>31</v>
      </c>
      <c r="D210" s="100" t="s">
        <v>72</v>
      </c>
      <c r="E210" s="100" t="s">
        <v>155</v>
      </c>
      <c r="F210" s="100" t="s">
        <v>148</v>
      </c>
      <c r="G210" s="100" t="s">
        <v>25</v>
      </c>
      <c r="H210" s="100" t="s">
        <v>346</v>
      </c>
      <c r="I210" s="100" t="s">
        <v>94</v>
      </c>
      <c r="J210" s="100" t="s">
        <v>150</v>
      </c>
      <c r="K210" s="100" t="s">
        <v>349</v>
      </c>
      <c r="L210" s="100" t="s">
        <v>196</v>
      </c>
      <c r="M210" s="100" t="s">
        <v>86</v>
      </c>
      <c r="N210" s="100" t="s">
        <v>65</v>
      </c>
      <c r="O210" s="100" t="s">
        <v>39</v>
      </c>
      <c r="P210" s="100" t="s">
        <v>7</v>
      </c>
      <c r="Q210" s="100" t="s">
        <v>23</v>
      </c>
      <c r="R210" s="100" t="s">
        <v>158</v>
      </c>
    </row>
    <row r="211" spans="1:18" s="101" customFormat="1">
      <c r="A211" s="100" t="str">
        <f>VLOOKUP(C211,classifications!C:F,4,FALSE)</f>
        <v>SD</v>
      </c>
      <c r="B211" s="100" t="s">
        <v>639</v>
      </c>
      <c r="C211" s="100" t="s">
        <v>33</v>
      </c>
      <c r="D211" s="100" t="s">
        <v>96</v>
      </c>
      <c r="E211" s="100" t="s">
        <v>41</v>
      </c>
      <c r="F211" s="100" t="s">
        <v>175</v>
      </c>
      <c r="G211" s="100" t="s">
        <v>344</v>
      </c>
      <c r="H211" s="100" t="s">
        <v>88</v>
      </c>
      <c r="I211" s="100" t="s">
        <v>47</v>
      </c>
      <c r="J211" s="100" t="s">
        <v>32</v>
      </c>
      <c r="K211" s="100" t="s">
        <v>56</v>
      </c>
      <c r="L211" s="100" t="s">
        <v>154</v>
      </c>
      <c r="M211" s="100" t="s">
        <v>81</v>
      </c>
      <c r="N211" s="100" t="s">
        <v>19</v>
      </c>
      <c r="O211" s="100" t="s">
        <v>111</v>
      </c>
      <c r="P211" s="100" t="s">
        <v>104</v>
      </c>
      <c r="Q211" s="100" t="s">
        <v>167</v>
      </c>
      <c r="R211" s="100" t="s">
        <v>194</v>
      </c>
    </row>
    <row r="212" spans="1:18" s="101" customFormat="1">
      <c r="A212" s="100" t="str">
        <f>VLOOKUP(C212,classifications!C:F,4,FALSE)</f>
        <v>SD</v>
      </c>
      <c r="B212" s="100" t="s">
        <v>640</v>
      </c>
      <c r="C212" s="100" t="s">
        <v>41</v>
      </c>
      <c r="D212" s="100" t="s">
        <v>96</v>
      </c>
      <c r="E212" s="100" t="s">
        <v>32</v>
      </c>
      <c r="F212" s="100" t="s">
        <v>33</v>
      </c>
      <c r="G212" s="100" t="s">
        <v>19</v>
      </c>
      <c r="H212" s="100" t="s">
        <v>88</v>
      </c>
      <c r="I212" s="100" t="s">
        <v>111</v>
      </c>
      <c r="J212" s="100" t="s">
        <v>344</v>
      </c>
      <c r="K212" s="100" t="s">
        <v>154</v>
      </c>
      <c r="L212" s="100" t="s">
        <v>175</v>
      </c>
      <c r="M212" s="100" t="s">
        <v>128</v>
      </c>
      <c r="N212" s="100" t="s">
        <v>143</v>
      </c>
      <c r="O212" s="100" t="s">
        <v>47</v>
      </c>
      <c r="P212" s="100" t="s">
        <v>35</v>
      </c>
      <c r="Q212" s="100" t="s">
        <v>153</v>
      </c>
      <c r="R212" s="100" t="s">
        <v>59</v>
      </c>
    </row>
    <row r="213" spans="1:18" s="101" customFormat="1">
      <c r="A213" s="100" t="str">
        <f>VLOOKUP(C213,classifications!C:F,4,FALSE)</f>
        <v>SD</v>
      </c>
      <c r="B213" s="100" t="s">
        <v>641</v>
      </c>
      <c r="C213" s="100" t="s">
        <v>64</v>
      </c>
      <c r="D213" s="100" t="s">
        <v>136</v>
      </c>
      <c r="E213" s="100" t="s">
        <v>55</v>
      </c>
      <c r="F213" s="100" t="s">
        <v>111</v>
      </c>
      <c r="G213" s="100" t="s">
        <v>87</v>
      </c>
      <c r="H213" s="100" t="s">
        <v>56</v>
      </c>
      <c r="I213" s="100" t="s">
        <v>21</v>
      </c>
      <c r="J213" s="100" t="s">
        <v>167</v>
      </c>
      <c r="K213" s="100" t="s">
        <v>189</v>
      </c>
      <c r="L213" s="100" t="s">
        <v>147</v>
      </c>
      <c r="M213" s="100" t="s">
        <v>170</v>
      </c>
      <c r="N213" s="100" t="s">
        <v>104</v>
      </c>
      <c r="O213" s="100" t="s">
        <v>350</v>
      </c>
      <c r="P213" s="100" t="s">
        <v>174</v>
      </c>
      <c r="Q213" s="100" t="s">
        <v>186</v>
      </c>
      <c r="R213" s="100" t="s">
        <v>96</v>
      </c>
    </row>
    <row r="214" spans="1:18" s="101" customFormat="1">
      <c r="A214" s="100" t="str">
        <f>VLOOKUP(C214,classifications!C:F,4,FALSE)</f>
        <v>SD</v>
      </c>
      <c r="B214" s="100" t="s">
        <v>642</v>
      </c>
      <c r="C214" s="100" t="s">
        <v>80</v>
      </c>
      <c r="D214" s="100" t="s">
        <v>156</v>
      </c>
      <c r="E214" s="100" t="s">
        <v>90</v>
      </c>
      <c r="F214" s="100" t="s">
        <v>122</v>
      </c>
      <c r="G214" s="100" t="s">
        <v>14</v>
      </c>
      <c r="H214" s="100" t="s">
        <v>43</v>
      </c>
      <c r="I214" s="100" t="s">
        <v>162</v>
      </c>
      <c r="J214" s="100" t="s">
        <v>131</v>
      </c>
      <c r="K214" s="100" t="s">
        <v>75</v>
      </c>
      <c r="L214" s="100" t="s">
        <v>181</v>
      </c>
      <c r="M214" s="100" t="s">
        <v>46</v>
      </c>
      <c r="N214" s="100" t="s">
        <v>36</v>
      </c>
      <c r="O214" s="100" t="s">
        <v>120</v>
      </c>
      <c r="P214" s="100" t="s">
        <v>95</v>
      </c>
      <c r="Q214" s="100" t="s">
        <v>180</v>
      </c>
      <c r="R214" s="100" t="s">
        <v>73</v>
      </c>
    </row>
    <row r="215" spans="1:18" s="101" customFormat="1">
      <c r="A215" s="100" t="str">
        <f>VLOOKUP(C215,classifications!C:F,4,FALSE)</f>
        <v>SD</v>
      </c>
      <c r="B215" s="100" t="s">
        <v>643</v>
      </c>
      <c r="C215" s="100" t="s">
        <v>97</v>
      </c>
      <c r="D215" s="100" t="s">
        <v>100</v>
      </c>
      <c r="E215" s="100" t="s">
        <v>124</v>
      </c>
      <c r="F215" s="100" t="s">
        <v>168</v>
      </c>
      <c r="G215" s="100" t="s">
        <v>158</v>
      </c>
      <c r="H215" s="100" t="s">
        <v>23</v>
      </c>
      <c r="I215" s="100" t="s">
        <v>109</v>
      </c>
      <c r="J215" s="100" t="s">
        <v>94</v>
      </c>
      <c r="K215" s="100" t="s">
        <v>123</v>
      </c>
      <c r="L215" s="100" t="s">
        <v>78</v>
      </c>
      <c r="M215" s="100" t="s">
        <v>12</v>
      </c>
      <c r="N215" s="100" t="s">
        <v>102</v>
      </c>
      <c r="O215" s="100" t="s">
        <v>79</v>
      </c>
      <c r="P215" s="100" t="s">
        <v>182</v>
      </c>
      <c r="Q215" s="100" t="s">
        <v>70</v>
      </c>
      <c r="R215" s="100" t="s">
        <v>150</v>
      </c>
    </row>
    <row r="216" spans="1:18" s="101" customFormat="1">
      <c r="A216" s="100" t="str">
        <f>VLOOKUP(C216,classifications!C:F,4,FALSE)</f>
        <v>SD</v>
      </c>
      <c r="B216" s="100" t="s">
        <v>644</v>
      </c>
      <c r="C216" s="100" t="s">
        <v>125</v>
      </c>
      <c r="D216" s="100" t="s">
        <v>67</v>
      </c>
      <c r="E216" s="100" t="s">
        <v>93</v>
      </c>
      <c r="F216" s="100" t="s">
        <v>61</v>
      </c>
      <c r="G216" s="100" t="s">
        <v>130</v>
      </c>
      <c r="H216" s="100" t="s">
        <v>94</v>
      </c>
      <c r="I216" s="100" t="s">
        <v>16</v>
      </c>
      <c r="J216" s="100" t="s">
        <v>102</v>
      </c>
      <c r="K216" s="100" t="s">
        <v>165</v>
      </c>
      <c r="L216" s="100" t="s">
        <v>346</v>
      </c>
      <c r="M216" s="100" t="s">
        <v>31</v>
      </c>
      <c r="N216" s="100" t="s">
        <v>4</v>
      </c>
      <c r="O216" s="100" t="s">
        <v>134</v>
      </c>
      <c r="P216" s="100" t="s">
        <v>148</v>
      </c>
      <c r="Q216" s="100" t="s">
        <v>171</v>
      </c>
      <c r="R216" s="100" t="s">
        <v>179</v>
      </c>
    </row>
    <row r="217" spans="1:18" s="101" customFormat="1">
      <c r="A217" s="100" t="str">
        <f>VLOOKUP(C217,classifications!C:F,4,FALSE)</f>
        <v>SD</v>
      </c>
      <c r="B217" s="100" t="s">
        <v>645</v>
      </c>
      <c r="C217" s="100" t="s">
        <v>166</v>
      </c>
      <c r="D217" s="100" t="s">
        <v>177</v>
      </c>
      <c r="E217" s="100" t="s">
        <v>195</v>
      </c>
      <c r="F217" s="100" t="s">
        <v>137</v>
      </c>
      <c r="G217" s="100" t="s">
        <v>8</v>
      </c>
      <c r="H217" s="100" t="s">
        <v>57</v>
      </c>
      <c r="I217" s="100" t="s">
        <v>51</v>
      </c>
      <c r="J217" s="100" t="s">
        <v>133</v>
      </c>
      <c r="K217" s="100" t="s">
        <v>165</v>
      </c>
      <c r="L217" s="100" t="s">
        <v>171</v>
      </c>
      <c r="M217" s="100" t="s">
        <v>113</v>
      </c>
      <c r="N217" s="100" t="s">
        <v>108</v>
      </c>
      <c r="O217" s="100" t="s">
        <v>134</v>
      </c>
      <c r="P217" s="100" t="s">
        <v>169</v>
      </c>
      <c r="Q217" s="100" t="s">
        <v>71</v>
      </c>
      <c r="R217" s="100" t="s">
        <v>76</v>
      </c>
    </row>
    <row r="218" spans="1:18" s="101" customFormat="1">
      <c r="A218" s="100" t="str">
        <f>VLOOKUP(C218,classifications!C:F,4,FALSE)</f>
        <v>SD</v>
      </c>
      <c r="B218" s="100" t="s">
        <v>646</v>
      </c>
      <c r="C218" s="100" t="s">
        <v>173</v>
      </c>
      <c r="D218" s="100" t="s">
        <v>79</v>
      </c>
      <c r="E218" s="100" t="s">
        <v>146</v>
      </c>
      <c r="F218" s="100" t="s">
        <v>189</v>
      </c>
      <c r="G218" s="100" t="s">
        <v>136</v>
      </c>
      <c r="H218" s="100" t="s">
        <v>139</v>
      </c>
      <c r="I218" s="100" t="s">
        <v>351</v>
      </c>
      <c r="J218" s="100" t="s">
        <v>167</v>
      </c>
      <c r="K218" s="100" t="s">
        <v>174</v>
      </c>
      <c r="L218" s="100" t="s">
        <v>147</v>
      </c>
      <c r="M218" s="100" t="s">
        <v>82</v>
      </c>
      <c r="N218" s="100" t="s">
        <v>168</v>
      </c>
      <c r="O218" s="100" t="s">
        <v>55</v>
      </c>
      <c r="P218" s="100" t="s">
        <v>157</v>
      </c>
      <c r="Q218" s="100" t="s">
        <v>87</v>
      </c>
      <c r="R218" s="100" t="s">
        <v>186</v>
      </c>
    </row>
    <row r="219" spans="1:18" s="101" customFormat="1">
      <c r="A219" s="100" t="str">
        <f>VLOOKUP(C219,classifications!C:F,4,FALSE)</f>
        <v>SD</v>
      </c>
      <c r="B219" s="100" t="s">
        <v>647</v>
      </c>
      <c r="C219" s="100" t="s">
        <v>34</v>
      </c>
      <c r="D219" s="100" t="s">
        <v>175</v>
      </c>
      <c r="E219" s="100" t="s">
        <v>66</v>
      </c>
      <c r="F219" s="100" t="s">
        <v>191</v>
      </c>
      <c r="G219" s="100" t="s">
        <v>24</v>
      </c>
      <c r="H219" s="100" t="s">
        <v>73</v>
      </c>
      <c r="I219" s="100" t="s">
        <v>33</v>
      </c>
      <c r="J219" s="100" t="s">
        <v>41</v>
      </c>
      <c r="K219" s="100" t="s">
        <v>128</v>
      </c>
      <c r="L219" s="100" t="s">
        <v>29</v>
      </c>
      <c r="M219" s="100" t="s">
        <v>164</v>
      </c>
      <c r="N219" s="100" t="s">
        <v>172</v>
      </c>
      <c r="O219" s="100" t="s">
        <v>131</v>
      </c>
      <c r="P219" s="100" t="s">
        <v>96</v>
      </c>
      <c r="Q219" s="100" t="s">
        <v>192</v>
      </c>
      <c r="R219" s="100" t="s">
        <v>111</v>
      </c>
    </row>
    <row r="220" spans="1:18" s="101" customFormat="1">
      <c r="A220" s="100" t="str">
        <f>VLOOKUP(C220,classifications!C:F,4,FALSE)</f>
        <v>SD</v>
      </c>
      <c r="B220" s="100" t="s">
        <v>648</v>
      </c>
      <c r="C220" s="100" t="s">
        <v>44</v>
      </c>
      <c r="D220" s="100" t="s">
        <v>157</v>
      </c>
      <c r="E220" s="100" t="s">
        <v>78</v>
      </c>
      <c r="F220" s="100" t="s">
        <v>50</v>
      </c>
      <c r="G220" s="100" t="s">
        <v>45</v>
      </c>
      <c r="H220" s="100" t="s">
        <v>193</v>
      </c>
      <c r="I220" s="100" t="s">
        <v>141</v>
      </c>
      <c r="J220" s="100" t="s">
        <v>109</v>
      </c>
      <c r="K220" s="100" t="s">
        <v>132</v>
      </c>
      <c r="L220" s="100" t="s">
        <v>37</v>
      </c>
      <c r="M220" s="100" t="s">
        <v>98</v>
      </c>
      <c r="N220" s="100" t="s">
        <v>62</v>
      </c>
      <c r="O220" s="100" t="s">
        <v>183</v>
      </c>
      <c r="P220" s="100" t="s">
        <v>182</v>
      </c>
      <c r="Q220" s="100" t="s">
        <v>121</v>
      </c>
      <c r="R220" s="100" t="s">
        <v>12</v>
      </c>
    </row>
    <row r="221" spans="1:18" s="101" customFormat="1">
      <c r="A221" s="100" t="str">
        <f>VLOOKUP(C221,classifications!C:F,4,FALSE)</f>
        <v>SD</v>
      </c>
      <c r="B221" s="100" t="s">
        <v>649</v>
      </c>
      <c r="C221" s="100" t="s">
        <v>70</v>
      </c>
      <c r="D221" s="100" t="s">
        <v>185</v>
      </c>
      <c r="E221" s="100" t="s">
        <v>100</v>
      </c>
      <c r="F221" s="100" t="s">
        <v>12</v>
      </c>
      <c r="G221" s="100" t="s">
        <v>347</v>
      </c>
      <c r="H221" s="100" t="s">
        <v>97</v>
      </c>
      <c r="I221" s="100" t="s">
        <v>112</v>
      </c>
      <c r="J221" s="100" t="s">
        <v>184</v>
      </c>
      <c r="K221" s="100" t="s">
        <v>145</v>
      </c>
      <c r="L221" s="100" t="s">
        <v>103</v>
      </c>
      <c r="M221" s="100" t="s">
        <v>109</v>
      </c>
      <c r="N221" s="100" t="s">
        <v>158</v>
      </c>
      <c r="O221" s="100" t="s">
        <v>155</v>
      </c>
      <c r="P221" s="100" t="s">
        <v>346</v>
      </c>
      <c r="Q221" s="100" t="s">
        <v>20</v>
      </c>
      <c r="R221" s="100" t="s">
        <v>102</v>
      </c>
    </row>
    <row r="222" spans="1:18" s="101" customFormat="1">
      <c r="A222" s="100" t="str">
        <f>VLOOKUP(C222,classifications!C:F,4,FALSE)</f>
        <v>SD</v>
      </c>
      <c r="B222" s="100" t="s">
        <v>650</v>
      </c>
      <c r="C222" s="100" t="s">
        <v>73</v>
      </c>
      <c r="D222" s="100" t="s">
        <v>191</v>
      </c>
      <c r="E222" s="100" t="s">
        <v>91</v>
      </c>
      <c r="F222" s="100" t="s">
        <v>348</v>
      </c>
      <c r="G222" s="100" t="s">
        <v>131</v>
      </c>
      <c r="H222" s="100" t="s">
        <v>59</v>
      </c>
      <c r="I222" s="100" t="s">
        <v>75</v>
      </c>
      <c r="J222" s="100" t="s">
        <v>28</v>
      </c>
      <c r="K222" s="100" t="s">
        <v>90</v>
      </c>
      <c r="L222" s="100" t="s">
        <v>128</v>
      </c>
      <c r="M222" s="100" t="s">
        <v>122</v>
      </c>
      <c r="N222" s="100" t="s">
        <v>119</v>
      </c>
      <c r="O222" s="100" t="s">
        <v>162</v>
      </c>
      <c r="P222" s="100" t="s">
        <v>65</v>
      </c>
      <c r="Q222" s="100" t="s">
        <v>99</v>
      </c>
      <c r="R222" s="100" t="s">
        <v>41</v>
      </c>
    </row>
    <row r="223" spans="1:18" s="101" customFormat="1">
      <c r="A223" s="100" t="str">
        <f>VLOOKUP(C223,classifications!C:F,4,FALSE)</f>
        <v>SD</v>
      </c>
      <c r="B223" s="100" t="s">
        <v>651</v>
      </c>
      <c r="C223" s="100" t="s">
        <v>158</v>
      </c>
      <c r="D223" s="100" t="s">
        <v>94</v>
      </c>
      <c r="E223" s="100" t="s">
        <v>101</v>
      </c>
      <c r="F223" s="100" t="s">
        <v>23</v>
      </c>
      <c r="G223" s="100" t="s">
        <v>346</v>
      </c>
      <c r="H223" s="100" t="s">
        <v>150</v>
      </c>
      <c r="I223" s="100" t="s">
        <v>168</v>
      </c>
      <c r="J223" s="100" t="s">
        <v>97</v>
      </c>
      <c r="K223" s="100" t="s">
        <v>154</v>
      </c>
      <c r="L223" s="100" t="s">
        <v>164</v>
      </c>
      <c r="M223" s="100" t="s">
        <v>186</v>
      </c>
      <c r="N223" s="100" t="s">
        <v>55</v>
      </c>
      <c r="O223" s="100" t="s">
        <v>102</v>
      </c>
      <c r="P223" s="100" t="s">
        <v>12</v>
      </c>
      <c r="Q223" s="100" t="s">
        <v>167</v>
      </c>
      <c r="R223" s="100" t="s">
        <v>347</v>
      </c>
    </row>
    <row r="224" spans="1:18" s="101" customFormat="1">
      <c r="A224" s="100" t="str">
        <f>VLOOKUP(C224,classifications!C:F,4,FALSE)</f>
        <v>SD</v>
      </c>
      <c r="B224" s="100" t="s">
        <v>652</v>
      </c>
      <c r="C224" s="100" t="s">
        <v>168</v>
      </c>
      <c r="D224" s="100" t="s">
        <v>167</v>
      </c>
      <c r="E224" s="100" t="s">
        <v>12</v>
      </c>
      <c r="F224" s="100" t="s">
        <v>97</v>
      </c>
      <c r="G224" s="100" t="s">
        <v>158</v>
      </c>
      <c r="H224" s="100" t="s">
        <v>79</v>
      </c>
      <c r="I224" s="100" t="s">
        <v>100</v>
      </c>
      <c r="J224" s="100" t="s">
        <v>94</v>
      </c>
      <c r="K224" s="100" t="s">
        <v>186</v>
      </c>
      <c r="L224" s="100" t="s">
        <v>109</v>
      </c>
      <c r="M224" s="100" t="s">
        <v>193</v>
      </c>
      <c r="N224" s="100" t="s">
        <v>78</v>
      </c>
      <c r="O224" s="100" t="s">
        <v>23</v>
      </c>
      <c r="P224" s="100" t="s">
        <v>130</v>
      </c>
      <c r="Q224" s="100" t="s">
        <v>49</v>
      </c>
      <c r="R224" s="100" t="s">
        <v>346</v>
      </c>
    </row>
    <row r="225" spans="1:18" s="101" customFormat="1">
      <c r="A225" s="100" t="str">
        <f>VLOOKUP(C225,classifications!C:F,4,FALSE)</f>
        <v>SD</v>
      </c>
      <c r="B225" s="100" t="s">
        <v>653</v>
      </c>
      <c r="C225" s="100" t="s">
        <v>344</v>
      </c>
      <c r="D225" s="100" t="s">
        <v>88</v>
      </c>
      <c r="E225" s="100" t="s">
        <v>47</v>
      </c>
      <c r="F225" s="100" t="s">
        <v>33</v>
      </c>
      <c r="G225" s="100" t="s">
        <v>96</v>
      </c>
      <c r="H225" s="100" t="s">
        <v>194</v>
      </c>
      <c r="I225" s="100" t="s">
        <v>11</v>
      </c>
      <c r="J225" s="100" t="s">
        <v>35</v>
      </c>
      <c r="K225" s="100" t="s">
        <v>41</v>
      </c>
      <c r="L225" s="100" t="s">
        <v>351</v>
      </c>
      <c r="M225" s="100" t="s">
        <v>56</v>
      </c>
      <c r="N225" s="100" t="s">
        <v>19</v>
      </c>
      <c r="O225" s="100" t="s">
        <v>111</v>
      </c>
      <c r="P225" s="100" t="s">
        <v>167</v>
      </c>
      <c r="Q225" s="100" t="s">
        <v>174</v>
      </c>
      <c r="R225" s="100" t="s">
        <v>10</v>
      </c>
    </row>
    <row r="226" spans="1:18" s="101" customFormat="1">
      <c r="A226" s="100" t="str">
        <f>VLOOKUP(C226,classifications!C:F,4,FALSE)</f>
        <v>SD</v>
      </c>
      <c r="B226" s="100" t="s">
        <v>654</v>
      </c>
      <c r="C226" s="100" t="s">
        <v>55</v>
      </c>
      <c r="D226" s="100" t="s">
        <v>147</v>
      </c>
      <c r="E226" s="100" t="s">
        <v>136</v>
      </c>
      <c r="F226" s="100" t="s">
        <v>186</v>
      </c>
      <c r="G226" s="100" t="s">
        <v>87</v>
      </c>
      <c r="H226" s="100" t="s">
        <v>167</v>
      </c>
      <c r="I226" s="100" t="s">
        <v>64</v>
      </c>
      <c r="J226" s="100" t="s">
        <v>104</v>
      </c>
      <c r="K226" s="100" t="s">
        <v>158</v>
      </c>
      <c r="L226" s="100" t="s">
        <v>56</v>
      </c>
      <c r="M226" s="100" t="s">
        <v>174</v>
      </c>
      <c r="N226" s="100" t="s">
        <v>189</v>
      </c>
      <c r="O226" s="100" t="s">
        <v>130</v>
      </c>
      <c r="P226" s="100" t="s">
        <v>79</v>
      </c>
      <c r="Q226" s="100" t="s">
        <v>23</v>
      </c>
      <c r="R226" s="100" t="s">
        <v>168</v>
      </c>
    </row>
    <row r="227" spans="1:18" s="101" customFormat="1">
      <c r="A227" s="100" t="str">
        <f>VLOOKUP(C227,classifications!C:F,4,FALSE)</f>
        <v>SD</v>
      </c>
      <c r="B227" s="100" t="s">
        <v>655</v>
      </c>
      <c r="C227" s="100" t="s">
        <v>61</v>
      </c>
      <c r="D227" s="100" t="s">
        <v>67</v>
      </c>
      <c r="E227" s="100" t="s">
        <v>125</v>
      </c>
      <c r="F227" s="100" t="s">
        <v>33</v>
      </c>
      <c r="G227" s="100" t="s">
        <v>128</v>
      </c>
      <c r="H227" s="100" t="s">
        <v>88</v>
      </c>
      <c r="I227" s="100" t="s">
        <v>96</v>
      </c>
      <c r="J227" s="100" t="s">
        <v>84</v>
      </c>
      <c r="K227" s="100" t="s">
        <v>16</v>
      </c>
      <c r="L227" s="100" t="s">
        <v>35</v>
      </c>
      <c r="M227" s="100" t="s">
        <v>167</v>
      </c>
      <c r="N227" s="100" t="s">
        <v>344</v>
      </c>
      <c r="O227" s="100" t="s">
        <v>148</v>
      </c>
      <c r="P227" s="100" t="s">
        <v>29</v>
      </c>
      <c r="Q227" s="100" t="s">
        <v>154</v>
      </c>
      <c r="R227" s="100" t="s">
        <v>161</v>
      </c>
    </row>
    <row r="228" spans="1:18" s="101" customFormat="1">
      <c r="A228" s="100" t="str">
        <f>VLOOKUP(C228,classifications!C:F,4,FALSE)</f>
        <v>SD</v>
      </c>
      <c r="B228" s="100" t="s">
        <v>656</v>
      </c>
      <c r="C228" s="100" t="s">
        <v>67</v>
      </c>
      <c r="D228" s="100" t="s">
        <v>125</v>
      </c>
      <c r="E228" s="100" t="s">
        <v>61</v>
      </c>
      <c r="F228" s="100" t="s">
        <v>93</v>
      </c>
      <c r="G228" s="100" t="s">
        <v>130</v>
      </c>
      <c r="H228" s="100" t="s">
        <v>159</v>
      </c>
      <c r="I228" s="100" t="s">
        <v>165</v>
      </c>
      <c r="J228" s="100" t="s">
        <v>179</v>
      </c>
      <c r="K228" s="100" t="s">
        <v>94</v>
      </c>
      <c r="L228" s="100" t="s">
        <v>16</v>
      </c>
      <c r="M228" s="100" t="s">
        <v>23</v>
      </c>
      <c r="N228" s="100" t="s">
        <v>154</v>
      </c>
      <c r="O228" s="100" t="s">
        <v>186</v>
      </c>
      <c r="P228" s="100" t="s">
        <v>168</v>
      </c>
      <c r="Q228" s="100" t="s">
        <v>167</v>
      </c>
      <c r="R228" s="100" t="s">
        <v>148</v>
      </c>
    </row>
    <row r="229" spans="1:18" s="101" customFormat="1">
      <c r="A229" s="100" t="str">
        <f>VLOOKUP(C229,classifications!C:F,4,FALSE)</f>
        <v>SD</v>
      </c>
      <c r="B229" s="100" t="s">
        <v>657</v>
      </c>
      <c r="C229" s="100" t="s">
        <v>74</v>
      </c>
      <c r="D229" s="100" t="s">
        <v>84</v>
      </c>
      <c r="E229" s="100" t="s">
        <v>4</v>
      </c>
      <c r="F229" s="100" t="s">
        <v>161</v>
      </c>
      <c r="G229" s="100" t="s">
        <v>75</v>
      </c>
      <c r="H229" s="100" t="s">
        <v>73</v>
      </c>
      <c r="I229" s="100" t="s">
        <v>51</v>
      </c>
      <c r="J229" s="100" t="s">
        <v>137</v>
      </c>
      <c r="K229" s="100" t="s">
        <v>348</v>
      </c>
      <c r="L229" s="100" t="s">
        <v>28</v>
      </c>
      <c r="M229" s="100" t="s">
        <v>91</v>
      </c>
      <c r="N229" s="100" t="s">
        <v>13</v>
      </c>
      <c r="O229" s="100" t="s">
        <v>191</v>
      </c>
      <c r="P229" s="100" t="s">
        <v>99</v>
      </c>
      <c r="Q229" s="100" t="s">
        <v>162</v>
      </c>
      <c r="R229" s="100" t="s">
        <v>122</v>
      </c>
    </row>
    <row r="230" spans="1:18" s="101" customFormat="1">
      <c r="A230" s="100" t="str">
        <f>VLOOKUP(C230,classifications!C:F,4,FALSE)</f>
        <v>SD</v>
      </c>
      <c r="B230" s="100" t="s">
        <v>658</v>
      </c>
      <c r="C230" s="100" t="s">
        <v>82</v>
      </c>
      <c r="D230" s="100" t="s">
        <v>136</v>
      </c>
      <c r="E230" s="100" t="s">
        <v>38</v>
      </c>
      <c r="F230" s="100" t="s">
        <v>147</v>
      </c>
      <c r="G230" s="100" t="s">
        <v>55</v>
      </c>
      <c r="H230" s="100" t="s">
        <v>104</v>
      </c>
      <c r="I230" s="100" t="s">
        <v>170</v>
      </c>
      <c r="J230" s="100" t="s">
        <v>56</v>
      </c>
      <c r="K230" s="100" t="s">
        <v>87</v>
      </c>
      <c r="L230" s="100" t="s">
        <v>173</v>
      </c>
      <c r="M230" s="100" t="s">
        <v>189</v>
      </c>
      <c r="N230" s="100" t="s">
        <v>152</v>
      </c>
      <c r="O230" s="100" t="s">
        <v>146</v>
      </c>
      <c r="P230" s="100" t="s">
        <v>160</v>
      </c>
      <c r="Q230" s="100" t="s">
        <v>79</v>
      </c>
      <c r="R230" s="100" t="s">
        <v>174</v>
      </c>
    </row>
    <row r="231" spans="1:18" s="101" customFormat="1">
      <c r="A231" s="100" t="str">
        <f>VLOOKUP(C231,classifications!C:F,4,FALSE)</f>
        <v>SD</v>
      </c>
      <c r="B231" s="100" t="s">
        <v>659</v>
      </c>
      <c r="C231" s="100" t="s">
        <v>84</v>
      </c>
      <c r="D231" s="100" t="s">
        <v>4</v>
      </c>
      <c r="E231" s="100" t="s">
        <v>51</v>
      </c>
      <c r="F231" s="100" t="s">
        <v>29</v>
      </c>
      <c r="G231" s="100" t="s">
        <v>61</v>
      </c>
      <c r="H231" s="100" t="s">
        <v>74</v>
      </c>
      <c r="I231" s="100" t="s">
        <v>137</v>
      </c>
      <c r="J231" s="100" t="s">
        <v>134</v>
      </c>
      <c r="K231" s="100" t="s">
        <v>107</v>
      </c>
      <c r="L231" s="100" t="s">
        <v>196</v>
      </c>
      <c r="M231" s="100" t="s">
        <v>93</v>
      </c>
      <c r="N231" s="100" t="s">
        <v>161</v>
      </c>
      <c r="O231" s="100" t="s">
        <v>177</v>
      </c>
      <c r="P231" s="100" t="s">
        <v>65</v>
      </c>
      <c r="Q231" s="100" t="s">
        <v>154</v>
      </c>
      <c r="R231" s="100" t="s">
        <v>67</v>
      </c>
    </row>
    <row r="232" spans="1:18" s="101" customFormat="1">
      <c r="A232" s="100" t="str">
        <f>VLOOKUP(C232,classifications!C:F,4,FALSE)</f>
        <v>SD</v>
      </c>
      <c r="B232" s="100" t="s">
        <v>660</v>
      </c>
      <c r="C232" s="100" t="s">
        <v>106</v>
      </c>
      <c r="D232" s="100" t="s">
        <v>53</v>
      </c>
      <c r="E232" s="100" t="s">
        <v>179</v>
      </c>
      <c r="F232" s="100" t="s">
        <v>159</v>
      </c>
      <c r="G232" s="100" t="s">
        <v>165</v>
      </c>
      <c r="H232" s="100" t="s">
        <v>37</v>
      </c>
      <c r="I232" s="100" t="s">
        <v>183</v>
      </c>
      <c r="J232" s="100" t="s">
        <v>8</v>
      </c>
      <c r="K232" s="100" t="s">
        <v>93</v>
      </c>
      <c r="L232" s="100" t="s">
        <v>141</v>
      </c>
      <c r="M232" s="100" t="s">
        <v>157</v>
      </c>
      <c r="N232" s="100" t="s">
        <v>149</v>
      </c>
      <c r="O232" s="100" t="s">
        <v>67</v>
      </c>
      <c r="P232" s="100" t="s">
        <v>127</v>
      </c>
      <c r="Q232" s="100" t="s">
        <v>81</v>
      </c>
      <c r="R232" s="100" t="s">
        <v>144</v>
      </c>
    </row>
    <row r="233" spans="1:18" s="101" customFormat="1">
      <c r="A233" s="100" t="str">
        <f>VLOOKUP(C233,classifications!C:F,4,FALSE)</f>
        <v>SD</v>
      </c>
      <c r="B233" s="100" t="s">
        <v>661</v>
      </c>
      <c r="C233" s="100" t="s">
        <v>131</v>
      </c>
      <c r="D233" s="100" t="s">
        <v>73</v>
      </c>
      <c r="E233" s="100" t="s">
        <v>191</v>
      </c>
      <c r="F233" s="100" t="s">
        <v>24</v>
      </c>
      <c r="G233" s="100" t="s">
        <v>122</v>
      </c>
      <c r="H233" s="100" t="s">
        <v>128</v>
      </c>
      <c r="I233" s="100" t="s">
        <v>75</v>
      </c>
      <c r="J233" s="100" t="s">
        <v>91</v>
      </c>
      <c r="K233" s="100" t="s">
        <v>156</v>
      </c>
      <c r="L233" s="100" t="s">
        <v>48</v>
      </c>
      <c r="M233" s="100" t="s">
        <v>34</v>
      </c>
      <c r="N233" s="100" t="s">
        <v>180</v>
      </c>
      <c r="O233" s="100" t="s">
        <v>59</v>
      </c>
      <c r="P233" s="100" t="s">
        <v>176</v>
      </c>
      <c r="Q233" s="100" t="s">
        <v>90</v>
      </c>
      <c r="R233" s="100" t="s">
        <v>162</v>
      </c>
    </row>
    <row r="234" spans="1:18" s="101" customFormat="1">
      <c r="A234" s="100" t="str">
        <f>VLOOKUP(C234,classifications!C:F,4,FALSE)</f>
        <v>SD</v>
      </c>
      <c r="B234" s="100" t="s">
        <v>662</v>
      </c>
      <c r="C234" s="100" t="s">
        <v>167</v>
      </c>
      <c r="D234" s="100" t="s">
        <v>174</v>
      </c>
      <c r="E234" s="100" t="s">
        <v>186</v>
      </c>
      <c r="F234" s="100" t="s">
        <v>147</v>
      </c>
      <c r="G234" s="100" t="s">
        <v>55</v>
      </c>
      <c r="H234" s="100" t="s">
        <v>168</v>
      </c>
      <c r="I234" s="100" t="s">
        <v>351</v>
      </c>
      <c r="J234" s="100" t="s">
        <v>136</v>
      </c>
      <c r="K234" s="100" t="s">
        <v>189</v>
      </c>
      <c r="L234" s="100" t="s">
        <v>158</v>
      </c>
      <c r="M234" s="100" t="s">
        <v>56</v>
      </c>
      <c r="N234" s="100" t="s">
        <v>96</v>
      </c>
      <c r="O234" s="100" t="s">
        <v>64</v>
      </c>
      <c r="P234" s="100" t="s">
        <v>10</v>
      </c>
      <c r="Q234" s="100" t="s">
        <v>87</v>
      </c>
      <c r="R234" s="100" t="s">
        <v>79</v>
      </c>
    </row>
    <row r="235" spans="1:18" s="101" customFormat="1">
      <c r="A235" s="100" t="str">
        <f>VLOOKUP(C235,classifications!C:F,4,FALSE)</f>
        <v>SD</v>
      </c>
      <c r="B235" s="100" t="s">
        <v>663</v>
      </c>
      <c r="C235" s="100" t="s">
        <v>189</v>
      </c>
      <c r="D235" s="100" t="s">
        <v>174</v>
      </c>
      <c r="E235" s="100" t="s">
        <v>136</v>
      </c>
      <c r="F235" s="100" t="s">
        <v>167</v>
      </c>
      <c r="G235" s="100" t="s">
        <v>87</v>
      </c>
      <c r="H235" s="100" t="s">
        <v>55</v>
      </c>
      <c r="I235" s="100" t="s">
        <v>147</v>
      </c>
      <c r="J235" s="100" t="s">
        <v>64</v>
      </c>
      <c r="K235" s="100" t="s">
        <v>104</v>
      </c>
      <c r="L235" s="100" t="s">
        <v>21</v>
      </c>
      <c r="M235" s="100" t="s">
        <v>157</v>
      </c>
      <c r="N235" s="100" t="s">
        <v>56</v>
      </c>
      <c r="O235" s="100" t="s">
        <v>351</v>
      </c>
      <c r="P235" s="100" t="s">
        <v>186</v>
      </c>
      <c r="Q235" s="100" t="s">
        <v>173</v>
      </c>
      <c r="R235" s="100" t="s">
        <v>170</v>
      </c>
    </row>
    <row r="236" spans="1:18" s="101" customFormat="1">
      <c r="A236" s="100" t="str">
        <f>VLOOKUP(C236,classifications!C:F,4,FALSE)</f>
        <v>SD</v>
      </c>
      <c r="B236" s="100" t="s">
        <v>664</v>
      </c>
      <c r="C236" s="100" t="s">
        <v>23</v>
      </c>
      <c r="D236" s="100" t="s">
        <v>158</v>
      </c>
      <c r="E236" s="100" t="s">
        <v>94</v>
      </c>
      <c r="F236" s="100" t="s">
        <v>97</v>
      </c>
      <c r="G236" s="100" t="s">
        <v>150</v>
      </c>
      <c r="H236" s="100" t="s">
        <v>168</v>
      </c>
      <c r="I236" s="100" t="s">
        <v>130</v>
      </c>
      <c r="J236" s="100" t="s">
        <v>55</v>
      </c>
      <c r="K236" s="100" t="s">
        <v>79</v>
      </c>
      <c r="L236" s="100" t="s">
        <v>155</v>
      </c>
      <c r="M236" s="100" t="s">
        <v>346</v>
      </c>
      <c r="N236" s="100" t="s">
        <v>98</v>
      </c>
      <c r="O236" s="100" t="s">
        <v>154</v>
      </c>
      <c r="P236" s="100" t="s">
        <v>182</v>
      </c>
      <c r="Q236" s="100" t="s">
        <v>78</v>
      </c>
      <c r="R236" s="100" t="s">
        <v>123</v>
      </c>
    </row>
    <row r="237" spans="1:18" s="101" customFormat="1">
      <c r="A237" s="100" t="str">
        <f>VLOOKUP(C237,classifications!C:F,4,FALSE)</f>
        <v>SD</v>
      </c>
      <c r="B237" s="100" t="s">
        <v>665</v>
      </c>
      <c r="C237" s="100" t="s">
        <v>122</v>
      </c>
      <c r="D237" s="100" t="s">
        <v>162</v>
      </c>
      <c r="E237" s="100" t="s">
        <v>28</v>
      </c>
      <c r="F237" s="100" t="s">
        <v>156</v>
      </c>
      <c r="G237" s="100" t="s">
        <v>191</v>
      </c>
      <c r="H237" s="100" t="s">
        <v>75</v>
      </c>
      <c r="I237" s="100" t="s">
        <v>180</v>
      </c>
      <c r="J237" s="100" t="s">
        <v>91</v>
      </c>
      <c r="K237" s="100" t="s">
        <v>73</v>
      </c>
      <c r="L237" s="100" t="s">
        <v>131</v>
      </c>
      <c r="M237" s="100" t="s">
        <v>348</v>
      </c>
      <c r="N237" s="100" t="s">
        <v>90</v>
      </c>
      <c r="O237" s="100" t="s">
        <v>128</v>
      </c>
      <c r="P237" s="100" t="s">
        <v>99</v>
      </c>
      <c r="Q237" s="100" t="s">
        <v>59</v>
      </c>
      <c r="R237" s="100" t="s">
        <v>107</v>
      </c>
    </row>
    <row r="238" spans="1:18" s="101" customFormat="1">
      <c r="A238" s="100" t="str">
        <f>VLOOKUP(C238,classifications!C:F,4,FALSE)</f>
        <v>SD</v>
      </c>
      <c r="B238" s="100" t="s">
        <v>666</v>
      </c>
      <c r="C238" s="100" t="s">
        <v>191</v>
      </c>
      <c r="D238" s="100" t="s">
        <v>73</v>
      </c>
      <c r="E238" s="100" t="s">
        <v>28</v>
      </c>
      <c r="F238" s="100" t="s">
        <v>91</v>
      </c>
      <c r="G238" s="100" t="s">
        <v>59</v>
      </c>
      <c r="H238" s="100" t="s">
        <v>30</v>
      </c>
      <c r="I238" s="100" t="s">
        <v>131</v>
      </c>
      <c r="J238" s="100" t="s">
        <v>122</v>
      </c>
      <c r="K238" s="100" t="s">
        <v>86</v>
      </c>
      <c r="L238" s="100" t="s">
        <v>120</v>
      </c>
      <c r="M238" s="100" t="s">
        <v>348</v>
      </c>
      <c r="N238" s="100" t="s">
        <v>34</v>
      </c>
      <c r="O238" s="100" t="s">
        <v>162</v>
      </c>
      <c r="P238" s="100" t="s">
        <v>99</v>
      </c>
      <c r="Q238" s="100" t="s">
        <v>90</v>
      </c>
      <c r="R238" s="100" t="s">
        <v>75</v>
      </c>
    </row>
    <row r="239" spans="1:18" s="101" customFormat="1">
      <c r="A239" s="100" t="str">
        <f>VLOOKUP(C239,classifications!C:F,4,FALSE)</f>
        <v>SD</v>
      </c>
      <c r="B239" s="100" t="s">
        <v>667</v>
      </c>
      <c r="C239" s="100" t="s">
        <v>193</v>
      </c>
      <c r="D239" s="100" t="s">
        <v>157</v>
      </c>
      <c r="E239" s="100" t="s">
        <v>78</v>
      </c>
      <c r="F239" s="100" t="s">
        <v>12</v>
      </c>
      <c r="G239" s="100" t="s">
        <v>109</v>
      </c>
      <c r="H239" s="100" t="s">
        <v>168</v>
      </c>
      <c r="I239" s="100" t="s">
        <v>149</v>
      </c>
      <c r="J239" s="100" t="s">
        <v>98</v>
      </c>
      <c r="K239" s="100" t="s">
        <v>145</v>
      </c>
      <c r="L239" s="100" t="s">
        <v>158</v>
      </c>
      <c r="M239" s="100" t="s">
        <v>101</v>
      </c>
      <c r="N239" s="100" t="s">
        <v>103</v>
      </c>
      <c r="O239" s="100" t="s">
        <v>50</v>
      </c>
      <c r="P239" s="100" t="s">
        <v>164</v>
      </c>
      <c r="Q239" s="100" t="s">
        <v>97</v>
      </c>
      <c r="R239" s="100" t="s">
        <v>154</v>
      </c>
    </row>
    <row r="240" spans="1:18" s="101" customFormat="1">
      <c r="A240" s="100" t="str">
        <f>VLOOKUP(C240,classifications!C:F,4,FALSE)</f>
        <v>SD</v>
      </c>
      <c r="B240" s="100" t="s">
        <v>668</v>
      </c>
      <c r="C240" s="100" t="s">
        <v>196</v>
      </c>
      <c r="D240" s="100" t="s">
        <v>65</v>
      </c>
      <c r="E240" s="100" t="s">
        <v>7</v>
      </c>
      <c r="F240" s="100" t="s">
        <v>107</v>
      </c>
      <c r="G240" s="100" t="s">
        <v>30</v>
      </c>
      <c r="H240" s="100" t="s">
        <v>86</v>
      </c>
      <c r="I240" s="100" t="s">
        <v>184</v>
      </c>
      <c r="J240" s="100" t="s">
        <v>15</v>
      </c>
      <c r="K240" s="100" t="s">
        <v>72</v>
      </c>
      <c r="L240" s="100" t="s">
        <v>347</v>
      </c>
      <c r="M240" s="100" t="s">
        <v>143</v>
      </c>
      <c r="N240" s="100" t="s">
        <v>68</v>
      </c>
      <c r="O240" s="100" t="s">
        <v>28</v>
      </c>
      <c r="P240" s="100" t="s">
        <v>91</v>
      </c>
      <c r="Q240" s="100" t="s">
        <v>164</v>
      </c>
      <c r="R240" s="100" t="s">
        <v>99</v>
      </c>
    </row>
    <row r="241" spans="1:18" s="101" customFormat="1">
      <c r="A241" s="100" t="str">
        <f>VLOOKUP(C241,classifications!C:F,4,FALSE)</f>
        <v>SD</v>
      </c>
      <c r="B241" s="100" t="s">
        <v>669</v>
      </c>
      <c r="C241" s="100" t="s">
        <v>98</v>
      </c>
      <c r="D241" s="100" t="s">
        <v>109</v>
      </c>
      <c r="E241" s="100" t="s">
        <v>193</v>
      </c>
      <c r="F241" s="100" t="s">
        <v>12</v>
      </c>
      <c r="G241" s="100" t="s">
        <v>182</v>
      </c>
      <c r="H241" s="100" t="s">
        <v>78</v>
      </c>
      <c r="I241" s="100" t="s">
        <v>50</v>
      </c>
      <c r="J241" s="100" t="s">
        <v>97</v>
      </c>
      <c r="K241" s="100" t="s">
        <v>70</v>
      </c>
      <c r="L241" s="100" t="s">
        <v>168</v>
      </c>
      <c r="M241" s="100" t="s">
        <v>157</v>
      </c>
      <c r="N241" s="100" t="s">
        <v>23</v>
      </c>
      <c r="O241" s="100" t="s">
        <v>158</v>
      </c>
      <c r="P241" s="100" t="s">
        <v>132</v>
      </c>
      <c r="Q241" s="100" t="s">
        <v>44</v>
      </c>
      <c r="R241" s="100" t="s">
        <v>102</v>
      </c>
    </row>
    <row r="242" spans="1:18" s="101" customFormat="1">
      <c r="A242" s="100" t="str">
        <f>VLOOKUP(C242,classifications!C:F,4,FALSE)</f>
        <v>SD</v>
      </c>
      <c r="B242" s="100" t="s">
        <v>670</v>
      </c>
      <c r="C242" s="100" t="s">
        <v>24</v>
      </c>
      <c r="D242" s="100" t="s">
        <v>128</v>
      </c>
      <c r="E242" s="100" t="s">
        <v>85</v>
      </c>
      <c r="F242" s="100" t="s">
        <v>75</v>
      </c>
      <c r="G242" s="100" t="s">
        <v>96</v>
      </c>
      <c r="H242" s="100" t="s">
        <v>47</v>
      </c>
      <c r="I242" s="100" t="s">
        <v>131</v>
      </c>
      <c r="J242" s="100" t="s">
        <v>111</v>
      </c>
      <c r="K242" s="100" t="s">
        <v>10</v>
      </c>
      <c r="L242" s="100" t="s">
        <v>172</v>
      </c>
      <c r="M242" s="100" t="s">
        <v>91</v>
      </c>
      <c r="N242" s="100" t="s">
        <v>73</v>
      </c>
      <c r="O242" s="100" t="s">
        <v>34</v>
      </c>
      <c r="P242" s="100" t="s">
        <v>33</v>
      </c>
      <c r="Q242" s="100" t="s">
        <v>191</v>
      </c>
      <c r="R242" s="100" t="s">
        <v>170</v>
      </c>
    </row>
    <row r="243" spans="1:18" s="101" customFormat="1">
      <c r="A243" s="100" t="str">
        <f>VLOOKUP(C243,classifications!C:F,4,FALSE)</f>
        <v>SD</v>
      </c>
      <c r="B243" s="100" t="s">
        <v>671</v>
      </c>
      <c r="C243" s="100" t="s">
        <v>47</v>
      </c>
      <c r="D243" s="100" t="s">
        <v>111</v>
      </c>
      <c r="E243" s="100" t="s">
        <v>344</v>
      </c>
      <c r="F243" s="100" t="s">
        <v>33</v>
      </c>
      <c r="G243" s="100" t="s">
        <v>96</v>
      </c>
      <c r="H243" s="100" t="s">
        <v>181</v>
      </c>
      <c r="I243" s="100" t="s">
        <v>85</v>
      </c>
      <c r="J243" s="100" t="s">
        <v>172</v>
      </c>
      <c r="K243" s="100" t="s">
        <v>19</v>
      </c>
      <c r="L243" s="100" t="s">
        <v>351</v>
      </c>
      <c r="M243" s="100" t="s">
        <v>24</v>
      </c>
      <c r="N243" s="100" t="s">
        <v>41</v>
      </c>
      <c r="O243" s="100" t="s">
        <v>56</v>
      </c>
      <c r="P243" s="100" t="s">
        <v>64</v>
      </c>
      <c r="Q243" s="100" t="s">
        <v>10</v>
      </c>
      <c r="R243" s="100" t="s">
        <v>128</v>
      </c>
    </row>
    <row r="244" spans="1:18" s="101" customFormat="1">
      <c r="A244" s="100" t="str">
        <f>VLOOKUP(C244,classifications!C:F,4,FALSE)</f>
        <v>SD</v>
      </c>
      <c r="B244" s="100" t="s">
        <v>672</v>
      </c>
      <c r="C244" s="100" t="s">
        <v>56</v>
      </c>
      <c r="D244" s="100" t="s">
        <v>104</v>
      </c>
      <c r="E244" s="100" t="s">
        <v>87</v>
      </c>
      <c r="F244" s="100" t="s">
        <v>55</v>
      </c>
      <c r="G244" s="100" t="s">
        <v>96</v>
      </c>
      <c r="H244" s="100" t="s">
        <v>351</v>
      </c>
      <c r="I244" s="100" t="s">
        <v>167</v>
      </c>
      <c r="J244" s="100" t="s">
        <v>136</v>
      </c>
      <c r="K244" s="100" t="s">
        <v>64</v>
      </c>
      <c r="L244" s="100" t="s">
        <v>147</v>
      </c>
      <c r="M244" s="100" t="s">
        <v>33</v>
      </c>
      <c r="N244" s="100" t="s">
        <v>194</v>
      </c>
      <c r="O244" s="100" t="s">
        <v>11</v>
      </c>
      <c r="P244" s="100" t="s">
        <v>170</v>
      </c>
      <c r="Q244" s="100" t="s">
        <v>174</v>
      </c>
      <c r="R244" s="100" t="s">
        <v>189</v>
      </c>
    </row>
    <row r="245" spans="1:18" s="101" customFormat="1">
      <c r="A245" s="100" t="str">
        <f>VLOOKUP(C245,classifications!C:F,4,FALSE)</f>
        <v>SD</v>
      </c>
      <c r="B245" s="100" t="s">
        <v>673</v>
      </c>
      <c r="C245" s="100" t="s">
        <v>85</v>
      </c>
      <c r="D245" s="100" t="s">
        <v>170</v>
      </c>
      <c r="E245" s="100" t="s">
        <v>24</v>
      </c>
      <c r="F245" s="100" t="s">
        <v>47</v>
      </c>
      <c r="G245" s="100" t="s">
        <v>172</v>
      </c>
      <c r="H245" s="100" t="s">
        <v>111</v>
      </c>
      <c r="I245" s="100" t="s">
        <v>64</v>
      </c>
      <c r="J245" s="100" t="s">
        <v>181</v>
      </c>
      <c r="K245" s="100" t="s">
        <v>56</v>
      </c>
      <c r="L245" s="100" t="s">
        <v>152</v>
      </c>
      <c r="M245" s="100" t="s">
        <v>194</v>
      </c>
      <c r="N245" s="100" t="s">
        <v>128</v>
      </c>
      <c r="O245" s="100" t="s">
        <v>96</v>
      </c>
      <c r="P245" s="100" t="s">
        <v>189</v>
      </c>
      <c r="Q245" s="100" t="s">
        <v>351</v>
      </c>
      <c r="R245" s="100" t="s">
        <v>21</v>
      </c>
    </row>
    <row r="246" spans="1:18" s="101" customFormat="1">
      <c r="A246" s="100" t="str">
        <f>VLOOKUP(C246,classifications!C:F,4,FALSE)</f>
        <v>SD</v>
      </c>
      <c r="B246" s="100" t="s">
        <v>674</v>
      </c>
      <c r="C246" s="100" t="s">
        <v>111</v>
      </c>
      <c r="D246" s="100" t="s">
        <v>47</v>
      </c>
      <c r="E246" s="100" t="s">
        <v>19</v>
      </c>
      <c r="F246" s="100" t="s">
        <v>96</v>
      </c>
      <c r="G246" s="100" t="s">
        <v>64</v>
      </c>
      <c r="H246" s="100" t="s">
        <v>128</v>
      </c>
      <c r="I246" s="100" t="s">
        <v>164</v>
      </c>
      <c r="J246" s="100" t="s">
        <v>167</v>
      </c>
      <c r="K246" s="100" t="s">
        <v>41</v>
      </c>
      <c r="L246" s="100" t="s">
        <v>33</v>
      </c>
      <c r="M246" s="100" t="s">
        <v>158</v>
      </c>
      <c r="N246" s="100" t="s">
        <v>56</v>
      </c>
      <c r="O246" s="100" t="s">
        <v>10</v>
      </c>
      <c r="P246" s="100" t="s">
        <v>344</v>
      </c>
      <c r="Q246" s="100" t="s">
        <v>85</v>
      </c>
      <c r="R246" s="100" t="s">
        <v>153</v>
      </c>
    </row>
    <row r="247" spans="1:18" s="101" customFormat="1">
      <c r="A247" s="100" t="str">
        <f>VLOOKUP(C247,classifications!C:F,4,FALSE)</f>
        <v>SD</v>
      </c>
      <c r="B247" s="100" t="s">
        <v>675</v>
      </c>
      <c r="C247" s="100" t="s">
        <v>152</v>
      </c>
      <c r="D247" s="100" t="s">
        <v>104</v>
      </c>
      <c r="E247" s="100" t="s">
        <v>56</v>
      </c>
      <c r="F247" s="100" t="s">
        <v>170</v>
      </c>
      <c r="G247" s="100" t="s">
        <v>194</v>
      </c>
      <c r="H247" s="100" t="s">
        <v>82</v>
      </c>
      <c r="I247" s="100" t="s">
        <v>189</v>
      </c>
      <c r="J247" s="100" t="s">
        <v>87</v>
      </c>
      <c r="K247" s="100" t="s">
        <v>85</v>
      </c>
      <c r="L247" s="100" t="s">
        <v>172</v>
      </c>
      <c r="M247" s="100" t="s">
        <v>351</v>
      </c>
      <c r="N247" s="100" t="s">
        <v>38</v>
      </c>
      <c r="O247" s="100" t="s">
        <v>136</v>
      </c>
      <c r="P247" s="100" t="s">
        <v>174</v>
      </c>
      <c r="Q247" s="100" t="s">
        <v>350</v>
      </c>
      <c r="R247" s="100" t="s">
        <v>63</v>
      </c>
    </row>
    <row r="248" spans="1:18" s="101" customFormat="1">
      <c r="A248" s="100" t="str">
        <f>VLOOKUP(C248,classifications!C:F,4,FALSE)</f>
        <v>SD</v>
      </c>
      <c r="B248" s="100" t="s">
        <v>676</v>
      </c>
      <c r="C248" s="100" t="s">
        <v>156</v>
      </c>
      <c r="D248" s="100" t="s">
        <v>80</v>
      </c>
      <c r="E248" s="100" t="s">
        <v>122</v>
      </c>
      <c r="F248" s="100" t="s">
        <v>90</v>
      </c>
      <c r="G248" s="100" t="s">
        <v>131</v>
      </c>
      <c r="H248" s="100" t="s">
        <v>14</v>
      </c>
      <c r="I248" s="100" t="s">
        <v>162</v>
      </c>
      <c r="J248" s="100" t="s">
        <v>181</v>
      </c>
      <c r="K248" s="100" t="s">
        <v>75</v>
      </c>
      <c r="L248" s="100" t="s">
        <v>191</v>
      </c>
      <c r="M248" s="100" t="s">
        <v>73</v>
      </c>
      <c r="N248" s="100" t="s">
        <v>43</v>
      </c>
      <c r="O248" s="100" t="s">
        <v>120</v>
      </c>
      <c r="P248" s="100" t="s">
        <v>28</v>
      </c>
      <c r="Q248" s="100" t="s">
        <v>36</v>
      </c>
      <c r="R248" s="100" t="s">
        <v>180</v>
      </c>
    </row>
    <row r="249" spans="1:18" s="101" customFormat="1">
      <c r="A249" s="100" t="str">
        <f>VLOOKUP(C249,classifications!C:F,4,FALSE)</f>
        <v>SD</v>
      </c>
      <c r="B249" s="100" t="s">
        <v>677</v>
      </c>
      <c r="C249" s="100" t="s">
        <v>170</v>
      </c>
      <c r="D249" s="100" t="s">
        <v>85</v>
      </c>
      <c r="E249" s="100" t="s">
        <v>87</v>
      </c>
      <c r="F249" s="100" t="s">
        <v>56</v>
      </c>
      <c r="G249" s="100" t="s">
        <v>64</v>
      </c>
      <c r="H249" s="100" t="s">
        <v>55</v>
      </c>
      <c r="I249" s="100" t="s">
        <v>104</v>
      </c>
      <c r="J249" s="100" t="s">
        <v>21</v>
      </c>
      <c r="K249" s="100" t="s">
        <v>189</v>
      </c>
      <c r="L249" s="100" t="s">
        <v>152</v>
      </c>
      <c r="M249" s="100" t="s">
        <v>167</v>
      </c>
      <c r="N249" s="100" t="s">
        <v>136</v>
      </c>
      <c r="O249" s="100" t="s">
        <v>82</v>
      </c>
      <c r="P249" s="100" t="s">
        <v>351</v>
      </c>
      <c r="Q249" s="100" t="s">
        <v>174</v>
      </c>
      <c r="R249" s="100" t="s">
        <v>24</v>
      </c>
    </row>
    <row r="250" spans="1:18" s="101" customFormat="1">
      <c r="A250" s="100" t="str">
        <f>VLOOKUP(C250,classifications!C:F,4,FALSE)</f>
        <v>SD</v>
      </c>
      <c r="B250" s="100" t="s">
        <v>678</v>
      </c>
      <c r="C250" s="100" t="s">
        <v>176</v>
      </c>
      <c r="D250" s="100" t="s">
        <v>48</v>
      </c>
      <c r="E250" s="100" t="s">
        <v>131</v>
      </c>
      <c r="F250" s="100" t="s">
        <v>118</v>
      </c>
      <c r="G250" s="100" t="s">
        <v>120</v>
      </c>
      <c r="H250" s="100" t="s">
        <v>66</v>
      </c>
      <c r="I250" s="100" t="s">
        <v>24</v>
      </c>
      <c r="J250" s="100" t="s">
        <v>34</v>
      </c>
      <c r="K250" s="100" t="s">
        <v>191</v>
      </c>
      <c r="L250" s="100" t="s">
        <v>156</v>
      </c>
      <c r="M250" s="100" t="s">
        <v>27</v>
      </c>
      <c r="N250" s="100" t="s">
        <v>73</v>
      </c>
      <c r="O250" s="100" t="s">
        <v>85</v>
      </c>
      <c r="P250" s="100" t="s">
        <v>116</v>
      </c>
      <c r="Q250" s="100" t="s">
        <v>46</v>
      </c>
      <c r="R250" s="100" t="s">
        <v>181</v>
      </c>
    </row>
    <row r="251" spans="1:18" s="101" customFormat="1">
      <c r="A251" s="100" t="str">
        <f>VLOOKUP(C251,classifications!C:F,4,FALSE)</f>
        <v>SD</v>
      </c>
      <c r="B251" s="100" t="s">
        <v>679</v>
      </c>
      <c r="C251" s="100" t="s">
        <v>181</v>
      </c>
      <c r="D251" s="100" t="s">
        <v>47</v>
      </c>
      <c r="E251" s="100" t="s">
        <v>85</v>
      </c>
      <c r="F251" s="100" t="s">
        <v>111</v>
      </c>
      <c r="G251" s="100" t="s">
        <v>24</v>
      </c>
      <c r="H251" s="100" t="s">
        <v>156</v>
      </c>
      <c r="I251" s="100" t="s">
        <v>344</v>
      </c>
      <c r="J251" s="100" t="s">
        <v>128</v>
      </c>
      <c r="K251" s="100" t="s">
        <v>122</v>
      </c>
      <c r="L251" s="100" t="s">
        <v>175</v>
      </c>
      <c r="M251" s="100" t="s">
        <v>131</v>
      </c>
      <c r="N251" s="100" t="s">
        <v>41</v>
      </c>
      <c r="O251" s="100" t="s">
        <v>172</v>
      </c>
      <c r="P251" s="100" t="s">
        <v>33</v>
      </c>
      <c r="Q251" s="100" t="s">
        <v>14</v>
      </c>
      <c r="R251" s="100" t="s">
        <v>96</v>
      </c>
    </row>
    <row r="252" spans="1:18" s="101" customFormat="1">
      <c r="A252" s="100" t="str">
        <f>VLOOKUP(C252,classifications!C:F,4,FALSE)</f>
        <v>SD</v>
      </c>
      <c r="B252" s="100" t="s">
        <v>680</v>
      </c>
      <c r="C252" s="100" t="s">
        <v>10</v>
      </c>
      <c r="D252" s="100" t="s">
        <v>351</v>
      </c>
      <c r="E252" s="100" t="s">
        <v>96</v>
      </c>
      <c r="F252" s="100" t="s">
        <v>128</v>
      </c>
      <c r="G252" s="100" t="s">
        <v>58</v>
      </c>
      <c r="H252" s="100" t="s">
        <v>101</v>
      </c>
      <c r="I252" s="100" t="s">
        <v>153</v>
      </c>
      <c r="J252" s="100" t="s">
        <v>19</v>
      </c>
      <c r="K252" s="100" t="s">
        <v>167</v>
      </c>
      <c r="L252" s="100" t="s">
        <v>143</v>
      </c>
      <c r="M252" s="100" t="s">
        <v>59</v>
      </c>
      <c r="N252" s="100" t="s">
        <v>35</v>
      </c>
      <c r="O252" s="100" t="s">
        <v>88</v>
      </c>
      <c r="P252" s="100" t="s">
        <v>164</v>
      </c>
      <c r="Q252" s="100" t="s">
        <v>94</v>
      </c>
      <c r="R252" s="100" t="s">
        <v>111</v>
      </c>
    </row>
    <row r="253" spans="1:18" s="101" customFormat="1">
      <c r="A253" s="100" t="str">
        <f>VLOOKUP(C253,classifications!C:F,4,FALSE)</f>
        <v>SD</v>
      </c>
      <c r="B253" s="100" t="s">
        <v>681</v>
      </c>
      <c r="C253" s="100" t="s">
        <v>29</v>
      </c>
      <c r="D253" s="100" t="s">
        <v>137</v>
      </c>
      <c r="E253" s="100" t="s">
        <v>92</v>
      </c>
      <c r="F253" s="100" t="s">
        <v>51</v>
      </c>
      <c r="G253" s="100" t="s">
        <v>41</v>
      </c>
      <c r="H253" s="100" t="s">
        <v>32</v>
      </c>
      <c r="I253" s="100" t="s">
        <v>84</v>
      </c>
      <c r="J253" s="100" t="s">
        <v>175</v>
      </c>
      <c r="K253" s="100" t="s">
        <v>134</v>
      </c>
      <c r="L253" s="100" t="s">
        <v>93</v>
      </c>
      <c r="M253" s="100" t="s">
        <v>34</v>
      </c>
      <c r="N253" s="100" t="s">
        <v>154</v>
      </c>
      <c r="O253" s="100" t="s">
        <v>165</v>
      </c>
      <c r="P253" s="100" t="s">
        <v>61</v>
      </c>
      <c r="Q253" s="100" t="s">
        <v>96</v>
      </c>
      <c r="R253" s="100" t="s">
        <v>33</v>
      </c>
    </row>
    <row r="254" spans="1:18" s="101" customFormat="1">
      <c r="A254" s="100" t="str">
        <f>VLOOKUP(C254,classifications!C:F,4,FALSE)</f>
        <v>SD</v>
      </c>
      <c r="B254" s="100" t="s">
        <v>682</v>
      </c>
      <c r="C254" s="100" t="s">
        <v>48</v>
      </c>
      <c r="D254" s="100" t="s">
        <v>131</v>
      </c>
      <c r="E254" s="100" t="s">
        <v>176</v>
      </c>
      <c r="F254" s="100" t="s">
        <v>191</v>
      </c>
      <c r="G254" s="100" t="s">
        <v>73</v>
      </c>
      <c r="H254" s="100" t="s">
        <v>24</v>
      </c>
      <c r="I254" s="100" t="s">
        <v>59</v>
      </c>
      <c r="J254" s="100" t="s">
        <v>120</v>
      </c>
      <c r="K254" s="100" t="s">
        <v>128</v>
      </c>
      <c r="L254" s="100" t="s">
        <v>34</v>
      </c>
      <c r="M254" s="100" t="s">
        <v>156</v>
      </c>
      <c r="N254" s="100" t="s">
        <v>35</v>
      </c>
      <c r="O254" s="100" t="s">
        <v>66</v>
      </c>
      <c r="P254" s="100" t="s">
        <v>46</v>
      </c>
      <c r="Q254" s="100" t="s">
        <v>14</v>
      </c>
      <c r="R254" s="100" t="s">
        <v>91</v>
      </c>
    </row>
    <row r="255" spans="1:18" s="101" customFormat="1">
      <c r="A255" s="100" t="str">
        <f>VLOOKUP(C255,classifications!C:F,4,FALSE)</f>
        <v>SD</v>
      </c>
      <c r="B255" s="100" t="s">
        <v>683</v>
      </c>
      <c r="C255" s="100" t="s">
        <v>51</v>
      </c>
      <c r="D255" s="100" t="s">
        <v>134</v>
      </c>
      <c r="E255" s="100" t="s">
        <v>137</v>
      </c>
      <c r="F255" s="100" t="s">
        <v>161</v>
      </c>
      <c r="G255" s="100" t="s">
        <v>177</v>
      </c>
      <c r="H255" s="100" t="s">
        <v>196</v>
      </c>
      <c r="I255" s="100" t="s">
        <v>29</v>
      </c>
      <c r="J255" s="100" t="s">
        <v>6</v>
      </c>
      <c r="K255" s="100" t="s">
        <v>84</v>
      </c>
      <c r="L255" s="100" t="s">
        <v>108</v>
      </c>
      <c r="M255" s="100" t="s">
        <v>184</v>
      </c>
      <c r="N255" s="100" t="s">
        <v>4</v>
      </c>
      <c r="O255" s="100" t="s">
        <v>15</v>
      </c>
      <c r="P255" s="100" t="s">
        <v>347</v>
      </c>
      <c r="Q255" s="100" t="s">
        <v>68</v>
      </c>
      <c r="R255" s="100" t="s">
        <v>92</v>
      </c>
    </row>
    <row r="256" spans="1:18" s="101" customFormat="1">
      <c r="A256" s="100" t="str">
        <f>VLOOKUP(C256,classifications!C:F,4,FALSE)</f>
        <v>SD</v>
      </c>
      <c r="B256" s="100" t="s">
        <v>684</v>
      </c>
      <c r="C256" s="100" t="s">
        <v>75</v>
      </c>
      <c r="D256" s="100" t="s">
        <v>73</v>
      </c>
      <c r="E256" s="100" t="s">
        <v>24</v>
      </c>
      <c r="F256" s="100" t="s">
        <v>180</v>
      </c>
      <c r="G256" s="100" t="s">
        <v>122</v>
      </c>
      <c r="H256" s="100" t="s">
        <v>91</v>
      </c>
      <c r="I256" s="100" t="s">
        <v>90</v>
      </c>
      <c r="J256" s="100" t="s">
        <v>191</v>
      </c>
      <c r="K256" s="100" t="s">
        <v>128</v>
      </c>
      <c r="L256" s="100" t="s">
        <v>131</v>
      </c>
      <c r="M256" s="100" t="s">
        <v>348</v>
      </c>
      <c r="N256" s="100" t="s">
        <v>119</v>
      </c>
      <c r="O256" s="100" t="s">
        <v>162</v>
      </c>
      <c r="P256" s="100" t="s">
        <v>59</v>
      </c>
      <c r="Q256" s="100" t="s">
        <v>74</v>
      </c>
      <c r="R256" s="100" t="s">
        <v>161</v>
      </c>
    </row>
    <row r="257" spans="1:18" s="101" customFormat="1">
      <c r="A257" s="100" t="str">
        <f>VLOOKUP(C257,classifications!C:F,4,FALSE)</f>
        <v>SD</v>
      </c>
      <c r="B257" s="100" t="s">
        <v>685</v>
      </c>
      <c r="C257" s="100" t="s">
        <v>96</v>
      </c>
      <c r="D257" s="100" t="s">
        <v>33</v>
      </c>
      <c r="E257" s="100" t="s">
        <v>41</v>
      </c>
      <c r="F257" s="100" t="s">
        <v>19</v>
      </c>
      <c r="G257" s="100" t="s">
        <v>88</v>
      </c>
      <c r="H257" s="100" t="s">
        <v>10</v>
      </c>
      <c r="I257" s="100" t="s">
        <v>111</v>
      </c>
      <c r="J257" s="100" t="s">
        <v>32</v>
      </c>
      <c r="K257" s="100" t="s">
        <v>56</v>
      </c>
      <c r="L257" s="100" t="s">
        <v>128</v>
      </c>
      <c r="M257" s="100" t="s">
        <v>344</v>
      </c>
      <c r="N257" s="100" t="s">
        <v>81</v>
      </c>
      <c r="O257" s="100" t="s">
        <v>35</v>
      </c>
      <c r="P257" s="100" t="s">
        <v>167</v>
      </c>
      <c r="Q257" s="100" t="s">
        <v>154</v>
      </c>
      <c r="R257" s="100" t="s">
        <v>47</v>
      </c>
    </row>
    <row r="258" spans="1:18" s="101" customFormat="1">
      <c r="A258" s="100" t="str">
        <f>VLOOKUP(C258,classifications!C:F,4,FALSE)</f>
        <v>SD</v>
      </c>
      <c r="B258" s="100" t="s">
        <v>686</v>
      </c>
      <c r="C258" s="100" t="s">
        <v>136</v>
      </c>
      <c r="D258" s="100" t="s">
        <v>147</v>
      </c>
      <c r="E258" s="100" t="s">
        <v>55</v>
      </c>
      <c r="F258" s="100" t="s">
        <v>189</v>
      </c>
      <c r="G258" s="100" t="s">
        <v>64</v>
      </c>
      <c r="H258" s="100" t="s">
        <v>167</v>
      </c>
      <c r="I258" s="100" t="s">
        <v>186</v>
      </c>
      <c r="J258" s="100" t="s">
        <v>87</v>
      </c>
      <c r="K258" s="100" t="s">
        <v>174</v>
      </c>
      <c r="L258" s="100" t="s">
        <v>56</v>
      </c>
      <c r="M258" s="100" t="s">
        <v>178</v>
      </c>
      <c r="N258" s="100" t="s">
        <v>21</v>
      </c>
      <c r="O258" s="100" t="s">
        <v>104</v>
      </c>
      <c r="P258" s="100" t="s">
        <v>163</v>
      </c>
      <c r="Q258" s="100" t="s">
        <v>157</v>
      </c>
      <c r="R258" s="100" t="s">
        <v>173</v>
      </c>
    </row>
    <row r="259" spans="1:18" s="101" customFormat="1">
      <c r="A259" s="100" t="e">
        <f>VLOOKUP(C259,classifications!C:F,4,FALSE)</f>
        <v>#N/A</v>
      </c>
      <c r="B259" s="100" t="s">
        <v>687</v>
      </c>
      <c r="C259" s="100" t="s">
        <v>137</v>
      </c>
      <c r="D259" s="100" t="s">
        <v>51</v>
      </c>
      <c r="E259" s="100" t="s">
        <v>29</v>
      </c>
      <c r="F259" s="100" t="s">
        <v>177</v>
      </c>
      <c r="G259" s="100" t="s">
        <v>192</v>
      </c>
      <c r="H259" s="100" t="s">
        <v>4</v>
      </c>
      <c r="I259" s="100" t="s">
        <v>134</v>
      </c>
      <c r="J259" s="100" t="s">
        <v>108</v>
      </c>
      <c r="K259" s="100" t="s">
        <v>169</v>
      </c>
      <c r="L259" s="100" t="s">
        <v>93</v>
      </c>
      <c r="M259" s="100" t="s">
        <v>133</v>
      </c>
      <c r="N259" s="100" t="s">
        <v>196</v>
      </c>
      <c r="O259" s="100" t="s">
        <v>92</v>
      </c>
      <c r="P259" s="100" t="s">
        <v>84</v>
      </c>
      <c r="Q259" s="100" t="s">
        <v>161</v>
      </c>
      <c r="R259" s="100" t="s">
        <v>166</v>
      </c>
    </row>
    <row r="260" spans="1:18" s="101" customFormat="1">
      <c r="A260" s="100" t="str">
        <f>VLOOKUP(C260,classifications!C:F,4,FALSE)</f>
        <v>SD</v>
      </c>
      <c r="B260" s="100" t="s">
        <v>688</v>
      </c>
      <c r="C260" s="100" t="s">
        <v>161</v>
      </c>
      <c r="D260" s="100" t="s">
        <v>51</v>
      </c>
      <c r="E260" s="100" t="s">
        <v>134</v>
      </c>
      <c r="F260" s="100" t="s">
        <v>91</v>
      </c>
      <c r="G260" s="100" t="s">
        <v>348</v>
      </c>
      <c r="H260" s="100" t="s">
        <v>19</v>
      </c>
      <c r="I260" s="100" t="s">
        <v>65</v>
      </c>
      <c r="J260" s="100" t="s">
        <v>59</v>
      </c>
      <c r="K260" s="100" t="s">
        <v>73</v>
      </c>
      <c r="L260" s="100" t="s">
        <v>184</v>
      </c>
      <c r="M260" s="100" t="s">
        <v>137</v>
      </c>
      <c r="N260" s="100" t="s">
        <v>74</v>
      </c>
      <c r="O260" s="100" t="s">
        <v>61</v>
      </c>
      <c r="P260" s="100" t="s">
        <v>84</v>
      </c>
      <c r="Q260" s="100" t="s">
        <v>128</v>
      </c>
      <c r="R260" s="100" t="s">
        <v>196</v>
      </c>
    </row>
    <row r="261" spans="1:18" s="101" customFormat="1">
      <c r="A261" s="100" t="str">
        <f>VLOOKUP(C261,classifications!C:F,4,FALSE)</f>
        <v>SD</v>
      </c>
      <c r="B261" s="100" t="s">
        <v>689</v>
      </c>
      <c r="C261" s="100" t="s">
        <v>169</v>
      </c>
      <c r="D261" s="100" t="s">
        <v>83</v>
      </c>
      <c r="E261" s="100" t="s">
        <v>76</v>
      </c>
      <c r="F261" s="100" t="s">
        <v>137</v>
      </c>
      <c r="G261" s="100" t="s">
        <v>177</v>
      </c>
      <c r="H261" s="100" t="s">
        <v>51</v>
      </c>
      <c r="I261" s="100" t="s">
        <v>133</v>
      </c>
      <c r="J261" s="100" t="s">
        <v>166</v>
      </c>
      <c r="K261" s="100" t="s">
        <v>60</v>
      </c>
      <c r="L261" s="100" t="s">
        <v>192</v>
      </c>
      <c r="M261" s="100" t="s">
        <v>74</v>
      </c>
      <c r="N261" s="100" t="s">
        <v>90</v>
      </c>
      <c r="O261" s="100" t="s">
        <v>13</v>
      </c>
      <c r="P261" s="100" t="s">
        <v>92</v>
      </c>
      <c r="Q261" s="100" t="s">
        <v>161</v>
      </c>
      <c r="R261" s="100" t="s">
        <v>119</v>
      </c>
    </row>
    <row r="262" spans="1:18" s="101" customFormat="1">
      <c r="A262" s="100" t="str">
        <f>VLOOKUP(C262,classifications!C:F,4,FALSE)</f>
        <v>SD</v>
      </c>
      <c r="B262" s="100" t="s">
        <v>690</v>
      </c>
      <c r="C262" s="100" t="s">
        <v>351</v>
      </c>
      <c r="D262" s="100" t="s">
        <v>10</v>
      </c>
      <c r="E262" s="100" t="s">
        <v>167</v>
      </c>
      <c r="F262" s="100" t="s">
        <v>56</v>
      </c>
      <c r="G262" s="100" t="s">
        <v>96</v>
      </c>
      <c r="H262" s="100" t="s">
        <v>174</v>
      </c>
      <c r="I262" s="100" t="s">
        <v>189</v>
      </c>
      <c r="J262" s="100" t="s">
        <v>344</v>
      </c>
      <c r="K262" s="100" t="s">
        <v>173</v>
      </c>
      <c r="L262" s="100" t="s">
        <v>47</v>
      </c>
      <c r="M262" s="100" t="s">
        <v>33</v>
      </c>
      <c r="N262" s="100" t="s">
        <v>87</v>
      </c>
      <c r="O262" s="100" t="s">
        <v>136</v>
      </c>
      <c r="P262" s="100" t="s">
        <v>104</v>
      </c>
      <c r="Q262" s="100" t="s">
        <v>168</v>
      </c>
      <c r="R262" s="100" t="s">
        <v>147</v>
      </c>
    </row>
    <row r="263" spans="1:18" s="101" customFormat="1">
      <c r="A263" s="100" t="str">
        <f>VLOOKUP(C263,classifications!C:F,4,FALSE)</f>
        <v>SD</v>
      </c>
      <c r="B263" s="100" t="s">
        <v>691</v>
      </c>
      <c r="C263" s="100" t="s">
        <v>172</v>
      </c>
      <c r="D263" s="100" t="s">
        <v>56</v>
      </c>
      <c r="E263" s="100" t="s">
        <v>47</v>
      </c>
      <c r="F263" s="100" t="s">
        <v>85</v>
      </c>
      <c r="G263" s="100" t="s">
        <v>104</v>
      </c>
      <c r="H263" s="100" t="s">
        <v>175</v>
      </c>
      <c r="I263" s="100" t="s">
        <v>111</v>
      </c>
      <c r="J263" s="100" t="s">
        <v>10</v>
      </c>
      <c r="K263" s="100" t="s">
        <v>351</v>
      </c>
      <c r="L263" s="100" t="s">
        <v>189</v>
      </c>
      <c r="M263" s="100" t="s">
        <v>24</v>
      </c>
      <c r="N263" s="100" t="s">
        <v>64</v>
      </c>
      <c r="O263" s="100" t="s">
        <v>96</v>
      </c>
      <c r="P263" s="100" t="s">
        <v>81</v>
      </c>
      <c r="Q263" s="100" t="s">
        <v>33</v>
      </c>
      <c r="R263" s="100" t="s">
        <v>87</v>
      </c>
    </row>
    <row r="264" spans="1:18" s="101" customFormat="1">
      <c r="A264" s="100" t="str">
        <f>VLOOKUP(C264,classifications!C:F,4,FALSE)</f>
        <v>SD</v>
      </c>
      <c r="B264" s="100" t="s">
        <v>692</v>
      </c>
      <c r="C264" s="100" t="s">
        <v>26</v>
      </c>
      <c r="D264" s="100" t="s">
        <v>89</v>
      </c>
      <c r="E264" s="100" t="s">
        <v>119</v>
      </c>
      <c r="F264" s="100" t="s">
        <v>99</v>
      </c>
      <c r="G264" s="100" t="s">
        <v>9</v>
      </c>
      <c r="H264" s="100" t="s">
        <v>120</v>
      </c>
      <c r="I264" s="100" t="s">
        <v>28</v>
      </c>
      <c r="J264" s="100" t="s">
        <v>95</v>
      </c>
      <c r="K264" s="100" t="s">
        <v>348</v>
      </c>
      <c r="L264" s="100" t="s">
        <v>13</v>
      </c>
      <c r="M264" s="100" t="s">
        <v>17</v>
      </c>
      <c r="N264" s="100" t="s">
        <v>36</v>
      </c>
      <c r="O264" s="100" t="s">
        <v>191</v>
      </c>
      <c r="P264" s="100" t="s">
        <v>76</v>
      </c>
      <c r="Q264" s="100" t="s">
        <v>30</v>
      </c>
      <c r="R264" s="100" t="s">
        <v>126</v>
      </c>
    </row>
    <row r="265" spans="1:18" s="101" customFormat="1">
      <c r="A265" s="100" t="str">
        <f>VLOOKUP(C265,classifications!C:F,4,FALSE)</f>
        <v>SD</v>
      </c>
      <c r="B265" s="100" t="s">
        <v>693</v>
      </c>
      <c r="C265" s="100" t="s">
        <v>39</v>
      </c>
      <c r="D265" s="100" t="s">
        <v>86</v>
      </c>
      <c r="E265" s="100" t="s">
        <v>148</v>
      </c>
      <c r="F265" s="100" t="s">
        <v>346</v>
      </c>
      <c r="G265" s="100" t="s">
        <v>347</v>
      </c>
      <c r="H265" s="100" t="s">
        <v>7</v>
      </c>
      <c r="I265" s="100" t="s">
        <v>58</v>
      </c>
      <c r="J265" s="100" t="s">
        <v>143</v>
      </c>
      <c r="K265" s="100" t="s">
        <v>72</v>
      </c>
      <c r="L265" s="100" t="s">
        <v>94</v>
      </c>
      <c r="M265" s="100" t="s">
        <v>19</v>
      </c>
      <c r="N265" s="100" t="s">
        <v>91</v>
      </c>
      <c r="O265" s="100" t="s">
        <v>184</v>
      </c>
      <c r="P265" s="100" t="s">
        <v>107</v>
      </c>
      <c r="Q265" s="100" t="s">
        <v>126</v>
      </c>
      <c r="R265" s="100" t="s">
        <v>140</v>
      </c>
    </row>
    <row r="266" spans="1:18" s="101" customFormat="1">
      <c r="A266" s="100" t="str">
        <f>VLOOKUP(C266,classifications!C:F,4,FALSE)</f>
        <v>SD</v>
      </c>
      <c r="B266" s="100" t="s">
        <v>694</v>
      </c>
      <c r="C266" s="100" t="s">
        <v>71</v>
      </c>
      <c r="D266" s="100" t="s">
        <v>195</v>
      </c>
      <c r="E266" s="100" t="s">
        <v>165</v>
      </c>
      <c r="F266" s="100" t="s">
        <v>108</v>
      </c>
      <c r="G266" s="100" t="s">
        <v>141</v>
      </c>
      <c r="H266" s="100" t="s">
        <v>183</v>
      </c>
      <c r="I266" s="100" t="s">
        <v>171</v>
      </c>
      <c r="J266" s="100" t="s">
        <v>93</v>
      </c>
      <c r="K266" s="100" t="s">
        <v>53</v>
      </c>
      <c r="L266" s="100" t="s">
        <v>4</v>
      </c>
      <c r="M266" s="100" t="s">
        <v>182</v>
      </c>
      <c r="N266" s="100" t="s">
        <v>127</v>
      </c>
      <c r="O266" s="100" t="s">
        <v>8</v>
      </c>
      <c r="P266" s="100" t="s">
        <v>45</v>
      </c>
      <c r="Q266" s="100" t="s">
        <v>144</v>
      </c>
      <c r="R266" s="100" t="s">
        <v>159</v>
      </c>
    </row>
    <row r="267" spans="1:18" s="101" customFormat="1">
      <c r="A267" s="100" t="str">
        <f>VLOOKUP(C267,classifications!C:F,4,FALSE)</f>
        <v>SD</v>
      </c>
      <c r="B267" s="100" t="s">
        <v>695</v>
      </c>
      <c r="C267" s="100" t="s">
        <v>89</v>
      </c>
      <c r="D267" s="100" t="s">
        <v>119</v>
      </c>
      <c r="E267" s="100" t="s">
        <v>26</v>
      </c>
      <c r="F267" s="100" t="s">
        <v>99</v>
      </c>
      <c r="G267" s="100" t="s">
        <v>9</v>
      </c>
      <c r="H267" s="100" t="s">
        <v>28</v>
      </c>
      <c r="I267" s="100" t="s">
        <v>126</v>
      </c>
      <c r="J267" s="100" t="s">
        <v>13</v>
      </c>
      <c r="K267" s="100" t="s">
        <v>348</v>
      </c>
      <c r="L267" s="100" t="s">
        <v>191</v>
      </c>
      <c r="M267" s="100" t="s">
        <v>120</v>
      </c>
      <c r="N267" s="100" t="s">
        <v>73</v>
      </c>
      <c r="O267" s="100" t="s">
        <v>30</v>
      </c>
      <c r="P267" s="100" t="s">
        <v>91</v>
      </c>
      <c r="Q267" s="100" t="s">
        <v>36</v>
      </c>
      <c r="R267" s="100" t="s">
        <v>17</v>
      </c>
    </row>
    <row r="268" spans="1:18" s="101" customFormat="1">
      <c r="A268" s="100" t="str">
        <f>VLOOKUP(C268,classifications!C:F,4,FALSE)</f>
        <v>SD</v>
      </c>
      <c r="B268" s="100" t="s">
        <v>696</v>
      </c>
      <c r="C268" s="100" t="s">
        <v>92</v>
      </c>
      <c r="D268" s="100" t="s">
        <v>29</v>
      </c>
      <c r="E268" s="100" t="s">
        <v>30</v>
      </c>
      <c r="F268" s="100" t="s">
        <v>137</v>
      </c>
      <c r="G268" s="100" t="s">
        <v>51</v>
      </c>
      <c r="H268" s="100" t="s">
        <v>108</v>
      </c>
      <c r="I268" s="100" t="s">
        <v>195</v>
      </c>
      <c r="J268" s="100" t="s">
        <v>13</v>
      </c>
      <c r="K268" s="100" t="s">
        <v>191</v>
      </c>
      <c r="L268" s="100" t="s">
        <v>192</v>
      </c>
      <c r="M268" s="100" t="s">
        <v>133</v>
      </c>
      <c r="N268" s="100" t="s">
        <v>59</v>
      </c>
      <c r="O268" s="100" t="s">
        <v>34</v>
      </c>
      <c r="P268" s="100" t="s">
        <v>134</v>
      </c>
      <c r="Q268" s="100" t="s">
        <v>86</v>
      </c>
      <c r="R268" s="100" t="s">
        <v>4</v>
      </c>
    </row>
    <row r="269" spans="1:18" s="101" customFormat="1">
      <c r="A269" s="100" t="str">
        <f>VLOOKUP(C269,classifications!C:F,4,FALSE)</f>
        <v>SD</v>
      </c>
      <c r="B269" s="100" t="s">
        <v>697</v>
      </c>
      <c r="C269" s="100" t="s">
        <v>119</v>
      </c>
      <c r="D269" s="100" t="s">
        <v>89</v>
      </c>
      <c r="E269" s="100" t="s">
        <v>99</v>
      </c>
      <c r="F269" s="100" t="s">
        <v>91</v>
      </c>
      <c r="G269" s="100" t="s">
        <v>73</v>
      </c>
      <c r="H269" s="100" t="s">
        <v>348</v>
      </c>
      <c r="I269" s="100" t="s">
        <v>191</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698</v>
      </c>
      <c r="C270" s="100" t="s">
        <v>120</v>
      </c>
      <c r="D270" s="100" t="s">
        <v>95</v>
      </c>
      <c r="E270" s="100" t="s">
        <v>90</v>
      </c>
      <c r="F270" s="100" t="s">
        <v>191</v>
      </c>
      <c r="G270" s="100" t="s">
        <v>73</v>
      </c>
      <c r="H270" s="100" t="s">
        <v>116</v>
      </c>
      <c r="I270" s="100" t="s">
        <v>28</v>
      </c>
      <c r="J270" s="100" t="s">
        <v>99</v>
      </c>
      <c r="K270" s="100" t="s">
        <v>89</v>
      </c>
      <c r="L270" s="100" t="s">
        <v>119</v>
      </c>
      <c r="M270" s="100" t="s">
        <v>131</v>
      </c>
      <c r="N270" s="100" t="s">
        <v>36</v>
      </c>
      <c r="O270" s="100" t="s">
        <v>348</v>
      </c>
      <c r="P270" s="100" t="s">
        <v>26</v>
      </c>
      <c r="Q270" s="100" t="s">
        <v>122</v>
      </c>
      <c r="R270" s="100" t="s">
        <v>30</v>
      </c>
    </row>
    <row r="271" spans="1:18" s="101" customFormat="1">
      <c r="A271" s="100" t="str">
        <f>VLOOKUP(C271,classifications!C:F,4,FALSE)</f>
        <v>SD</v>
      </c>
      <c r="B271" s="100" t="s">
        <v>699</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182</v>
      </c>
      <c r="Q271" s="100" t="s">
        <v>130</v>
      </c>
      <c r="R271" s="100" t="s">
        <v>168</v>
      </c>
    </row>
    <row r="272" spans="1:18" s="101" customFormat="1">
      <c r="A272" s="100" t="str">
        <f>VLOOKUP(C272,classifications!C:F,4,FALSE)</f>
        <v>SD</v>
      </c>
      <c r="B272" s="100" t="s">
        <v>700</v>
      </c>
      <c r="C272" s="100" t="s">
        <v>126</v>
      </c>
      <c r="D272" s="100" t="s">
        <v>86</v>
      </c>
      <c r="E272" s="100" t="s">
        <v>39</v>
      </c>
      <c r="F272" s="100" t="s">
        <v>91</v>
      </c>
      <c r="G272" s="100" t="s">
        <v>28</v>
      </c>
      <c r="H272" s="100" t="s">
        <v>65</v>
      </c>
      <c r="I272" s="100" t="s">
        <v>347</v>
      </c>
      <c r="J272" s="100" t="s">
        <v>15</v>
      </c>
      <c r="K272" s="100" t="s">
        <v>184</v>
      </c>
      <c r="L272" s="100" t="s">
        <v>99</v>
      </c>
      <c r="M272" s="100" t="s">
        <v>9</v>
      </c>
      <c r="N272" s="100" t="s">
        <v>30</v>
      </c>
      <c r="O272" s="100" t="s">
        <v>7</v>
      </c>
      <c r="P272" s="100" t="s">
        <v>58</v>
      </c>
      <c r="Q272" s="100" t="s">
        <v>348</v>
      </c>
      <c r="R272" s="100" t="s">
        <v>196</v>
      </c>
    </row>
    <row r="273" spans="1:18" s="101" customFormat="1">
      <c r="A273" s="100" t="str">
        <f>VLOOKUP(C273,classifications!C:F,4,FALSE)</f>
        <v>SD</v>
      </c>
      <c r="B273" s="100" t="s">
        <v>701</v>
      </c>
      <c r="C273" s="100" t="s">
        <v>148</v>
      </c>
      <c r="D273" s="100" t="s">
        <v>346</v>
      </c>
      <c r="E273" s="100" t="s">
        <v>39</v>
      </c>
      <c r="F273" s="100" t="s">
        <v>94</v>
      </c>
      <c r="G273" s="100" t="s">
        <v>72</v>
      </c>
      <c r="H273" s="100" t="s">
        <v>143</v>
      </c>
      <c r="I273" s="100" t="s">
        <v>7</v>
      </c>
      <c r="J273" s="100" t="s">
        <v>154</v>
      </c>
      <c r="K273" s="100" t="s">
        <v>16</v>
      </c>
      <c r="L273" s="100" t="s">
        <v>58</v>
      </c>
      <c r="M273" s="100" t="s">
        <v>86</v>
      </c>
      <c r="N273" s="100" t="s">
        <v>155</v>
      </c>
      <c r="O273" s="100" t="s">
        <v>347</v>
      </c>
      <c r="P273" s="100" t="s">
        <v>112</v>
      </c>
      <c r="Q273" s="100" t="s">
        <v>65</v>
      </c>
      <c r="R273" s="100" t="s">
        <v>91</v>
      </c>
    </row>
    <row r="274" spans="1:18" s="101" customFormat="1">
      <c r="A274" s="100" t="str">
        <f>VLOOKUP(C274,classifications!C:F,4,FALSE)</f>
        <v>SD</v>
      </c>
      <c r="B274" s="100" t="s">
        <v>702</v>
      </c>
      <c r="C274" s="100" t="s">
        <v>184</v>
      </c>
      <c r="D274" s="100" t="s">
        <v>347</v>
      </c>
      <c r="E274" s="100" t="s">
        <v>7</v>
      </c>
      <c r="F274" s="100" t="s">
        <v>185</v>
      </c>
      <c r="G274" s="100" t="s">
        <v>15</v>
      </c>
      <c r="H274" s="100" t="s">
        <v>94</v>
      </c>
      <c r="I274" s="100" t="s">
        <v>115</v>
      </c>
      <c r="J274" s="100" t="s">
        <v>86</v>
      </c>
      <c r="K274" s="100" t="s">
        <v>346</v>
      </c>
      <c r="L274" s="100" t="s">
        <v>196</v>
      </c>
      <c r="M274" s="100" t="s">
        <v>143</v>
      </c>
      <c r="N274" s="100" t="s">
        <v>39</v>
      </c>
      <c r="O274" s="100" t="s">
        <v>150</v>
      </c>
      <c r="P274" s="100" t="s">
        <v>154</v>
      </c>
      <c r="Q274" s="100" t="s">
        <v>153</v>
      </c>
      <c r="R274" s="100" t="s">
        <v>19</v>
      </c>
    </row>
    <row r="275" spans="1:18" s="101" customFormat="1">
      <c r="A275" s="100" t="str">
        <f>VLOOKUP(C275,classifications!C:F,4,FALSE)</f>
        <v>SD</v>
      </c>
      <c r="B275" s="100" t="s">
        <v>703</v>
      </c>
      <c r="C275" s="100" t="s">
        <v>195</v>
      </c>
      <c r="D275" s="100" t="s">
        <v>71</v>
      </c>
      <c r="E275" s="100" t="s">
        <v>108</v>
      </c>
      <c r="F275" s="100" t="s">
        <v>171</v>
      </c>
      <c r="G275" s="100" t="s">
        <v>165</v>
      </c>
      <c r="H275" s="100" t="s">
        <v>133</v>
      </c>
      <c r="I275" s="100" t="s">
        <v>177</v>
      </c>
      <c r="J275" s="100" t="s">
        <v>166</v>
      </c>
      <c r="K275" s="100" t="s">
        <v>92</v>
      </c>
      <c r="L275" s="100" t="s">
        <v>6</v>
      </c>
      <c r="M275" s="100" t="s">
        <v>113</v>
      </c>
      <c r="N275" s="100" t="s">
        <v>8</v>
      </c>
      <c r="O275" s="100" t="s">
        <v>4</v>
      </c>
      <c r="P275" s="100" t="s">
        <v>137</v>
      </c>
      <c r="Q275" s="100" t="s">
        <v>134</v>
      </c>
      <c r="R275" s="100" t="s">
        <v>51</v>
      </c>
    </row>
    <row r="276" spans="1:18" s="101" customFormat="1">
      <c r="A276" s="100" t="str">
        <f>VLOOKUP(C276,classifications!C:F,4,FALSE)</f>
        <v>SD</v>
      </c>
      <c r="B276" s="100" t="s">
        <v>704</v>
      </c>
      <c r="C276" s="100" t="s">
        <v>16</v>
      </c>
      <c r="D276" s="100" t="s">
        <v>148</v>
      </c>
      <c r="E276" s="100" t="s">
        <v>346</v>
      </c>
      <c r="F276" s="100" t="s">
        <v>130</v>
      </c>
      <c r="G276" s="100" t="s">
        <v>58</v>
      </c>
      <c r="H276" s="100" t="s">
        <v>94</v>
      </c>
      <c r="I276" s="100" t="s">
        <v>112</v>
      </c>
      <c r="J276" s="100" t="s">
        <v>168</v>
      </c>
      <c r="K276" s="100" t="s">
        <v>154</v>
      </c>
      <c r="L276" s="100" t="s">
        <v>22</v>
      </c>
      <c r="M276" s="100" t="s">
        <v>128</v>
      </c>
      <c r="N276" s="100" t="s">
        <v>102</v>
      </c>
      <c r="O276" s="100" t="s">
        <v>79</v>
      </c>
      <c r="P276" s="100" t="s">
        <v>100</v>
      </c>
      <c r="Q276" s="100" t="s">
        <v>140</v>
      </c>
      <c r="R276" s="100" t="s">
        <v>349</v>
      </c>
    </row>
    <row r="277" spans="1:18" s="101" customFormat="1">
      <c r="A277" s="100" t="str">
        <f>VLOOKUP(C277,classifications!C:F,4,FALSE)</f>
        <v>SD</v>
      </c>
      <c r="B277" s="100" t="s">
        <v>705</v>
      </c>
      <c r="C277" s="100" t="s">
        <v>32</v>
      </c>
      <c r="D277" s="100" t="s">
        <v>41</v>
      </c>
      <c r="E277" s="100" t="s">
        <v>154</v>
      </c>
      <c r="F277" s="100" t="s">
        <v>88</v>
      </c>
      <c r="G277" s="100" t="s">
        <v>96</v>
      </c>
      <c r="H277" s="100" t="s">
        <v>143</v>
      </c>
      <c r="I277" s="100" t="s">
        <v>19</v>
      </c>
      <c r="J277" s="100" t="s">
        <v>33</v>
      </c>
      <c r="K277" s="100" t="s">
        <v>148</v>
      </c>
      <c r="L277" s="100" t="s">
        <v>39</v>
      </c>
      <c r="M277" s="100" t="s">
        <v>72</v>
      </c>
      <c r="N277" s="100" t="s">
        <v>346</v>
      </c>
      <c r="O277" s="100" t="s">
        <v>175</v>
      </c>
      <c r="P277" s="100" t="s">
        <v>7</v>
      </c>
      <c r="Q277" s="100" t="s">
        <v>153</v>
      </c>
      <c r="R277" s="100" t="s">
        <v>94</v>
      </c>
    </row>
    <row r="278" spans="1:18" s="101" customFormat="1">
      <c r="A278" s="100" t="str">
        <f>VLOOKUP(C278,classifications!C:F,4,FALSE)</f>
        <v>SD</v>
      </c>
      <c r="B278" s="100" t="s">
        <v>706</v>
      </c>
      <c r="C278" s="100" t="s">
        <v>79</v>
      </c>
      <c r="D278" s="100" t="s">
        <v>168</v>
      </c>
      <c r="E278" s="100" t="s">
        <v>123</v>
      </c>
      <c r="F278" s="100" t="s">
        <v>130</v>
      </c>
      <c r="G278" s="100" t="s">
        <v>146</v>
      </c>
      <c r="H278" s="100" t="s">
        <v>186</v>
      </c>
      <c r="I278" s="100" t="s">
        <v>97</v>
      </c>
      <c r="J278" s="100" t="s">
        <v>167</v>
      </c>
      <c r="K278" s="100" t="s">
        <v>100</v>
      </c>
      <c r="L278" s="100" t="s">
        <v>173</v>
      </c>
      <c r="M278" s="100" t="s">
        <v>55</v>
      </c>
      <c r="N278" s="100" t="s">
        <v>124</v>
      </c>
      <c r="O278" s="100" t="s">
        <v>23</v>
      </c>
      <c r="P278" s="100" t="s">
        <v>78</v>
      </c>
      <c r="Q278" s="100" t="s">
        <v>49</v>
      </c>
      <c r="R278" s="100" t="s">
        <v>103</v>
      </c>
    </row>
    <row r="279" spans="1:18" s="101" customFormat="1">
      <c r="A279" s="100" t="str">
        <f>VLOOKUP(C279,classifications!C:F,4,FALSE)</f>
        <v>SD</v>
      </c>
      <c r="B279" s="100" t="s">
        <v>707</v>
      </c>
      <c r="C279" s="100" t="s">
        <v>346</v>
      </c>
      <c r="D279" s="100" t="s">
        <v>148</v>
      </c>
      <c r="E279" s="100" t="s">
        <v>155</v>
      </c>
      <c r="F279" s="100" t="s">
        <v>94</v>
      </c>
      <c r="G279" s="100" t="s">
        <v>112</v>
      </c>
      <c r="H279" s="100" t="s">
        <v>58</v>
      </c>
      <c r="I279" s="100" t="s">
        <v>39</v>
      </c>
      <c r="J279" s="100" t="s">
        <v>154</v>
      </c>
      <c r="K279" s="100" t="s">
        <v>7</v>
      </c>
      <c r="L279" s="100" t="s">
        <v>347</v>
      </c>
      <c r="M279" s="100" t="s">
        <v>158</v>
      </c>
      <c r="N279" s="100" t="s">
        <v>150</v>
      </c>
      <c r="O279" s="100" t="s">
        <v>140</v>
      </c>
      <c r="P279" s="100" t="s">
        <v>143</v>
      </c>
      <c r="Q279" s="100" t="s">
        <v>16</v>
      </c>
      <c r="R279" s="100" t="s">
        <v>100</v>
      </c>
    </row>
    <row r="280" spans="1:18" s="101" customFormat="1">
      <c r="A280" s="100" t="str">
        <f>VLOOKUP(C280,classifications!C:F,4,FALSE)</f>
        <v>SD</v>
      </c>
      <c r="B280" s="100" t="s">
        <v>708</v>
      </c>
      <c r="C280" s="100" t="s">
        <v>100</v>
      </c>
      <c r="D280" s="100" t="s">
        <v>97</v>
      </c>
      <c r="E280" s="100" t="s">
        <v>124</v>
      </c>
      <c r="F280" s="100" t="s">
        <v>12</v>
      </c>
      <c r="G280" s="100" t="s">
        <v>168</v>
      </c>
      <c r="H280" s="100" t="s">
        <v>102</v>
      </c>
      <c r="I280" s="100" t="s">
        <v>109</v>
      </c>
      <c r="J280" s="100" t="s">
        <v>58</v>
      </c>
      <c r="K280" s="100" t="s">
        <v>70</v>
      </c>
      <c r="L280" s="100" t="s">
        <v>346</v>
      </c>
      <c r="M280" s="100" t="s">
        <v>103</v>
      </c>
      <c r="N280" s="100" t="s">
        <v>158</v>
      </c>
      <c r="O280" s="100" t="s">
        <v>79</v>
      </c>
      <c r="P280" s="100" t="s">
        <v>185</v>
      </c>
      <c r="Q280" s="100" t="s">
        <v>112</v>
      </c>
      <c r="R280" s="100" t="s">
        <v>94</v>
      </c>
    </row>
    <row r="281" spans="1:18" s="101" customFormat="1">
      <c r="A281" s="100" t="str">
        <f>VLOOKUP(C281,classifications!C:F,4,FALSE)</f>
        <v>SD</v>
      </c>
      <c r="B281" s="100" t="s">
        <v>709</v>
      </c>
      <c r="C281" s="100" t="s">
        <v>115</v>
      </c>
      <c r="D281" s="100" t="s">
        <v>135</v>
      </c>
      <c r="E281" s="100" t="s">
        <v>114</v>
      </c>
      <c r="F281" s="100" t="s">
        <v>347</v>
      </c>
      <c r="G281" s="100" t="s">
        <v>15</v>
      </c>
      <c r="H281" s="100" t="s">
        <v>153</v>
      </c>
      <c r="I281" s="100" t="s">
        <v>184</v>
      </c>
      <c r="J281" s="100" t="s">
        <v>49</v>
      </c>
      <c r="K281" s="100" t="s">
        <v>58</v>
      </c>
      <c r="L281" s="100" t="s">
        <v>346</v>
      </c>
      <c r="M281" s="100" t="s">
        <v>59</v>
      </c>
      <c r="N281" s="100" t="s">
        <v>7</v>
      </c>
      <c r="O281" s="100" t="s">
        <v>140</v>
      </c>
      <c r="P281" s="100" t="s">
        <v>39</v>
      </c>
      <c r="Q281" s="100" t="s">
        <v>94</v>
      </c>
      <c r="R281" s="100" t="s">
        <v>100</v>
      </c>
    </row>
    <row r="282" spans="1:18" s="101" customFormat="1">
      <c r="A282" s="100" t="str">
        <f>VLOOKUP(C282,classifications!C:F,4,FALSE)</f>
        <v>SD</v>
      </c>
      <c r="B282" s="100" t="s">
        <v>710</v>
      </c>
      <c r="C282" s="100" t="s">
        <v>349</v>
      </c>
      <c r="D282" s="100" t="s">
        <v>31</v>
      </c>
      <c r="E282" s="100" t="s">
        <v>72</v>
      </c>
      <c r="F282" s="100" t="s">
        <v>16</v>
      </c>
      <c r="G282" s="100" t="s">
        <v>25</v>
      </c>
      <c r="H282" s="100" t="s">
        <v>148</v>
      </c>
      <c r="I282" s="100" t="s">
        <v>346</v>
      </c>
      <c r="J282" s="100" t="s">
        <v>128</v>
      </c>
      <c r="K282" s="100" t="s">
        <v>94</v>
      </c>
      <c r="L282" s="100" t="s">
        <v>125</v>
      </c>
      <c r="M282" s="100" t="s">
        <v>58</v>
      </c>
      <c r="N282" s="100" t="s">
        <v>155</v>
      </c>
      <c r="O282" s="100" t="s">
        <v>91</v>
      </c>
      <c r="P282" s="100" t="s">
        <v>102</v>
      </c>
      <c r="Q282" s="100" t="s">
        <v>130</v>
      </c>
      <c r="R282" s="100" t="s">
        <v>112</v>
      </c>
    </row>
    <row r="283" spans="1:18" s="101" customFormat="1">
      <c r="A283" s="100" t="str">
        <f>VLOOKUP(C283,classifications!C:F,4,FALSE)</f>
        <v>SD</v>
      </c>
      <c r="B283" s="100" t="s">
        <v>711</v>
      </c>
      <c r="C283" s="100" t="s">
        <v>18</v>
      </c>
      <c r="D283" s="100" t="s">
        <v>69</v>
      </c>
      <c r="E283" s="100" t="s">
        <v>68</v>
      </c>
      <c r="F283" s="100" t="s">
        <v>142</v>
      </c>
      <c r="G283" s="100" t="s">
        <v>180</v>
      </c>
      <c r="H283" s="100" t="s">
        <v>99</v>
      </c>
      <c r="I283" s="100" t="s">
        <v>15</v>
      </c>
      <c r="J283" s="100" t="s">
        <v>20</v>
      </c>
      <c r="K283" s="100" t="s">
        <v>30</v>
      </c>
      <c r="L283" s="100" t="s">
        <v>59</v>
      </c>
      <c r="M283" s="100" t="s">
        <v>17</v>
      </c>
      <c r="N283" s="100" t="s">
        <v>196</v>
      </c>
      <c r="O283" s="100" t="s">
        <v>91</v>
      </c>
      <c r="P283" s="100" t="s">
        <v>153</v>
      </c>
      <c r="Q283" s="100" t="s">
        <v>36</v>
      </c>
      <c r="R283" s="100" t="s">
        <v>42</v>
      </c>
    </row>
    <row r="284" spans="1:18" s="101" customFormat="1">
      <c r="A284" s="100" t="str">
        <f>VLOOKUP(C284,classifications!C:F,4,FALSE)</f>
        <v>SD</v>
      </c>
      <c r="B284" s="100" t="s">
        <v>712</v>
      </c>
      <c r="C284" s="100" t="s">
        <v>57</v>
      </c>
      <c r="D284" s="100" t="s">
        <v>378</v>
      </c>
      <c r="E284" s="100" t="s">
        <v>7</v>
      </c>
      <c r="F284" s="100" t="s">
        <v>68</v>
      </c>
      <c r="G284" s="100" t="s">
        <v>166</v>
      </c>
      <c r="H284" s="100" t="s">
        <v>30</v>
      </c>
      <c r="I284" s="100" t="s">
        <v>20</v>
      </c>
      <c r="J284" s="100" t="s">
        <v>142</v>
      </c>
      <c r="K284" s="100" t="s">
        <v>15</v>
      </c>
      <c r="L284" s="100" t="s">
        <v>177</v>
      </c>
      <c r="M284" s="100" t="s">
        <v>6</v>
      </c>
      <c r="N284" s="100" t="s">
        <v>195</v>
      </c>
      <c r="O284" s="100" t="s">
        <v>196</v>
      </c>
      <c r="P284" s="100" t="s">
        <v>347</v>
      </c>
      <c r="Q284" s="100" t="s">
        <v>133</v>
      </c>
      <c r="R284" s="100" t="s">
        <v>185</v>
      </c>
    </row>
    <row r="285" spans="1:18" s="101" customFormat="1">
      <c r="A285" s="100" t="str">
        <f>VLOOKUP(C285,classifications!C:F,4,FALSE)</f>
        <v>SD</v>
      </c>
      <c r="B285" s="100" t="s">
        <v>713</v>
      </c>
      <c r="C285" s="100" t="s">
        <v>95</v>
      </c>
      <c r="D285" s="100" t="s">
        <v>120</v>
      </c>
      <c r="E285" s="100" t="s">
        <v>90</v>
      </c>
      <c r="F285" s="100" t="s">
        <v>36</v>
      </c>
      <c r="G285" s="100" t="s">
        <v>191</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714</v>
      </c>
      <c r="C286" s="100" t="s">
        <v>112</v>
      </c>
      <c r="D286" s="100" t="s">
        <v>346</v>
      </c>
      <c r="E286" s="100" t="s">
        <v>185</v>
      </c>
      <c r="F286" s="100" t="s">
        <v>22</v>
      </c>
      <c r="G286" s="100" t="s">
        <v>155</v>
      </c>
      <c r="H286" s="100" t="s">
        <v>145</v>
      </c>
      <c r="I286" s="100" t="s">
        <v>12</v>
      </c>
      <c r="J286" s="100" t="s">
        <v>347</v>
      </c>
      <c r="K286" s="100" t="s">
        <v>150</v>
      </c>
      <c r="L286" s="100" t="s">
        <v>20</v>
      </c>
      <c r="M286" s="100" t="s">
        <v>70</v>
      </c>
      <c r="N286" s="100" t="s">
        <v>148</v>
      </c>
      <c r="O286" s="100" t="s">
        <v>158</v>
      </c>
      <c r="P286" s="100" t="s">
        <v>7</v>
      </c>
      <c r="Q286" s="100" t="s">
        <v>100</v>
      </c>
      <c r="R286" s="100" t="s">
        <v>140</v>
      </c>
    </row>
    <row r="287" spans="1:18" s="101" customFormat="1">
      <c r="A287" s="100" t="str">
        <f>VLOOKUP(C287,classifications!C:F,4,FALSE)</f>
        <v>SD</v>
      </c>
      <c r="B287" s="100" t="s">
        <v>715</v>
      </c>
      <c r="C287" s="100" t="s">
        <v>142</v>
      </c>
      <c r="D287" s="100" t="s">
        <v>20</v>
      </c>
      <c r="E287" s="100" t="s">
        <v>378</v>
      </c>
      <c r="F287" s="100" t="s">
        <v>68</v>
      </c>
      <c r="G287" s="100" t="s">
        <v>185</v>
      </c>
      <c r="H287" s="100" t="s">
        <v>347</v>
      </c>
      <c r="I287" s="100" t="s">
        <v>70</v>
      </c>
      <c r="J287" s="100" t="s">
        <v>15</v>
      </c>
      <c r="K287" s="100" t="s">
        <v>112</v>
      </c>
      <c r="L287" s="100" t="s">
        <v>7</v>
      </c>
      <c r="M287" s="100" t="s">
        <v>153</v>
      </c>
      <c r="N287" s="100" t="s">
        <v>184</v>
      </c>
      <c r="O287" s="100" t="s">
        <v>18</v>
      </c>
      <c r="P287" s="100" t="s">
        <v>12</v>
      </c>
      <c r="Q287" s="100" t="s">
        <v>115</v>
      </c>
      <c r="R287" s="100" t="s">
        <v>155</v>
      </c>
    </row>
    <row r="288" spans="1:18" s="101" customFormat="1">
      <c r="A288" s="100" t="str">
        <f>VLOOKUP(C288,classifications!C:F,4,FALSE)</f>
        <v>SD</v>
      </c>
      <c r="B288" s="100" t="s">
        <v>716</v>
      </c>
      <c r="C288" s="100" t="s">
        <v>143</v>
      </c>
      <c r="D288" s="100" t="s">
        <v>7</v>
      </c>
      <c r="E288" s="100" t="s">
        <v>347</v>
      </c>
      <c r="F288" s="100" t="s">
        <v>101</v>
      </c>
      <c r="G288" s="100" t="s">
        <v>154</v>
      </c>
      <c r="H288" s="100" t="s">
        <v>153</v>
      </c>
      <c r="I288" s="100" t="s">
        <v>148</v>
      </c>
      <c r="J288" s="100" t="s">
        <v>19</v>
      </c>
      <c r="K288" s="100" t="s">
        <v>346</v>
      </c>
      <c r="L288" s="100" t="s">
        <v>39</v>
      </c>
      <c r="M288" s="100" t="s">
        <v>94</v>
      </c>
      <c r="N288" s="100" t="s">
        <v>164</v>
      </c>
      <c r="O288" s="100" t="s">
        <v>86</v>
      </c>
      <c r="P288" s="100" t="s">
        <v>184</v>
      </c>
      <c r="Q288" s="100" t="s">
        <v>59</v>
      </c>
      <c r="R288" s="100" t="s">
        <v>58</v>
      </c>
    </row>
    <row r="289" spans="1:18" s="101" customFormat="1">
      <c r="A289" s="100" t="str">
        <f>VLOOKUP(C289,classifications!C:F,4,FALSE)</f>
        <v>SD</v>
      </c>
      <c r="B289" s="100" t="s">
        <v>717</v>
      </c>
      <c r="C289" s="100" t="s">
        <v>185</v>
      </c>
      <c r="D289" s="100" t="s">
        <v>70</v>
      </c>
      <c r="E289" s="100" t="s">
        <v>112</v>
      </c>
      <c r="F289" s="100" t="s">
        <v>184</v>
      </c>
      <c r="G289" s="100" t="s">
        <v>347</v>
      </c>
      <c r="H289" s="100" t="s">
        <v>346</v>
      </c>
      <c r="I289" s="100" t="s">
        <v>7</v>
      </c>
      <c r="J289" s="100" t="s">
        <v>155</v>
      </c>
      <c r="K289" s="100" t="s">
        <v>20</v>
      </c>
      <c r="L289" s="100" t="s">
        <v>12</v>
      </c>
      <c r="M289" s="100" t="s">
        <v>100</v>
      </c>
      <c r="N289" s="100" t="s">
        <v>150</v>
      </c>
      <c r="O289" s="100" t="s">
        <v>110</v>
      </c>
      <c r="P289" s="100" t="s">
        <v>145</v>
      </c>
      <c r="Q289" s="100" t="s">
        <v>142</v>
      </c>
      <c r="R289" s="100" t="s">
        <v>58</v>
      </c>
    </row>
    <row r="290" spans="1:18" s="101" customFormat="1">
      <c r="A290" s="100" t="str">
        <f>VLOOKUP(C290,classifications!C:F,4,FALSE)</f>
        <v>SD</v>
      </c>
      <c r="B290" s="100" t="s">
        <v>718</v>
      </c>
      <c r="C290" s="100" t="s">
        <v>20</v>
      </c>
      <c r="D290" s="100" t="s">
        <v>378</v>
      </c>
      <c r="E290" s="100" t="s">
        <v>142</v>
      </c>
      <c r="F290" s="100" t="s">
        <v>347</v>
      </c>
      <c r="G290" s="100" t="s">
        <v>185</v>
      </c>
      <c r="H290" s="100" t="s">
        <v>149</v>
      </c>
      <c r="I290" s="100" t="s">
        <v>112</v>
      </c>
      <c r="J290" s="100" t="s">
        <v>7</v>
      </c>
      <c r="K290" s="100" t="s">
        <v>153</v>
      </c>
      <c r="L290" s="100" t="s">
        <v>68</v>
      </c>
      <c r="M290" s="100" t="s">
        <v>143</v>
      </c>
      <c r="N290" s="100" t="s">
        <v>184</v>
      </c>
      <c r="O290" s="100" t="s">
        <v>70</v>
      </c>
      <c r="P290" s="100" t="s">
        <v>15</v>
      </c>
      <c r="Q290" s="100" t="s">
        <v>101</v>
      </c>
      <c r="R290" s="100" t="s">
        <v>110</v>
      </c>
    </row>
    <row r="291" spans="1:18" s="101" customFormat="1">
      <c r="A291" s="100" t="str">
        <f>VLOOKUP(C291,classifications!C:F,4,FALSE)</f>
        <v>SD</v>
      </c>
      <c r="B291" s="100" t="s">
        <v>719</v>
      </c>
      <c r="C291" s="100" t="s">
        <v>22</v>
      </c>
      <c r="D291" s="100" t="s">
        <v>112</v>
      </c>
      <c r="E291" s="100" t="s">
        <v>155</v>
      </c>
      <c r="F291" s="100" t="s">
        <v>145</v>
      </c>
      <c r="G291" s="100" t="s">
        <v>346</v>
      </c>
      <c r="H291" s="100" t="s">
        <v>12</v>
      </c>
      <c r="I291" s="100" t="s">
        <v>150</v>
      </c>
      <c r="J291" s="100" t="s">
        <v>130</v>
      </c>
      <c r="K291" s="100" t="s">
        <v>103</v>
      </c>
      <c r="L291" s="100" t="s">
        <v>158</v>
      </c>
      <c r="M291" s="100" t="s">
        <v>154</v>
      </c>
      <c r="N291" s="100" t="s">
        <v>16</v>
      </c>
      <c r="O291" s="100" t="s">
        <v>94</v>
      </c>
      <c r="P291" s="100" t="s">
        <v>168</v>
      </c>
      <c r="Q291" s="100" t="s">
        <v>102</v>
      </c>
      <c r="R291" s="100" t="s">
        <v>149</v>
      </c>
    </row>
    <row r="292" spans="1:18" s="101" customFormat="1">
      <c r="A292" s="100" t="str">
        <f>VLOOKUP(C292,classifications!C:F,4,FALSE)</f>
        <v>SD</v>
      </c>
      <c r="B292" s="100" t="s">
        <v>720</v>
      </c>
      <c r="C292" s="100" t="s">
        <v>76</v>
      </c>
      <c r="D292" s="100" t="s">
        <v>169</v>
      </c>
      <c r="E292" s="100" t="s">
        <v>177</v>
      </c>
      <c r="F292" s="100" t="s">
        <v>13</v>
      </c>
      <c r="G292" s="100" t="s">
        <v>51</v>
      </c>
      <c r="H292" s="100" t="s">
        <v>137</v>
      </c>
      <c r="I292" s="100" t="s">
        <v>83</v>
      </c>
      <c r="J292" s="100" t="s">
        <v>133</v>
      </c>
      <c r="K292" s="100" t="s">
        <v>36</v>
      </c>
      <c r="L292" s="100" t="s">
        <v>99</v>
      </c>
      <c r="M292" s="100" t="s">
        <v>166</v>
      </c>
      <c r="N292" s="100" t="s">
        <v>119</v>
      </c>
      <c r="O292" s="100" t="s">
        <v>6</v>
      </c>
      <c r="P292" s="100" t="s">
        <v>89</v>
      </c>
      <c r="Q292" s="100" t="s">
        <v>95</v>
      </c>
      <c r="R292" s="100" t="s">
        <v>196</v>
      </c>
    </row>
    <row r="293" spans="1:18" s="101" customFormat="1">
      <c r="A293" s="100" t="str">
        <f>VLOOKUP(C293,classifications!C:F,4,FALSE)</f>
        <v>SD</v>
      </c>
      <c r="B293" s="100" t="s">
        <v>721</v>
      </c>
      <c r="C293" s="102" t="s">
        <v>378</v>
      </c>
      <c r="D293" s="100" t="s">
        <v>20</v>
      </c>
      <c r="E293" s="100" t="s">
        <v>149</v>
      </c>
      <c r="F293" s="100" t="s">
        <v>142</v>
      </c>
      <c r="G293" s="100" t="s">
        <v>347</v>
      </c>
      <c r="H293" s="100" t="s">
        <v>7</v>
      </c>
      <c r="I293" s="100" t="s">
        <v>185</v>
      </c>
      <c r="J293" s="100" t="s">
        <v>143</v>
      </c>
      <c r="K293" s="100" t="s">
        <v>101</v>
      </c>
      <c r="L293" s="100" t="s">
        <v>68</v>
      </c>
      <c r="M293" s="100" t="s">
        <v>153</v>
      </c>
      <c r="N293" s="100" t="s">
        <v>184</v>
      </c>
      <c r="O293" s="100" t="s">
        <v>57</v>
      </c>
      <c r="P293" s="100" t="s">
        <v>70</v>
      </c>
      <c r="Q293" s="100" t="s">
        <v>15</v>
      </c>
      <c r="R293" s="100" t="s">
        <v>145</v>
      </c>
    </row>
    <row r="294" spans="1:18" s="101" customFormat="1">
      <c r="A294" s="100" t="str">
        <f>VLOOKUP(C294,classifications!C:F,4,FALSE)</f>
        <v>SD</v>
      </c>
      <c r="B294" s="100" t="s">
        <v>722</v>
      </c>
      <c r="C294" s="100" t="s">
        <v>113</v>
      </c>
      <c r="D294" s="100" t="s">
        <v>183</v>
      </c>
      <c r="E294" s="100" t="s">
        <v>127</v>
      </c>
      <c r="F294" s="100" t="s">
        <v>53</v>
      </c>
      <c r="G294" s="100" t="s">
        <v>171</v>
      </c>
      <c r="H294" s="100" t="s">
        <v>71</v>
      </c>
      <c r="I294" s="100" t="s">
        <v>165</v>
      </c>
      <c r="J294" s="100" t="s">
        <v>195</v>
      </c>
      <c r="K294" s="100" t="s">
        <v>187</v>
      </c>
      <c r="L294" s="100" t="s">
        <v>108</v>
      </c>
      <c r="M294" s="100" t="s">
        <v>141</v>
      </c>
      <c r="N294" s="100" t="s">
        <v>144</v>
      </c>
      <c r="O294" s="100" t="s">
        <v>166</v>
      </c>
      <c r="P294" s="100" t="s">
        <v>57</v>
      </c>
      <c r="Q294" s="100" t="s">
        <v>121</v>
      </c>
      <c r="R294" s="100" t="s">
        <v>37</v>
      </c>
    </row>
    <row r="295" spans="1:18" s="101" customFormat="1">
      <c r="A295" s="100" t="str">
        <f>VLOOKUP(C295,classifications!C:F,4,FALSE)</f>
        <v>SD</v>
      </c>
      <c r="B295" s="100" t="s">
        <v>723</v>
      </c>
      <c r="C295" s="100" t="s">
        <v>117</v>
      </c>
      <c r="D295" s="100" t="s">
        <v>95</v>
      </c>
      <c r="E295" s="100" t="s">
        <v>90</v>
      </c>
      <c r="F295" s="100" t="s">
        <v>120</v>
      </c>
      <c r="G295" s="100" t="s">
        <v>66</v>
      </c>
      <c r="H295" s="100" t="s">
        <v>36</v>
      </c>
      <c r="I295" s="100" t="s">
        <v>80</v>
      </c>
      <c r="J295" s="100" t="s">
        <v>156</v>
      </c>
      <c r="K295" s="100" t="s">
        <v>191</v>
      </c>
      <c r="L295" s="100" t="s">
        <v>83</v>
      </c>
      <c r="M295" s="100" t="s">
        <v>181</v>
      </c>
      <c r="N295" s="100" t="s">
        <v>122</v>
      </c>
      <c r="O295" s="100" t="s">
        <v>73</v>
      </c>
      <c r="P295" s="100" t="s">
        <v>14</v>
      </c>
      <c r="Q295" s="100" t="s">
        <v>28</v>
      </c>
      <c r="R295" s="100" t="s">
        <v>76</v>
      </c>
    </row>
    <row r="296" spans="1:18" s="101" customFormat="1">
      <c r="A296" s="100" t="str">
        <f>VLOOKUP(C296,classifications!C:F,4,FALSE)</f>
        <v>SD</v>
      </c>
      <c r="B296" s="100" t="s">
        <v>724</v>
      </c>
      <c r="C296" s="100" t="s">
        <v>145</v>
      </c>
      <c r="D296" s="100" t="s">
        <v>103</v>
      </c>
      <c r="E296" s="100" t="s">
        <v>12</v>
      </c>
      <c r="F296" s="100" t="s">
        <v>112</v>
      </c>
      <c r="G296" s="100" t="s">
        <v>22</v>
      </c>
      <c r="H296" s="100" t="s">
        <v>149</v>
      </c>
      <c r="I296" s="100" t="s">
        <v>193</v>
      </c>
      <c r="J296" s="100" t="s">
        <v>70</v>
      </c>
      <c r="K296" s="100" t="s">
        <v>109</v>
      </c>
      <c r="L296" s="100" t="s">
        <v>102</v>
      </c>
      <c r="M296" s="100" t="s">
        <v>78</v>
      </c>
      <c r="N296" s="100" t="s">
        <v>185</v>
      </c>
      <c r="O296" s="100" t="s">
        <v>158</v>
      </c>
      <c r="P296" s="100" t="s">
        <v>168</v>
      </c>
      <c r="Q296" s="100" t="s">
        <v>346</v>
      </c>
      <c r="R296" s="100" t="s">
        <v>130</v>
      </c>
    </row>
    <row r="297" spans="1:18" s="101" customFormat="1">
      <c r="A297" s="100" t="str">
        <f>VLOOKUP(C297,classifications!C:F,4,FALSE)</f>
        <v>SD</v>
      </c>
      <c r="B297" s="100" t="s">
        <v>725</v>
      </c>
      <c r="C297" s="100" t="s">
        <v>45</v>
      </c>
      <c r="D297" s="100" t="s">
        <v>62</v>
      </c>
      <c r="E297" s="100" t="s">
        <v>132</v>
      </c>
      <c r="F297" s="100" t="s">
        <v>50</v>
      </c>
      <c r="G297" s="100" t="s">
        <v>182</v>
      </c>
      <c r="H297" s="100" t="s">
        <v>44</v>
      </c>
      <c r="I297" s="100" t="s">
        <v>123</v>
      </c>
      <c r="J297" s="100" t="s">
        <v>78</v>
      </c>
      <c r="K297" s="100" t="s">
        <v>141</v>
      </c>
      <c r="L297" s="100" t="s">
        <v>109</v>
      </c>
      <c r="M297" s="100" t="s">
        <v>101</v>
      </c>
      <c r="N297" s="100" t="s">
        <v>144</v>
      </c>
      <c r="O297" s="100" t="s">
        <v>12</v>
      </c>
      <c r="P297" s="100" t="s">
        <v>71</v>
      </c>
      <c r="Q297" s="100" t="s">
        <v>97</v>
      </c>
      <c r="R297" s="100" t="s">
        <v>157</v>
      </c>
    </row>
    <row r="298" spans="1:18" s="101" customFormat="1">
      <c r="A298" s="100" t="str">
        <f>VLOOKUP(C298,classifications!C:F,4,FALSE)</f>
        <v>SD</v>
      </c>
      <c r="B298" s="100" t="s">
        <v>726</v>
      </c>
      <c r="C298" s="100" t="s">
        <v>78</v>
      </c>
      <c r="D298" s="100" t="s">
        <v>109</v>
      </c>
      <c r="E298" s="100" t="s">
        <v>12</v>
      </c>
      <c r="F298" s="100" t="s">
        <v>193</v>
      </c>
      <c r="G298" s="100" t="s">
        <v>157</v>
      </c>
      <c r="H298" s="100" t="s">
        <v>50</v>
      </c>
      <c r="I298" s="100" t="s">
        <v>44</v>
      </c>
      <c r="J298" s="100" t="s">
        <v>102</v>
      </c>
      <c r="K298" s="100" t="s">
        <v>97</v>
      </c>
      <c r="L298" s="100" t="s">
        <v>168</v>
      </c>
      <c r="M298" s="100" t="s">
        <v>62</v>
      </c>
      <c r="N298" s="100" t="s">
        <v>158</v>
      </c>
      <c r="O298" s="100" t="s">
        <v>98</v>
      </c>
      <c r="P298" s="100" t="s">
        <v>103</v>
      </c>
      <c r="Q298" s="100" t="s">
        <v>123</v>
      </c>
      <c r="R298" s="100" t="s">
        <v>94</v>
      </c>
    </row>
    <row r="299" spans="1:18" s="101" customFormat="1">
      <c r="A299" s="100" t="str">
        <f>VLOOKUP(C299,classifications!C:F,4,FALSE)</f>
        <v>SD</v>
      </c>
      <c r="B299" s="100" t="s">
        <v>727</v>
      </c>
      <c r="C299" s="100" t="s">
        <v>124</v>
      </c>
      <c r="D299" s="100" t="s">
        <v>100</v>
      </c>
      <c r="E299" s="100" t="s">
        <v>97</v>
      </c>
      <c r="F299" s="100" t="s">
        <v>123</v>
      </c>
      <c r="G299" s="100" t="s">
        <v>79</v>
      </c>
      <c r="H299" s="100" t="s">
        <v>168</v>
      </c>
      <c r="I299" s="100" t="s">
        <v>78</v>
      </c>
      <c r="J299" s="100" t="s">
        <v>109</v>
      </c>
      <c r="K299" s="100" t="s">
        <v>158</v>
      </c>
      <c r="L299" s="100" t="s">
        <v>94</v>
      </c>
      <c r="M299" s="100" t="s">
        <v>102</v>
      </c>
      <c r="N299" s="100" t="s">
        <v>346</v>
      </c>
      <c r="O299" s="100" t="s">
        <v>12</v>
      </c>
      <c r="P299" s="100" t="s">
        <v>49</v>
      </c>
      <c r="Q299" s="100" t="s">
        <v>135</v>
      </c>
      <c r="R299" s="100" t="s">
        <v>103</v>
      </c>
    </row>
    <row r="300" spans="1:18" s="101" customFormat="1">
      <c r="A300" s="100" t="str">
        <f>VLOOKUP(C300,classifications!C:F,4,FALSE)</f>
        <v>SD</v>
      </c>
      <c r="B300" s="100" t="s">
        <v>728</v>
      </c>
      <c r="C300" s="100" t="s">
        <v>133</v>
      </c>
      <c r="D300" s="100" t="s">
        <v>108</v>
      </c>
      <c r="E300" s="100" t="s">
        <v>195</v>
      </c>
      <c r="F300" s="100" t="s">
        <v>177</v>
      </c>
      <c r="G300" s="100" t="s">
        <v>137</v>
      </c>
      <c r="H300" s="100" t="s">
        <v>166</v>
      </c>
      <c r="I300" s="100" t="s">
        <v>92</v>
      </c>
      <c r="J300" s="100" t="s">
        <v>76</v>
      </c>
      <c r="K300" s="100" t="s">
        <v>51</v>
      </c>
      <c r="L300" s="100" t="s">
        <v>57</v>
      </c>
      <c r="M300" s="100" t="s">
        <v>71</v>
      </c>
      <c r="N300" s="100" t="s">
        <v>6</v>
      </c>
      <c r="O300" s="100" t="s">
        <v>169</v>
      </c>
      <c r="P300" s="100" t="s">
        <v>192</v>
      </c>
      <c r="Q300" s="100" t="s">
        <v>171</v>
      </c>
      <c r="R300" s="100" t="s">
        <v>13</v>
      </c>
    </row>
    <row r="301" spans="1:18" s="101" customFormat="1">
      <c r="A301" s="100" t="str">
        <f>VLOOKUP(C301,classifications!C:F,4,FALSE)</f>
        <v>SD</v>
      </c>
      <c r="B301" s="100" t="s">
        <v>729</v>
      </c>
      <c r="C301" s="100" t="s">
        <v>81</v>
      </c>
      <c r="D301" s="100" t="s">
        <v>104</v>
      </c>
      <c r="E301" s="100" t="s">
        <v>96</v>
      </c>
      <c r="F301" s="100" t="s">
        <v>87</v>
      </c>
      <c r="G301" s="100" t="s">
        <v>175</v>
      </c>
      <c r="H301" s="100" t="s">
        <v>101</v>
      </c>
      <c r="I301" s="100" t="s">
        <v>33</v>
      </c>
      <c r="J301" s="100" t="s">
        <v>164</v>
      </c>
      <c r="K301" s="100" t="s">
        <v>56</v>
      </c>
      <c r="L301" s="100" t="s">
        <v>158</v>
      </c>
      <c r="M301" s="100" t="s">
        <v>55</v>
      </c>
      <c r="N301" s="100" t="s">
        <v>154</v>
      </c>
      <c r="O301" s="100" t="s">
        <v>157</v>
      </c>
      <c r="P301" s="100" t="s">
        <v>143</v>
      </c>
      <c r="Q301" s="100" t="s">
        <v>167</v>
      </c>
      <c r="R301" s="100" t="s">
        <v>149</v>
      </c>
    </row>
    <row r="302" spans="1:18" s="101" customFormat="1">
      <c r="A302" s="100" t="str">
        <f>VLOOKUP(C302,classifications!C:F,4,FALSE)</f>
        <v>SD</v>
      </c>
      <c r="B302" s="100" t="s">
        <v>730</v>
      </c>
      <c r="C302" s="100" t="s">
        <v>132</v>
      </c>
      <c r="D302" s="100" t="s">
        <v>182</v>
      </c>
      <c r="E302" s="100" t="s">
        <v>50</v>
      </c>
      <c r="F302" s="100" t="s">
        <v>62</v>
      </c>
      <c r="G302" s="100" t="s">
        <v>45</v>
      </c>
      <c r="H302" s="100" t="s">
        <v>78</v>
      </c>
      <c r="I302" s="100" t="s">
        <v>44</v>
      </c>
      <c r="J302" s="100" t="s">
        <v>109</v>
      </c>
      <c r="K302" s="100" t="s">
        <v>97</v>
      </c>
      <c r="L302" s="100" t="s">
        <v>98</v>
      </c>
      <c r="M302" s="100" t="s">
        <v>123</v>
      </c>
      <c r="N302" s="100" t="s">
        <v>12</v>
      </c>
      <c r="O302" s="100" t="s">
        <v>101</v>
      </c>
      <c r="P302" s="100" t="s">
        <v>141</v>
      </c>
      <c r="Q302" s="100" t="s">
        <v>155</v>
      </c>
      <c r="R302" s="100" t="s">
        <v>100</v>
      </c>
    </row>
    <row r="303" spans="1:18" s="101" customFormat="1">
      <c r="A303" s="100" t="str">
        <f>VLOOKUP(C303,classifications!C:F,4,FALSE)</f>
        <v>SD</v>
      </c>
      <c r="B303" s="100" t="s">
        <v>731</v>
      </c>
      <c r="C303" s="100" t="s">
        <v>135</v>
      </c>
      <c r="D303" s="100" t="s">
        <v>49</v>
      </c>
      <c r="E303" s="100" t="s">
        <v>115</v>
      </c>
      <c r="F303" s="100" t="s">
        <v>114</v>
      </c>
      <c r="G303" s="100" t="s">
        <v>168</v>
      </c>
      <c r="H303" s="100" t="s">
        <v>347</v>
      </c>
      <c r="I303" s="100" t="s">
        <v>140</v>
      </c>
      <c r="J303" s="100" t="s">
        <v>100</v>
      </c>
      <c r="K303" s="100" t="s">
        <v>346</v>
      </c>
      <c r="L303" s="100" t="s">
        <v>184</v>
      </c>
      <c r="M303" s="100" t="s">
        <v>94</v>
      </c>
      <c r="N303" s="100" t="s">
        <v>58</v>
      </c>
      <c r="O303" s="100" t="s">
        <v>153</v>
      </c>
      <c r="P303" s="100" t="s">
        <v>158</v>
      </c>
      <c r="Q303" s="100" t="s">
        <v>79</v>
      </c>
      <c r="R303" s="100" t="s">
        <v>124</v>
      </c>
    </row>
    <row r="304" spans="1:18" s="101" customFormat="1">
      <c r="A304" s="100" t="str">
        <f>VLOOKUP(C304,classifications!C:F,4,FALSE)</f>
        <v>SD</v>
      </c>
      <c r="B304" s="100" t="s">
        <v>732</v>
      </c>
      <c r="C304" s="100" t="s">
        <v>43</v>
      </c>
      <c r="D304" s="100" t="s">
        <v>122</v>
      </c>
      <c r="E304" s="100" t="s">
        <v>162</v>
      </c>
      <c r="F304" s="100" t="s">
        <v>99</v>
      </c>
      <c r="G304" s="100" t="s">
        <v>348</v>
      </c>
      <c r="H304" s="100" t="s">
        <v>180</v>
      </c>
      <c r="I304" s="100" t="s">
        <v>9</v>
      </c>
      <c r="J304" s="100" t="s">
        <v>156</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733</v>
      </c>
      <c r="C305" s="100" t="s">
        <v>49</v>
      </c>
      <c r="D305" s="100" t="s">
        <v>135</v>
      </c>
      <c r="E305" s="100" t="s">
        <v>115</v>
      </c>
      <c r="F305" s="100" t="s">
        <v>168</v>
      </c>
      <c r="G305" s="100" t="s">
        <v>79</v>
      </c>
      <c r="H305" s="100" t="s">
        <v>100</v>
      </c>
      <c r="I305" s="100" t="s">
        <v>114</v>
      </c>
      <c r="J305" s="100" t="s">
        <v>140</v>
      </c>
      <c r="K305" s="100" t="s">
        <v>167</v>
      </c>
      <c r="L305" s="100" t="s">
        <v>58</v>
      </c>
      <c r="M305" s="100" t="s">
        <v>124</v>
      </c>
      <c r="N305" s="100" t="s">
        <v>97</v>
      </c>
      <c r="O305" s="100" t="s">
        <v>158</v>
      </c>
      <c r="P305" s="100" t="s">
        <v>94</v>
      </c>
      <c r="Q305" s="100" t="s">
        <v>347</v>
      </c>
      <c r="R305" s="100" t="s">
        <v>346</v>
      </c>
    </row>
    <row r="306" spans="1:18" s="101" customFormat="1">
      <c r="A306" s="100" t="str">
        <f>VLOOKUP(C306,classifications!C:F,4,FALSE)</f>
        <v>SD</v>
      </c>
      <c r="B306" s="100" t="s">
        <v>734</v>
      </c>
      <c r="C306" s="100" t="s">
        <v>58</v>
      </c>
      <c r="D306" s="100" t="s">
        <v>346</v>
      </c>
      <c r="E306" s="100" t="s">
        <v>140</v>
      </c>
      <c r="F306" s="100" t="s">
        <v>39</v>
      </c>
      <c r="G306" s="100" t="s">
        <v>94</v>
      </c>
      <c r="H306" s="100" t="s">
        <v>100</v>
      </c>
      <c r="I306" s="100" t="s">
        <v>148</v>
      </c>
      <c r="J306" s="100" t="s">
        <v>347</v>
      </c>
      <c r="K306" s="100" t="s">
        <v>128</v>
      </c>
      <c r="L306" s="100" t="s">
        <v>158</v>
      </c>
      <c r="M306" s="100" t="s">
        <v>91</v>
      </c>
      <c r="N306" s="100" t="s">
        <v>10</v>
      </c>
      <c r="O306" s="100" t="s">
        <v>102</v>
      </c>
      <c r="P306" s="100" t="s">
        <v>115</v>
      </c>
      <c r="Q306" s="100" t="s">
        <v>184</v>
      </c>
      <c r="R306" s="100" t="s">
        <v>143</v>
      </c>
    </row>
    <row r="307" spans="1:18" s="101" customFormat="1">
      <c r="A307" s="100" t="str">
        <f>VLOOKUP(C307,classifications!C:F,4,FALSE)</f>
        <v>SD</v>
      </c>
      <c r="B307" s="100" t="s">
        <v>735</v>
      </c>
      <c r="C307" s="100" t="s">
        <v>91</v>
      </c>
      <c r="D307" s="100" t="s">
        <v>128</v>
      </c>
      <c r="E307" s="100" t="s">
        <v>59</v>
      </c>
      <c r="F307" s="100" t="s">
        <v>73</v>
      </c>
      <c r="G307" s="100" t="s">
        <v>348</v>
      </c>
      <c r="H307" s="100" t="s">
        <v>65</v>
      </c>
      <c r="I307" s="100" t="s">
        <v>39</v>
      </c>
      <c r="J307" s="100" t="s">
        <v>58</v>
      </c>
      <c r="K307" s="100" t="s">
        <v>86</v>
      </c>
      <c r="L307" s="100" t="s">
        <v>126</v>
      </c>
      <c r="M307" s="100" t="s">
        <v>72</v>
      </c>
      <c r="N307" s="100" t="s">
        <v>191</v>
      </c>
      <c r="O307" s="100" t="s">
        <v>180</v>
      </c>
      <c r="P307" s="100" t="s">
        <v>148</v>
      </c>
      <c r="Q307" s="100" t="s">
        <v>143</v>
      </c>
      <c r="R307" s="100" t="s">
        <v>19</v>
      </c>
    </row>
    <row r="308" spans="1:18" s="101" customFormat="1">
      <c r="A308" s="100" t="str">
        <f>VLOOKUP(C308,classifications!C:F,4,FALSE)</f>
        <v>SD</v>
      </c>
      <c r="B308" s="100" t="s">
        <v>736</v>
      </c>
      <c r="C308" s="100" t="s">
        <v>116</v>
      </c>
      <c r="D308" s="100" t="s">
        <v>120</v>
      </c>
      <c r="E308" s="100" t="s">
        <v>14</v>
      </c>
      <c r="F308" s="100" t="s">
        <v>73</v>
      </c>
      <c r="G308" s="100" t="s">
        <v>90</v>
      </c>
      <c r="H308" s="100" t="s">
        <v>41</v>
      </c>
      <c r="I308" s="100" t="s">
        <v>131</v>
      </c>
      <c r="J308" s="100" t="s">
        <v>348</v>
      </c>
      <c r="K308" s="100" t="s">
        <v>191</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737</v>
      </c>
      <c r="C309" s="100" t="s">
        <v>146</v>
      </c>
      <c r="D309" s="100" t="s">
        <v>79</v>
      </c>
      <c r="E309" s="100" t="s">
        <v>103</v>
      </c>
      <c r="F309" s="100" t="s">
        <v>130</v>
      </c>
      <c r="G309" s="100" t="s">
        <v>173</v>
      </c>
      <c r="H309" s="100" t="s">
        <v>52</v>
      </c>
      <c r="I309" s="100" t="s">
        <v>186</v>
      </c>
      <c r="J309" s="100" t="s">
        <v>100</v>
      </c>
      <c r="K309" s="100" t="s">
        <v>124</v>
      </c>
      <c r="L309" s="100" t="s">
        <v>168</v>
      </c>
      <c r="M309" s="100" t="s">
        <v>145</v>
      </c>
      <c r="N309" s="100" t="s">
        <v>167</v>
      </c>
      <c r="O309" s="100" t="s">
        <v>147</v>
      </c>
      <c r="P309" s="100" t="s">
        <v>82</v>
      </c>
      <c r="Q309" s="100" t="s">
        <v>97</v>
      </c>
      <c r="R309" s="100" t="s">
        <v>55</v>
      </c>
    </row>
    <row r="310" spans="1:18" s="101" customFormat="1">
      <c r="A310" s="100" t="str">
        <f>VLOOKUP(C310,classifications!C:F,4,FALSE)</f>
        <v>SD</v>
      </c>
      <c r="B310" s="100" t="s">
        <v>738</v>
      </c>
      <c r="C310" s="100" t="s">
        <v>180</v>
      </c>
      <c r="D310" s="100" t="s">
        <v>128</v>
      </c>
      <c r="E310" s="100" t="s">
        <v>91</v>
      </c>
      <c r="F310" s="100" t="s">
        <v>59</v>
      </c>
      <c r="G310" s="100" t="s">
        <v>75</v>
      </c>
      <c r="H310" s="100" t="s">
        <v>122</v>
      </c>
      <c r="I310" s="100" t="s">
        <v>69</v>
      </c>
      <c r="J310" s="100" t="s">
        <v>162</v>
      </c>
      <c r="K310" s="100" t="s">
        <v>153</v>
      </c>
      <c r="L310" s="100" t="s">
        <v>73</v>
      </c>
      <c r="M310" s="100" t="s">
        <v>10</v>
      </c>
      <c r="N310" s="100" t="s">
        <v>68</v>
      </c>
      <c r="O310" s="100" t="s">
        <v>58</v>
      </c>
      <c r="P310" s="100" t="s">
        <v>15</v>
      </c>
      <c r="Q310" s="100" t="s">
        <v>65</v>
      </c>
      <c r="R310" s="100" t="s">
        <v>196</v>
      </c>
    </row>
    <row r="311" spans="1:18" s="101" customFormat="1">
      <c r="A311" s="100" t="str">
        <f>VLOOKUP(C311,classifications!C:F,4,FALSE)</f>
        <v>SD</v>
      </c>
      <c r="B311" s="100" t="s">
        <v>739</v>
      </c>
      <c r="C311" s="100" t="s">
        <v>9</v>
      </c>
      <c r="D311" s="100" t="s">
        <v>99</v>
      </c>
      <c r="E311" s="100" t="s">
        <v>348</v>
      </c>
      <c r="F311" s="100" t="s">
        <v>28</v>
      </c>
      <c r="G311" s="100" t="s">
        <v>17</v>
      </c>
      <c r="H311" s="100" t="s">
        <v>65</v>
      </c>
      <c r="I311" s="100" t="s">
        <v>107</v>
      </c>
      <c r="J311" s="100" t="s">
        <v>15</v>
      </c>
      <c r="K311" s="100" t="s">
        <v>30</v>
      </c>
      <c r="L311" s="100" t="s">
        <v>126</v>
      </c>
      <c r="M311" s="100" t="s">
        <v>36</v>
      </c>
      <c r="N311" s="100" t="s">
        <v>162</v>
      </c>
      <c r="O311" s="100" t="s">
        <v>91</v>
      </c>
      <c r="P311" s="100" t="s">
        <v>119</v>
      </c>
      <c r="Q311" s="100" t="s">
        <v>7</v>
      </c>
      <c r="R311" s="100" t="s">
        <v>89</v>
      </c>
    </row>
    <row r="312" spans="1:18" s="101" customFormat="1">
      <c r="A312" s="100" t="str">
        <f>VLOOKUP(C312,classifications!C:F,4,FALSE)</f>
        <v>SD</v>
      </c>
      <c r="B312" s="100" t="s">
        <v>740</v>
      </c>
      <c r="C312" s="100" t="s">
        <v>15</v>
      </c>
      <c r="D312" s="100" t="s">
        <v>347</v>
      </c>
      <c r="E312" s="100" t="s">
        <v>30</v>
      </c>
      <c r="F312" s="100" t="s">
        <v>7</v>
      </c>
      <c r="G312" s="100" t="s">
        <v>115</v>
      </c>
      <c r="H312" s="100" t="s">
        <v>184</v>
      </c>
      <c r="I312" s="100" t="s">
        <v>42</v>
      </c>
      <c r="J312" s="100" t="s">
        <v>59</v>
      </c>
      <c r="K312" s="100" t="s">
        <v>196</v>
      </c>
      <c r="L312" s="100" t="s">
        <v>107</v>
      </c>
      <c r="M312" s="100" t="s">
        <v>153</v>
      </c>
      <c r="N312" s="100" t="s">
        <v>65</v>
      </c>
      <c r="O312" s="100" t="s">
        <v>143</v>
      </c>
      <c r="P312" s="100" t="s">
        <v>68</v>
      </c>
      <c r="Q312" s="100" t="s">
        <v>86</v>
      </c>
      <c r="R312" s="100" t="s">
        <v>39</v>
      </c>
    </row>
    <row r="313" spans="1:18" s="101" customFormat="1">
      <c r="A313" s="100" t="str">
        <f>VLOOKUP(C313,classifications!C:F,4,FALSE)</f>
        <v>SD</v>
      </c>
      <c r="B313" s="100" t="s">
        <v>741</v>
      </c>
      <c r="C313" s="100" t="s">
        <v>25</v>
      </c>
      <c r="D313" s="100" t="s">
        <v>72</v>
      </c>
      <c r="E313" s="100" t="s">
        <v>65</v>
      </c>
      <c r="F313" s="100" t="s">
        <v>7</v>
      </c>
      <c r="G313" s="100" t="s">
        <v>31</v>
      </c>
      <c r="H313" s="100" t="s">
        <v>148</v>
      </c>
      <c r="I313" s="100" t="s">
        <v>39</v>
      </c>
      <c r="J313" s="100" t="s">
        <v>346</v>
      </c>
      <c r="K313" s="100" t="s">
        <v>86</v>
      </c>
      <c r="L313" s="100" t="s">
        <v>107</v>
      </c>
      <c r="M313" s="100" t="s">
        <v>143</v>
      </c>
      <c r="N313" s="100" t="s">
        <v>155</v>
      </c>
      <c r="O313" s="100" t="s">
        <v>32</v>
      </c>
      <c r="P313" s="100" t="s">
        <v>196</v>
      </c>
      <c r="Q313" s="100" t="s">
        <v>349</v>
      </c>
      <c r="R313" s="100" t="s">
        <v>150</v>
      </c>
    </row>
    <row r="314" spans="1:18" s="101" customFormat="1">
      <c r="A314" s="100" t="str">
        <f>VLOOKUP(C314,classifications!C:F,4,FALSE)</f>
        <v>SD</v>
      </c>
      <c r="B314" s="100" t="s">
        <v>742</v>
      </c>
      <c r="C314" s="100" t="s">
        <v>72</v>
      </c>
      <c r="D314" s="100" t="s">
        <v>65</v>
      </c>
      <c r="E314" s="100" t="s">
        <v>25</v>
      </c>
      <c r="F314" s="100" t="s">
        <v>148</v>
      </c>
      <c r="G314" s="100" t="s">
        <v>31</v>
      </c>
      <c r="H314" s="100" t="s">
        <v>39</v>
      </c>
      <c r="I314" s="100" t="s">
        <v>346</v>
      </c>
      <c r="J314" s="100" t="s">
        <v>7</v>
      </c>
      <c r="K314" s="100" t="s">
        <v>91</v>
      </c>
      <c r="L314" s="100" t="s">
        <v>143</v>
      </c>
      <c r="M314" s="100" t="s">
        <v>196</v>
      </c>
      <c r="N314" s="100" t="s">
        <v>86</v>
      </c>
      <c r="O314" s="100" t="s">
        <v>94</v>
      </c>
      <c r="P314" s="100" t="s">
        <v>107</v>
      </c>
      <c r="Q314" s="100" t="s">
        <v>150</v>
      </c>
      <c r="R314" s="100" t="s">
        <v>184</v>
      </c>
    </row>
    <row r="315" spans="1:18" s="101" customFormat="1">
      <c r="A315" s="100" t="str">
        <f>VLOOKUP(C315,classifications!C:F,4,FALSE)</f>
        <v>SD</v>
      </c>
      <c r="B315" s="100" t="s">
        <v>743</v>
      </c>
      <c r="C315" s="100" t="s">
        <v>99</v>
      </c>
      <c r="D315" s="100" t="s">
        <v>9</v>
      </c>
      <c r="E315" s="100" t="s">
        <v>348</v>
      </c>
      <c r="F315" s="100" t="s">
        <v>28</v>
      </c>
      <c r="G315" s="100" t="s">
        <v>36</v>
      </c>
      <c r="H315" s="100" t="s">
        <v>65</v>
      </c>
      <c r="I315" s="100" t="s">
        <v>30</v>
      </c>
      <c r="J315" s="100" t="s">
        <v>107</v>
      </c>
      <c r="K315" s="100" t="s">
        <v>17</v>
      </c>
      <c r="L315" s="100" t="s">
        <v>196</v>
      </c>
      <c r="M315" s="100" t="s">
        <v>15</v>
      </c>
      <c r="N315" s="100" t="s">
        <v>162</v>
      </c>
      <c r="O315" s="100" t="s">
        <v>119</v>
      </c>
      <c r="P315" s="100" t="s">
        <v>91</v>
      </c>
      <c r="Q315" s="100" t="s">
        <v>126</v>
      </c>
      <c r="R315" s="100" t="s">
        <v>191</v>
      </c>
    </row>
    <row r="316" spans="1:18" s="101" customFormat="1">
      <c r="A316" s="100" t="str">
        <f>VLOOKUP(C316,classifications!C:F,4,FALSE)</f>
        <v>SD</v>
      </c>
      <c r="B316" s="100" t="s">
        <v>744</v>
      </c>
      <c r="C316" s="100" t="s">
        <v>347</v>
      </c>
      <c r="D316" s="100" t="s">
        <v>184</v>
      </c>
      <c r="E316" s="100" t="s">
        <v>7</v>
      </c>
      <c r="F316" s="100" t="s">
        <v>15</v>
      </c>
      <c r="G316" s="100" t="s">
        <v>143</v>
      </c>
      <c r="H316" s="100" t="s">
        <v>39</v>
      </c>
      <c r="I316" s="100" t="s">
        <v>115</v>
      </c>
      <c r="J316" s="100" t="s">
        <v>346</v>
      </c>
      <c r="K316" s="100" t="s">
        <v>185</v>
      </c>
      <c r="L316" s="100" t="s">
        <v>153</v>
      </c>
      <c r="M316" s="100" t="s">
        <v>86</v>
      </c>
      <c r="N316" s="100" t="s">
        <v>20</v>
      </c>
      <c r="O316" s="100" t="s">
        <v>58</v>
      </c>
      <c r="P316" s="100" t="s">
        <v>19</v>
      </c>
      <c r="Q316" s="100" t="s">
        <v>158</v>
      </c>
      <c r="R316" s="100" t="s">
        <v>94</v>
      </c>
    </row>
    <row r="317" spans="1:18" s="101" customFormat="1">
      <c r="A317" s="100" t="str">
        <f>VLOOKUP(C317,classifications!C:F,4,FALSE)</f>
        <v>SD</v>
      </c>
      <c r="B317" s="100" t="s">
        <v>745</v>
      </c>
      <c r="C317" s="100" t="s">
        <v>130</v>
      </c>
      <c r="D317" s="100" t="s">
        <v>79</v>
      </c>
      <c r="E317" s="100" t="s">
        <v>94</v>
      </c>
      <c r="F317" s="100" t="s">
        <v>168</v>
      </c>
      <c r="G317" s="100" t="s">
        <v>158</v>
      </c>
      <c r="H317" s="100" t="s">
        <v>23</v>
      </c>
      <c r="I317" s="100" t="s">
        <v>346</v>
      </c>
      <c r="J317" s="100" t="s">
        <v>16</v>
      </c>
      <c r="K317" s="100" t="s">
        <v>55</v>
      </c>
      <c r="L317" s="100" t="s">
        <v>146</v>
      </c>
      <c r="M317" s="100" t="s">
        <v>186</v>
      </c>
      <c r="N317" s="100" t="s">
        <v>167</v>
      </c>
      <c r="O317" s="100" t="s">
        <v>12</v>
      </c>
      <c r="P317" s="100" t="s">
        <v>97</v>
      </c>
      <c r="Q317" s="100" t="s">
        <v>154</v>
      </c>
      <c r="R317" s="100" t="s">
        <v>78</v>
      </c>
    </row>
    <row r="318" spans="1:18" s="101" customFormat="1">
      <c r="A318" s="100" t="str">
        <f>VLOOKUP(C318,classifications!C:F,4,FALSE)</f>
        <v>SD</v>
      </c>
      <c r="B318" s="100" t="s">
        <v>746</v>
      </c>
      <c r="C318" s="100" t="s">
        <v>35</v>
      </c>
      <c r="D318" s="100" t="s">
        <v>88</v>
      </c>
      <c r="E318" s="100" t="s">
        <v>96</v>
      </c>
      <c r="F318" s="100" t="s">
        <v>128</v>
      </c>
      <c r="G318" s="100" t="s">
        <v>11</v>
      </c>
      <c r="H318" s="100" t="s">
        <v>167</v>
      </c>
      <c r="I318" s="100" t="s">
        <v>174</v>
      </c>
      <c r="J318" s="100" t="s">
        <v>344</v>
      </c>
      <c r="K318" s="100" t="s">
        <v>10</v>
      </c>
      <c r="L318" s="100" t="s">
        <v>194</v>
      </c>
      <c r="M318" s="100" t="s">
        <v>33</v>
      </c>
      <c r="N318" s="100" t="s">
        <v>186</v>
      </c>
      <c r="O318" s="100" t="s">
        <v>41</v>
      </c>
      <c r="P318" s="100" t="s">
        <v>147</v>
      </c>
      <c r="Q318" s="100" t="s">
        <v>111</v>
      </c>
      <c r="R318" s="100" t="s">
        <v>153</v>
      </c>
    </row>
    <row r="319" spans="1:18" s="101" customFormat="1">
      <c r="A319" s="100" t="str">
        <f>VLOOKUP(C319,classifications!C:F,4,FALSE)</f>
        <v>SD</v>
      </c>
      <c r="B319" s="100" t="s">
        <v>747</v>
      </c>
      <c r="C319" s="100" t="s">
        <v>118</v>
      </c>
      <c r="D319" s="100" t="s">
        <v>27</v>
      </c>
      <c r="E319" s="100" t="s">
        <v>176</v>
      </c>
      <c r="F319" s="100" t="s">
        <v>131</v>
      </c>
      <c r="G319" s="100" t="s">
        <v>181</v>
      </c>
      <c r="H319" s="100" t="s">
        <v>66</v>
      </c>
      <c r="I319" s="100" t="s">
        <v>34</v>
      </c>
      <c r="J319" s="100" t="s">
        <v>46</v>
      </c>
      <c r="K319" s="100" t="s">
        <v>116</v>
      </c>
      <c r="L319" s="100" t="s">
        <v>175</v>
      </c>
      <c r="M319" s="100" t="s">
        <v>41</v>
      </c>
      <c r="N319" s="100" t="s">
        <v>190</v>
      </c>
      <c r="O319" s="100" t="s">
        <v>47</v>
      </c>
      <c r="P319" s="100" t="s">
        <v>156</v>
      </c>
      <c r="Q319" s="100" t="s">
        <v>120</v>
      </c>
      <c r="R319" s="100" t="s">
        <v>48</v>
      </c>
    </row>
    <row r="320" spans="1:18" s="101" customFormat="1">
      <c r="A320" s="100" t="str">
        <f>VLOOKUP(C320,classifications!C:F,4,FALSE)</f>
        <v>SD</v>
      </c>
      <c r="B320" s="100" t="s">
        <v>748</v>
      </c>
      <c r="C320" s="100" t="s">
        <v>147</v>
      </c>
      <c r="D320" s="100" t="s">
        <v>136</v>
      </c>
      <c r="E320" s="100" t="s">
        <v>55</v>
      </c>
      <c r="F320" s="100" t="s">
        <v>186</v>
      </c>
      <c r="G320" s="100" t="s">
        <v>167</v>
      </c>
      <c r="H320" s="100" t="s">
        <v>174</v>
      </c>
      <c r="I320" s="100" t="s">
        <v>11</v>
      </c>
      <c r="J320" s="100" t="s">
        <v>56</v>
      </c>
      <c r="K320" s="100" t="s">
        <v>189</v>
      </c>
      <c r="L320" s="100" t="s">
        <v>64</v>
      </c>
      <c r="M320" s="100" t="s">
        <v>87</v>
      </c>
      <c r="N320" s="100" t="s">
        <v>139</v>
      </c>
      <c r="O320" s="100" t="s">
        <v>79</v>
      </c>
      <c r="P320" s="100" t="s">
        <v>104</v>
      </c>
      <c r="Q320" s="100" t="s">
        <v>82</v>
      </c>
      <c r="R320" s="100" t="s">
        <v>130</v>
      </c>
    </row>
    <row r="321" spans="1:18" s="101" customFormat="1">
      <c r="A321" s="100" t="str">
        <f>VLOOKUP(C321,classifications!C:F,4,FALSE)</f>
        <v>SD</v>
      </c>
      <c r="B321" s="100" t="s">
        <v>749</v>
      </c>
      <c r="C321" s="100" t="s">
        <v>174</v>
      </c>
      <c r="D321" s="100" t="s">
        <v>167</v>
      </c>
      <c r="E321" s="100" t="s">
        <v>147</v>
      </c>
      <c r="F321" s="100" t="s">
        <v>189</v>
      </c>
      <c r="G321" s="100" t="s">
        <v>186</v>
      </c>
      <c r="H321" s="100" t="s">
        <v>136</v>
      </c>
      <c r="I321" s="100" t="s">
        <v>55</v>
      </c>
      <c r="J321" s="100" t="s">
        <v>139</v>
      </c>
      <c r="K321" s="100" t="s">
        <v>35</v>
      </c>
      <c r="L321" s="100" t="s">
        <v>56</v>
      </c>
      <c r="M321" s="100" t="s">
        <v>351</v>
      </c>
      <c r="N321" s="100" t="s">
        <v>168</v>
      </c>
      <c r="O321" s="100" t="s">
        <v>64</v>
      </c>
      <c r="P321" s="100" t="s">
        <v>194</v>
      </c>
      <c r="Q321" s="100" t="s">
        <v>11</v>
      </c>
      <c r="R321" s="100" t="s">
        <v>104</v>
      </c>
    </row>
    <row r="322" spans="1:18" s="101" customFormat="1">
      <c r="A322" s="100" t="str">
        <f>VLOOKUP(C322,classifications!C:F,4,FALSE)</f>
        <v>SD</v>
      </c>
      <c r="B322" s="100" t="s">
        <v>750</v>
      </c>
      <c r="C322" s="100" t="s">
        <v>186</v>
      </c>
      <c r="D322" s="100" t="s">
        <v>167</v>
      </c>
      <c r="E322" s="100" t="s">
        <v>147</v>
      </c>
      <c r="F322" s="100" t="s">
        <v>55</v>
      </c>
      <c r="G322" s="100" t="s">
        <v>174</v>
      </c>
      <c r="H322" s="100" t="s">
        <v>136</v>
      </c>
      <c r="I322" s="100" t="s">
        <v>158</v>
      </c>
      <c r="J322" s="100" t="s">
        <v>168</v>
      </c>
      <c r="K322" s="100" t="s">
        <v>79</v>
      </c>
      <c r="L322" s="100" t="s">
        <v>130</v>
      </c>
      <c r="M322" s="100" t="s">
        <v>97</v>
      </c>
      <c r="N322" s="100" t="s">
        <v>189</v>
      </c>
      <c r="O322" s="100" t="s">
        <v>64</v>
      </c>
      <c r="P322" s="100" t="s">
        <v>78</v>
      </c>
      <c r="Q322" s="100" t="s">
        <v>157</v>
      </c>
      <c r="R322" s="100" t="s">
        <v>146</v>
      </c>
    </row>
    <row r="323" spans="1:18" s="101" customFormat="1">
      <c r="A323" s="100" t="str">
        <f>VLOOKUP(C323,classifications!C:F,4,FALSE)</f>
        <v>SD</v>
      </c>
      <c r="B323" s="100" t="s">
        <v>751</v>
      </c>
      <c r="C323" s="100" t="s">
        <v>101</v>
      </c>
      <c r="D323" s="100" t="s">
        <v>164</v>
      </c>
      <c r="E323" s="100" t="s">
        <v>153</v>
      </c>
      <c r="F323" s="100" t="s">
        <v>158</v>
      </c>
      <c r="G323" s="100" t="s">
        <v>143</v>
      </c>
      <c r="H323" s="100" t="s">
        <v>102</v>
      </c>
      <c r="I323" s="100" t="s">
        <v>12</v>
      </c>
      <c r="J323" s="100" t="s">
        <v>149</v>
      </c>
      <c r="K323" s="100" t="s">
        <v>154</v>
      </c>
      <c r="L323" s="100" t="s">
        <v>109</v>
      </c>
      <c r="M323" s="100" t="s">
        <v>347</v>
      </c>
      <c r="N323" s="100" t="s">
        <v>94</v>
      </c>
      <c r="O323" s="100" t="s">
        <v>346</v>
      </c>
      <c r="P323" s="100" t="s">
        <v>10</v>
      </c>
      <c r="Q323" s="100" t="s">
        <v>86</v>
      </c>
      <c r="R323" s="100" t="s">
        <v>58</v>
      </c>
    </row>
    <row r="324" spans="1:18" s="101" customFormat="1">
      <c r="A324" s="100" t="str">
        <f>VLOOKUP(C324,classifications!C:F,4,FALSE)</f>
        <v>SD</v>
      </c>
      <c r="B324" s="100" t="s">
        <v>752</v>
      </c>
      <c r="C324" s="100" t="s">
        <v>134</v>
      </c>
      <c r="D324" s="100" t="s">
        <v>51</v>
      </c>
      <c r="E324" s="100" t="s">
        <v>165</v>
      </c>
      <c r="F324" s="100" t="s">
        <v>108</v>
      </c>
      <c r="G324" s="100" t="s">
        <v>171</v>
      </c>
      <c r="H324" s="100" t="s">
        <v>93</v>
      </c>
      <c r="I324" s="100" t="s">
        <v>101</v>
      </c>
      <c r="J324" s="100" t="s">
        <v>161</v>
      </c>
      <c r="K324" s="100" t="s">
        <v>7</v>
      </c>
      <c r="L324" s="100" t="s">
        <v>137</v>
      </c>
      <c r="M324" s="100" t="s">
        <v>143</v>
      </c>
      <c r="N324" s="100" t="s">
        <v>153</v>
      </c>
      <c r="O324" s="100" t="s">
        <v>347</v>
      </c>
      <c r="P324" s="100" t="s">
        <v>164</v>
      </c>
      <c r="Q324" s="100" t="s">
        <v>184</v>
      </c>
      <c r="R324" s="100" t="s">
        <v>159</v>
      </c>
    </row>
    <row r="325" spans="1:18" s="101" customFormat="1">
      <c r="A325" s="100" t="str">
        <f>VLOOKUP(C325,classifications!C:F,4,FALSE)</f>
        <v>SD</v>
      </c>
      <c r="B325" s="100" t="s">
        <v>753</v>
      </c>
      <c r="C325" s="100" t="s">
        <v>164</v>
      </c>
      <c r="D325" s="100" t="s">
        <v>101</v>
      </c>
      <c r="E325" s="100" t="s">
        <v>153</v>
      </c>
      <c r="F325" s="100" t="s">
        <v>158</v>
      </c>
      <c r="G325" s="100" t="s">
        <v>143</v>
      </c>
      <c r="H325" s="100" t="s">
        <v>154</v>
      </c>
      <c r="I325" s="100" t="s">
        <v>149</v>
      </c>
      <c r="J325" s="100" t="s">
        <v>102</v>
      </c>
      <c r="K325" s="100" t="s">
        <v>94</v>
      </c>
      <c r="L325" s="100" t="s">
        <v>12</v>
      </c>
      <c r="M325" s="100" t="s">
        <v>168</v>
      </c>
      <c r="N325" s="100" t="s">
        <v>128</v>
      </c>
      <c r="O325" s="100" t="s">
        <v>347</v>
      </c>
      <c r="P325" s="100" t="s">
        <v>111</v>
      </c>
      <c r="Q325" s="100" t="s">
        <v>196</v>
      </c>
      <c r="R325" s="100" t="s">
        <v>193</v>
      </c>
    </row>
    <row r="326" spans="1:18" s="101" customFormat="1">
      <c r="A326" s="100" t="str">
        <f>VLOOKUP(C326,classifications!C:F,4,FALSE)</f>
        <v>SD</v>
      </c>
      <c r="B326" s="100" t="s">
        <v>754</v>
      </c>
      <c r="C326" s="100" t="s">
        <v>149</v>
      </c>
      <c r="D326" s="100" t="s">
        <v>378</v>
      </c>
      <c r="E326" s="100" t="s">
        <v>101</v>
      </c>
      <c r="F326" s="100" t="s">
        <v>193</v>
      </c>
      <c r="G326" s="100" t="s">
        <v>164</v>
      </c>
      <c r="H326" s="100" t="s">
        <v>145</v>
      </c>
      <c r="I326" s="100" t="s">
        <v>20</v>
      </c>
      <c r="J326" s="100" t="s">
        <v>12</v>
      </c>
      <c r="K326" s="100" t="s">
        <v>153</v>
      </c>
      <c r="L326" s="100" t="s">
        <v>154</v>
      </c>
      <c r="M326" s="100" t="s">
        <v>143</v>
      </c>
      <c r="N326" s="100" t="s">
        <v>158</v>
      </c>
      <c r="O326" s="100" t="s">
        <v>347</v>
      </c>
      <c r="P326" s="100" t="s">
        <v>81</v>
      </c>
      <c r="Q326" s="100" t="s">
        <v>102</v>
      </c>
      <c r="R326" s="100" t="s">
        <v>157</v>
      </c>
    </row>
    <row r="327" spans="1:18" s="101" customFormat="1">
      <c r="A327" s="100" t="str">
        <f>VLOOKUP(C327,classifications!C:F,4,FALSE)</f>
        <v>SD</v>
      </c>
      <c r="B327" s="100" t="s">
        <v>755</v>
      </c>
      <c r="C327" s="100" t="s">
        <v>187</v>
      </c>
      <c r="D327" s="100" t="s">
        <v>113</v>
      </c>
      <c r="E327" s="100" t="s">
        <v>132</v>
      </c>
      <c r="F327" s="100" t="s">
        <v>183</v>
      </c>
      <c r="G327" s="100" t="s">
        <v>45</v>
      </c>
      <c r="H327" s="100" t="s">
        <v>182</v>
      </c>
      <c r="I327" s="100" t="s">
        <v>127</v>
      </c>
      <c r="J327" s="100" t="s">
        <v>40</v>
      </c>
      <c r="K327" s="100" t="s">
        <v>121</v>
      </c>
      <c r="L327" s="100" t="s">
        <v>50</v>
      </c>
      <c r="M327" s="100" t="s">
        <v>62</v>
      </c>
      <c r="N327" s="100" t="s">
        <v>44</v>
      </c>
      <c r="O327" s="100" t="s">
        <v>98</v>
      </c>
      <c r="P327" s="100" t="s">
        <v>71</v>
      </c>
      <c r="Q327" s="100" t="s">
        <v>141</v>
      </c>
      <c r="R327" s="100" t="s">
        <v>171</v>
      </c>
    </row>
    <row r="328" spans="1:18" s="101" customFormat="1">
      <c r="A328" s="100" t="str">
        <f>VLOOKUP(C328,classifications!C:F,4,FALSE)</f>
        <v>SD</v>
      </c>
      <c r="B328" s="100" t="s">
        <v>756</v>
      </c>
      <c r="C328" s="100" t="s">
        <v>28</v>
      </c>
      <c r="D328" s="100" t="s">
        <v>99</v>
      </c>
      <c r="E328" s="100" t="s">
        <v>162</v>
      </c>
      <c r="F328" s="100" t="s">
        <v>348</v>
      </c>
      <c r="G328" s="100" t="s">
        <v>191</v>
      </c>
      <c r="H328" s="100" t="s">
        <v>9</v>
      </c>
      <c r="I328" s="100" t="s">
        <v>65</v>
      </c>
      <c r="J328" s="100" t="s">
        <v>30</v>
      </c>
      <c r="K328" s="100" t="s">
        <v>36</v>
      </c>
      <c r="L328" s="100" t="s">
        <v>107</v>
      </c>
      <c r="M328" s="100" t="s">
        <v>91</v>
      </c>
      <c r="N328" s="100" t="s">
        <v>126</v>
      </c>
      <c r="O328" s="100" t="s">
        <v>122</v>
      </c>
      <c r="P328" s="100" t="s">
        <v>73</v>
      </c>
      <c r="Q328" s="100" t="s">
        <v>196</v>
      </c>
      <c r="R328" s="100" t="s">
        <v>86</v>
      </c>
    </row>
    <row r="329" spans="1:18" s="101" customFormat="1">
      <c r="A329" s="100" t="str">
        <f>VLOOKUP(C329,classifications!C:F,4,FALSE)</f>
        <v>SD</v>
      </c>
      <c r="B329" s="100" t="s">
        <v>757</v>
      </c>
      <c r="C329" s="100" t="s">
        <v>59</v>
      </c>
      <c r="D329" s="100" t="s">
        <v>91</v>
      </c>
      <c r="E329" s="100" t="s">
        <v>128</v>
      </c>
      <c r="F329" s="100" t="s">
        <v>15</v>
      </c>
      <c r="G329" s="100" t="s">
        <v>153</v>
      </c>
      <c r="H329" s="100" t="s">
        <v>143</v>
      </c>
      <c r="I329" s="100" t="s">
        <v>30</v>
      </c>
      <c r="J329" s="100" t="s">
        <v>115</v>
      </c>
      <c r="K329" s="100" t="s">
        <v>86</v>
      </c>
      <c r="L329" s="100" t="s">
        <v>73</v>
      </c>
      <c r="M329" s="100" t="s">
        <v>347</v>
      </c>
      <c r="N329" s="100" t="s">
        <v>7</v>
      </c>
      <c r="O329" s="100" t="s">
        <v>191</v>
      </c>
      <c r="P329" s="100" t="s">
        <v>180</v>
      </c>
      <c r="Q329" s="100" t="s">
        <v>39</v>
      </c>
      <c r="R329" s="100" t="s">
        <v>65</v>
      </c>
    </row>
    <row r="330" spans="1:18" s="101" customFormat="1">
      <c r="A330" s="100" t="str">
        <f>VLOOKUP(C330,classifications!C:F,4,FALSE)</f>
        <v>SD</v>
      </c>
      <c r="B330" s="100" t="s">
        <v>758</v>
      </c>
      <c r="C330" s="100" t="s">
        <v>94</v>
      </c>
      <c r="D330" s="100" t="s">
        <v>154</v>
      </c>
      <c r="E330" s="100" t="s">
        <v>346</v>
      </c>
      <c r="F330" s="100" t="s">
        <v>150</v>
      </c>
      <c r="G330" s="100" t="s">
        <v>158</v>
      </c>
      <c r="H330" s="100" t="s">
        <v>148</v>
      </c>
      <c r="I330" s="100" t="s">
        <v>23</v>
      </c>
      <c r="J330" s="100" t="s">
        <v>168</v>
      </c>
      <c r="K330" s="100" t="s">
        <v>58</v>
      </c>
      <c r="L330" s="100" t="s">
        <v>184</v>
      </c>
      <c r="M330" s="100" t="s">
        <v>143</v>
      </c>
      <c r="N330" s="100" t="s">
        <v>97</v>
      </c>
      <c r="O330" s="100" t="s">
        <v>155</v>
      </c>
      <c r="P330" s="100" t="s">
        <v>39</v>
      </c>
      <c r="Q330" s="100" t="s">
        <v>130</v>
      </c>
      <c r="R330" s="100" t="s">
        <v>153</v>
      </c>
    </row>
    <row r="331" spans="1:18" s="101" customFormat="1">
      <c r="A331" s="100" t="str">
        <f>VLOOKUP(C331,classifications!C:F,4,FALSE)</f>
        <v>SD</v>
      </c>
      <c r="B331" s="100" t="s">
        <v>759</v>
      </c>
      <c r="C331" s="100" t="s">
        <v>107</v>
      </c>
      <c r="D331" s="100" t="s">
        <v>30</v>
      </c>
      <c r="E331" s="100" t="s">
        <v>65</v>
      </c>
      <c r="F331" s="100" t="s">
        <v>196</v>
      </c>
      <c r="G331" s="100" t="s">
        <v>7</v>
      </c>
      <c r="H331" s="100" t="s">
        <v>110</v>
      </c>
      <c r="I331" s="100" t="s">
        <v>99</v>
      </c>
      <c r="J331" s="100" t="s">
        <v>15</v>
      </c>
      <c r="K331" s="100" t="s">
        <v>39</v>
      </c>
      <c r="L331" s="100" t="s">
        <v>28</v>
      </c>
      <c r="M331" s="100" t="s">
        <v>347</v>
      </c>
      <c r="N331" s="100" t="s">
        <v>184</v>
      </c>
      <c r="O331" s="100" t="s">
        <v>348</v>
      </c>
      <c r="P331" s="100" t="s">
        <v>86</v>
      </c>
      <c r="Q331" s="100" t="s">
        <v>72</v>
      </c>
      <c r="R331" s="100" t="s">
        <v>36</v>
      </c>
    </row>
    <row r="332" spans="1:18" s="101" customFormat="1">
      <c r="A332" s="100" t="str">
        <f>VLOOKUP(C332,classifications!C:F,4,FALSE)</f>
        <v>SD</v>
      </c>
      <c r="B332" s="100" t="s">
        <v>760</v>
      </c>
      <c r="C332" s="100" t="s">
        <v>150</v>
      </c>
      <c r="D332" s="100" t="s">
        <v>94</v>
      </c>
      <c r="E332" s="100" t="s">
        <v>155</v>
      </c>
      <c r="F332" s="100" t="s">
        <v>158</v>
      </c>
      <c r="G332" s="100" t="s">
        <v>346</v>
      </c>
      <c r="H332" s="100" t="s">
        <v>23</v>
      </c>
      <c r="I332" s="100" t="s">
        <v>154</v>
      </c>
      <c r="J332" s="100" t="s">
        <v>184</v>
      </c>
      <c r="K332" s="100" t="s">
        <v>112</v>
      </c>
      <c r="L332" s="100" t="s">
        <v>347</v>
      </c>
      <c r="M332" s="100" t="s">
        <v>110</v>
      </c>
      <c r="N332" s="100" t="s">
        <v>97</v>
      </c>
      <c r="O332" s="100" t="s">
        <v>39</v>
      </c>
      <c r="P332" s="100" t="s">
        <v>185</v>
      </c>
      <c r="Q332" s="100" t="s">
        <v>72</v>
      </c>
      <c r="R332" s="100" t="s">
        <v>148</v>
      </c>
    </row>
    <row r="333" spans="1:18" s="101" customFormat="1">
      <c r="A333" s="100" t="str">
        <f>VLOOKUP(C333,classifications!C:F,4,FALSE)</f>
        <v>SD</v>
      </c>
      <c r="B333" s="100" t="s">
        <v>761</v>
      </c>
      <c r="C333" s="100" t="s">
        <v>154</v>
      </c>
      <c r="D333" s="100" t="s">
        <v>94</v>
      </c>
      <c r="E333" s="100" t="s">
        <v>153</v>
      </c>
      <c r="F333" s="100" t="s">
        <v>143</v>
      </c>
      <c r="G333" s="100" t="s">
        <v>346</v>
      </c>
      <c r="H333" s="100" t="s">
        <v>32</v>
      </c>
      <c r="I333" s="100" t="s">
        <v>158</v>
      </c>
      <c r="J333" s="100" t="s">
        <v>148</v>
      </c>
      <c r="K333" s="100" t="s">
        <v>164</v>
      </c>
      <c r="L333" s="100" t="s">
        <v>150</v>
      </c>
      <c r="M333" s="100" t="s">
        <v>101</v>
      </c>
      <c r="N333" s="100" t="s">
        <v>7</v>
      </c>
      <c r="O333" s="100" t="s">
        <v>184</v>
      </c>
      <c r="P333" s="100" t="s">
        <v>347</v>
      </c>
      <c r="Q333" s="100" t="s">
        <v>19</v>
      </c>
      <c r="R333" s="100" t="s">
        <v>96</v>
      </c>
    </row>
    <row r="334" spans="1:18" s="101" customFormat="1">
      <c r="A334" s="100" t="str">
        <f>VLOOKUP(C334,classifications!C:F,4,FALSE)</f>
        <v>SD</v>
      </c>
      <c r="B334" s="100" t="s">
        <v>762</v>
      </c>
      <c r="C334" s="100" t="s">
        <v>155</v>
      </c>
      <c r="D334" s="100" t="s">
        <v>346</v>
      </c>
      <c r="E334" s="100" t="s">
        <v>112</v>
      </c>
      <c r="F334" s="100" t="s">
        <v>150</v>
      </c>
      <c r="G334" s="100" t="s">
        <v>94</v>
      </c>
      <c r="H334" s="100" t="s">
        <v>7</v>
      </c>
      <c r="I334" s="100" t="s">
        <v>22</v>
      </c>
      <c r="J334" s="100" t="s">
        <v>148</v>
      </c>
      <c r="K334" s="100" t="s">
        <v>158</v>
      </c>
      <c r="L334" s="100" t="s">
        <v>185</v>
      </c>
      <c r="M334" s="100" t="s">
        <v>347</v>
      </c>
      <c r="N334" s="100" t="s">
        <v>154</v>
      </c>
      <c r="O334" s="100" t="s">
        <v>100</v>
      </c>
      <c r="P334" s="100" t="s">
        <v>97</v>
      </c>
      <c r="Q334" s="100" t="s">
        <v>39</v>
      </c>
      <c r="R334" s="100" t="s">
        <v>23</v>
      </c>
    </row>
    <row r="335" spans="1:18" s="101" customFormat="1">
      <c r="A335" s="100" t="str">
        <f>VLOOKUP(C335,classifications!C:F,4,FALSE)</f>
        <v>SD</v>
      </c>
      <c r="B335" s="100" t="s">
        <v>763</v>
      </c>
      <c r="C335" s="100" t="s">
        <v>162</v>
      </c>
      <c r="D335" s="100" t="s">
        <v>122</v>
      </c>
      <c r="E335" s="100" t="s">
        <v>28</v>
      </c>
      <c r="F335" s="100" t="s">
        <v>348</v>
      </c>
      <c r="G335" s="100" t="s">
        <v>91</v>
      </c>
      <c r="H335" s="100" t="s">
        <v>99</v>
      </c>
      <c r="I335" s="100" t="s">
        <v>191</v>
      </c>
      <c r="J335" s="100" t="s">
        <v>73</v>
      </c>
      <c r="K335" s="100" t="s">
        <v>9</v>
      </c>
      <c r="L335" s="100" t="s">
        <v>180</v>
      </c>
      <c r="M335" s="100" t="s">
        <v>65</v>
      </c>
      <c r="N335" s="100" t="s">
        <v>126</v>
      </c>
      <c r="O335" s="100" t="s">
        <v>59</v>
      </c>
      <c r="P335" s="100" t="s">
        <v>107</v>
      </c>
      <c r="Q335" s="100" t="s">
        <v>36</v>
      </c>
      <c r="R335" s="100" t="s">
        <v>75</v>
      </c>
    </row>
    <row r="336" spans="1:18" s="101" customFormat="1">
      <c r="A336" s="100" t="str">
        <f>VLOOKUP(C336,classifications!C:F,4,FALSE)</f>
        <v>SD</v>
      </c>
      <c r="B336" s="100" t="s">
        <v>764</v>
      </c>
      <c r="C336" s="100" t="s">
        <v>12</v>
      </c>
      <c r="D336" s="100" t="s">
        <v>109</v>
      </c>
      <c r="E336" s="100" t="s">
        <v>102</v>
      </c>
      <c r="F336" s="100" t="s">
        <v>145</v>
      </c>
      <c r="G336" s="100" t="s">
        <v>78</v>
      </c>
      <c r="H336" s="100" t="s">
        <v>103</v>
      </c>
      <c r="I336" s="100" t="s">
        <v>100</v>
      </c>
      <c r="J336" s="100" t="s">
        <v>193</v>
      </c>
      <c r="K336" s="100" t="s">
        <v>168</v>
      </c>
      <c r="L336" s="100" t="s">
        <v>101</v>
      </c>
      <c r="M336" s="100" t="s">
        <v>70</v>
      </c>
      <c r="N336" s="100" t="s">
        <v>158</v>
      </c>
      <c r="O336" s="100" t="s">
        <v>112</v>
      </c>
      <c r="P336" s="100" t="s">
        <v>97</v>
      </c>
      <c r="Q336" s="100" t="s">
        <v>346</v>
      </c>
      <c r="R336" s="100" t="s">
        <v>94</v>
      </c>
    </row>
    <row r="337" spans="1:18" s="101" customFormat="1">
      <c r="A337" s="100" t="e">
        <f>VLOOKUP(C337,classifications!C:F,4,FALSE)</f>
        <v>#N/A</v>
      </c>
      <c r="B337" s="100" t="s">
        <v>765</v>
      </c>
      <c r="C337" s="100" t="s">
        <v>69</v>
      </c>
      <c r="D337" s="100" t="s">
        <v>180</v>
      </c>
      <c r="E337" s="100" t="s">
        <v>18</v>
      </c>
      <c r="F337" s="100" t="s">
        <v>128</v>
      </c>
      <c r="G337" s="100" t="s">
        <v>153</v>
      </c>
      <c r="H337" s="100" t="s">
        <v>59</v>
      </c>
      <c r="I337" s="100" t="s">
        <v>91</v>
      </c>
      <c r="J337" s="100" t="s">
        <v>68</v>
      </c>
      <c r="K337" s="100" t="s">
        <v>131</v>
      </c>
      <c r="L337" s="100" t="s">
        <v>58</v>
      </c>
      <c r="M337" s="100" t="s">
        <v>142</v>
      </c>
      <c r="N337" s="100" t="s">
        <v>101</v>
      </c>
      <c r="O337" s="100" t="s">
        <v>143</v>
      </c>
      <c r="P337" s="100" t="s">
        <v>122</v>
      </c>
      <c r="Q337" s="100" t="s">
        <v>164</v>
      </c>
      <c r="R337" s="100" t="s">
        <v>73</v>
      </c>
    </row>
    <row r="338" spans="1:18" s="101" customFormat="1">
      <c r="A338" s="100" t="str">
        <f>VLOOKUP(C338,classifications!C:F,4,FALSE)</f>
        <v>SD</v>
      </c>
      <c r="B338" s="100" t="s">
        <v>766</v>
      </c>
      <c r="C338" s="100" t="s">
        <v>90</v>
      </c>
      <c r="D338" s="100" t="s">
        <v>73</v>
      </c>
      <c r="E338" s="100" t="s">
        <v>120</v>
      </c>
      <c r="F338" s="100" t="s">
        <v>75</v>
      </c>
      <c r="G338" s="100" t="s">
        <v>191</v>
      </c>
      <c r="H338" s="100" t="s">
        <v>95</v>
      </c>
      <c r="I338" s="100" t="s">
        <v>122</v>
      </c>
      <c r="J338" s="100" t="s">
        <v>36</v>
      </c>
      <c r="K338" s="100" t="s">
        <v>156</v>
      </c>
      <c r="L338" s="100" t="s">
        <v>28</v>
      </c>
      <c r="M338" s="100" t="s">
        <v>99</v>
      </c>
      <c r="N338" s="100" t="s">
        <v>14</v>
      </c>
      <c r="O338" s="100" t="s">
        <v>348</v>
      </c>
      <c r="P338" s="100" t="s">
        <v>162</v>
      </c>
      <c r="Q338" s="100" t="s">
        <v>131</v>
      </c>
      <c r="R338" s="100" t="s">
        <v>116</v>
      </c>
    </row>
    <row r="339" spans="1:18" s="101" customFormat="1">
      <c r="A339" s="100" t="str">
        <f>VLOOKUP(C339,classifications!C:F,4,FALSE)</f>
        <v>SD</v>
      </c>
      <c r="B339" s="100" t="s">
        <v>767</v>
      </c>
      <c r="C339" s="100" t="s">
        <v>103</v>
      </c>
      <c r="D339" s="100" t="s">
        <v>145</v>
      </c>
      <c r="E339" s="100" t="s">
        <v>12</v>
      </c>
      <c r="F339" s="100" t="s">
        <v>146</v>
      </c>
      <c r="G339" s="100" t="s">
        <v>109</v>
      </c>
      <c r="H339" s="100" t="s">
        <v>100</v>
      </c>
      <c r="I339" s="100" t="s">
        <v>52</v>
      </c>
      <c r="J339" s="100" t="s">
        <v>102</v>
      </c>
      <c r="K339" s="100" t="s">
        <v>78</v>
      </c>
      <c r="L339" s="100" t="s">
        <v>112</v>
      </c>
      <c r="M339" s="100" t="s">
        <v>168</v>
      </c>
      <c r="N339" s="100" t="s">
        <v>193</v>
      </c>
      <c r="O339" s="100" t="s">
        <v>70</v>
      </c>
      <c r="P339" s="100" t="s">
        <v>79</v>
      </c>
      <c r="Q339" s="100" t="s">
        <v>130</v>
      </c>
      <c r="R339" s="100" t="s">
        <v>97</v>
      </c>
    </row>
    <row r="340" spans="1:18" s="101" customFormat="1">
      <c r="A340" s="100" t="e">
        <f>VLOOKUP(C340,classifications!C:F,4,FALSE)</f>
        <v>#N/A</v>
      </c>
      <c r="B340" s="100" t="s">
        <v>768</v>
      </c>
      <c r="C340" s="100" t="s">
        <v>153</v>
      </c>
      <c r="D340" s="100" t="s">
        <v>164</v>
      </c>
      <c r="E340" s="100" t="s">
        <v>154</v>
      </c>
      <c r="F340" s="100" t="s">
        <v>101</v>
      </c>
      <c r="G340" s="100" t="s">
        <v>143</v>
      </c>
      <c r="H340" s="100" t="s">
        <v>128</v>
      </c>
      <c r="I340" s="100" t="s">
        <v>347</v>
      </c>
      <c r="J340" s="100" t="s">
        <v>115</v>
      </c>
      <c r="K340" s="100" t="s">
        <v>59</v>
      </c>
      <c r="L340" s="100" t="s">
        <v>94</v>
      </c>
      <c r="M340" s="100" t="s">
        <v>184</v>
      </c>
      <c r="N340" s="100" t="s">
        <v>158</v>
      </c>
      <c r="O340" s="100" t="s">
        <v>346</v>
      </c>
      <c r="P340" s="100" t="s">
        <v>19</v>
      </c>
      <c r="Q340" s="100" t="s">
        <v>58</v>
      </c>
      <c r="R340" s="100" t="s">
        <v>10</v>
      </c>
    </row>
    <row r="341" spans="1:18" s="101" customFormat="1">
      <c r="A341" s="100" t="e">
        <f>VLOOKUP(C341,classifications!C:F,4,FALSE)</f>
        <v>#N/A</v>
      </c>
      <c r="B341" s="100" t="s">
        <v>769</v>
      </c>
      <c r="C341" s="100" t="s">
        <v>159</v>
      </c>
      <c r="D341" s="100" t="s">
        <v>141</v>
      </c>
      <c r="E341" s="100" t="s">
        <v>165</v>
      </c>
      <c r="F341" s="100" t="s">
        <v>37</v>
      </c>
      <c r="G341" s="100" t="s">
        <v>106</v>
      </c>
      <c r="H341" s="100" t="s">
        <v>183</v>
      </c>
      <c r="I341" s="100" t="s">
        <v>93</v>
      </c>
      <c r="J341" s="100" t="s">
        <v>179</v>
      </c>
      <c r="K341" s="100" t="s">
        <v>121</v>
      </c>
      <c r="L341" s="100" t="s">
        <v>157</v>
      </c>
      <c r="M341" s="100" t="s">
        <v>134</v>
      </c>
      <c r="N341" s="100" t="s">
        <v>67</v>
      </c>
      <c r="O341" s="100" t="s">
        <v>193</v>
      </c>
      <c r="P341" s="100" t="s">
        <v>78</v>
      </c>
      <c r="Q341" s="100" t="s">
        <v>12</v>
      </c>
      <c r="R341" s="100" t="s">
        <v>53</v>
      </c>
    </row>
    <row r="342" spans="1:18" s="101" customFormat="1">
      <c r="A342" s="100" t="e">
        <f>VLOOKUP(C342,classifications!C:F,4,FALSE)</f>
        <v>#N/A</v>
      </c>
      <c r="B342" s="100" t="s">
        <v>770</v>
      </c>
      <c r="C342" s="100" t="s">
        <v>177</v>
      </c>
      <c r="D342" s="100" t="s">
        <v>166</v>
      </c>
      <c r="E342" s="100" t="s">
        <v>51</v>
      </c>
      <c r="F342" s="100" t="s">
        <v>137</v>
      </c>
      <c r="G342" s="100" t="s">
        <v>6</v>
      </c>
      <c r="H342" s="100" t="s">
        <v>134</v>
      </c>
      <c r="I342" s="100" t="s">
        <v>76</v>
      </c>
      <c r="J342" s="100" t="s">
        <v>133</v>
      </c>
      <c r="K342" s="100" t="s">
        <v>108</v>
      </c>
      <c r="L342" s="100" t="s">
        <v>196</v>
      </c>
      <c r="M342" s="100" t="s">
        <v>195</v>
      </c>
      <c r="N342" s="100" t="s">
        <v>171</v>
      </c>
      <c r="O342" s="100" t="s">
        <v>4</v>
      </c>
      <c r="P342" s="100" t="s">
        <v>13</v>
      </c>
      <c r="Q342" s="100" t="s">
        <v>84</v>
      </c>
      <c r="R342" s="100" t="s">
        <v>65</v>
      </c>
    </row>
    <row r="343" spans="1:18" s="101" customFormat="1">
      <c r="A343" s="100" t="str">
        <f>VLOOKUP(C343,classifications!C:F,4,FALSE)</f>
        <v>SD</v>
      </c>
      <c r="B343" s="100" t="s">
        <v>771</v>
      </c>
      <c r="C343" s="100" t="s">
        <v>63</v>
      </c>
      <c r="D343" s="100" t="s">
        <v>345</v>
      </c>
      <c r="E343" s="100" t="s">
        <v>350</v>
      </c>
      <c r="F343" s="100" t="s">
        <v>178</v>
      </c>
      <c r="G343" s="100" t="s">
        <v>160</v>
      </c>
      <c r="H343" s="100" t="s">
        <v>190</v>
      </c>
      <c r="I343" s="100" t="s">
        <v>105</v>
      </c>
      <c r="J343" s="100" t="s">
        <v>152</v>
      </c>
      <c r="K343" s="100" t="s">
        <v>77</v>
      </c>
      <c r="L343" s="100" t="s">
        <v>163</v>
      </c>
      <c r="M343" s="100" t="s">
        <v>151</v>
      </c>
      <c r="N343" s="100" t="s">
        <v>194</v>
      </c>
      <c r="O343" s="100" t="s">
        <v>21</v>
      </c>
      <c r="P343" s="100" t="s">
        <v>82</v>
      </c>
      <c r="Q343" s="100" t="s">
        <v>136</v>
      </c>
      <c r="R343" s="100" t="s">
        <v>129</v>
      </c>
    </row>
    <row r="344" spans="1:18" s="101" customFormat="1">
      <c r="A344" s="100" t="str">
        <f>VLOOKUP(C344,classifications!C:F,4,FALSE)</f>
        <v>SD</v>
      </c>
      <c r="B344" s="100" t="s">
        <v>772</v>
      </c>
      <c r="C344" s="100" t="s">
        <v>345</v>
      </c>
      <c r="D344" s="100" t="s">
        <v>160</v>
      </c>
      <c r="E344" s="100" t="s">
        <v>63</v>
      </c>
      <c r="F344" s="100" t="s">
        <v>350</v>
      </c>
      <c r="G344" s="100" t="s">
        <v>190</v>
      </c>
      <c r="H344" s="100" t="s">
        <v>151</v>
      </c>
      <c r="I344" s="100" t="s">
        <v>178</v>
      </c>
      <c r="J344" s="100" t="s">
        <v>129</v>
      </c>
      <c r="K344" s="100" t="s">
        <v>21</v>
      </c>
      <c r="L344" s="100" t="s">
        <v>163</v>
      </c>
      <c r="M344" s="100" t="s">
        <v>105</v>
      </c>
      <c r="N344" s="100" t="s">
        <v>82</v>
      </c>
      <c r="O344" s="100" t="s">
        <v>77</v>
      </c>
      <c r="P344" s="100" t="s">
        <v>64</v>
      </c>
      <c r="Q344" s="100" t="s">
        <v>170</v>
      </c>
      <c r="R344" s="100" t="s">
        <v>136</v>
      </c>
    </row>
    <row r="345" spans="1:18" s="101" customFormat="1">
      <c r="A345" s="100" t="str">
        <f>VLOOKUP(C345,classifications!C:F,4,FALSE)</f>
        <v>SD</v>
      </c>
      <c r="B345" s="100" t="s">
        <v>773</v>
      </c>
      <c r="C345" s="100" t="s">
        <v>77</v>
      </c>
      <c r="D345" s="100" t="s">
        <v>129</v>
      </c>
      <c r="E345" s="100" t="s">
        <v>350</v>
      </c>
      <c r="F345" s="100" t="s">
        <v>174</v>
      </c>
      <c r="G345" s="100" t="s">
        <v>194</v>
      </c>
      <c r="H345" s="100" t="s">
        <v>190</v>
      </c>
      <c r="I345" s="100" t="s">
        <v>151</v>
      </c>
      <c r="J345" s="100" t="s">
        <v>160</v>
      </c>
      <c r="K345" s="100" t="s">
        <v>178</v>
      </c>
      <c r="L345" s="100" t="s">
        <v>189</v>
      </c>
      <c r="M345" s="100" t="s">
        <v>105</v>
      </c>
      <c r="N345" s="100" t="s">
        <v>345</v>
      </c>
      <c r="O345" s="100" t="s">
        <v>147</v>
      </c>
      <c r="P345" s="100" t="s">
        <v>64</v>
      </c>
      <c r="Q345" s="100" t="s">
        <v>63</v>
      </c>
      <c r="R345" s="100" t="s">
        <v>136</v>
      </c>
    </row>
    <row r="346" spans="1:18" s="101" customFormat="1">
      <c r="A346" s="100" t="str">
        <f>VLOOKUP(C346,classifications!C:F,4,FALSE)</f>
        <v>SD</v>
      </c>
      <c r="B346" s="100" t="s">
        <v>774</v>
      </c>
      <c r="C346" s="100" t="s">
        <v>105</v>
      </c>
      <c r="D346" s="100" t="s">
        <v>178</v>
      </c>
      <c r="E346" s="100" t="s">
        <v>163</v>
      </c>
      <c r="F346" s="100" t="s">
        <v>21</v>
      </c>
      <c r="G346" s="100" t="s">
        <v>160</v>
      </c>
      <c r="H346" s="100" t="s">
        <v>136</v>
      </c>
      <c r="I346" s="100" t="s">
        <v>350</v>
      </c>
      <c r="J346" s="100" t="s">
        <v>345</v>
      </c>
      <c r="K346" s="100" t="s">
        <v>77</v>
      </c>
      <c r="L346" s="100" t="s">
        <v>63</v>
      </c>
      <c r="M346" s="100" t="s">
        <v>189</v>
      </c>
      <c r="N346" s="100" t="s">
        <v>138</v>
      </c>
      <c r="O346" s="100" t="s">
        <v>129</v>
      </c>
      <c r="P346" s="100" t="s">
        <v>64</v>
      </c>
      <c r="Q346" s="100" t="s">
        <v>151</v>
      </c>
      <c r="R346" s="100" t="s">
        <v>147</v>
      </c>
    </row>
    <row r="347" spans="1:18" s="101" customFormat="1">
      <c r="A347" s="100" t="str">
        <f>VLOOKUP(C347,classifications!C:F,4,FALSE)</f>
        <v>SD</v>
      </c>
      <c r="B347" s="100" t="s">
        <v>775</v>
      </c>
      <c r="C347" s="100" t="s">
        <v>350</v>
      </c>
      <c r="D347" s="100" t="s">
        <v>151</v>
      </c>
      <c r="E347" s="100" t="s">
        <v>160</v>
      </c>
      <c r="F347" s="100" t="s">
        <v>178</v>
      </c>
      <c r="G347" s="100" t="s">
        <v>190</v>
      </c>
      <c r="H347" s="100" t="s">
        <v>345</v>
      </c>
      <c r="I347" s="100" t="s">
        <v>77</v>
      </c>
      <c r="J347" s="100" t="s">
        <v>64</v>
      </c>
      <c r="K347" s="100" t="s">
        <v>63</v>
      </c>
      <c r="L347" s="100" t="s">
        <v>194</v>
      </c>
      <c r="M347" s="100" t="s">
        <v>174</v>
      </c>
      <c r="N347" s="100" t="s">
        <v>147</v>
      </c>
      <c r="O347" s="100" t="s">
        <v>163</v>
      </c>
      <c r="P347" s="100" t="s">
        <v>129</v>
      </c>
      <c r="Q347" s="100" t="s">
        <v>136</v>
      </c>
      <c r="R347" s="100" t="s">
        <v>21</v>
      </c>
    </row>
    <row r="348" spans="1:18" s="101" customFormat="1">
      <c r="A348" s="100" t="str">
        <f>VLOOKUP(C348,classifications!C:F,4,FALSE)</f>
        <v>SD</v>
      </c>
      <c r="B348" s="100" t="s">
        <v>776</v>
      </c>
      <c r="C348" s="100" t="s">
        <v>129</v>
      </c>
      <c r="D348" s="100" t="s">
        <v>151</v>
      </c>
      <c r="E348" s="100" t="s">
        <v>77</v>
      </c>
      <c r="F348" s="100" t="s">
        <v>190</v>
      </c>
      <c r="G348" s="100" t="s">
        <v>160</v>
      </c>
      <c r="H348" s="100" t="s">
        <v>350</v>
      </c>
      <c r="I348" s="100" t="s">
        <v>21</v>
      </c>
      <c r="J348" s="100" t="s">
        <v>345</v>
      </c>
      <c r="K348" s="100" t="s">
        <v>174</v>
      </c>
      <c r="L348" s="100" t="s">
        <v>105</v>
      </c>
      <c r="M348" s="100" t="s">
        <v>64</v>
      </c>
      <c r="N348" s="100" t="s">
        <v>189</v>
      </c>
      <c r="O348" s="100" t="s">
        <v>163</v>
      </c>
      <c r="P348" s="100" t="s">
        <v>194</v>
      </c>
      <c r="Q348" s="100" t="s">
        <v>85</v>
      </c>
      <c r="R348" s="100" t="s">
        <v>178</v>
      </c>
    </row>
    <row r="349" spans="1:18" s="101" customFormat="1">
      <c r="A349" s="100" t="str">
        <f>VLOOKUP(C349,classifications!C:F,4,FALSE)</f>
        <v>SD</v>
      </c>
      <c r="B349" s="100" t="s">
        <v>777</v>
      </c>
      <c r="C349" s="100" t="s">
        <v>151</v>
      </c>
      <c r="D349" s="100" t="s">
        <v>129</v>
      </c>
      <c r="E349" s="100" t="s">
        <v>190</v>
      </c>
      <c r="F349" s="100" t="s">
        <v>350</v>
      </c>
      <c r="G349" s="100" t="s">
        <v>160</v>
      </c>
      <c r="H349" s="100" t="s">
        <v>345</v>
      </c>
      <c r="I349" s="100" t="s">
        <v>21</v>
      </c>
      <c r="J349" s="100" t="s">
        <v>64</v>
      </c>
      <c r="K349" s="100" t="s">
        <v>77</v>
      </c>
      <c r="L349" s="100" t="s">
        <v>174</v>
      </c>
      <c r="M349" s="100" t="s">
        <v>194</v>
      </c>
      <c r="N349" s="100" t="s">
        <v>85</v>
      </c>
      <c r="O349" s="100" t="s">
        <v>24</v>
      </c>
      <c r="P349" s="100" t="s">
        <v>163</v>
      </c>
      <c r="Q349" s="100" t="s">
        <v>111</v>
      </c>
      <c r="R349" s="100" t="s">
        <v>175</v>
      </c>
    </row>
    <row r="350" spans="1:18" s="101" customFormat="1">
      <c r="A350" s="100" t="str">
        <f>VLOOKUP(C350,classifications!C:F,4,FALSE)</f>
        <v>SD</v>
      </c>
      <c r="B350" s="100" t="s">
        <v>778</v>
      </c>
      <c r="C350" s="100" t="s">
        <v>160</v>
      </c>
      <c r="D350" s="100" t="s">
        <v>345</v>
      </c>
      <c r="E350" s="100" t="s">
        <v>350</v>
      </c>
      <c r="F350" s="100" t="s">
        <v>163</v>
      </c>
      <c r="G350" s="100" t="s">
        <v>151</v>
      </c>
      <c r="H350" s="100" t="s">
        <v>190</v>
      </c>
      <c r="I350" s="100" t="s">
        <v>21</v>
      </c>
      <c r="J350" s="100" t="s">
        <v>63</v>
      </c>
      <c r="K350" s="100" t="s">
        <v>178</v>
      </c>
      <c r="L350" s="100" t="s">
        <v>129</v>
      </c>
      <c r="M350" s="100" t="s">
        <v>82</v>
      </c>
      <c r="N350" s="100" t="s">
        <v>105</v>
      </c>
      <c r="O350" s="100" t="s">
        <v>77</v>
      </c>
      <c r="P350" s="100" t="s">
        <v>136</v>
      </c>
      <c r="Q350" s="100" t="s">
        <v>174</v>
      </c>
      <c r="R350" s="100" t="s">
        <v>147</v>
      </c>
    </row>
    <row r="351" spans="1:18" s="101" customFormat="1">
      <c r="A351" s="100" t="str">
        <f>VLOOKUP(C351,classifications!C:F,4,FALSE)</f>
        <v>SD</v>
      </c>
      <c r="B351" s="100" t="s">
        <v>779</v>
      </c>
      <c r="C351" s="100" t="s">
        <v>163</v>
      </c>
      <c r="D351" s="100" t="s">
        <v>160</v>
      </c>
      <c r="E351" s="100" t="s">
        <v>105</v>
      </c>
      <c r="F351" s="100" t="s">
        <v>178</v>
      </c>
      <c r="G351" s="100" t="s">
        <v>136</v>
      </c>
      <c r="H351" s="100" t="s">
        <v>350</v>
      </c>
      <c r="I351" s="100" t="s">
        <v>21</v>
      </c>
      <c r="J351" s="100" t="s">
        <v>55</v>
      </c>
      <c r="K351" s="100" t="s">
        <v>147</v>
      </c>
      <c r="L351" s="100" t="s">
        <v>64</v>
      </c>
      <c r="M351" s="100" t="s">
        <v>345</v>
      </c>
      <c r="N351" s="100" t="s">
        <v>186</v>
      </c>
      <c r="O351" s="100" t="s">
        <v>82</v>
      </c>
      <c r="P351" s="100" t="s">
        <v>174</v>
      </c>
      <c r="Q351" s="100" t="s">
        <v>63</v>
      </c>
      <c r="R351" s="100" t="s">
        <v>151</v>
      </c>
    </row>
    <row r="352" spans="1:18" s="101" customFormat="1">
      <c r="A352" s="100" t="str">
        <f>VLOOKUP(C352,classifications!C:F,4,FALSE)</f>
        <v>SD</v>
      </c>
      <c r="B352" s="100" t="s">
        <v>780</v>
      </c>
      <c r="C352" s="100" t="s">
        <v>178</v>
      </c>
      <c r="D352" s="100" t="s">
        <v>105</v>
      </c>
      <c r="E352" s="100" t="s">
        <v>350</v>
      </c>
      <c r="F352" s="100" t="s">
        <v>163</v>
      </c>
      <c r="G352" s="100" t="s">
        <v>136</v>
      </c>
      <c r="H352" s="100" t="s">
        <v>63</v>
      </c>
      <c r="I352" s="100" t="s">
        <v>160</v>
      </c>
      <c r="J352" s="100" t="s">
        <v>147</v>
      </c>
      <c r="K352" s="100" t="s">
        <v>345</v>
      </c>
      <c r="L352" s="100" t="s">
        <v>189</v>
      </c>
      <c r="M352" s="100" t="s">
        <v>77</v>
      </c>
      <c r="N352" s="100" t="s">
        <v>21</v>
      </c>
      <c r="O352" s="100" t="s">
        <v>64</v>
      </c>
      <c r="P352" s="100" t="s">
        <v>55</v>
      </c>
      <c r="Q352" s="100" t="s">
        <v>174</v>
      </c>
      <c r="R352" s="100" t="s">
        <v>186</v>
      </c>
    </row>
    <row r="353" spans="1:18" s="101" customFormat="1">
      <c r="A353" s="100" t="str">
        <f>VLOOKUP(C353,classifications!C:F,4,FALSE)</f>
        <v>SD</v>
      </c>
      <c r="B353" s="100" t="s">
        <v>781</v>
      </c>
      <c r="C353" s="100" t="s">
        <v>190</v>
      </c>
      <c r="D353" s="100" t="s">
        <v>151</v>
      </c>
      <c r="E353" s="100" t="s">
        <v>129</v>
      </c>
      <c r="F353" s="100" t="s">
        <v>350</v>
      </c>
      <c r="G353" s="100" t="s">
        <v>345</v>
      </c>
      <c r="H353" s="100" t="s">
        <v>160</v>
      </c>
      <c r="I353" s="100" t="s">
        <v>77</v>
      </c>
      <c r="J353" s="100" t="s">
        <v>194</v>
      </c>
      <c r="K353" s="100" t="s">
        <v>63</v>
      </c>
      <c r="L353" s="100" t="s">
        <v>85</v>
      </c>
      <c r="M353" s="100" t="s">
        <v>64</v>
      </c>
      <c r="N353" s="100" t="s">
        <v>21</v>
      </c>
      <c r="O353" s="100" t="s">
        <v>174</v>
      </c>
      <c r="P353" s="100" t="s">
        <v>24</v>
      </c>
      <c r="Q353" s="100" t="s">
        <v>178</v>
      </c>
      <c r="R353" s="100" t="s">
        <v>170</v>
      </c>
    </row>
    <row r="354" spans="1:18" s="101" customFormat="1">
      <c r="A354" s="100" t="str">
        <f>VLOOKUP(C354,classifications!C:F,4,FALSE)</f>
        <v>SD</v>
      </c>
      <c r="B354" s="100" t="s">
        <v>782</v>
      </c>
      <c r="C354" s="100" t="s">
        <v>114</v>
      </c>
      <c r="D354" s="100" t="s">
        <v>115</v>
      </c>
      <c r="E354" s="100" t="s">
        <v>135</v>
      </c>
      <c r="F354" s="100" t="s">
        <v>42</v>
      </c>
      <c r="G354" s="100" t="s">
        <v>49</v>
      </c>
      <c r="H354" s="100" t="s">
        <v>15</v>
      </c>
      <c r="I354" s="100" t="s">
        <v>153</v>
      </c>
      <c r="J354" s="100" t="s">
        <v>168</v>
      </c>
      <c r="K354" s="100" t="s">
        <v>184</v>
      </c>
      <c r="L354" s="100" t="s">
        <v>347</v>
      </c>
      <c r="M354" s="100" t="s">
        <v>59</v>
      </c>
      <c r="N354" s="100" t="s">
        <v>100</v>
      </c>
      <c r="O354" s="100" t="s">
        <v>94</v>
      </c>
      <c r="P354" s="100" t="s">
        <v>346</v>
      </c>
      <c r="Q354" s="100" t="s">
        <v>58</v>
      </c>
      <c r="R354" s="100" t="s">
        <v>128</v>
      </c>
    </row>
    <row r="355" spans="1:18" s="101" customFormat="1">
      <c r="A355" s="100" t="str">
        <f>VLOOKUP(C355,classifications!C:F,4,FALSE)</f>
        <v>SD</v>
      </c>
      <c r="B355" s="100" t="s">
        <v>783</v>
      </c>
      <c r="C355" s="100" t="s">
        <v>348</v>
      </c>
      <c r="D355" s="100" t="s">
        <v>9</v>
      </c>
      <c r="E355" s="100" t="s">
        <v>99</v>
      </c>
      <c r="F355" s="100" t="s">
        <v>28</v>
      </c>
      <c r="G355" s="100" t="s">
        <v>65</v>
      </c>
      <c r="H355" s="100" t="s">
        <v>91</v>
      </c>
      <c r="I355" s="100" t="s">
        <v>73</v>
      </c>
      <c r="J355" s="100" t="s">
        <v>107</v>
      </c>
      <c r="K355" s="100" t="s">
        <v>162</v>
      </c>
      <c r="L355" s="100" t="s">
        <v>72</v>
      </c>
      <c r="M355" s="100" t="s">
        <v>30</v>
      </c>
      <c r="N355" s="100" t="s">
        <v>191</v>
      </c>
      <c r="O355" s="100" t="s">
        <v>196</v>
      </c>
      <c r="P355" s="100" t="s">
        <v>59</v>
      </c>
      <c r="Q355" s="100" t="s">
        <v>119</v>
      </c>
      <c r="R355" s="100" t="s">
        <v>15</v>
      </c>
    </row>
    <row r="356" spans="1:18" s="101" customFormat="1">
      <c r="A356" s="100" t="str">
        <f>VLOOKUP(C356,classifications!C:F,4,FALSE)</f>
        <v>SD</v>
      </c>
      <c r="B356" s="100" t="s">
        <v>784</v>
      </c>
      <c r="C356" s="100" t="s">
        <v>128</v>
      </c>
      <c r="D356" s="100" t="s">
        <v>91</v>
      </c>
      <c r="E356" s="100" t="s">
        <v>153</v>
      </c>
      <c r="F356" s="100" t="s">
        <v>59</v>
      </c>
      <c r="G356" s="100" t="s">
        <v>10</v>
      </c>
      <c r="H356" s="100" t="s">
        <v>58</v>
      </c>
      <c r="I356" s="100" t="s">
        <v>96</v>
      </c>
      <c r="J356" s="100" t="s">
        <v>24</v>
      </c>
      <c r="K356" s="100" t="s">
        <v>19</v>
      </c>
      <c r="L356" s="100" t="s">
        <v>143</v>
      </c>
      <c r="M356" s="100" t="s">
        <v>35</v>
      </c>
      <c r="N356" s="100" t="s">
        <v>180</v>
      </c>
      <c r="O356" s="100" t="s">
        <v>111</v>
      </c>
      <c r="P356" s="100" t="s">
        <v>164</v>
      </c>
      <c r="Q356" s="100" t="s">
        <v>94</v>
      </c>
      <c r="R356" s="100" t="s">
        <v>148</v>
      </c>
    </row>
    <row r="357" spans="1:18" s="101" customFormat="1">
      <c r="A357" s="100" t="str">
        <f>VLOOKUP(C357,classifications!C:F,4,FALSE)</f>
        <v>SD</v>
      </c>
      <c r="B357" s="100" t="s">
        <v>785</v>
      </c>
      <c r="C357" s="100" t="s">
        <v>157</v>
      </c>
      <c r="D357" s="100" t="s">
        <v>193</v>
      </c>
      <c r="E357" s="100" t="s">
        <v>78</v>
      </c>
      <c r="F357" s="100" t="s">
        <v>44</v>
      </c>
      <c r="G357" s="100" t="s">
        <v>168</v>
      </c>
      <c r="H357" s="100" t="s">
        <v>167</v>
      </c>
      <c r="I357" s="100" t="s">
        <v>189</v>
      </c>
      <c r="J357" s="100" t="s">
        <v>55</v>
      </c>
      <c r="K357" s="100" t="s">
        <v>87</v>
      </c>
      <c r="L357" s="100" t="s">
        <v>109</v>
      </c>
      <c r="M357" s="100" t="s">
        <v>136</v>
      </c>
      <c r="N357" s="100" t="s">
        <v>12</v>
      </c>
      <c r="O357" s="100" t="s">
        <v>186</v>
      </c>
      <c r="P357" s="100" t="s">
        <v>50</v>
      </c>
      <c r="Q357" s="100" t="s">
        <v>81</v>
      </c>
      <c r="R357" s="100" t="s">
        <v>98</v>
      </c>
    </row>
    <row r="358" spans="1:18" s="101" customFormat="1">
      <c r="A358" s="100" t="str">
        <f>VLOOKUP(C358,classifications!C:F,4,FALSE)</f>
        <v>SD</v>
      </c>
      <c r="B358" s="100" t="s">
        <v>786</v>
      </c>
      <c r="C358" s="100" t="s">
        <v>175</v>
      </c>
      <c r="D358" s="100" t="s">
        <v>33</v>
      </c>
      <c r="E358" s="100" t="s">
        <v>34</v>
      </c>
      <c r="F358" s="100" t="s">
        <v>96</v>
      </c>
      <c r="G358" s="100" t="s">
        <v>81</v>
      </c>
      <c r="H358" s="100" t="s">
        <v>154</v>
      </c>
      <c r="I358" s="100" t="s">
        <v>41</v>
      </c>
      <c r="J358" s="100" t="s">
        <v>32</v>
      </c>
      <c r="K358" s="100" t="s">
        <v>172</v>
      </c>
      <c r="L358" s="100" t="s">
        <v>111</v>
      </c>
      <c r="M358" s="100" t="s">
        <v>104</v>
      </c>
      <c r="N358" s="100" t="s">
        <v>164</v>
      </c>
      <c r="O358" s="100" t="s">
        <v>128</v>
      </c>
      <c r="P358" s="100" t="s">
        <v>35</v>
      </c>
      <c r="Q358" s="100" t="s">
        <v>47</v>
      </c>
      <c r="R358" s="100" t="s">
        <v>167</v>
      </c>
    </row>
    <row r="359" spans="1:18" s="101" customFormat="1">
      <c r="A359" s="100" t="str">
        <f>VLOOKUP(C359,classifications!C:F,4,FALSE)</f>
        <v>SD</v>
      </c>
      <c r="B359" s="100" t="s">
        <v>787</v>
      </c>
      <c r="C359" s="100" t="s">
        <v>4</v>
      </c>
      <c r="D359" s="100" t="s">
        <v>137</v>
      </c>
      <c r="E359" s="100" t="s">
        <v>93</v>
      </c>
      <c r="F359" s="100" t="s">
        <v>84</v>
      </c>
      <c r="G359" s="100" t="s">
        <v>51</v>
      </c>
      <c r="H359" s="100" t="s">
        <v>171</v>
      </c>
      <c r="I359" s="100" t="s">
        <v>108</v>
      </c>
      <c r="J359" s="100" t="s">
        <v>192</v>
      </c>
      <c r="K359" s="100" t="s">
        <v>71</v>
      </c>
      <c r="L359" s="100" t="s">
        <v>196</v>
      </c>
      <c r="M359" s="100" t="s">
        <v>134</v>
      </c>
      <c r="N359" s="100" t="s">
        <v>74</v>
      </c>
      <c r="O359" s="100" t="s">
        <v>165</v>
      </c>
      <c r="P359" s="100" t="s">
        <v>177</v>
      </c>
      <c r="Q359" s="100" t="s">
        <v>125</v>
      </c>
      <c r="R359" s="100" t="s">
        <v>31</v>
      </c>
    </row>
    <row r="360" spans="1:18" s="101" customFormat="1">
      <c r="A360" s="100" t="str">
        <f>VLOOKUP(C360,classifications!C:F,4,FALSE)</f>
        <v>SD</v>
      </c>
      <c r="B360" s="100" t="s">
        <v>788</v>
      </c>
      <c r="C360" s="100" t="s">
        <v>8</v>
      </c>
      <c r="D360" s="100" t="s">
        <v>165</v>
      </c>
      <c r="E360" s="100" t="s">
        <v>93</v>
      </c>
      <c r="F360" s="100" t="s">
        <v>53</v>
      </c>
      <c r="G360" s="100" t="s">
        <v>106</v>
      </c>
      <c r="H360" s="100" t="s">
        <v>71</v>
      </c>
      <c r="I360" s="100" t="s">
        <v>166</v>
      </c>
      <c r="J360" s="100" t="s">
        <v>137</v>
      </c>
      <c r="K360" s="100" t="s">
        <v>195</v>
      </c>
      <c r="L360" s="100" t="s">
        <v>192</v>
      </c>
      <c r="M360" s="100" t="s">
        <v>183</v>
      </c>
      <c r="N360" s="100" t="s">
        <v>29</v>
      </c>
      <c r="O360" s="100" t="s">
        <v>127</v>
      </c>
      <c r="P360" s="100" t="s">
        <v>37</v>
      </c>
      <c r="Q360" s="100" t="s">
        <v>108</v>
      </c>
      <c r="R360" s="100" t="s">
        <v>177</v>
      </c>
    </row>
    <row r="361" spans="1:18" s="101" customFormat="1">
      <c r="A361" s="100" t="str">
        <f>VLOOKUP(C361,classifications!C:F,4,FALSE)</f>
        <v>SD</v>
      </c>
      <c r="B361" s="100" t="s">
        <v>789</v>
      </c>
      <c r="C361" s="100" t="s">
        <v>37</v>
      </c>
      <c r="D361" s="100" t="s">
        <v>183</v>
      </c>
      <c r="E361" s="100" t="s">
        <v>141</v>
      </c>
      <c r="F361" s="100" t="s">
        <v>159</v>
      </c>
      <c r="G361" s="100" t="s">
        <v>53</v>
      </c>
      <c r="H361" s="100" t="s">
        <v>121</v>
      </c>
      <c r="I361" s="100" t="s">
        <v>106</v>
      </c>
      <c r="J361" s="100" t="s">
        <v>179</v>
      </c>
      <c r="K361" s="100" t="s">
        <v>44</v>
      </c>
      <c r="L361" s="100" t="s">
        <v>93</v>
      </c>
      <c r="M361" s="100" t="s">
        <v>157</v>
      </c>
      <c r="N361" s="100" t="s">
        <v>127</v>
      </c>
      <c r="O361" s="100" t="s">
        <v>165</v>
      </c>
      <c r="P361" s="100" t="s">
        <v>193</v>
      </c>
      <c r="Q361" s="100" t="s">
        <v>144</v>
      </c>
      <c r="R361" s="100" t="s">
        <v>98</v>
      </c>
    </row>
    <row r="362" spans="1:18" s="101" customFormat="1">
      <c r="A362" s="100" t="str">
        <f>VLOOKUP(C362,classifications!C:F,4,FALSE)</f>
        <v>SD</v>
      </c>
      <c r="B362" s="100" t="s">
        <v>790</v>
      </c>
      <c r="C362" s="100" t="s">
        <v>46</v>
      </c>
      <c r="D362" s="100" t="s">
        <v>48</v>
      </c>
      <c r="E362" s="100" t="s">
        <v>80</v>
      </c>
      <c r="F362" s="100" t="s">
        <v>156</v>
      </c>
      <c r="G362" s="100" t="s">
        <v>131</v>
      </c>
      <c r="H362" s="100" t="s">
        <v>176</v>
      </c>
      <c r="I362" s="100" t="s">
        <v>118</v>
      </c>
      <c r="J362" s="100" t="s">
        <v>181</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791</v>
      </c>
      <c r="C363" s="100" t="s">
        <v>87</v>
      </c>
      <c r="D363" s="100" t="s">
        <v>104</v>
      </c>
      <c r="E363" s="100" t="s">
        <v>55</v>
      </c>
      <c r="F363" s="100" t="s">
        <v>56</v>
      </c>
      <c r="G363" s="100" t="s">
        <v>136</v>
      </c>
      <c r="H363" s="100" t="s">
        <v>189</v>
      </c>
      <c r="I363" s="100" t="s">
        <v>64</v>
      </c>
      <c r="J363" s="100" t="s">
        <v>167</v>
      </c>
      <c r="K363" s="100" t="s">
        <v>81</v>
      </c>
      <c r="L363" s="100" t="s">
        <v>170</v>
      </c>
      <c r="M363" s="100" t="s">
        <v>147</v>
      </c>
      <c r="N363" s="100" t="s">
        <v>157</v>
      </c>
      <c r="O363" s="100" t="s">
        <v>21</v>
      </c>
      <c r="P363" s="100" t="s">
        <v>130</v>
      </c>
      <c r="Q363" s="100" t="s">
        <v>351</v>
      </c>
      <c r="R363" s="100" t="s">
        <v>174</v>
      </c>
    </row>
    <row r="364" spans="1:18">
      <c r="A364" s="100" t="str">
        <f>VLOOKUP(C364,classifications!C:F,4,FALSE)</f>
        <v>SD</v>
      </c>
      <c r="B364" s="100" t="s">
        <v>792</v>
      </c>
      <c r="C364" s="100" t="s">
        <v>104</v>
      </c>
      <c r="D364" s="100" t="s">
        <v>87</v>
      </c>
      <c r="E364" s="100" t="s">
        <v>56</v>
      </c>
      <c r="F364" s="100" t="s">
        <v>81</v>
      </c>
      <c r="G364" s="100" t="s">
        <v>55</v>
      </c>
      <c r="H364" s="100" t="s">
        <v>189</v>
      </c>
      <c r="I364" s="100" t="s">
        <v>96</v>
      </c>
      <c r="J364" s="100" t="s">
        <v>167</v>
      </c>
      <c r="K364" s="100" t="s">
        <v>64</v>
      </c>
      <c r="L364" s="100" t="s">
        <v>147</v>
      </c>
      <c r="M364" s="100" t="s">
        <v>136</v>
      </c>
      <c r="N364" s="100" t="s">
        <v>152</v>
      </c>
      <c r="O364" s="100" t="s">
        <v>130</v>
      </c>
      <c r="P364" s="100" t="s">
        <v>33</v>
      </c>
      <c r="Q364" s="100" t="s">
        <v>170</v>
      </c>
      <c r="R364" s="100" t="s">
        <v>172</v>
      </c>
    </row>
    <row r="365" spans="1:18">
      <c r="A365" s="100" t="str">
        <f>VLOOKUP(C365,classifications!C:F,4,FALSE)</f>
        <v>SD</v>
      </c>
      <c r="B365" s="100" t="s">
        <v>793</v>
      </c>
      <c r="C365" s="100" t="s">
        <v>192</v>
      </c>
      <c r="D365" s="100" t="s">
        <v>137</v>
      </c>
      <c r="E365" s="100" t="s">
        <v>4</v>
      </c>
      <c r="F365" s="100" t="s">
        <v>60</v>
      </c>
      <c r="G365" s="100" t="s">
        <v>34</v>
      </c>
      <c r="H365" s="100" t="s">
        <v>29</v>
      </c>
      <c r="I365" s="100" t="s">
        <v>8</v>
      </c>
      <c r="J365" s="100" t="s">
        <v>108</v>
      </c>
      <c r="K365" s="100" t="s">
        <v>92</v>
      </c>
      <c r="L365" s="100" t="s">
        <v>71</v>
      </c>
      <c r="M365" s="100" t="s">
        <v>93</v>
      </c>
      <c r="N365" s="100" t="s">
        <v>195</v>
      </c>
      <c r="O365" s="100" t="s">
        <v>165</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53" t="s">
        <v>877</v>
      </c>
    </row>
    <row r="2" spans="1:12">
      <c r="A2" t="s">
        <v>872</v>
      </c>
    </row>
    <row r="3" spans="1:12" ht="9" customHeight="1"/>
    <row r="4" spans="1:12">
      <c r="A4" s="44" t="s">
        <v>876</v>
      </c>
    </row>
    <row r="5" spans="1:12" ht="8.25" customHeight="1">
      <c r="A5" s="156"/>
    </row>
    <row r="6" spans="1:12">
      <c r="A6" s="44" t="s">
        <v>878</v>
      </c>
    </row>
    <row r="8" spans="1:12" ht="14.4">
      <c r="A8" s="253" t="s">
        <v>868</v>
      </c>
    </row>
    <row r="9" spans="1:12">
      <c r="A9" t="s">
        <v>871</v>
      </c>
    </row>
    <row r="10" spans="1:12">
      <c r="B10" t="s">
        <v>806</v>
      </c>
      <c r="C10" t="s">
        <v>862</v>
      </c>
    </row>
    <row r="11" spans="1:12">
      <c r="C11" t="s">
        <v>861</v>
      </c>
    </row>
    <row r="12" spans="1:12">
      <c r="C12" t="s">
        <v>863</v>
      </c>
    </row>
    <row r="14" spans="1:12">
      <c r="B14" t="s">
        <v>807</v>
      </c>
      <c r="C14" t="s">
        <v>859</v>
      </c>
    </row>
    <row r="15" spans="1:12">
      <c r="C15" t="s">
        <v>891</v>
      </c>
    </row>
    <row r="16" spans="1:12" ht="39.6">
      <c r="D16" t="s">
        <v>854</v>
      </c>
      <c r="E16" s="249" t="s">
        <v>857</v>
      </c>
      <c r="F16" s="249"/>
      <c r="G16" s="249"/>
      <c r="H16" s="249"/>
      <c r="I16" s="235" t="s">
        <v>856</v>
      </c>
      <c r="J16" s="236" t="s">
        <v>808</v>
      </c>
      <c r="K16" s="246" t="s">
        <v>809</v>
      </c>
      <c r="L16" s="48"/>
    </row>
    <row r="17" spans="1:12" ht="48">
      <c r="E17" s="238" t="s">
        <v>850</v>
      </c>
      <c r="F17" s="239" t="s">
        <v>850</v>
      </c>
      <c r="G17" s="239" t="s">
        <v>855</v>
      </c>
      <c r="H17" s="240" t="s">
        <v>855</v>
      </c>
      <c r="J17" s="244" t="s">
        <v>850</v>
      </c>
      <c r="K17" s="247" t="s">
        <v>851</v>
      </c>
      <c r="L17" s="248" t="s">
        <v>852</v>
      </c>
    </row>
    <row r="18" spans="1:12" ht="48">
      <c r="E18" s="241" t="s">
        <v>851</v>
      </c>
      <c r="F18" s="242" t="s">
        <v>852</v>
      </c>
      <c r="G18" s="242" t="s">
        <v>851</v>
      </c>
      <c r="H18" s="243" t="s">
        <v>852</v>
      </c>
      <c r="J18" s="245" t="s">
        <v>855</v>
      </c>
      <c r="K18" s="247" t="s">
        <v>851</v>
      </c>
      <c r="L18" s="248" t="s">
        <v>852</v>
      </c>
    </row>
    <row r="19" spans="1:12" ht="18.75" customHeight="1">
      <c r="C19" s="234" t="s">
        <v>864</v>
      </c>
    </row>
    <row r="20" spans="1:12">
      <c r="C20" s="234"/>
      <c r="D20" t="s">
        <v>854</v>
      </c>
      <c r="E20" s="249" t="s">
        <v>857</v>
      </c>
      <c r="F20" s="362" t="s">
        <v>858</v>
      </c>
      <c r="G20" s="362"/>
      <c r="H20" s="236" t="s">
        <v>802</v>
      </c>
      <c r="I20" s="237" t="s">
        <v>794</v>
      </c>
    </row>
    <row r="21" spans="1:12">
      <c r="C21" s="234"/>
      <c r="E21" s="250" t="s">
        <v>850</v>
      </c>
      <c r="F21" s="362"/>
      <c r="G21" s="362"/>
      <c r="H21" s="8" t="s">
        <v>812</v>
      </c>
      <c r="I21" s="10" t="s">
        <v>823</v>
      </c>
    </row>
    <row r="22" spans="1:12" ht="36">
      <c r="C22" s="234"/>
      <c r="E22" s="251" t="s">
        <v>851</v>
      </c>
      <c r="F22" s="362"/>
      <c r="G22" s="362"/>
    </row>
    <row r="23" spans="1:12">
      <c r="C23" s="234"/>
      <c r="E23" s="252">
        <v>87</v>
      </c>
      <c r="F23" s="362"/>
      <c r="G23" s="362"/>
    </row>
    <row r="24" spans="1:12">
      <c r="C24" s="234" t="s">
        <v>860</v>
      </c>
    </row>
    <row r="26" spans="1:12">
      <c r="A26" t="s">
        <v>873</v>
      </c>
    </row>
    <row r="28" spans="1:12">
      <c r="A28" t="s">
        <v>869</v>
      </c>
    </row>
    <row r="29" spans="1:12">
      <c r="A29" s="254" t="s">
        <v>875</v>
      </c>
    </row>
    <row r="30" spans="1:12">
      <c r="A30" s="254"/>
    </row>
    <row r="31" spans="1:12">
      <c r="A31" t="s">
        <v>870</v>
      </c>
    </row>
    <row r="32" spans="1:12">
      <c r="A32" s="254" t="s">
        <v>874</v>
      </c>
    </row>
    <row r="34" spans="1:1" ht="14.4">
      <c r="A34" s="253" t="s">
        <v>853</v>
      </c>
    </row>
    <row r="35" spans="1:1">
      <c r="A35" t="s">
        <v>867</v>
      </c>
    </row>
    <row r="37" spans="1:1">
      <c r="A37" t="s">
        <v>865</v>
      </c>
    </row>
    <row r="39" spans="1:1">
      <c r="A39" t="s">
        <v>866</v>
      </c>
    </row>
    <row r="41" spans="1:1">
      <c r="A41" s="254"/>
    </row>
    <row r="42" spans="1:1">
      <c r="A42" s="254"/>
    </row>
    <row r="46" spans="1:1">
      <c r="A46" s="254"/>
    </row>
    <row r="47" spans="1:1">
      <c r="A47" s="254"/>
    </row>
    <row r="49" spans="1:1">
      <c r="A49" s="254"/>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56" t="s">
        <v>849</v>
      </c>
      <c r="B2" s="256"/>
      <c r="C2" s="256"/>
      <c r="D2" s="257"/>
    </row>
    <row r="4" spans="1:9">
      <c r="A4" s="256" t="s">
        <v>848</v>
      </c>
      <c r="B4" s="256"/>
      <c r="C4" s="256"/>
      <c r="D4" s="257"/>
    </row>
    <row r="6" spans="1:9">
      <c r="A6" s="256" t="s">
        <v>847</v>
      </c>
      <c r="B6" s="256"/>
      <c r="C6" s="256"/>
      <c r="D6" s="257"/>
    </row>
    <row r="7" spans="1:9">
      <c r="A7" s="6"/>
      <c r="B7" s="6"/>
      <c r="C7" s="6"/>
      <c r="D7" t="s">
        <v>382</v>
      </c>
      <c r="G7" t="s">
        <v>388</v>
      </c>
    </row>
    <row r="8" spans="1:9">
      <c r="D8" t="s">
        <v>879</v>
      </c>
      <c r="E8" t="s">
        <v>880</v>
      </c>
      <c r="F8" t="s">
        <v>881</v>
      </c>
      <c r="G8" t="s">
        <v>879</v>
      </c>
      <c r="H8" t="s">
        <v>880</v>
      </c>
      <c r="I8" t="s">
        <v>881</v>
      </c>
    </row>
    <row r="9" spans="1:9">
      <c r="A9" s="258" t="s">
        <v>794</v>
      </c>
      <c r="B9" s="256" t="s">
        <v>846</v>
      </c>
      <c r="C9" s="256"/>
      <c r="D9" s="257"/>
      <c r="E9" s="257"/>
      <c r="F9" s="257"/>
      <c r="G9" s="257"/>
      <c r="H9" s="257"/>
      <c r="I9" s="257"/>
    </row>
    <row r="10" spans="1:9">
      <c r="A10" s="6"/>
      <c r="B10" s="256" t="s">
        <v>845</v>
      </c>
      <c r="C10" s="256"/>
      <c r="D10" s="257"/>
      <c r="E10" s="257"/>
      <c r="F10" s="257"/>
      <c r="G10" s="257"/>
      <c r="H10" s="257"/>
      <c r="I10" s="257"/>
    </row>
    <row r="11" spans="1:9">
      <c r="A11" s="6"/>
      <c r="B11" s="256" t="s">
        <v>844</v>
      </c>
      <c r="C11" s="256"/>
      <c r="D11" s="257"/>
      <c r="E11" s="257"/>
      <c r="F11" s="257"/>
      <c r="G11" s="257"/>
      <c r="H11" s="257"/>
      <c r="I11" s="257"/>
    </row>
    <row r="12" spans="1:9">
      <c r="A12" s="6"/>
      <c r="B12" s="256" t="s">
        <v>843</v>
      </c>
      <c r="C12" s="256"/>
      <c r="D12" s="257"/>
      <c r="E12" s="257"/>
      <c r="F12" s="257"/>
      <c r="G12" s="257"/>
      <c r="H12" s="257"/>
      <c r="I12" s="257"/>
    </row>
    <row r="13" spans="1:9">
      <c r="A13" s="6"/>
      <c r="B13" s="256" t="s">
        <v>842</v>
      </c>
      <c r="C13" s="256"/>
      <c r="D13" s="257"/>
      <c r="E13" s="257"/>
      <c r="F13" s="257"/>
      <c r="G13" s="257"/>
      <c r="H13" s="257"/>
      <c r="I13" s="257"/>
    </row>
    <row r="14" spans="1:9">
      <c r="A14" s="6"/>
      <c r="B14" s="256" t="s">
        <v>841</v>
      </c>
      <c r="C14" s="256"/>
      <c r="D14" s="257"/>
      <c r="E14" s="257"/>
      <c r="F14" s="257"/>
      <c r="G14" s="257"/>
      <c r="H14" s="257"/>
      <c r="I14" s="257"/>
    </row>
    <row r="15" spans="1:9">
      <c r="A15" s="9"/>
      <c r="B15" s="256" t="s">
        <v>840</v>
      </c>
      <c r="C15" s="256"/>
      <c r="D15" s="257"/>
      <c r="E15" s="257"/>
      <c r="F15" s="257"/>
      <c r="G15" s="257"/>
      <c r="H15" s="257"/>
      <c r="I15" s="257"/>
    </row>
    <row r="17" spans="1:5">
      <c r="D17" t="s">
        <v>382</v>
      </c>
      <c r="E17" t="s">
        <v>388</v>
      </c>
    </row>
    <row r="18" spans="1:5">
      <c r="A18" s="256" t="s">
        <v>882</v>
      </c>
      <c r="B18" s="256"/>
      <c r="C18" s="256"/>
      <c r="D18" s="257"/>
      <c r="E18" s="257"/>
    </row>
    <row r="20" spans="1:5">
      <c r="A20" s="256" t="s">
        <v>839</v>
      </c>
      <c r="B20" s="256"/>
      <c r="C20" s="256"/>
      <c r="D20" s="257"/>
      <c r="E20" s="257"/>
    </row>
    <row r="22" spans="1:5">
      <c r="A22" s="256" t="s">
        <v>883</v>
      </c>
      <c r="B22" s="256"/>
      <c r="C22" s="256"/>
      <c r="D22" s="257"/>
      <c r="E22" s="257"/>
    </row>
    <row r="24" spans="1:5">
      <c r="A24" s="256" t="s">
        <v>884</v>
      </c>
      <c r="B24" s="256"/>
      <c r="C24" s="259"/>
      <c r="D24" s="257"/>
      <c r="E24" s="257"/>
    </row>
    <row r="26" spans="1:5">
      <c r="A26" s="258" t="s">
        <v>838</v>
      </c>
      <c r="B26" s="258" t="s">
        <v>409</v>
      </c>
      <c r="C26" s="256" t="s">
        <v>375</v>
      </c>
      <c r="D26" s="257"/>
      <c r="E26" s="257"/>
    </row>
    <row r="27" spans="1:5">
      <c r="A27" s="6"/>
      <c r="B27" s="9"/>
      <c r="C27" s="256" t="s">
        <v>837</v>
      </c>
      <c r="D27" s="257"/>
      <c r="E27" s="257"/>
    </row>
    <row r="28" spans="1:5">
      <c r="A28" s="6"/>
      <c r="B28" s="256" t="s">
        <v>836</v>
      </c>
      <c r="C28" s="256"/>
      <c r="D28" s="257"/>
      <c r="E28" s="257"/>
    </row>
    <row r="29" spans="1:5">
      <c r="A29" s="6"/>
      <c r="B29" s="256" t="s">
        <v>355</v>
      </c>
      <c r="C29" s="256"/>
      <c r="D29" s="257"/>
      <c r="E29" s="257"/>
    </row>
    <row r="30" spans="1:5">
      <c r="A30" s="6"/>
      <c r="B30" s="256" t="s">
        <v>835</v>
      </c>
      <c r="C30" s="256"/>
      <c r="D30" s="257"/>
      <c r="E30" s="257"/>
    </row>
    <row r="31" spans="1:5">
      <c r="A31" s="9"/>
      <c r="B31" s="256" t="s">
        <v>834</v>
      </c>
      <c r="C31" s="256"/>
      <c r="D31" s="257"/>
      <c r="E31" s="257"/>
    </row>
    <row r="33" spans="1:5">
      <c r="A33" s="258" t="s">
        <v>833</v>
      </c>
      <c r="B33" s="256" t="s">
        <v>832</v>
      </c>
      <c r="C33" s="256"/>
      <c r="D33" s="257"/>
      <c r="E33" s="257"/>
    </row>
    <row r="34" spans="1:5">
      <c r="A34" s="9"/>
      <c r="B34" s="256" t="s">
        <v>885</v>
      </c>
      <c r="C34" s="256"/>
      <c r="D34" s="257"/>
      <c r="E34" s="257"/>
    </row>
    <row r="36" spans="1:5">
      <c r="A36" s="258" t="s">
        <v>831</v>
      </c>
      <c r="B36" s="256" t="s">
        <v>830</v>
      </c>
      <c r="C36" s="256"/>
      <c r="D36" s="257"/>
      <c r="E36" s="257"/>
    </row>
    <row r="37" spans="1:5">
      <c r="A37" s="6"/>
      <c r="B37" s="256" t="s">
        <v>829</v>
      </c>
      <c r="C37" s="256"/>
      <c r="D37" s="257"/>
      <c r="E37" s="257"/>
    </row>
    <row r="38" spans="1:5">
      <c r="A38" s="6"/>
      <c r="B38" s="256" t="s">
        <v>799</v>
      </c>
      <c r="C38" s="256"/>
      <c r="D38" s="257"/>
      <c r="E38" s="257"/>
    </row>
    <row r="39" spans="1:5">
      <c r="A39" s="9"/>
      <c r="B39" s="256" t="s">
        <v>828</v>
      </c>
      <c r="C39" s="256"/>
      <c r="D39" s="257"/>
      <c r="E39" s="257"/>
    </row>
    <row r="41" spans="1:5">
      <c r="A41" s="258" t="s">
        <v>827</v>
      </c>
      <c r="B41" s="256" t="s">
        <v>826</v>
      </c>
      <c r="C41" s="256"/>
      <c r="D41" s="257"/>
      <c r="E41" s="257"/>
    </row>
    <row r="42" spans="1:5">
      <c r="A42" s="9"/>
      <c r="B42" s="9" t="s">
        <v>885</v>
      </c>
      <c r="C42" s="9"/>
      <c r="D42" s="260"/>
      <c r="E42" s="257"/>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2021-03-11T12:22:43Z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