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57" documentId="8_{EB8C80CA-A330-476F-B559-7B79DCF46FFD}" xr6:coauthVersionLast="46" xr6:coauthVersionMax="46" xr10:uidLastSave="{57FACAB5-FC60-4CF0-BC3E-3316692774D5}"/>
  <workbookProtection workbookAlgorithmName="SHA-512" workbookHashValue="sE/+QtYN3561bWlCdR8PaszZDsABepQcTZMZc3/PP9wyyIWSRbjL0EeFnria86PUx+WlbF/kKs8oryypkA516g==" workbookSaltValue="7Ql03fhhB2fdhfG+Qrgpf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1" i="16" l="1"/>
  <c r="B34" i="16"/>
  <c r="B30" i="16"/>
  <c r="B38" i="16"/>
  <c r="B74" i="16"/>
  <c r="B98" i="16"/>
  <c r="B130" i="16"/>
  <c r="B162" i="16"/>
  <c r="B214" i="16"/>
  <c r="B78" i="16"/>
  <c r="B110" i="16"/>
  <c r="B146" i="16"/>
  <c r="B178" i="16"/>
  <c r="B194" i="16"/>
  <c r="B15" i="16"/>
  <c r="B21" i="16"/>
  <c r="B31" i="16"/>
  <c r="B50" i="16"/>
  <c r="B86" i="16"/>
  <c r="B122" i="16"/>
  <c r="B154" i="16"/>
  <c r="B186" i="16"/>
  <c r="B18" i="16"/>
  <c r="B24" i="16"/>
  <c r="B27"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58" i="16"/>
  <c r="B114" i="16"/>
  <c r="B182" i="16"/>
  <c r="B66" i="16"/>
  <c r="B94" i="16"/>
  <c r="B138" i="16"/>
  <c r="B170" i="16"/>
  <c r="B198" i="16"/>
  <c r="B13" i="16"/>
  <c r="B16" i="16"/>
  <c r="B19" i="16"/>
  <c r="B25" i="16"/>
  <c r="B36" i="16"/>
  <c r="B40" i="16"/>
  <c r="B44" i="16"/>
  <c r="B48" i="16"/>
  <c r="B52" i="16"/>
  <c r="B56" i="16"/>
  <c r="B60" i="16"/>
  <c r="B64" i="16"/>
  <c r="B68" i="16"/>
  <c r="B72" i="16"/>
  <c r="B76" i="16"/>
  <c r="B80" i="16"/>
  <c r="B84" i="16"/>
  <c r="B88" i="16"/>
  <c r="B92" i="16"/>
  <c r="B54" i="16"/>
  <c r="B90" i="16"/>
  <c r="B126" i="16"/>
  <c r="B158" i="16"/>
  <c r="B190" i="16"/>
  <c r="B42" i="16"/>
  <c r="B70" i="16"/>
  <c r="B106" i="16"/>
  <c r="B142" i="16"/>
  <c r="B174" i="16"/>
  <c r="B206" i="16"/>
  <c r="B29" i="16"/>
  <c r="B62" i="16"/>
  <c r="B102" i="16"/>
  <c r="B134" i="16"/>
  <c r="B166" i="16"/>
  <c r="B202" i="16"/>
  <c r="B33" i="16"/>
  <c r="B46" i="16"/>
  <c r="B82" i="16"/>
  <c r="B118" i="16"/>
  <c r="B150" i="16"/>
  <c r="B210"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H16" i="16" s="1"/>
  <c r="AX18" i="16"/>
  <c r="F18" i="16" s="1"/>
  <c r="AX20" i="16"/>
  <c r="H20" i="16" s="1"/>
  <c r="AX22" i="16"/>
  <c r="H22" i="16" s="1"/>
  <c r="AX24" i="16"/>
  <c r="F24" i="16" s="1"/>
  <c r="AX26" i="16"/>
  <c r="AX28" i="16"/>
  <c r="H28" i="16" s="1"/>
  <c r="AX30" i="16"/>
  <c r="F30" i="16" s="1"/>
  <c r="AX32" i="16"/>
  <c r="AX34" i="16"/>
  <c r="H34" i="16" s="1"/>
  <c r="AX36" i="16"/>
  <c r="AX38" i="16"/>
  <c r="H38" i="16" s="1"/>
  <c r="AX40" i="16"/>
  <c r="H40" i="16" s="1"/>
  <c r="AX42" i="16"/>
  <c r="AX44" i="16"/>
  <c r="AX46" i="16"/>
  <c r="H46" i="16" s="1"/>
  <c r="AX48" i="16"/>
  <c r="F48" i="16" s="1"/>
  <c r="AX50" i="16"/>
  <c r="H50" i="16" s="1"/>
  <c r="AX52" i="16"/>
  <c r="H52" i="16" s="1"/>
  <c r="AX54" i="16"/>
  <c r="F54" i="16" s="1"/>
  <c r="AX56" i="16"/>
  <c r="H56" i="16" s="1"/>
  <c r="AX58" i="16"/>
  <c r="H58" i="16" s="1"/>
  <c r="AX60" i="16"/>
  <c r="H60" i="16" s="1"/>
  <c r="AX62" i="16"/>
  <c r="H62" i="16" s="1"/>
  <c r="AX64" i="16"/>
  <c r="F64" i="16" s="1"/>
  <c r="AX66" i="16"/>
  <c r="AX68" i="16"/>
  <c r="AX70" i="16"/>
  <c r="F70" i="16" s="1"/>
  <c r="AX72" i="16"/>
  <c r="AX74" i="16"/>
  <c r="AX76" i="16"/>
  <c r="F76" i="16" s="1"/>
  <c r="AX78" i="16"/>
  <c r="AX80" i="16"/>
  <c r="AX82" i="16"/>
  <c r="H82" i="16" s="1"/>
  <c r="AX84" i="16"/>
  <c r="H84" i="16" s="1"/>
  <c r="AX86" i="16"/>
  <c r="H86" i="16" s="1"/>
  <c r="AX88" i="16"/>
  <c r="F88" i="16" s="1"/>
  <c r="AX90" i="16"/>
  <c r="AX92" i="16"/>
  <c r="H92" i="16" s="1"/>
  <c r="AX94" i="16"/>
  <c r="H94" i="16" s="1"/>
  <c r="AX96" i="16"/>
  <c r="F96" i="16" s="1"/>
  <c r="AX98" i="16"/>
  <c r="H98" i="16" s="1"/>
  <c r="AX100" i="16"/>
  <c r="F100" i="16" s="1"/>
  <c r="AX102" i="16"/>
  <c r="H102" i="16" s="1"/>
  <c r="AX104" i="16"/>
  <c r="AX106" i="16"/>
  <c r="AX108" i="16"/>
  <c r="H108" i="16" s="1"/>
  <c r="AX110" i="16"/>
  <c r="F110" i="16" s="1"/>
  <c r="AX112" i="16"/>
  <c r="H112" i="16" s="1"/>
  <c r="AX114" i="16"/>
  <c r="F114" i="16" s="1"/>
  <c r="AX116" i="16"/>
  <c r="F116" i="16" s="1"/>
  <c r="AX118" i="16"/>
  <c r="H118" i="16" s="1"/>
  <c r="AX120" i="16"/>
  <c r="AX122" i="16"/>
  <c r="H122" i="16" s="1"/>
  <c r="AX124" i="16"/>
  <c r="H124" i="16" s="1"/>
  <c r="AX126" i="16"/>
  <c r="F126" i="16" s="1"/>
  <c r="AX128" i="16"/>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H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H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23" i="16"/>
  <c r="H24" i="16"/>
  <c r="H33" i="16"/>
  <c r="H12" i="16"/>
  <c r="H18" i="16"/>
  <c r="H39" i="16"/>
  <c r="H48" i="16"/>
  <c r="H69" i="16"/>
  <c r="H72" i="16"/>
  <c r="H76" i="16"/>
  <c r="H89" i="16"/>
  <c r="H96" i="16"/>
  <c r="H105" i="16"/>
  <c r="H114" i="16"/>
  <c r="H116" i="16"/>
  <c r="H130" i="16"/>
  <c r="H132" i="16"/>
  <c r="H138" i="16"/>
  <c r="H143" i="16"/>
  <c r="H145" i="16"/>
  <c r="H151" i="16"/>
  <c r="H156" i="16"/>
  <c r="H176" i="16"/>
  <c r="H178" i="16"/>
  <c r="H42" i="16"/>
  <c r="H47" i="16"/>
  <c r="H64" i="16"/>
  <c r="H68" i="16"/>
  <c r="H79" i="16"/>
  <c r="H103" i="16"/>
  <c r="H104" i="16"/>
  <c r="H120" i="16"/>
  <c r="H128" i="16"/>
  <c r="H129" i="16"/>
  <c r="H140" i="16"/>
  <c r="H146" i="16"/>
  <c r="H154" i="16"/>
  <c r="H18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47" i="16"/>
  <c r="F71" i="16"/>
  <c r="F104" i="16"/>
  <c r="F120" i="16"/>
  <c r="F79" i="16"/>
  <c r="G3" i="16"/>
  <c r="J9" i="8" s="1"/>
  <c r="I3" i="16"/>
  <c r="P8" i="16"/>
  <c r="AF11" i="16"/>
  <c r="F3" i="16"/>
  <c r="H3" i="16"/>
  <c r="J11" i="8" s="1"/>
  <c r="F168" i="16"/>
  <c r="F160" i="16"/>
  <c r="F128" i="16"/>
  <c r="F135" i="16"/>
  <c r="F16" i="16"/>
  <c r="F20" i="16"/>
  <c r="F28" i="16"/>
  <c r="F40" i="16"/>
  <c r="F56" i="16"/>
  <c r="F68" i="16"/>
  <c r="F72" i="16"/>
  <c r="F92" i="16"/>
  <c r="F112" i="16"/>
  <c r="H270" i="16" l="1"/>
  <c r="H57" i="16"/>
  <c r="F254" i="16"/>
  <c r="H153" i="16"/>
  <c r="F131" i="16"/>
  <c r="F108" i="16"/>
  <c r="F60" i="16"/>
  <c r="H149" i="16"/>
  <c r="H152" i="16"/>
  <c r="H137" i="16"/>
  <c r="H327" i="16"/>
  <c r="H326" i="16"/>
  <c r="H212" i="16"/>
  <c r="H279" i="16"/>
  <c r="H190" i="16"/>
  <c r="H239" i="16"/>
  <c r="H142" i="16"/>
  <c r="H136" i="16"/>
  <c r="H223" i="16"/>
  <c r="H181" i="16"/>
  <c r="H352" i="16"/>
  <c r="H215" i="16"/>
  <c r="H345" i="16"/>
  <c r="H348" i="16"/>
  <c r="H175" i="16"/>
  <c r="H301" i="16"/>
  <c r="H328" i="16"/>
  <c r="H147" i="16"/>
  <c r="H253" i="16"/>
  <c r="H264" i="16"/>
  <c r="H139" i="16"/>
  <c r="H241" i="16"/>
  <c r="H252" i="16"/>
  <c r="H201" i="16"/>
  <c r="H180" i="16"/>
  <c r="H282" i="16"/>
  <c r="H161" i="16"/>
  <c r="H186" i="16"/>
  <c r="H63" i="16"/>
  <c r="H111" i="16"/>
  <c r="H192" i="16"/>
  <c r="H216" i="16"/>
  <c r="H88" i="16"/>
  <c r="H100" i="16"/>
  <c r="H15" i="16"/>
  <c r="F52" i="16"/>
  <c r="H49" i="16"/>
  <c r="H14" i="16"/>
  <c r="H70" i="16"/>
  <c r="H54" i="16"/>
  <c r="F46" i="16"/>
  <c r="F86" i="16"/>
  <c r="H236" i="16"/>
  <c r="H158" i="16"/>
  <c r="F101" i="16"/>
  <c r="H19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I160" i="16" l="1"/>
  <c r="I264" i="16"/>
  <c r="I175" i="16"/>
  <c r="I180" i="16"/>
  <c r="I345" i="16"/>
  <c r="I215" i="16"/>
  <c r="I137" i="16"/>
  <c r="I149"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L204" i="16"/>
  <c r="AJ203" i="16" l="1"/>
  <c r="Y203" i="16"/>
  <c r="AB203" i="16"/>
  <c r="U203" i="16"/>
  <c r="AQ203" i="16"/>
  <c r="AP204" i="16"/>
  <c r="AA204" i="16"/>
  <c r="S204" i="16"/>
  <c r="AI204" i="16"/>
  <c r="T204" i="16"/>
  <c r="X204" i="16"/>
  <c r="M204" i="16"/>
  <c r="N204" i="16" s="1"/>
  <c r="L205" i="16"/>
  <c r="Y204" i="16" l="1"/>
  <c r="AJ204" i="16"/>
  <c r="U204" i="16"/>
  <c r="AB204" i="16"/>
  <c r="AQ204" i="16"/>
  <c r="X205" i="16"/>
  <c r="M205" i="16"/>
  <c r="N205" i="16" s="1"/>
  <c r="AI205" i="16"/>
  <c r="T205" i="16"/>
  <c r="S205" i="16"/>
  <c r="AP205" i="16"/>
  <c r="AA205" i="16"/>
  <c r="L206" i="16"/>
  <c r="AJ205" i="16" l="1"/>
  <c r="AQ205" i="16"/>
  <c r="Y205" i="16"/>
  <c r="U205" i="16"/>
  <c r="AB205" i="16"/>
  <c r="AP206" i="16"/>
  <c r="AA206" i="16"/>
  <c r="S206" i="16"/>
  <c r="AI206" i="16"/>
  <c r="T206" i="16"/>
  <c r="X206" i="16"/>
  <c r="M206" i="16"/>
  <c r="N206" i="16" s="1"/>
  <c r="L207" i="16"/>
  <c r="AJ206" i="16" l="1"/>
  <c r="Y206" i="16"/>
  <c r="U206" i="16"/>
  <c r="AQ206" i="16"/>
  <c r="AB206" i="16"/>
  <c r="X207" i="16"/>
  <c r="M207" i="16"/>
  <c r="N207" i="16" s="1"/>
  <c r="AI207" i="16"/>
  <c r="T207" i="16"/>
  <c r="S207" i="16"/>
  <c r="AP207" i="16"/>
  <c r="AA207" i="16"/>
  <c r="L208" i="16"/>
  <c r="AJ207" i="16" l="1"/>
  <c r="AQ207" i="16"/>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7" i="16"/>
  <c r="Y9" i="16"/>
  <c r="L38" i="8" s="1"/>
  <c r="E51" i="8" s="1"/>
  <c r="U69" i="8"/>
  <c r="U67" i="8"/>
  <c r="U70" i="8"/>
  <c r="U68" i="8"/>
  <c r="U71" i="8"/>
  <c r="U73" i="8"/>
  <c r="U72" i="8"/>
  <c r="AK203" i="16" l="1"/>
  <c r="AK206" i="16"/>
  <c r="AK205" i="16"/>
  <c r="AR209" i="16"/>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31"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130" i="16"/>
  <c r="AC156" i="16"/>
  <c r="V11" i="16"/>
  <c r="V17" i="16"/>
  <c r="V23" i="16"/>
  <c r="V26" i="16"/>
  <c r="V35" i="16"/>
  <c r="V47" i="16"/>
  <c r="AC66" i="16"/>
  <c r="AC171" i="16"/>
  <c r="AC179"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14" i="16"/>
  <c r="P17" i="16"/>
  <c r="P185" i="16"/>
  <c r="P18" i="16"/>
  <c r="P21" i="16"/>
  <c r="P13" i="16"/>
  <c r="P24" i="16"/>
  <c r="P20" i="16"/>
  <c r="P16" i="16"/>
  <c r="P12" i="16"/>
  <c r="P23" i="16"/>
  <c r="P19" i="16"/>
  <c r="P15" i="16"/>
  <c r="P56" i="16"/>
  <c r="P32" i="16"/>
  <c r="P43" i="16"/>
  <c r="Q15" i="16"/>
  <c r="P46" i="16"/>
  <c r="P45" i="16"/>
  <c r="P25" i="16"/>
  <c r="AC198" i="16" l="1"/>
  <c r="AC75" i="16"/>
  <c r="AC61" i="16"/>
  <c r="AC154" i="16"/>
  <c r="AC118" i="16"/>
  <c r="AC143" i="16"/>
  <c r="AC188" i="16"/>
  <c r="AC93" i="16"/>
  <c r="AC195" i="16"/>
  <c r="AC23" i="16"/>
  <c r="AC185" i="16"/>
  <c r="Q39" i="8"/>
  <c r="K39" i="8" s="1"/>
  <c r="V39" i="8"/>
  <c r="AL13" i="16"/>
  <c r="B93" i="8"/>
  <c r="AC189" i="16"/>
  <c r="AC56" i="16"/>
  <c r="AC104" i="16"/>
  <c r="AC144" i="16"/>
  <c r="AC187" i="16"/>
  <c r="AC78"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AM13" i="16"/>
  <c r="AN13" i="16" s="1"/>
  <c r="AL14" i="16" l="1"/>
  <c r="AM14" i="16" s="1"/>
  <c r="AN14" i="16" s="1"/>
  <c r="B94" i="8"/>
  <c r="E93" i="8"/>
  <c r="Y93" i="8" s="1"/>
  <c r="U93" i="8"/>
  <c r="AN11" i="16"/>
  <c r="U92" i="8" s="1"/>
  <c r="E92" i="8"/>
  <c r="Y92" i="8" s="1"/>
  <c r="M51" i="8"/>
  <c r="M49" i="8"/>
  <c r="M48" i="8"/>
  <c r="O121" i="8" s="1"/>
  <c r="M50" i="8"/>
  <c r="O50" i="8"/>
  <c r="O51" i="8"/>
  <c r="O49" i="8"/>
  <c r="O48" i="8"/>
  <c r="Q121" i="8" s="1"/>
  <c r="AU11" i="16"/>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B101" i="8"/>
  <c r="U100" i="8"/>
  <c r="E100" i="8"/>
  <c r="Y100" i="8" s="1"/>
  <c r="AS22" i="16"/>
  <c r="AT21" i="16"/>
  <c r="AU21" i="16" s="1"/>
  <c r="AL22" i="16" l="1"/>
  <c r="AM22" i="16" s="1"/>
  <c r="AN22" i="16" s="1"/>
  <c r="B102" i="8"/>
  <c r="E101" i="8"/>
  <c r="Y101" i="8" s="1"/>
  <c r="U101"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B105" i="8"/>
  <c r="U104" i="8"/>
  <c r="E104" i="8"/>
  <c r="Y104" i="8" s="1"/>
  <c r="AM24" i="16"/>
  <c r="AN24" i="16" s="1"/>
  <c r="AS26" i="16"/>
  <c r="AT25" i="16"/>
  <c r="AU25" i="16" s="1"/>
  <c r="AL26" i="16" l="1"/>
  <c r="AM26" i="16" s="1"/>
  <c r="AN26" i="16" s="1"/>
  <c r="B106" i="8"/>
  <c r="E105" i="8"/>
  <c r="Y105" i="8" s="1"/>
  <c r="U105" i="8"/>
  <c r="AM25" i="16"/>
  <c r="AN25"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<sst xmlns="http://schemas.openxmlformats.org/spreadsheetml/2006/main" count="12435" uniqueCount="915">
  <si>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</si>
  <si>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</si>
  <si>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</si>
  <si>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</si>
  <si>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</si>
  <si>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</si>
  <si>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</si>
  <si>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</si>
  <si>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</si>
  <si>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</si>
  <si>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</si>
  <si>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</si>
  <si>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</si>
  <si>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</si>
  <si>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</si>
  <si>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</si>
  <si>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</si>
  <si>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</si>
  <si>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</si>
  <si>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</si>
  <si>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</si>
  <si>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</si>
  <si>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</si>
  <si>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</si>
  <si>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</si>
  <si>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</si>
  <si>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</si>
  <si>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</si>
  <si>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</si>
  <si>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</si>
  <si>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</si>
  <si>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</si>
  <si>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</si>
  <si>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</si>
  <si>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</si>
  <si>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</si>
  <si>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</si>
  <si>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</si>
  <si>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</si>
  <si>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</si>
  <si>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</si>
  <si>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</si>
  <si>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</si>
  <si>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</si>
  <si>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</si>
  <si>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</si>
  <si>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</si>
  <si>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</si>
  <si>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</si>
  <si>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</si>
  <si>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</si>
  <si>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</si>
  <si>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</si>
  <si>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</si>
  <si>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</si>
  <si>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</si>
  <si>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</si>
  <si>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</si>
  <si>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</si>
  <si>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</si>
  <si>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</si>
  <si>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</si>
  <si>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</si>
  <si>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</si>
  <si>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</si>
  <si>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</si>
  <si>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</si>
  <si>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</si>
  <si>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</si>
  <si>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</si>
  <si>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</si>
  <si>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</si>
  <si>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</si>
  <si>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</si>
  <si>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</si>
  <si>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</si>
  <si>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</si>
  <si>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</si>
  <si>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</si>
  <si>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</si>
  <si>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</si>
  <si>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</si>
  <si>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</si>
  <si>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</si>
  <si>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</si>
  <si>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</si>
  <si>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</si>
  <si>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</si>
  <si>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</si>
  <si>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</si>
  <si>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</si>
  <si>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</si>
  <si>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</si>
  <si>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</si>
  <si>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</si>
  <si>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</si>
  <si>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</si>
  <si>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</si>
  <si>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</si>
  <si>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</si>
  <si>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</si>
  <si>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</si>
  <si>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</si>
  <si>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</si>
  <si>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</si>
  <si>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</si>
  <si>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</si>
  <si>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</si>
  <si>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</si>
  <si>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</si>
  <si>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</si>
  <si>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</si>
  <si>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</si>
  <si>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</si>
  <si>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</si>
  <si>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</si>
  <si>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</si>
  <si>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</si>
  <si>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</si>
  <si>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</si>
  <si>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</si>
  <si>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</si>
  <si>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</si>
  <si>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</si>
  <si>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</si>
  <si>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</si>
  <si>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</si>
  <si>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</si>
  <si>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</si>
  <si>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</si>
  <si>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</si>
  <si>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</si>
  <si>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</si>
  <si>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</si>
  <si>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</si>
  <si>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</si>
  <si>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</si>
  <si>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</si>
  <si>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</si>
  <si>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</si>
  <si>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</si>
  <si>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</si>
  <si>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</si>
  <si>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</si>
  <si>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</si>
  <si>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</si>
  <si>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</si>
  <si>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</si>
  <si>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</si>
  <si>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</si>
  <si>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</si>
  <si>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</si>
  <si>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</si>
  <si>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</si>
  <si>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</si>
  <si>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</si>
  <si>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</si>
  <si>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</si>
  <si>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</si>
  <si>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</si>
  <si>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</si>
  <si>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</si>
  <si>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</si>
  <si>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</si>
  <si>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</si>
  <si>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</si>
  <si>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</si>
  <si>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</si>
  <si>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</si>
  <si>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</si>
  <si>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</si>
  <si>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</si>
  <si>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</si>
  <si>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</si>
  <si>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</si>
  <si>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</si>
  <si>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</si>
  <si>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</si>
  <si>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</si>
  <si>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</si>
  <si>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</si>
  <si>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</si>
  <si>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</si>
  <si>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</si>
  <si>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</si>
  <si>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</si>
  <si>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</si>
  <si>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</si>
  <si>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</si>
  <si>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</si>
  <si>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</si>
  <si>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</si>
  <si>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</si>
  <si>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</si>
  <si>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</si>
  <si>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</si>
  <si>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</si>
  <si>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</si>
  <si>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</si>
  <si>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</si>
  <si>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</si>
  <si>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</si>
  <si>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</si>
  <si>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</si>
  <si>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</si>
  <si>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</si>
  <si>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</si>
  <si>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</si>
  <si>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</si>
  <si>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</si>
  <si>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</si>
  <si>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</si>
  <si>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</si>
  <si>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</si>
  <si>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</si>
  <si>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</si>
  <si>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</si>
  <si>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</si>
  <si>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</si>
  <si>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</si>
  <si>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</si>
  <si>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</si>
  <si>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</si>
  <si>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</si>
  <si>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</si>
  <si>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</si>
  <si>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</si>
  <si>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</si>
  <si>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</si>
  <si>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</si>
  <si>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</si>
  <si>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</si>
  <si>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</si>
  <si>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</si>
  <si>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</si>
  <si>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</si>
  <si>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</si>
  <si>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</si>
  <si>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</si>
  <si>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</si>
  <si>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</si>
  <si>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</si>
  <si>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</si>
  <si>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</si>
  <si>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</si>
  <si>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</si>
  <si>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</si>
  <si>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</si>
  <si>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</si>
  <si>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</si>
  <si>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</si>
  <si>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</si>
  <si>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</si>
  <si>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</si>
  <si>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</si>
  <si>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</si>
  <si>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</si>
  <si>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</si>
  <si>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</si>
  <si>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</si>
  <si>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</si>
  <si>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</si>
  <si>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</si>
  <si>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</si>
  <si>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</si>
  <si>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</si>
  <si>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</si>
  <si>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</si>
  <si>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</si>
  <si>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</si>
  <si>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</si>
  <si>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</si>
  <si>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</si>
  <si>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</si>
  <si>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</si>
  <si>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</si>
  <si>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</si>
  <si>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</si>
  <si>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</si>
  <si>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</si>
  <si>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</si>
  <si>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</si>
  <si>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</si>
  <si>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</si>
  <si>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</si>
  <si>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</si>
  <si>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</si>
  <si>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</si>
  <si>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</si>
  <si>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</si>
  <si>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</si>
  <si>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</si>
  <si>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</si>
  <si>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</si>
  <si>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</si>
  <si>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</si>
  <si>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</si>
  <si>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</si>
  <si>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</si>
  <si>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</si>
  <si>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</si>
  <si>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</si>
  <si>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</si>
  <si>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</si>
  <si>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</si>
  <si>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</si>
  <si>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</si>
  <si>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</si>
  <si>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</si>
  <si>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</si>
  <si>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</si>
  <si>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</si>
  <si>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</si>
  <si>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</si>
  <si>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</si>
  <si>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</si>
  <si>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</si>
  <si>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</si>
  <si>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</si>
  <si>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</si>
  <si>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</si>
  <si>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</si>
  <si>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</si>
  <si>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</si>
  <si>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</si>
  <si>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</si>
  <si>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</si>
  <si>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</si>
  <si>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</si>
  <si>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</si>
  <si>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</si>
  <si>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</si>
  <si>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</si>
  <si>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</si>
  <si>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</si>
  <si>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</si>
  <si>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</si>
  <si>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</si>
  <si>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</si>
  <si>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</si>
  <si>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</si>
  <si>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</si>
  <si>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</si>
  <si>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</si>
  <si>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</si>
  <si>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</si>
  <si>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</si>
  <si>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</si>
  <si>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</si>
  <si>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</si>
  <si>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</si>
  <si>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</si>
  <si>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</si>
  <si>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</si>
  <si>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</si>
  <si>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</si>
  <si>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</si>
  <si>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</si>
  <si>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</si>
  <si>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</si>
  <si>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</si>
  <si>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</si>
  <si>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</si>
  <si>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</si>
  <si>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</si>
  <si>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</si>
  <si>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</si>
  <si>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</si>
  <si>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</si>
  <si>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</si>
  <si>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</si>
  <si>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</si>
  <si>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</si>
  <si>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</si>
  <si>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</si>
  <si>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</si>
  <si>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</si>
  <si>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</si>
  <si>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</si>
  <si>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</si>
  <si>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</si>
  <si>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</si>
  <si>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</si>
  <si>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</si>
  <si>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</si>
  <si>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</si>
  <si>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</si>
  <si>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</si>
  <si>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</si>
  <si>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</si>
  <si>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</si>
  <si>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</si>
  <si>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</si>
  <si>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</si>
  <si>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</si>
  <si>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</si>
  <si>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</si>
  <si>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</si>
  <si>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</si>
  <si>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</si>
  <si>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</si>
  <si>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</si>
  <si>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</si>
  <si>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</si>
  <si>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</si>
  <si>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</si>
  <si>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</si>
  <si>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</si>
  <si>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</si>
  <si>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</si>
  <si>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</si>
  <si>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</si>
  <si>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</si>
  <si>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</si>
  <si>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</si>
  <si>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</si>
  <si>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</si>
  <si>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</si>
  <si>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</si>
  <si>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</si>
  <si>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</si>
  <si>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</si>
  <si>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</si>
  <si>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</si>
  <si>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</si>
  <si>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</si>
  <si>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</si>
  <si>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</si>
  <si>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</si>
  <si>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</si>
  <si>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</si>
  <si>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</si>
  <si>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</si>
  <si>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</si>
  <si>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</si>
  <si>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</si>
  <si>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</si>
  <si>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</si>
  <si>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</si>
  <si>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</si>
  <si>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</si>
  <si>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</si>
  <si>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</si>
  <si>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</si>
  <si>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</si>
  <si>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</si>
  <si>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</si>
  <si>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</si>
  <si>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</si>
  <si>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</si>
  <si>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</si>
  <si>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</si>
  <si>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</si>
  <si>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</si>
  <si>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</si>
  <si>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</si>
  <si>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</si>
  <si>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</si>
  <si>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</si>
  <si>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</si>
  <si>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</si>
  <si>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</si>
  <si>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</si>
  <si>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</si>
  <si>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</si>
  <si>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</si>
  <si>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</si>
  <si>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</si>
  <si>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</si>
  <si>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</si>
  <si>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</si>
  <si>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</si>
  <si>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</si>
  <si>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</si>
  <si>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</si>
  <si>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</si>
  <si>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</si>
  <si>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</si>
  <si>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</si>
  <si>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</si>
  <si>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</si>
  <si>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</si>
  <si>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</si>
  <si>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</si>
  <si>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</si>
  <si>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</si>
  <si>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</si>
  <si>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</si>
  <si>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</si>
  <si>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</si>
  <si>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</si>
  <si>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</si>
  <si>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</si>
  <si>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</si>
  <si>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</si>
  <si>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</si>
  <si>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</si>
  <si>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</si>
  <si>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</si>
  <si>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</si>
  <si>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</si>
  <si>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</si>
  <si>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</si>
  <si>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</si>
  <si>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</si>
  <si>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</si>
  <si>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</si>
  <si>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</si>
  <si>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</si>
  <si>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</si>
  <si>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</si>
  <si>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</si>
  <si>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</si>
  <si>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</si>
  <si>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</si>
  <si>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</si>
  <si>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</si>
  <si>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</si>
  <si>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</si>
  <si>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</si>
  <si>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</si>
  <si>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</si>
  <si>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</si>
  <si>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</si>
  <si>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</si>
  <si>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</si>
  <si>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</si>
  <si>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</si>
  <si>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</si>
  <si>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</si>
  <si>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</si>
  <si>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</si>
  <si>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</si>
  <si>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</si>
  <si>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</si>
  <si>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</si>
  <si>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</si>
  <si>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</si>
  <si>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</si>
  <si>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</si>
  <si>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</si>
  <si>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</si>
  <si>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</si>
  <si>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</si>
  <si>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</si>
  <si>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</si>
  <si>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</si>
  <si>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</si>
  <si>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</si>
  <si>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</si>
  <si>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</si>
  <si>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</si>
  <si>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</si>
  <si>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</si>
  <si>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</si>
  <si>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</si>
  <si>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</si>
  <si>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</si>
  <si>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</si>
  <si>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</si>
  <si>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</si>
  <si>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</si>
  <si>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</si>
  <si>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</si>
  <si>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</si>
  <si>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</si>
  <si>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</si>
  <si>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</si>
  <si>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</si>
  <si>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</si>
  <si>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</si>
  <si>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</si>
  <si>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</si>
  <si>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</si>
  <si>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</si>
  <si>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</si>
  <si>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</si>
  <si>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</si>
  <si>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</si>
  <si>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</si>
  <si>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</si>
  <si>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</si>
  <si>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</si>
  <si>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</si>
  <si>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</si>
  <si>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</si>
  <si>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</si>
  <si>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</si>
  <si>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</si>
  <si>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</si>
  <si>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</si>
  <si>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</si>
  <si>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</si>
  <si>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</si>
  <si>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</si>
  <si>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</si>
  <si>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</si>
  <si>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</si>
  <si>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</si>
  <si>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</si>
  <si>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</si>
  <si>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</si>
  <si>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</si>
  <si>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</si>
  <si>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</si>
  <si>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</si>
  <si>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</si>
  <si>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</si>
  <si>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</si>
  <si>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</si>
  <si>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</si>
  <si>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</si>
  <si>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</si>
  <si>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</si>
  <si>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</si>
  <si>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</si>
  <si>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</si>
  <si>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</si>
  <si>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</si>
  <si>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</si>
  <si>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</si>
  <si>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</si>
  <si>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</si>
  <si>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</si>
  <si>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</si>
  <si>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</si>
  <si>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</si>
  <si>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</si>
  <si>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</si>
  <si>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</si>
  <si>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</si>
  <si>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</si>
  <si>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</si>
  <si>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</si>
  <si>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</si>
  <si>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</si>
  <si>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</si>
  <si>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</si>
  <si>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</si>
  <si>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</si>
  <si>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</si>
  <si>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</si>
  <si>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</si>
  <si>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</si>
  <si>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</si>
  <si>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</si>
  <si>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</si>
  <si>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</si>
  <si>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</si>
  <si>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</si>
  <si>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</si>
  <si>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</si>
  <si>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</si>
  <si>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</si>
  <si>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</si>
  <si>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</si>
  <si>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</si>
  <si>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</si>
  <si>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</si>
  <si>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</si>
  <si>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</si>
  <si>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</si>
  <si>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</si>
  <si>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</si>
  <si>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</si>
  <si>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</si>
  <si>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</si>
  <si>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</si>
  <si>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</si>
  <si>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</si>
  <si>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</si>
  <si>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</si>
  <si>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</si>
  <si>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</si>
  <si>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</si>
  <si>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</si>
  <si>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</si>
  <si>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</si>
  <si>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</si>
  <si>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</si>
  <si>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</si>
  <si>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</si>
  <si>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</si>
  <si>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</si>
  <si>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</si>
  <si>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</si>
  <si>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</si>
  <si>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</si>
  <si>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</si>
  <si>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</si>
  <si>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</si>
  <si>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</si>
  <si>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</si>
  <si>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</si>
  <si>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</si>
  <si>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</si>
  <si>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</si>
  <si>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</si>
  <si>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</si>
  <si>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</si>
  <si>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</si>
  <si>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</si>
  <si>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</si>
  <si>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</si>
  <si>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</si>
  <si>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</si>
  <si>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</si>
  <si>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</si>
  <si>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</si>
  <si>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</si>
  <si>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</si>
  <si>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</si>
  <si>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</si>
  <si>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</si>
  <si>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</si>
  <si>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</si>
  <si>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</si>
  <si>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</si>
  <si>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</si>
  <si>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</si>
  <si>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</si>
  <si>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</si>
  <si>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</si>
  <si>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</si>
  <si>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</si>
  <si>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</si>
  <si>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</si>
  <si>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</si>
  <si>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</si>
  <si>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</si>
  <si>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</si>
  <si>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</si>
  <si>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</si>
  <si>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</si>
  <si>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</si>
  <si>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</si>
  <si>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</si>
  <si>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</si>
  <si>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</si>
  <si>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</si>
  <si>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</si>
  <si>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</si>
  <si>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</si>
  <si>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</si>
  <si>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</si>
  <si>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</si>
  <si>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</si>
  <si>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</si>
  <si>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</si>
  <si>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</si>
  <si>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</si>
  <si>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</si>
  <si>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</si>
  <si>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</si>
  <si>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</si>
  <si>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</si>
  <si>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</si>
  <si>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</si>
  <si>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</si>
  <si>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</si>
  <si>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</si>
  <si>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</si>
  <si>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</si>
  <si>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</si>
  <si>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</si>
  <si>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</si>
  <si>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</si>
  <si>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</si>
  <si>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</si>
  <si>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</si>
  <si>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</si>
  <si>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</si>
  <si>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</si>
  <si>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</si>
  <si>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</si>
  <si>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</si>
  <si>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</si>
  <si>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</si>
  <si>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</si>
  <si>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</si>
  <si>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</si>
  <si>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</si>
  <si>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</si>
  <si>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</si>
  <si>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</si>
  <si>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</si>
  <si>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</si>
  <si>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</si>
  <si>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</si>
  <si>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</si>
  <si>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</si>
  <si>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</si>
  <si>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</si>
  <si>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</si>
  <si>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</si>
  <si>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</si>
  <si>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</si>
  <si>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</si>
  <si>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</si>
  <si>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</si>
  <si>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</si>
  <si>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</si>
  <si>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</si>
  <si>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</si>
  <si>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</si>
  <si>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</si>
  <si>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</si>
  <si>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</si>
  <si>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</si>
  <si>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</si>
  <si>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</si>
  <si>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</si>
  <si>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</si>
  <si>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</si>
  <si>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</si>
  <si>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</si>
  <si>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</si>
  <si>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</si>
  <si>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</si>
  <si>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</si>
  <si>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</si>
  <si>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</si>
  <si>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</si>
  <si>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</si>
  <si>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</si>
  <si>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</si>
  <si>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</si>
  <si>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</si>
  <si>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</si>
  <si>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</si>
  <si>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</si>
  <si>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</si>
  <si>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</si>
  <si>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</si>
  <si>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</si>
  <si>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</si>
  <si>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</si>
  <si>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</si>
  <si>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</si>
  <si>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</si>
  <si>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</si>
  <si>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</si>
  <si>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</si>
  <si>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</si>
  <si>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</si>
  <si>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</si>
  <si>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</si>
  <si>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</si>
  <si>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</si>
  <si>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</si>
  <si>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</si>
  <si>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</si>
  <si>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</si>
  <si>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</si>
  <si>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</si>
  <si>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</si>
  <si>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</si>
  <si>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</si>
  <si>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</si>
  <si>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</si>
  <si>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</si>
  <si>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</si>
  <si>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</si>
  <si>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</si>
  <si>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</si>
  <si>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</si>
  <si>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</si>
  <si>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</si>
  <si>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</si>
  <si>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</si>
  <si>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</si>
  <si>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</si>
  <si>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</si>
  <si>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</si>
  <si>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</si>
  <si>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</si>
  <si>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</si>
  <si>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</si>
  <si>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</si>
  <si>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</si>
  <si>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</si>
  <si>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</si>
  <si>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</si>
  <si>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</si>
  <si>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</si>
  <si>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</si>
  <si>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</si>
  <si>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</si>
  <si>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</si>
  <si>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</si>
  <si>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</si>
  <si>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</si>
  <si>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</si>
  <si>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</si>
  <si>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</si>
  <si>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</si>
  <si>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</si>
  <si>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</si>
  <si>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</si>
  <si>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</si>
  <si>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</si>
  <si>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</si>
  <si>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</si>
  <si>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</si>
  <si>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</si>
  <si>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</si>
  <si>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</si>
  <si>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</si>
  <si>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t>
  </si>
  <si>
    <t>2018-19</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</si>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</sst>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4">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0" fillId="21" borderId="0" xfId="0" applyFont="1" applyFill="1" applyAlignment="1">
      <alignment horizontal="left"/>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1" fontId="0" fillId="0" borderId="0" xfId="0" applyNumberFormat="1" applyAlignment="1">
      <alignment horizontal="center"/>
    </xf>
    <xf numFmtId="0" fontId="0" fillId="0" borderId="0" xfId="0" applyAlignment="1">
      <alignment horizontal="center"/>
    </xf>
    <xf numFmtId="0" fontId="0" fillId="0" borderId="0" xfId="0" quotePrefix="1" applyNumberFormat="1" applyAlignment="1">
      <alignment horizontal="center"/>
    </xf>
    <xf numFmtId="0" fontId="0" fillId="0" borderId="0" xfId="0" applyAlignment="1">
      <alignment horizontal="left"/>
    </xf>
    <xf numFmtId="0" fontId="0" fillId="0" borderId="0" xfId="0" applyBorder="1" applyAlignment="1">
      <alignment horizontal="center"/>
    </xf>
    <xf numFmtId="0" fontId="10" fillId="0" borderId="0" xfId="0" applyFont="1" applyAlignment="1">
      <alignment horizontal="center"/>
    </xf>
    <xf numFmtId="2" fontId="0" fillId="0" borderId="0" xfId="52" applyNumberFormat="1" applyFont="1" applyAlignment="1">
      <alignment horizontal="right"/>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52" applyNumberFormat="1" applyFont="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center"/>
    </xf>
    <xf numFmtId="0" fontId="22" fillId="0" borderId="0" xfId="0" applyFont="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164" fontId="0" fillId="0" borderId="0"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10" fillId="0" borderId="0" xfId="0" applyFont="1" applyAlignment="1">
      <alignment horizontal="left"/>
    </xf>
    <xf numFmtId="0" fontId="40" fillId="23" borderId="0" xfId="0" applyFont="1" applyFill="1" applyAlignment="1">
      <alignment horizontal="center" vertic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43" fontId="9" fillId="0" borderId="6" xfId="54" applyNumberFormat="1" applyFon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2" fontId="10" fillId="21" borderId="0" xfId="4" applyNumberFormat="1" applyFont="1" applyFill="1" applyAlignment="1">
      <alignment horizontal="center"/>
    </xf>
    <xf numFmtId="0" fontId="10" fillId="21" borderId="0" xfId="0" applyFont="1" applyFill="1" applyAlignment="1">
      <alignment horizontal="center"/>
    </xf>
    <xf numFmtId="2" fontId="0" fillId="0" borderId="0" xfId="4" applyNumberFormat="1" applyFont="1" applyAlignment="1">
      <alignment horizontal="left" vertical="top"/>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6"/>
                <c:pt idx="155">
                  <c:v>u</c:v>
                </c:pt>
              </c:strCache>
            </c:strRef>
          </c:cat>
          <c:val>
            <c:numRef>
              <c:f>[0]!TopQuart</c:f>
              <c:numCache>
                <c:formatCode>General</c:formatCode>
                <c:ptCount val="182"/>
                <c:pt idx="0">
                  <c:v>0</c:v>
                </c:pt>
                <c:pt idx="1">
                  <c:v>251.7</c:v>
                </c:pt>
                <c:pt idx="2">
                  <c:v>272.39999999999998</c:v>
                </c:pt>
                <c:pt idx="3">
                  <c:v>280.60000000000002</c:v>
                </c:pt>
                <c:pt idx="4">
                  <c:v>294.8</c:v>
                </c:pt>
                <c:pt idx="5">
                  <c:v>306</c:v>
                </c:pt>
                <c:pt idx="6">
                  <c:v>306.89999999999998</c:v>
                </c:pt>
                <c:pt idx="7">
                  <c:v>309.5</c:v>
                </c:pt>
                <c:pt idx="8">
                  <c:v>310.7</c:v>
                </c:pt>
                <c:pt idx="9">
                  <c:v>324.89999999999998</c:v>
                </c:pt>
                <c:pt idx="10">
                  <c:v>331.5</c:v>
                </c:pt>
                <c:pt idx="11">
                  <c:v>333.9</c:v>
                </c:pt>
                <c:pt idx="12">
                  <c:v>336.8</c:v>
                </c:pt>
                <c:pt idx="13">
                  <c:v>337.4</c:v>
                </c:pt>
                <c:pt idx="14">
                  <c:v>339.2</c:v>
                </c:pt>
                <c:pt idx="15">
                  <c:v>341.5</c:v>
                </c:pt>
                <c:pt idx="16">
                  <c:v>345</c:v>
                </c:pt>
                <c:pt idx="17">
                  <c:v>352.2</c:v>
                </c:pt>
                <c:pt idx="18">
                  <c:v>355.6</c:v>
                </c:pt>
                <c:pt idx="19">
                  <c:v>356.5</c:v>
                </c:pt>
                <c:pt idx="20">
                  <c:v>361.4</c:v>
                </c:pt>
                <c:pt idx="21">
                  <c:v>362.9</c:v>
                </c:pt>
                <c:pt idx="22">
                  <c:v>368.2</c:v>
                </c:pt>
                <c:pt idx="23">
                  <c:v>369.7</c:v>
                </c:pt>
                <c:pt idx="24">
                  <c:v>371.9</c:v>
                </c:pt>
                <c:pt idx="25">
                  <c:v>375.6</c:v>
                </c:pt>
                <c:pt idx="26">
                  <c:v>376.8</c:v>
                </c:pt>
                <c:pt idx="27">
                  <c:v>379.3</c:v>
                </c:pt>
                <c:pt idx="28">
                  <c:v>380.2</c:v>
                </c:pt>
                <c:pt idx="29">
                  <c:v>381.1</c:v>
                </c:pt>
                <c:pt idx="30">
                  <c:v>383.3</c:v>
                </c:pt>
                <c:pt idx="31">
                  <c:v>386</c:v>
                </c:pt>
                <c:pt idx="32">
                  <c:v>387.4</c:v>
                </c:pt>
                <c:pt idx="33">
                  <c:v>389.9</c:v>
                </c:pt>
                <c:pt idx="34">
                  <c:v>391.8</c:v>
                </c:pt>
                <c:pt idx="35">
                  <c:v>392.9</c:v>
                </c:pt>
                <c:pt idx="36">
                  <c:v>395.7</c:v>
                </c:pt>
                <c:pt idx="37">
                  <c:v>396.4</c:v>
                </c:pt>
                <c:pt idx="38">
                  <c:v>398.6</c:v>
                </c:pt>
                <c:pt idx="39">
                  <c:v>401</c:v>
                </c:pt>
                <c:pt idx="40">
                  <c:v>401.4</c:v>
                </c:pt>
                <c:pt idx="41">
                  <c:v>404.1</c:v>
                </c:pt>
                <c:pt idx="42">
                  <c:v>404.1</c:v>
                </c:pt>
                <c:pt idx="43">
                  <c:v>404.2</c:v>
                </c:pt>
                <c:pt idx="44">
                  <c:v>404.8</c:v>
                </c:pt>
                <c:pt idx="45">
                  <c:v>406.8</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0-0CE3-4AEA-A754-149977CB5CDF}"/>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6"/>
                <c:pt idx="155">
                  <c:v>u</c:v>
                </c:pt>
              </c:strCache>
            </c:strRef>
          </c:cat>
          <c:val>
            <c:numRef>
              <c:f>[0]!SecQuart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407</c:v>
                </c:pt>
                <c:pt idx="47">
                  <c:v>409.7</c:v>
                </c:pt>
                <c:pt idx="48">
                  <c:v>410</c:v>
                </c:pt>
                <c:pt idx="49">
                  <c:v>410.1</c:v>
                </c:pt>
                <c:pt idx="50">
                  <c:v>410.3</c:v>
                </c:pt>
                <c:pt idx="51">
                  <c:v>410.8</c:v>
                </c:pt>
                <c:pt idx="52">
                  <c:v>411</c:v>
                </c:pt>
                <c:pt idx="53">
                  <c:v>417.1</c:v>
                </c:pt>
                <c:pt idx="54">
                  <c:v>417.3</c:v>
                </c:pt>
                <c:pt idx="55">
                  <c:v>418.8</c:v>
                </c:pt>
                <c:pt idx="56">
                  <c:v>420.9</c:v>
                </c:pt>
                <c:pt idx="57">
                  <c:v>421.2</c:v>
                </c:pt>
                <c:pt idx="58">
                  <c:v>422</c:v>
                </c:pt>
                <c:pt idx="59">
                  <c:v>422.4</c:v>
                </c:pt>
                <c:pt idx="60">
                  <c:v>424.9</c:v>
                </c:pt>
                <c:pt idx="61">
                  <c:v>425.1</c:v>
                </c:pt>
                <c:pt idx="62">
                  <c:v>425.1</c:v>
                </c:pt>
                <c:pt idx="63">
                  <c:v>427.5</c:v>
                </c:pt>
                <c:pt idx="64">
                  <c:v>427.6</c:v>
                </c:pt>
                <c:pt idx="65">
                  <c:v>429.3</c:v>
                </c:pt>
                <c:pt idx="66">
                  <c:v>429.3</c:v>
                </c:pt>
                <c:pt idx="67">
                  <c:v>429.4</c:v>
                </c:pt>
                <c:pt idx="68">
                  <c:v>430</c:v>
                </c:pt>
                <c:pt idx="69">
                  <c:v>430</c:v>
                </c:pt>
                <c:pt idx="70">
                  <c:v>430.6</c:v>
                </c:pt>
                <c:pt idx="71">
                  <c:v>430.7</c:v>
                </c:pt>
                <c:pt idx="72">
                  <c:v>431.3</c:v>
                </c:pt>
                <c:pt idx="73">
                  <c:v>431.8</c:v>
                </c:pt>
                <c:pt idx="74">
                  <c:v>432.8</c:v>
                </c:pt>
                <c:pt idx="75">
                  <c:v>433</c:v>
                </c:pt>
                <c:pt idx="76">
                  <c:v>433.8</c:v>
                </c:pt>
                <c:pt idx="77">
                  <c:v>437.8</c:v>
                </c:pt>
                <c:pt idx="78">
                  <c:v>438.1</c:v>
                </c:pt>
                <c:pt idx="79">
                  <c:v>438.3</c:v>
                </c:pt>
                <c:pt idx="80">
                  <c:v>440</c:v>
                </c:pt>
                <c:pt idx="81">
                  <c:v>441.1</c:v>
                </c:pt>
                <c:pt idx="82">
                  <c:v>442.3</c:v>
                </c:pt>
                <c:pt idx="83">
                  <c:v>445.3</c:v>
                </c:pt>
                <c:pt idx="84">
                  <c:v>445.3</c:v>
                </c:pt>
                <c:pt idx="85">
                  <c:v>449.2</c:v>
                </c:pt>
                <c:pt idx="86">
                  <c:v>451.5</c:v>
                </c:pt>
                <c:pt idx="87">
                  <c:v>453.4</c:v>
                </c:pt>
                <c:pt idx="88">
                  <c:v>453.7</c:v>
                </c:pt>
                <c:pt idx="89">
                  <c:v>454</c:v>
                </c:pt>
                <c:pt idx="90">
                  <c:v>454.5</c:v>
                </c:pt>
                <c:pt idx="91">
                  <c:v>454.5</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1-0CE3-4AEA-A754-149977CB5CDF}"/>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6"/>
                <c:pt idx="155">
                  <c:v>u</c:v>
                </c:pt>
              </c:strCache>
            </c:strRef>
          </c:cat>
          <c:val>
            <c:numRef>
              <c:f>[0]!ThirdQuart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455</c:v>
                </c:pt>
                <c:pt idx="93">
                  <c:v>456.8</c:v>
                </c:pt>
                <c:pt idx="94">
                  <c:v>457.1</c:v>
                </c:pt>
                <c:pt idx="95">
                  <c:v>459</c:v>
                </c:pt>
                <c:pt idx="96">
                  <c:v>459.4</c:v>
                </c:pt>
                <c:pt idx="97">
                  <c:v>460.2</c:v>
                </c:pt>
                <c:pt idx="98">
                  <c:v>460.3</c:v>
                </c:pt>
                <c:pt idx="99">
                  <c:v>460.5</c:v>
                </c:pt>
                <c:pt idx="100">
                  <c:v>460.6</c:v>
                </c:pt>
                <c:pt idx="101">
                  <c:v>461</c:v>
                </c:pt>
                <c:pt idx="102">
                  <c:v>461.1</c:v>
                </c:pt>
                <c:pt idx="103">
                  <c:v>461.2</c:v>
                </c:pt>
                <c:pt idx="104">
                  <c:v>461.8</c:v>
                </c:pt>
                <c:pt idx="105">
                  <c:v>463.1</c:v>
                </c:pt>
                <c:pt idx="106">
                  <c:v>464.4</c:v>
                </c:pt>
                <c:pt idx="107">
                  <c:v>464.5</c:v>
                </c:pt>
                <c:pt idx="108">
                  <c:v>465</c:v>
                </c:pt>
                <c:pt idx="109">
                  <c:v>465.5</c:v>
                </c:pt>
                <c:pt idx="110">
                  <c:v>465.9</c:v>
                </c:pt>
                <c:pt idx="111">
                  <c:v>466.4</c:v>
                </c:pt>
                <c:pt idx="112">
                  <c:v>467.9</c:v>
                </c:pt>
                <c:pt idx="113">
                  <c:v>471.6</c:v>
                </c:pt>
                <c:pt idx="114">
                  <c:v>471.7</c:v>
                </c:pt>
                <c:pt idx="115">
                  <c:v>471.7</c:v>
                </c:pt>
                <c:pt idx="116">
                  <c:v>471.8</c:v>
                </c:pt>
                <c:pt idx="117">
                  <c:v>474.4</c:v>
                </c:pt>
                <c:pt idx="118">
                  <c:v>474.8</c:v>
                </c:pt>
                <c:pt idx="119">
                  <c:v>476.5</c:v>
                </c:pt>
                <c:pt idx="120">
                  <c:v>477.2</c:v>
                </c:pt>
                <c:pt idx="121">
                  <c:v>477.4</c:v>
                </c:pt>
                <c:pt idx="122">
                  <c:v>479.5</c:v>
                </c:pt>
                <c:pt idx="123">
                  <c:v>480.4</c:v>
                </c:pt>
                <c:pt idx="124">
                  <c:v>482.5</c:v>
                </c:pt>
                <c:pt idx="125">
                  <c:v>482.7</c:v>
                </c:pt>
                <c:pt idx="126">
                  <c:v>483.2</c:v>
                </c:pt>
                <c:pt idx="127">
                  <c:v>484.5</c:v>
                </c:pt>
                <c:pt idx="128">
                  <c:v>486.8</c:v>
                </c:pt>
                <c:pt idx="129">
                  <c:v>487</c:v>
                </c:pt>
                <c:pt idx="130">
                  <c:v>488.6</c:v>
                </c:pt>
                <c:pt idx="131">
                  <c:v>489.9</c:v>
                </c:pt>
                <c:pt idx="132">
                  <c:v>492.7</c:v>
                </c:pt>
                <c:pt idx="133">
                  <c:v>492.9</c:v>
                </c:pt>
                <c:pt idx="134">
                  <c:v>495.2</c:v>
                </c:pt>
                <c:pt idx="135">
                  <c:v>496.8</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2-0CE3-4AEA-A754-149977CB5CDF}"/>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6"/>
                <c:pt idx="155">
                  <c:v>u</c:v>
                </c:pt>
              </c:strCache>
            </c:strRef>
          </c:cat>
          <c:val>
            <c:numRef>
              <c:f>[0]!BotQuart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497.4</c:v>
                </c:pt>
                <c:pt idx="137">
                  <c:v>497.5</c:v>
                </c:pt>
                <c:pt idx="138">
                  <c:v>501.7</c:v>
                </c:pt>
                <c:pt idx="139">
                  <c:v>504.3</c:v>
                </c:pt>
                <c:pt idx="140">
                  <c:v>504.6</c:v>
                </c:pt>
                <c:pt idx="141">
                  <c:v>505.7</c:v>
                </c:pt>
                <c:pt idx="142">
                  <c:v>505.7</c:v>
                </c:pt>
                <c:pt idx="143">
                  <c:v>506.1</c:v>
                </c:pt>
                <c:pt idx="144">
                  <c:v>506.4</c:v>
                </c:pt>
                <c:pt idx="145">
                  <c:v>507.5</c:v>
                </c:pt>
                <c:pt idx="146">
                  <c:v>507.9</c:v>
                </c:pt>
                <c:pt idx="147">
                  <c:v>508.2</c:v>
                </c:pt>
                <c:pt idx="148">
                  <c:v>509</c:v>
                </c:pt>
                <c:pt idx="149">
                  <c:v>509.3</c:v>
                </c:pt>
                <c:pt idx="150">
                  <c:v>512.29999999999995</c:v>
                </c:pt>
                <c:pt idx="151">
                  <c:v>515.4</c:v>
                </c:pt>
                <c:pt idx="152">
                  <c:v>515.6</c:v>
                </c:pt>
                <c:pt idx="153">
                  <c:v>519</c:v>
                </c:pt>
                <c:pt idx="154">
                  <c:v>520.4</c:v>
                </c:pt>
                <c:pt idx="155">
                  <c:v>522.1</c:v>
                </c:pt>
                <c:pt idx="156">
                  <c:v>523.79999999999995</c:v>
                </c:pt>
                <c:pt idx="157">
                  <c:v>527.79999999999995</c:v>
                </c:pt>
                <c:pt idx="158">
                  <c:v>536.20000000000005</c:v>
                </c:pt>
                <c:pt idx="159">
                  <c:v>536.5</c:v>
                </c:pt>
                <c:pt idx="160">
                  <c:v>537</c:v>
                </c:pt>
                <c:pt idx="161">
                  <c:v>539.9</c:v>
                </c:pt>
                <c:pt idx="162">
                  <c:v>540.9</c:v>
                </c:pt>
                <c:pt idx="163">
                  <c:v>545.29999999999995</c:v>
                </c:pt>
                <c:pt idx="164">
                  <c:v>547</c:v>
                </c:pt>
                <c:pt idx="165">
                  <c:v>549.79999999999995</c:v>
                </c:pt>
                <c:pt idx="166">
                  <c:v>551.9</c:v>
                </c:pt>
                <c:pt idx="167">
                  <c:v>552.70000000000005</c:v>
                </c:pt>
                <c:pt idx="168">
                  <c:v>554.29999999999995</c:v>
                </c:pt>
                <c:pt idx="169">
                  <c:v>554.70000000000005</c:v>
                </c:pt>
                <c:pt idx="170">
                  <c:v>555.9</c:v>
                </c:pt>
                <c:pt idx="171">
                  <c:v>558.29999999999995</c:v>
                </c:pt>
                <c:pt idx="172">
                  <c:v>559.79999999999995</c:v>
                </c:pt>
                <c:pt idx="173">
                  <c:v>562.4</c:v>
                </c:pt>
                <c:pt idx="174">
                  <c:v>565.29999999999995</c:v>
                </c:pt>
                <c:pt idx="175">
                  <c:v>565.9</c:v>
                </c:pt>
                <c:pt idx="176">
                  <c:v>570.9</c:v>
                </c:pt>
                <c:pt idx="177">
                  <c:v>572.20000000000005</c:v>
                </c:pt>
                <c:pt idx="178">
                  <c:v>580.5</c:v>
                </c:pt>
                <c:pt idx="179">
                  <c:v>601.79999999999995</c:v>
                </c:pt>
                <c:pt idx="180">
                  <c:v>607.9</c:v>
                </c:pt>
                <c:pt idx="181">
                  <c:v>631.79999999999995</c:v>
                </c:pt>
              </c:numCache>
            </c:numRef>
          </c:val>
          <c:extLst>
            <c:ext xmlns:c16="http://schemas.microsoft.com/office/drawing/2014/chart" uri="{C3380CC4-5D6E-409C-BE32-E72D297353CC}">
              <c16:uniqueId val="{00000003-0CE3-4AEA-A754-149977CB5CDF}"/>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6"/>
                <c:pt idx="155">
                  <c:v>u</c:v>
                </c:pt>
              </c:strCache>
            </c:strRef>
          </c:cat>
          <c:val>
            <c:numRef>
              <c:f>[0]!MarkData</c:f>
              <c:numCache>
                <c:formatCode>0.00</c:formatCode>
                <c:ptCount val="182"/>
                <c:pt idx="0">
                  <c:v>0</c:v>
                </c:pt>
                <c:pt idx="1">
                  <c:v>251.7</c:v>
                </c:pt>
                <c:pt idx="2">
                  <c:v>272.39999999999998</c:v>
                </c:pt>
                <c:pt idx="3">
                  <c:v>280.60000000000002</c:v>
                </c:pt>
                <c:pt idx="4">
                  <c:v>294.8</c:v>
                </c:pt>
                <c:pt idx="5">
                  <c:v>306</c:v>
                </c:pt>
                <c:pt idx="6">
                  <c:v>306.89999999999998</c:v>
                </c:pt>
                <c:pt idx="7">
                  <c:v>309.5</c:v>
                </c:pt>
                <c:pt idx="8">
                  <c:v>310.7</c:v>
                </c:pt>
                <c:pt idx="9">
                  <c:v>324.89999999999998</c:v>
                </c:pt>
                <c:pt idx="10">
                  <c:v>331.5</c:v>
                </c:pt>
                <c:pt idx="11">
                  <c:v>333.9</c:v>
                </c:pt>
                <c:pt idx="12">
                  <c:v>336.8</c:v>
                </c:pt>
                <c:pt idx="13">
                  <c:v>337.4</c:v>
                </c:pt>
                <c:pt idx="14">
                  <c:v>339.2</c:v>
                </c:pt>
                <c:pt idx="15">
                  <c:v>341.5</c:v>
                </c:pt>
                <c:pt idx="16">
                  <c:v>345</c:v>
                </c:pt>
                <c:pt idx="17">
                  <c:v>352.2</c:v>
                </c:pt>
                <c:pt idx="18">
                  <c:v>355.6</c:v>
                </c:pt>
                <c:pt idx="19">
                  <c:v>356.5</c:v>
                </c:pt>
                <c:pt idx="20">
                  <c:v>361.4</c:v>
                </c:pt>
                <c:pt idx="21">
                  <c:v>362.9</c:v>
                </c:pt>
                <c:pt idx="22">
                  <c:v>368.2</c:v>
                </c:pt>
                <c:pt idx="23">
                  <c:v>369.7</c:v>
                </c:pt>
                <c:pt idx="24">
                  <c:v>371.9</c:v>
                </c:pt>
                <c:pt idx="25">
                  <c:v>375.6</c:v>
                </c:pt>
                <c:pt idx="26">
                  <c:v>376.8</c:v>
                </c:pt>
                <c:pt idx="27">
                  <c:v>379.3</c:v>
                </c:pt>
                <c:pt idx="28">
                  <c:v>380.2</c:v>
                </c:pt>
                <c:pt idx="29">
                  <c:v>381.1</c:v>
                </c:pt>
                <c:pt idx="30">
                  <c:v>383.3</c:v>
                </c:pt>
                <c:pt idx="31">
                  <c:v>386</c:v>
                </c:pt>
                <c:pt idx="32">
                  <c:v>387.4</c:v>
                </c:pt>
                <c:pt idx="33">
                  <c:v>389.9</c:v>
                </c:pt>
                <c:pt idx="34">
                  <c:v>391.8</c:v>
                </c:pt>
                <c:pt idx="35">
                  <c:v>392.9</c:v>
                </c:pt>
                <c:pt idx="36">
                  <c:v>395.7</c:v>
                </c:pt>
                <c:pt idx="37">
                  <c:v>396.4</c:v>
                </c:pt>
                <c:pt idx="38">
                  <c:v>398.6</c:v>
                </c:pt>
                <c:pt idx="39">
                  <c:v>401</c:v>
                </c:pt>
                <c:pt idx="40">
                  <c:v>401.4</c:v>
                </c:pt>
                <c:pt idx="41">
                  <c:v>404.1</c:v>
                </c:pt>
                <c:pt idx="42">
                  <c:v>404.1</c:v>
                </c:pt>
                <c:pt idx="43">
                  <c:v>404.2</c:v>
                </c:pt>
                <c:pt idx="44">
                  <c:v>404.8</c:v>
                </c:pt>
                <c:pt idx="45">
                  <c:v>406.8</c:v>
                </c:pt>
                <c:pt idx="46">
                  <c:v>407</c:v>
                </c:pt>
                <c:pt idx="47">
                  <c:v>409.7</c:v>
                </c:pt>
                <c:pt idx="48">
                  <c:v>410</c:v>
                </c:pt>
                <c:pt idx="49">
                  <c:v>410.1</c:v>
                </c:pt>
                <c:pt idx="50">
                  <c:v>410.3</c:v>
                </c:pt>
                <c:pt idx="51">
                  <c:v>410.8</c:v>
                </c:pt>
                <c:pt idx="52">
                  <c:v>411</c:v>
                </c:pt>
                <c:pt idx="53">
                  <c:v>417.1</c:v>
                </c:pt>
                <c:pt idx="54">
                  <c:v>417.3</c:v>
                </c:pt>
                <c:pt idx="55">
                  <c:v>418.8</c:v>
                </c:pt>
                <c:pt idx="56">
                  <c:v>420.9</c:v>
                </c:pt>
                <c:pt idx="57">
                  <c:v>421.2</c:v>
                </c:pt>
                <c:pt idx="58">
                  <c:v>422</c:v>
                </c:pt>
                <c:pt idx="59">
                  <c:v>422.4</c:v>
                </c:pt>
                <c:pt idx="60">
                  <c:v>424.9</c:v>
                </c:pt>
                <c:pt idx="61">
                  <c:v>425.1</c:v>
                </c:pt>
                <c:pt idx="62">
                  <c:v>425.1</c:v>
                </c:pt>
                <c:pt idx="63">
                  <c:v>427.5</c:v>
                </c:pt>
                <c:pt idx="64">
                  <c:v>427.6</c:v>
                </c:pt>
                <c:pt idx="65">
                  <c:v>429.3</c:v>
                </c:pt>
                <c:pt idx="66">
                  <c:v>429.3</c:v>
                </c:pt>
                <c:pt idx="67">
                  <c:v>429.4</c:v>
                </c:pt>
                <c:pt idx="68">
                  <c:v>430</c:v>
                </c:pt>
                <c:pt idx="69">
                  <c:v>430</c:v>
                </c:pt>
                <c:pt idx="70">
                  <c:v>430.6</c:v>
                </c:pt>
                <c:pt idx="71">
                  <c:v>430.7</c:v>
                </c:pt>
                <c:pt idx="72">
                  <c:v>431.3</c:v>
                </c:pt>
                <c:pt idx="73">
                  <c:v>431.8</c:v>
                </c:pt>
                <c:pt idx="74">
                  <c:v>432.8</c:v>
                </c:pt>
                <c:pt idx="75">
                  <c:v>433</c:v>
                </c:pt>
                <c:pt idx="76">
                  <c:v>433.8</c:v>
                </c:pt>
                <c:pt idx="77">
                  <c:v>437.8</c:v>
                </c:pt>
                <c:pt idx="78">
                  <c:v>438.1</c:v>
                </c:pt>
                <c:pt idx="79">
                  <c:v>438.3</c:v>
                </c:pt>
                <c:pt idx="80">
                  <c:v>440</c:v>
                </c:pt>
                <c:pt idx="81">
                  <c:v>441.1</c:v>
                </c:pt>
                <c:pt idx="82">
                  <c:v>442.3</c:v>
                </c:pt>
                <c:pt idx="83">
                  <c:v>445.3</c:v>
                </c:pt>
                <c:pt idx="84">
                  <c:v>445.3</c:v>
                </c:pt>
                <c:pt idx="85">
                  <c:v>449.2</c:v>
                </c:pt>
                <c:pt idx="86">
                  <c:v>451.5</c:v>
                </c:pt>
                <c:pt idx="87">
                  <c:v>453.4</c:v>
                </c:pt>
                <c:pt idx="88">
                  <c:v>453.7</c:v>
                </c:pt>
                <c:pt idx="89">
                  <c:v>454</c:v>
                </c:pt>
                <c:pt idx="90">
                  <c:v>454.5</c:v>
                </c:pt>
                <c:pt idx="91">
                  <c:v>454.5</c:v>
                </c:pt>
                <c:pt idx="92">
                  <c:v>455</c:v>
                </c:pt>
                <c:pt idx="93">
                  <c:v>456.8</c:v>
                </c:pt>
                <c:pt idx="94">
                  <c:v>457.1</c:v>
                </c:pt>
                <c:pt idx="95">
                  <c:v>459</c:v>
                </c:pt>
                <c:pt idx="96">
                  <c:v>459.4</c:v>
                </c:pt>
                <c:pt idx="97">
                  <c:v>460.2</c:v>
                </c:pt>
                <c:pt idx="98">
                  <c:v>460.3</c:v>
                </c:pt>
                <c:pt idx="99">
                  <c:v>460.5</c:v>
                </c:pt>
                <c:pt idx="100">
                  <c:v>460.6</c:v>
                </c:pt>
                <c:pt idx="101">
                  <c:v>461</c:v>
                </c:pt>
                <c:pt idx="102">
                  <c:v>461.1</c:v>
                </c:pt>
                <c:pt idx="103">
                  <c:v>461.2</c:v>
                </c:pt>
                <c:pt idx="104">
                  <c:v>461.8</c:v>
                </c:pt>
                <c:pt idx="105">
                  <c:v>463.1</c:v>
                </c:pt>
                <c:pt idx="106">
                  <c:v>464.4</c:v>
                </c:pt>
                <c:pt idx="107">
                  <c:v>464.5</c:v>
                </c:pt>
                <c:pt idx="108">
                  <c:v>465</c:v>
                </c:pt>
                <c:pt idx="109">
                  <c:v>465.5</c:v>
                </c:pt>
                <c:pt idx="110">
                  <c:v>465.9</c:v>
                </c:pt>
                <c:pt idx="111">
                  <c:v>466.4</c:v>
                </c:pt>
                <c:pt idx="112">
                  <c:v>467.9</c:v>
                </c:pt>
                <c:pt idx="113">
                  <c:v>471.6</c:v>
                </c:pt>
                <c:pt idx="114">
                  <c:v>471.7</c:v>
                </c:pt>
                <c:pt idx="115">
                  <c:v>471.7</c:v>
                </c:pt>
                <c:pt idx="116">
                  <c:v>471.8</c:v>
                </c:pt>
                <c:pt idx="117">
                  <c:v>474.4</c:v>
                </c:pt>
                <c:pt idx="118">
                  <c:v>474.8</c:v>
                </c:pt>
                <c:pt idx="119">
                  <c:v>476.5</c:v>
                </c:pt>
                <c:pt idx="120">
                  <c:v>477.2</c:v>
                </c:pt>
                <c:pt idx="121">
                  <c:v>477.4</c:v>
                </c:pt>
                <c:pt idx="122">
                  <c:v>479.5</c:v>
                </c:pt>
                <c:pt idx="123">
                  <c:v>480.4</c:v>
                </c:pt>
                <c:pt idx="124">
                  <c:v>482.5</c:v>
                </c:pt>
                <c:pt idx="125">
                  <c:v>482.7</c:v>
                </c:pt>
                <c:pt idx="126">
                  <c:v>483.2</c:v>
                </c:pt>
                <c:pt idx="127">
                  <c:v>484.5</c:v>
                </c:pt>
                <c:pt idx="128">
                  <c:v>486.8</c:v>
                </c:pt>
                <c:pt idx="129">
                  <c:v>487</c:v>
                </c:pt>
                <c:pt idx="130">
                  <c:v>488.6</c:v>
                </c:pt>
                <c:pt idx="131">
                  <c:v>489.9</c:v>
                </c:pt>
                <c:pt idx="132">
                  <c:v>492.7</c:v>
                </c:pt>
                <c:pt idx="133">
                  <c:v>492.9</c:v>
                </c:pt>
                <c:pt idx="134">
                  <c:v>495.2</c:v>
                </c:pt>
                <c:pt idx="135">
                  <c:v>496.8</c:v>
                </c:pt>
                <c:pt idx="136">
                  <c:v>497.4</c:v>
                </c:pt>
                <c:pt idx="137">
                  <c:v>497.5</c:v>
                </c:pt>
                <c:pt idx="138">
                  <c:v>501.7</c:v>
                </c:pt>
                <c:pt idx="139">
                  <c:v>504.3</c:v>
                </c:pt>
                <c:pt idx="140">
                  <c:v>504.6</c:v>
                </c:pt>
                <c:pt idx="141">
                  <c:v>505.7</c:v>
                </c:pt>
                <c:pt idx="142">
                  <c:v>505.7</c:v>
                </c:pt>
                <c:pt idx="143">
                  <c:v>506.1</c:v>
                </c:pt>
                <c:pt idx="144">
                  <c:v>506.4</c:v>
                </c:pt>
                <c:pt idx="145">
                  <c:v>507.5</c:v>
                </c:pt>
                <c:pt idx="146">
                  <c:v>507.9</c:v>
                </c:pt>
                <c:pt idx="147">
                  <c:v>508.2</c:v>
                </c:pt>
                <c:pt idx="148">
                  <c:v>509</c:v>
                </c:pt>
                <c:pt idx="149">
                  <c:v>509.3</c:v>
                </c:pt>
                <c:pt idx="150">
                  <c:v>512.29999999999995</c:v>
                </c:pt>
                <c:pt idx="151">
                  <c:v>515.4</c:v>
                </c:pt>
                <c:pt idx="152">
                  <c:v>515.6</c:v>
                </c:pt>
                <c:pt idx="153">
                  <c:v>519</c:v>
                </c:pt>
                <c:pt idx="154">
                  <c:v>520.4</c:v>
                </c:pt>
                <c:pt idx="155">
                  <c:v>522.1</c:v>
                </c:pt>
                <c:pt idx="156">
                  <c:v>523.79999999999995</c:v>
                </c:pt>
                <c:pt idx="157">
                  <c:v>527.79999999999995</c:v>
                </c:pt>
                <c:pt idx="158">
                  <c:v>536.20000000000005</c:v>
                </c:pt>
                <c:pt idx="159">
                  <c:v>536.5</c:v>
                </c:pt>
                <c:pt idx="160">
                  <c:v>537</c:v>
                </c:pt>
                <c:pt idx="161">
                  <c:v>539.9</c:v>
                </c:pt>
                <c:pt idx="162">
                  <c:v>540.9</c:v>
                </c:pt>
                <c:pt idx="163">
                  <c:v>545.29999999999995</c:v>
                </c:pt>
                <c:pt idx="164">
                  <c:v>547</c:v>
                </c:pt>
                <c:pt idx="165">
                  <c:v>549.79999999999995</c:v>
                </c:pt>
                <c:pt idx="166">
                  <c:v>551.9</c:v>
                </c:pt>
                <c:pt idx="167">
                  <c:v>552.70000000000005</c:v>
                </c:pt>
                <c:pt idx="168">
                  <c:v>554.29999999999995</c:v>
                </c:pt>
                <c:pt idx="169">
                  <c:v>554.70000000000005</c:v>
                </c:pt>
                <c:pt idx="170">
                  <c:v>555.9</c:v>
                </c:pt>
                <c:pt idx="171">
                  <c:v>558.29999999999995</c:v>
                </c:pt>
                <c:pt idx="172">
                  <c:v>559.79999999999995</c:v>
                </c:pt>
                <c:pt idx="173">
                  <c:v>562.4</c:v>
                </c:pt>
                <c:pt idx="174">
                  <c:v>565.29999999999995</c:v>
                </c:pt>
                <c:pt idx="175">
                  <c:v>565.9</c:v>
                </c:pt>
                <c:pt idx="176">
                  <c:v>570.9</c:v>
                </c:pt>
                <c:pt idx="177">
                  <c:v>572.20000000000005</c:v>
                </c:pt>
                <c:pt idx="178">
                  <c:v>580.5</c:v>
                </c:pt>
                <c:pt idx="179">
                  <c:v>601.79999999999995</c:v>
                </c:pt>
                <c:pt idx="180">
                  <c:v>607.9</c:v>
                </c:pt>
                <c:pt idx="181">
                  <c:v>631.79999999999995</c:v>
                </c:pt>
              </c:numCache>
            </c:numRef>
          </c:val>
          <c:extLst>
            <c:ext xmlns:c16="http://schemas.microsoft.com/office/drawing/2014/chart" uri="{C3380CC4-5D6E-409C-BE32-E72D297353CC}">
              <c16:uniqueId val="{00000004-0CE3-4AEA-A754-149977CB5CDF}"/>
            </c:ext>
          </c:extLst>
        </c:ser>
        <c:dLbls>
          <c:showLegendKey val="0"/>
          <c:showVal val="0"/>
          <c:showCatName val="0"/>
          <c:showSerName val="0"/>
          <c:showPercent val="0"/>
          <c:showBubbleSize val="0"/>
        </c:dLbls>
        <c:gapWidth val="0"/>
        <c:overlap val="100"/>
        <c:axId val="119569408"/>
        <c:axId val="132641536"/>
      </c:barChart>
      <c:catAx>
        <c:axId val="119569408"/>
        <c:scaling>
          <c:orientation val="minMax"/>
        </c:scaling>
        <c:delete val="0"/>
        <c:axPos val="b"/>
        <c:numFmt formatCode="General" sourceLinked="1"/>
        <c:majorTickMark val="none"/>
        <c:minorTickMark val="none"/>
        <c:tickLblPos val="none"/>
        <c:crossAx val="132641536"/>
        <c:crosses val="autoZero"/>
        <c:auto val="1"/>
        <c:lblAlgn val="ctr"/>
        <c:lblOffset val="100"/>
        <c:noMultiLvlLbl val="0"/>
      </c:catAx>
      <c:valAx>
        <c:axId val="132641536"/>
        <c:scaling>
          <c:orientation val="minMax"/>
        </c:scaling>
        <c:delete val="0"/>
        <c:axPos val="l"/>
        <c:numFmt formatCode="0" sourceLinked="0"/>
        <c:majorTickMark val="out"/>
        <c:minorTickMark val="none"/>
        <c:tickLblPos val="nextTo"/>
        <c:txPr>
          <a:bodyPr rot="0" vert="horz"/>
          <a:lstStyle/>
          <a:p>
            <a:pPr>
              <a:defRPr/>
            </a:pPr>
            <a:endParaRPr lang="en-US"/>
          </a:p>
        </c:txPr>
        <c:crossAx val="119569408"/>
        <c:crosses val="autoZero"/>
        <c:crossBetween val="between"/>
      </c:valAx>
      <c:spPr>
        <a:ln>
          <a:noFill/>
        </a:ln>
      </c:spPr>
    </c:plotArea>
    <c:plotVisOnly val="1"/>
    <c:dispBlanksAs val="gap"/>
    <c:showDLblsOverMax val="0"/>
  </c:chart>
  <c:spPr>
    <a:ln>
      <a:noFill/>
    </a:ln>
  </c:spPr>
  <c:printSettings>
    <c:headerFooter alignWithMargins="0"/>
    <c:pageMargins b="0.75000000000000455" l="0.70000000000000062" r="0.70000000000000062" t="0.750000000000004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0DD1-4BF1-8D2C-3BC9CB8ECDC0}"/>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522.1</c:v>
                </c:pt>
                <c:pt idx="1">
                  <c:v>447.61263736263703</c:v>
                </c:pt>
                <c:pt idx="2">
                  <c:v>491.55</c:v>
                </c:pt>
                <c:pt idx="3">
                  <c:v>421.37000000000006</c:v>
                </c:pt>
              </c:numCache>
            </c:numRef>
          </c:val>
          <c:extLst>
            <c:ext xmlns:c16="http://schemas.microsoft.com/office/drawing/2014/chart" uri="{C3380CC4-5D6E-409C-BE32-E72D297353CC}">
              <c16:uniqueId val="{00000001-0DD1-4BF1-8D2C-3BC9CB8ECDC0}"/>
            </c:ext>
          </c:extLst>
        </c:ser>
        <c:dLbls>
          <c:showLegendKey val="0"/>
          <c:showVal val="0"/>
          <c:showCatName val="0"/>
          <c:showSerName val="0"/>
          <c:showPercent val="0"/>
          <c:showBubbleSize val="0"/>
        </c:dLbls>
        <c:gapWidth val="39"/>
        <c:overlap val="100"/>
        <c:axId val="133469312"/>
        <c:axId val="13347123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406.85</c:v>
                </c:pt>
                <c:pt idx="1">
                  <c:v>406.85</c:v>
                </c:pt>
                <c:pt idx="2">
                  <c:v>406.85</c:v>
                </c:pt>
                <c:pt idx="3">
                  <c:v>406.85</c:v>
                </c:pt>
              </c:numCache>
            </c:numRef>
          </c:val>
          <c:smooth val="0"/>
          <c:extLst>
            <c:ext xmlns:c16="http://schemas.microsoft.com/office/drawing/2014/chart" uri="{C3380CC4-5D6E-409C-BE32-E72D297353CC}">
              <c16:uniqueId val="{00000002-0DD1-4BF1-8D2C-3BC9CB8ECDC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454.5</c:v>
                </c:pt>
                <c:pt idx="1">
                  <c:v>454.5</c:v>
                </c:pt>
                <c:pt idx="2">
                  <c:v>454.5</c:v>
                </c:pt>
                <c:pt idx="3">
                  <c:v>454.5</c:v>
                </c:pt>
              </c:numCache>
            </c:numRef>
          </c:val>
          <c:smooth val="0"/>
          <c:extLst>
            <c:ext xmlns:c16="http://schemas.microsoft.com/office/drawing/2014/chart" uri="{C3380CC4-5D6E-409C-BE32-E72D297353CC}">
              <c16:uniqueId val="{00000003-0DD1-4BF1-8D2C-3BC9CB8ECDC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497.25</c:v>
                </c:pt>
                <c:pt idx="1">
                  <c:v>497.25</c:v>
                </c:pt>
                <c:pt idx="2">
                  <c:v>497.25</c:v>
                </c:pt>
                <c:pt idx="3">
                  <c:v>497.25</c:v>
                </c:pt>
              </c:numCache>
            </c:numRef>
          </c:val>
          <c:smooth val="0"/>
          <c:extLst>
            <c:ext xmlns:c16="http://schemas.microsoft.com/office/drawing/2014/chart" uri="{C3380CC4-5D6E-409C-BE32-E72D297353CC}">
              <c16:uniqueId val="{00000004-0DD1-4BF1-8D2C-3BC9CB8ECDC0}"/>
            </c:ext>
          </c:extLst>
        </c:ser>
        <c:dLbls>
          <c:showLegendKey val="0"/>
          <c:showVal val="0"/>
          <c:showCatName val="0"/>
          <c:showSerName val="0"/>
          <c:showPercent val="0"/>
          <c:showBubbleSize val="0"/>
        </c:dLbls>
        <c:marker val="1"/>
        <c:smooth val="0"/>
        <c:axId val="133469312"/>
        <c:axId val="133471232"/>
      </c:lineChart>
      <c:catAx>
        <c:axId val="1334693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1232"/>
        <c:crosses val="autoZero"/>
        <c:auto val="1"/>
        <c:lblAlgn val="ctr"/>
        <c:lblOffset val="100"/>
        <c:noMultiLvlLbl val="0"/>
      </c:catAx>
      <c:valAx>
        <c:axId val="13347123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9312"/>
        <c:crosses val="autoZero"/>
        <c:crossBetween val="between"/>
      </c:valAx>
    </c:plotArea>
    <c:legend>
      <c:legendPos val="b"/>
      <c:legendEntry>
        <c:idx val="0"/>
        <c:delete val="1"/>
      </c:legendEntry>
      <c:layout>
        <c:manualLayout>
          <c:xMode val="edge"/>
          <c:yMode val="edge"/>
          <c:x val="0.10120783739241844"/>
          <c:y val="0.90916944591436144"/>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37E-2"/>
          <c:y val="6.0725521892544924E-2"/>
          <c:w val="0.93589299789538694"/>
          <c:h val="0.666603744068419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1420-4892-AC89-79AA32963E00}"/>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522.1</c:v>
                </c:pt>
                <c:pt idx="1">
                  <c:v>431.87887323943664</c:v>
                </c:pt>
                <c:pt idx="2">
                  <c:v>463.78405797101453</c:v>
                </c:pt>
                <c:pt idx="3">
                  <c:v>447.64285714285734</c:v>
                </c:pt>
              </c:numCache>
            </c:numRef>
          </c:val>
          <c:extLst>
            <c:ext xmlns:c16="http://schemas.microsoft.com/office/drawing/2014/chart" uri="{C3380CC4-5D6E-409C-BE32-E72D297353CC}">
              <c16:uniqueId val="{00000001-1420-4892-AC89-79AA32963E00}"/>
            </c:ext>
          </c:extLst>
        </c:ser>
        <c:dLbls>
          <c:showLegendKey val="0"/>
          <c:showVal val="0"/>
          <c:showCatName val="0"/>
          <c:showSerName val="0"/>
          <c:showPercent val="0"/>
          <c:showBubbleSize val="0"/>
        </c:dLbls>
        <c:gapWidth val="39"/>
        <c:overlap val="100"/>
        <c:axId val="143955840"/>
        <c:axId val="1445687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406.85</c:v>
                </c:pt>
                <c:pt idx="1">
                  <c:v>406.85</c:v>
                </c:pt>
                <c:pt idx="2">
                  <c:v>406.85</c:v>
                </c:pt>
                <c:pt idx="3">
                  <c:v>406.85</c:v>
                </c:pt>
              </c:numCache>
            </c:numRef>
          </c:val>
          <c:smooth val="0"/>
          <c:extLst>
            <c:ext xmlns:c16="http://schemas.microsoft.com/office/drawing/2014/chart" uri="{C3380CC4-5D6E-409C-BE32-E72D297353CC}">
              <c16:uniqueId val="{00000002-1420-4892-AC89-79AA32963E00}"/>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454.5</c:v>
                </c:pt>
                <c:pt idx="1">
                  <c:v>454.5</c:v>
                </c:pt>
                <c:pt idx="2">
                  <c:v>454.5</c:v>
                </c:pt>
                <c:pt idx="3">
                  <c:v>454.5</c:v>
                </c:pt>
              </c:numCache>
            </c:numRef>
          </c:val>
          <c:smooth val="0"/>
          <c:extLst>
            <c:ext xmlns:c16="http://schemas.microsoft.com/office/drawing/2014/chart" uri="{C3380CC4-5D6E-409C-BE32-E72D297353CC}">
              <c16:uniqueId val="{00000003-1420-4892-AC89-79AA32963E00}"/>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497.25</c:v>
                </c:pt>
                <c:pt idx="1">
                  <c:v>497.25</c:v>
                </c:pt>
                <c:pt idx="2">
                  <c:v>497.25</c:v>
                </c:pt>
                <c:pt idx="3">
                  <c:v>497.25</c:v>
                </c:pt>
              </c:numCache>
            </c:numRef>
          </c:val>
          <c:smooth val="0"/>
          <c:extLst>
            <c:ext xmlns:c16="http://schemas.microsoft.com/office/drawing/2014/chart" uri="{C3380CC4-5D6E-409C-BE32-E72D297353CC}">
              <c16:uniqueId val="{00000004-1420-4892-AC89-79AA32963E00}"/>
            </c:ext>
          </c:extLst>
        </c:ser>
        <c:dLbls>
          <c:showLegendKey val="0"/>
          <c:showVal val="0"/>
          <c:showCatName val="0"/>
          <c:showSerName val="0"/>
          <c:showPercent val="0"/>
          <c:showBubbleSize val="0"/>
        </c:dLbls>
        <c:marker val="1"/>
        <c:smooth val="0"/>
        <c:axId val="143955840"/>
        <c:axId val="144568704"/>
      </c:lineChart>
      <c:catAx>
        <c:axId val="1439558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568704"/>
        <c:crosses val="autoZero"/>
        <c:auto val="1"/>
        <c:lblAlgn val="ctr"/>
        <c:lblOffset val="100"/>
        <c:noMultiLvlLbl val="0"/>
      </c:catAx>
      <c:valAx>
        <c:axId val="1445687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395584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86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44" l="0.70000000000000062" r="0.70000000000000062" t="0.750000000000004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8" width="3" customWidth="1"/>
    <col min="19" max="21" width="2.44140625" customWidth="1"/>
    <col min="22" max="23" width="2.88671875" customWidth="1"/>
    <col min="24" max="39" width="2.44140625" customWidth="1"/>
    <col min="40" max="40" width="2.33203125" customWidth="1"/>
    <col min="41" max="41" width="3" customWidth="1"/>
  </cols>
  <sheetData>
    <row r="1" spans="2:40" ht="19.5" customHeight="1">
      <c r="B1" s="304" t="str">
        <f>VLOOKUP('Filtered Data'!D1,'Filtered Data'!L1:O6,3,FALSE)</f>
        <v>District</v>
      </c>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row>
    <row r="2" spans="2:40"/>
    <row r="3" spans="2:40" ht="19.5" customHeight="1">
      <c r="B3" s="322" t="str">
        <f>Data!B3</f>
        <v>Waste Management Indicators</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2:40">
      <c r="D4" s="3"/>
      <c r="E4" s="3"/>
    </row>
    <row r="5" spans="2:40" ht="15.75" customHeight="1">
      <c r="B5" s="351" t="s">
        <v>334</v>
      </c>
      <c r="C5" s="351"/>
      <c r="D5" s="351"/>
      <c r="E5" s="351"/>
      <c r="J5" s="354" t="s">
        <v>6</v>
      </c>
      <c r="K5" s="354"/>
      <c r="L5" s="354"/>
      <c r="M5" s="354"/>
      <c r="N5" s="354"/>
      <c r="O5" s="354"/>
      <c r="P5" s="354"/>
      <c r="Q5" s="354"/>
      <c r="R5" s="354"/>
      <c r="S5" s="354"/>
      <c r="W5" s="330" t="s">
        <v>361</v>
      </c>
      <c r="X5" s="331"/>
      <c r="Y5" s="331"/>
      <c r="Z5" s="331"/>
      <c r="AA5" s="331"/>
      <c r="AB5" s="331"/>
      <c r="AC5" s="331"/>
      <c r="AD5" s="331"/>
      <c r="AE5" s="331"/>
      <c r="AF5" s="331"/>
      <c r="AG5" s="331"/>
      <c r="AH5" s="331"/>
      <c r="AI5" s="331"/>
      <c r="AJ5" s="331"/>
      <c r="AK5" s="331"/>
      <c r="AL5" s="331"/>
      <c r="AM5" s="332"/>
    </row>
    <row r="6" spans="2:40" ht="17.25" customHeight="1">
      <c r="J6" s="354"/>
      <c r="K6" s="354"/>
      <c r="L6" s="354"/>
      <c r="M6" s="354"/>
      <c r="N6" s="354"/>
      <c r="O6" s="354"/>
      <c r="P6" s="354"/>
      <c r="Q6" s="354"/>
      <c r="R6" s="354"/>
      <c r="S6" s="354"/>
      <c r="W6" s="333" t="s">
        <v>892</v>
      </c>
      <c r="X6" s="334"/>
      <c r="Y6" s="334"/>
      <c r="Z6" s="334"/>
      <c r="AA6" s="334"/>
      <c r="AB6" s="334"/>
      <c r="AC6" s="334"/>
      <c r="AD6" s="334"/>
      <c r="AE6" s="334"/>
      <c r="AF6" s="334"/>
      <c r="AG6" s="334"/>
      <c r="AH6" s="334"/>
      <c r="AI6" s="334"/>
      <c r="AJ6" s="334"/>
      <c r="AK6" s="334"/>
      <c r="AL6" s="334"/>
      <c r="AM6" s="335"/>
    </row>
    <row r="7" spans="2:40" ht="12.75" customHeight="1">
      <c r="W7" s="333"/>
      <c r="X7" s="334"/>
      <c r="Y7" s="334"/>
      <c r="Z7" s="334"/>
      <c r="AA7" s="334"/>
      <c r="AB7" s="334"/>
      <c r="AC7" s="334"/>
      <c r="AD7" s="334"/>
      <c r="AE7" s="334"/>
      <c r="AF7" s="334"/>
      <c r="AG7" s="334"/>
      <c r="AH7" s="334"/>
      <c r="AI7" s="334"/>
      <c r="AJ7" s="334"/>
      <c r="AK7" s="334"/>
      <c r="AL7" s="334"/>
      <c r="AM7" s="335"/>
    </row>
    <row r="8" spans="2:40" ht="12.75" customHeight="1">
      <c r="B8" s="355" t="str">
        <f>IF('Filtered Data'!D1="L","County:","Type of Authority:")</f>
        <v>Type of Authority:</v>
      </c>
      <c r="C8" s="356"/>
      <c r="D8" s="356"/>
      <c r="E8" s="356"/>
      <c r="F8" s="356"/>
      <c r="G8" s="356"/>
      <c r="H8" s="356"/>
      <c r="I8" s="356"/>
      <c r="J8" s="79" t="str">
        <f>IF('Filtered Data'!D1="L",'Filtered Data'!I3,VLOOKUP('Filtered Data'!D1,'Filtered Data'!L1:O5,3,FALSE))</f>
        <v>District</v>
      </c>
      <c r="K8" s="79"/>
      <c r="L8" s="79"/>
      <c r="M8" s="79"/>
      <c r="N8" s="79"/>
      <c r="O8" s="79"/>
      <c r="P8" s="79"/>
      <c r="Q8" s="79"/>
      <c r="R8" s="79"/>
      <c r="W8" s="333"/>
      <c r="X8" s="334"/>
      <c r="Y8" s="334"/>
      <c r="Z8" s="334"/>
      <c r="AA8" s="334"/>
      <c r="AB8" s="334"/>
      <c r="AC8" s="334"/>
      <c r="AD8" s="334"/>
      <c r="AE8" s="334"/>
      <c r="AF8" s="334"/>
      <c r="AG8" s="334"/>
      <c r="AH8" s="334"/>
      <c r="AI8" s="334"/>
      <c r="AJ8" s="334"/>
      <c r="AK8" s="334"/>
      <c r="AL8" s="334"/>
      <c r="AM8" s="335"/>
    </row>
    <row r="9" spans="2:40" ht="12.75" customHeight="1">
      <c r="B9" s="355" t="str">
        <f>IF('Filtered Data'!D1="L","Rural Classification:","Region:")</f>
        <v>Region:</v>
      </c>
      <c r="C9" s="356"/>
      <c r="D9" s="356"/>
      <c r="E9" s="356"/>
      <c r="F9" s="356"/>
      <c r="G9" s="356"/>
      <c r="H9" s="356"/>
      <c r="I9" s="356"/>
      <c r="J9" s="79" t="str">
        <f>IF('Filtered Data'!D1="L",'Filtered Data'!H3,'Filtered Data'!G3)</f>
        <v>North West</v>
      </c>
      <c r="K9" s="79"/>
      <c r="L9" s="79"/>
      <c r="M9" s="79"/>
      <c r="N9" s="79"/>
      <c r="O9" s="79"/>
      <c r="P9" s="79"/>
      <c r="Q9" s="79"/>
      <c r="R9" s="79"/>
      <c r="W9" s="333"/>
      <c r="X9" s="334"/>
      <c r="Y9" s="334"/>
      <c r="Z9" s="334"/>
      <c r="AA9" s="334"/>
      <c r="AB9" s="334"/>
      <c r="AC9" s="334"/>
      <c r="AD9" s="334"/>
      <c r="AE9" s="334"/>
      <c r="AF9" s="334"/>
      <c r="AG9" s="334"/>
      <c r="AH9" s="334"/>
      <c r="AI9" s="334"/>
      <c r="AJ9" s="334"/>
      <c r="AK9" s="334"/>
      <c r="AL9" s="334"/>
      <c r="AM9" s="335"/>
    </row>
    <row r="10" spans="2:40" ht="12.75" customHeight="1">
      <c r="B10" s="356" t="str">
        <f>IF('Filtered Data'!D1="L","",IF('Filtered Data'!D1="SC","Rural Classification:",IF('Filtered Data'!D1="UA","Rural Classification:","County:")))</f>
        <v>County:</v>
      </c>
      <c r="C10" s="356"/>
      <c r="D10" s="356"/>
      <c r="E10" s="356"/>
      <c r="F10" s="356"/>
      <c r="G10" s="356"/>
      <c r="H10" s="356"/>
      <c r="I10" s="356"/>
      <c r="J10" s="292" t="str">
        <f>IF('Filtered Data'!D1="L","",IF('Filtered Data'!D1="MD",'Filtered Data'!I3,IF('Filtered Data'!D1="SD",'Filtered Data'!I3,'Filtered Data'!H3)))</f>
        <v>Cumbria</v>
      </c>
      <c r="K10" s="292"/>
      <c r="L10" s="292"/>
      <c r="M10" s="292"/>
      <c r="N10" s="292"/>
      <c r="O10" s="292"/>
      <c r="P10" s="292"/>
      <c r="Q10" s="292"/>
      <c r="R10" s="292"/>
      <c r="W10" s="333"/>
      <c r="X10" s="334"/>
      <c r="Y10" s="334"/>
      <c r="Z10" s="334"/>
      <c r="AA10" s="334"/>
      <c r="AB10" s="334"/>
      <c r="AC10" s="334"/>
      <c r="AD10" s="334"/>
      <c r="AE10" s="334"/>
      <c r="AF10" s="334"/>
      <c r="AG10" s="334"/>
      <c r="AH10" s="334"/>
      <c r="AI10" s="334"/>
      <c r="AJ10" s="334"/>
      <c r="AK10" s="334"/>
      <c r="AL10" s="334"/>
      <c r="AM10" s="335"/>
    </row>
    <row r="11" spans="2:40" ht="12.75" customHeight="1">
      <c r="B11" s="356" t="str">
        <f>IF('Filtered Data'!D1="L","",IF('Filtered Data'!D1="SC","",IF('Filtered Data'!D1="UA","","Rural Classification:")))</f>
        <v>Rural Classification:</v>
      </c>
      <c r="C11" s="356"/>
      <c r="D11" s="356"/>
      <c r="E11" s="356"/>
      <c r="F11" s="356"/>
      <c r="G11" s="356"/>
      <c r="H11" s="356"/>
      <c r="I11" s="356"/>
      <c r="J11" s="79" t="str">
        <f>IF('Filtered Data'!D1="MD",'Filtered Data'!H3,IF('Filtered Data'!D1="SD",'Filtered Data'!H3,""))</f>
        <v xml:space="preserve">Mainly Rural (rural including hub towns &gt;=80%) </v>
      </c>
      <c r="K11" s="79"/>
      <c r="W11" s="339" t="s">
        <v>364</v>
      </c>
      <c r="X11" s="340"/>
      <c r="Y11" s="340"/>
      <c r="Z11" s="340"/>
      <c r="AA11" s="340"/>
      <c r="AB11" s="340"/>
      <c r="AC11" s="340"/>
      <c r="AD11" s="340"/>
      <c r="AE11" s="340"/>
      <c r="AF11" s="340"/>
      <c r="AG11" s="340"/>
      <c r="AH11" s="340"/>
      <c r="AI11" s="340"/>
      <c r="AJ11" s="340"/>
      <c r="AK11" s="340"/>
      <c r="AL11" s="340"/>
      <c r="AM11" s="341"/>
    </row>
    <row r="12" spans="2:40" ht="12.75" customHeight="1">
      <c r="W12" s="315" t="s">
        <v>914</v>
      </c>
      <c r="X12" s="316"/>
      <c r="Y12" s="316"/>
      <c r="Z12" s="316"/>
      <c r="AA12" s="316"/>
      <c r="AB12" s="316"/>
      <c r="AC12" s="316"/>
      <c r="AD12" s="316"/>
      <c r="AE12" s="316"/>
      <c r="AF12" s="316"/>
      <c r="AG12" s="316"/>
      <c r="AH12" s="316"/>
      <c r="AI12" s="316"/>
      <c r="AJ12" s="316"/>
      <c r="AK12" s="316"/>
      <c r="AL12" s="316"/>
      <c r="AM12" s="317"/>
    </row>
    <row r="13" spans="2:40" ht="12.75" customHeight="1">
      <c r="B13" s="25"/>
      <c r="C13" s="25"/>
      <c r="D13" s="25"/>
      <c r="E13" s="25"/>
      <c r="F13" s="25"/>
      <c r="G13" s="25"/>
      <c r="H13" s="25"/>
      <c r="I13" s="25"/>
      <c r="J13" s="3"/>
      <c r="K13" s="3"/>
      <c r="L13" s="3"/>
      <c r="M13" s="3"/>
      <c r="N13" s="3"/>
      <c r="O13" s="3"/>
      <c r="P13" s="3"/>
      <c r="Q13" s="3"/>
      <c r="R13" s="3"/>
      <c r="W13" s="358" t="s">
        <v>365</v>
      </c>
      <c r="X13" s="359"/>
      <c r="Y13" s="359"/>
      <c r="Z13" s="359"/>
      <c r="AA13" s="359"/>
      <c r="AB13" s="359"/>
      <c r="AC13" s="359"/>
      <c r="AD13" s="359"/>
      <c r="AE13" s="359"/>
      <c r="AF13" s="359"/>
      <c r="AG13" s="359"/>
      <c r="AH13" s="359"/>
      <c r="AI13" s="359"/>
      <c r="AJ13" s="359"/>
      <c r="AK13" s="359"/>
      <c r="AL13" s="359"/>
      <c r="AM13" s="360"/>
    </row>
    <row r="14" spans="2:40" ht="25.5" customHeight="1">
      <c r="B14" s="25"/>
      <c r="C14" s="25"/>
      <c r="D14" s="25"/>
      <c r="E14" s="25"/>
      <c r="F14" s="25"/>
      <c r="G14" s="25"/>
      <c r="H14" s="25"/>
      <c r="I14" s="25"/>
      <c r="J14" s="3"/>
      <c r="K14" s="3"/>
      <c r="L14" s="3"/>
      <c r="M14" s="3"/>
      <c r="N14" s="3"/>
      <c r="O14" s="3"/>
      <c r="P14" s="3"/>
      <c r="Q14" s="3"/>
      <c r="R14" s="3"/>
      <c r="W14" s="336" t="str">
        <f>HLOOKUP(W6,Data!4:6,3,FALSE)</f>
        <v>ENV18 - DEFRA</v>
      </c>
      <c r="X14" s="337"/>
      <c r="Y14" s="337"/>
      <c r="Z14" s="337"/>
      <c r="AA14" s="337"/>
      <c r="AB14" s="337"/>
      <c r="AC14" s="337"/>
      <c r="AD14" s="337"/>
      <c r="AE14" s="337"/>
      <c r="AF14" s="337"/>
      <c r="AG14" s="337"/>
      <c r="AH14" s="337"/>
      <c r="AI14" s="337"/>
      <c r="AJ14" s="337"/>
      <c r="AK14" s="337"/>
      <c r="AL14" s="337"/>
      <c r="AM14" s="338"/>
    </row>
    <row r="15" spans="2:40"/>
    <row r="16" spans="2:40">
      <c r="B16" s="344" t="str">
        <f>W6&amp;" - "&amp;W12</f>
        <v>Residual household waste per household (kg/household) (Ex NI191) - 2019-20</v>
      </c>
      <c r="C16" s="345"/>
      <c r="D16" s="345"/>
      <c r="E16" s="345"/>
      <c r="F16" s="345"/>
      <c r="G16" s="345"/>
      <c r="H16" s="345"/>
      <c r="I16" s="345"/>
      <c r="J16" s="345"/>
      <c r="K16" s="345"/>
      <c r="L16" s="345"/>
      <c r="M16" s="345"/>
      <c r="N16" s="345"/>
      <c r="O16" s="345"/>
      <c r="P16" s="345"/>
      <c r="Q16" s="345"/>
      <c r="R16" s="345"/>
      <c r="S16" s="345"/>
      <c r="T16" s="345"/>
      <c r="U16" s="345"/>
      <c r="V16" s="345"/>
      <c r="W16" s="345"/>
      <c r="X16" s="345"/>
      <c r="Y16" s="345"/>
      <c r="Z16" s="345"/>
      <c r="AA16" s="345"/>
      <c r="AB16" s="345"/>
      <c r="AC16" s="345"/>
      <c r="AD16" s="345"/>
      <c r="AE16" s="345"/>
      <c r="AF16" s="345"/>
      <c r="AG16" s="345"/>
      <c r="AH16" s="345"/>
      <c r="AI16" s="345"/>
      <c r="AJ16" s="345"/>
      <c r="AK16" s="345"/>
      <c r="AL16" s="345"/>
      <c r="AM16" s="346"/>
    </row>
    <row r="17" spans="2:42">
      <c r="B17" s="347"/>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9"/>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2" t="s">
        <v>340</v>
      </c>
      <c r="F32" s="353"/>
      <c r="G32" s="353"/>
      <c r="H32" s="353"/>
      <c r="I32" s="353"/>
      <c r="J32" s="353"/>
      <c r="K32" s="326">
        <f>IF('Filtered Data'!$H$8="..",'Filtered Data'!O10,'Filtered Data'!O10/100)</f>
        <v>406.85</v>
      </c>
      <c r="L32" s="326"/>
      <c r="M32" s="326"/>
      <c r="N32" s="325" t="s">
        <v>351</v>
      </c>
      <c r="O32" s="325"/>
      <c r="P32" s="325"/>
      <c r="Q32" s="325"/>
      <c r="R32" s="325"/>
      <c r="S32" s="325"/>
      <c r="T32" s="326">
        <f>IF('Filtered Data'!$H$8="..",'Filtered Data'!P10,'Filtered Data'!P10/100)</f>
        <v>454.5</v>
      </c>
      <c r="U32" s="326"/>
      <c r="V32" s="326"/>
      <c r="W32" s="326"/>
      <c r="X32" s="350" t="s">
        <v>352</v>
      </c>
      <c r="Y32" s="350"/>
      <c r="Z32" s="350"/>
      <c r="AA32" s="350"/>
      <c r="AB32" s="350"/>
      <c r="AC32" s="326">
        <f>IF('Filtered Data'!$H$8="..",'Filtered Data'!Q10,'Filtered Data'!Q10/100)</f>
        <v>497.25</v>
      </c>
      <c r="AD32" s="326"/>
      <c r="AE32" s="326"/>
      <c r="AF32" s="361" t="s">
        <v>341</v>
      </c>
      <c r="AG32" s="361"/>
      <c r="AH32" s="361"/>
      <c r="AI32" s="361"/>
      <c r="AJ32" s="361"/>
      <c r="AK32" s="361"/>
      <c r="AL32" s="361"/>
      <c r="AM32" s="10"/>
      <c r="AP32" s="85"/>
    </row>
    <row r="33" spans="2:16384">
      <c r="B33" s="4" t="str">
        <f>"The graph &amp; quartile information show data for all "&amp;V37&amp;" "&amp;VLOOKUP('Filtered Data'!D1,'Filtered Data'!L1:O6,3,FALSE)&amp;" councils in England."</f>
        <v>The graph &amp; quartile information show data for all 182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43">
        <f>IF(ISERROR(IF('Filtered Data'!$H$8="%.",(VLOOKUP(J5,'Filtered Data'!C:H,4,FALSE))/100,(VLOOKUP(J5,'Filtered Data'!C:H,4,FALSE)))),"",(IF('Filtered Data'!$H$8="%.",(VLOOKUP(J5,'Filtered Data'!C:H,4,FALSE))/100,(VLOOKUP(J5,'Filtered Data'!C:H,4,FALSE)))))</f>
        <v>522.1</v>
      </c>
      <c r="M35" s="343"/>
      <c r="N35" s="343"/>
      <c r="O35" s="343"/>
      <c r="P35" s="135"/>
      <c r="Q35" s="343" t="s">
        <v>353</v>
      </c>
      <c r="R35" s="343"/>
      <c r="S35" s="343"/>
      <c r="T35" s="343"/>
      <c r="U35" s="343"/>
      <c r="V35" s="343"/>
      <c r="W35" s="343"/>
      <c r="AP35" s="85"/>
    </row>
    <row r="36" spans="2:16384" ht="12.75" customHeight="1">
      <c r="B36" s="342" t="str">
        <f>'Filtered Data'!R8&amp;" Quartile"</f>
        <v>Bottom Quartile</v>
      </c>
      <c r="C36" s="342"/>
      <c r="D36" s="342"/>
      <c r="E36" s="342"/>
      <c r="F36" s="342"/>
      <c r="G36" s="342"/>
      <c r="H36" s="342"/>
      <c r="I36" s="342"/>
      <c r="J36" s="342"/>
      <c r="K36" s="342"/>
      <c r="L36" s="342"/>
      <c r="M36" s="342"/>
      <c r="N36" s="342"/>
      <c r="O36" s="342"/>
      <c r="P36" s="342"/>
      <c r="Q36" s="342"/>
      <c r="R36" s="342"/>
      <c r="S36" s="342"/>
      <c r="T36" s="342"/>
      <c r="U36" s="342"/>
      <c r="V36" s="342"/>
      <c r="W36" s="342"/>
      <c r="Z36" s="21" t="s">
        <v>357</v>
      </c>
      <c r="AB36" s="329" t="s">
        <v>359</v>
      </c>
      <c r="AC36" s="329"/>
      <c r="AD36" s="329"/>
      <c r="AE36" s="329"/>
      <c r="AF36" s="329"/>
      <c r="AG36" s="329"/>
      <c r="AH36" s="329"/>
      <c r="AI36" s="329"/>
      <c r="AJ36" s="329"/>
      <c r="AK36" s="329"/>
      <c r="AL36" s="329"/>
      <c r="AM36" s="154"/>
      <c r="AP36" s="85"/>
    </row>
    <row r="37" spans="2:16384" ht="12.75" customHeight="1">
      <c r="B37" s="136" t="str">
        <f>VLOOKUP('Filtered Data'!D1,'Filtered Data'!L1:O6,2,FALSE)</f>
        <v>Districts</v>
      </c>
      <c r="C37" s="136"/>
      <c r="D37" s="136"/>
      <c r="E37" s="136"/>
      <c r="F37" s="136"/>
      <c r="G37" s="136"/>
      <c r="H37" s="136"/>
      <c r="I37" s="136"/>
      <c r="J37" s="287" t="s">
        <v>799</v>
      </c>
      <c r="K37" s="137" t="str">
        <f>IF(Q37="","",IF('Filtered Data'!I8="D",IF($L$35&gt;=L37,"J","L"),IF('Filtered Data'!I8="A",IF($L$35&lt;=L37,"J","L"))))</f>
        <v>L</v>
      </c>
      <c r="L37" s="319">
        <f>'Filtered Data'!M9</f>
        <v>447.61263736263703</v>
      </c>
      <c r="M37" s="319"/>
      <c r="N37" s="319"/>
      <c r="O37" s="319"/>
      <c r="P37" s="138"/>
      <c r="Q37" s="313">
        <f>VLOOKUP(J5,'Filtered Data'!C:I,7,FALSE)</f>
        <v>156</v>
      </c>
      <c r="R37" s="313"/>
      <c r="S37" s="139"/>
      <c r="T37" s="140" t="s">
        <v>354</v>
      </c>
      <c r="U37" s="141"/>
      <c r="V37" s="313">
        <f>COUNT('Filtered Data'!I11:I355)</f>
        <v>182</v>
      </c>
      <c r="W37" s="313"/>
      <c r="AB37" s="329"/>
      <c r="AC37" s="329"/>
      <c r="AD37" s="329"/>
      <c r="AE37" s="329"/>
      <c r="AF37" s="329"/>
      <c r="AG37" s="329"/>
      <c r="AH37" s="329"/>
      <c r="AI37" s="329"/>
      <c r="AJ37" s="329"/>
      <c r="AK37" s="329"/>
      <c r="AL37" s="329"/>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288"/>
      <c r="K38" s="137" t="str">
        <f>IF(Q38="","",IF('Filtered Data'!I8="D",IF($L$35&gt;=L38,"J","L"),IF('Filtered Data'!I8="A",IF($L$35&lt;=L38,"J","L"))))</f>
        <v>L</v>
      </c>
      <c r="L38" s="319">
        <f>IF('Filtered Data'!D1="L",'Filtered Data'!AG9,'Filtered Data'!Y9)</f>
        <v>421.37000000000006</v>
      </c>
      <c r="M38" s="319"/>
      <c r="N38" s="319"/>
      <c r="O38" s="319"/>
      <c r="P38" s="138"/>
      <c r="Q38" s="328">
        <f>IF(ISERROR(IF('Filtered Data'!D1="L",VLOOKUP(J5,'Filtered Data'!AF11:AH26,3,FALSE),VLOOKUP(J5,'Filtered Data'!$L$11:$Z$355,15,FALSE))),"",(IF('Filtered Data'!D1="L",VLOOKUP(J5,'Filtered Data'!AF11:AH26,3,FALSE),VLOOKUP(J5,'Filtered Data'!$L$11:$Z$355,15,FALSE))))</f>
        <v>38</v>
      </c>
      <c r="R38" s="328"/>
      <c r="S38" s="357" t="s">
        <v>354</v>
      </c>
      <c r="T38" s="319"/>
      <c r="U38" s="319"/>
      <c r="V38" s="313">
        <f>IF('Filtered Data'!D1="L",16,COUNT('Filtered Data'!Z:Z))</f>
        <v>40</v>
      </c>
      <c r="W38" s="313"/>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288"/>
      <c r="K39" s="137" t="str">
        <f>IF(Q39="","",IF('Filtered Data'!I8="D",IF($L$35&gt;=L39,"J","L"),IF('Filtered Data'!I8="A",IF($L$35&lt;=L39,"J","L"))))</f>
        <v>L</v>
      </c>
      <c r="L39" s="319">
        <f>IF('Filtered Data'!D1="L","",IF('Filtered Data'!D1="SD",'Filtered Data'!AJ9,'Filtered Data'!AQ9))</f>
        <v>491.55</v>
      </c>
      <c r="M39" s="319"/>
      <c r="N39" s="319"/>
      <c r="O39" s="319"/>
      <c r="P39" s="138"/>
      <c r="Q39" s="313">
        <f>IF(ISERROR(IF('Filtered Data'!D1="L","",IF('Filtered Data'!D1="SD",VLOOKUP(J5,'Filtered Data'!L:AK,26,FALSE),(VLOOKUP(J5,'Filtered Data'!L:AR,33,FALSE))))),"",(IF('Filtered Data'!D1="L","",IF('Filtered Data'!D1="SD",VLOOKUP(J5,'Filtered Data'!L:AK,26,FALSE),(VLOOKUP(J5,'Filtered Data'!L:AR,33,FALSE))))))</f>
        <v>5</v>
      </c>
      <c r="R39" s="313"/>
      <c r="S39" s="139"/>
      <c r="T39" s="141" t="str">
        <f>IF(B39="","","out of")</f>
        <v>out of</v>
      </c>
      <c r="U39" s="141"/>
      <c r="V39" s="313">
        <f>IF('Filtered Data'!D1="L","",IF('Filtered Data'!D1="SD",COUNT('Filtered Data'!AK11:AK355),(COUNT('Filtered Data'!AQ11:AQ355))))</f>
        <v>6</v>
      </c>
      <c r="W39" s="313"/>
      <c r="Z39" s="13" t="s">
        <v>358</v>
      </c>
      <c r="AB39" s="329" t="s">
        <v>360</v>
      </c>
      <c r="AC39" s="329"/>
      <c r="AD39" s="329"/>
      <c r="AE39" s="329"/>
      <c r="AF39" s="329"/>
      <c r="AG39" s="329"/>
      <c r="AH39" s="329"/>
      <c r="AI39" s="329"/>
      <c r="AJ39" s="329"/>
      <c r="AK39" s="329"/>
      <c r="AL39" s="329"/>
      <c r="AM39" s="329"/>
      <c r="AP39" s="85"/>
    </row>
    <row r="40" spans="2:16384" ht="12.75" customHeight="1">
      <c r="B40" s="150"/>
      <c r="C40" s="150"/>
      <c r="D40" s="150"/>
      <c r="E40" s="150"/>
      <c r="F40" s="150"/>
      <c r="G40" s="150"/>
      <c r="H40" s="150"/>
      <c r="I40" s="150"/>
      <c r="J40" s="149"/>
      <c r="K40" s="151"/>
      <c r="L40" s="323"/>
      <c r="M40" s="323"/>
      <c r="N40" s="323"/>
      <c r="O40" s="323"/>
      <c r="P40" s="152"/>
      <c r="Q40" s="320"/>
      <c r="R40" s="320"/>
      <c r="S40" s="323"/>
      <c r="T40" s="324"/>
      <c r="U40" s="324"/>
      <c r="V40" s="320"/>
      <c r="W40" s="320"/>
      <c r="AB40" s="329"/>
      <c r="AC40" s="329"/>
      <c r="AD40" s="329"/>
      <c r="AE40" s="329"/>
      <c r="AF40" s="329"/>
      <c r="AG40" s="329"/>
      <c r="AH40" s="329"/>
      <c r="AI40" s="329"/>
      <c r="AJ40" s="329"/>
      <c r="AK40" s="329"/>
      <c r="AL40" s="329"/>
      <c r="AM40" s="329"/>
      <c r="AP40" s="85"/>
    </row>
    <row r="41" spans="2:16384">
      <c r="B41" s="282"/>
      <c r="C41" s="282"/>
      <c r="D41" s="282"/>
      <c r="E41" s="282"/>
      <c r="F41" s="282"/>
      <c r="G41" s="282"/>
      <c r="H41" s="282"/>
      <c r="I41" s="282"/>
      <c r="J41" s="149"/>
      <c r="K41" s="283" t="str">
        <f>IF(B41="","",IF('Filtered Data'!D1="UA","",(IF($L$35&gt;=L41,"J","L"))))</f>
        <v/>
      </c>
      <c r="L41" s="314"/>
      <c r="M41" s="314"/>
      <c r="N41" s="314"/>
      <c r="O41" s="314"/>
      <c r="P41" s="284"/>
      <c r="Q41" s="318"/>
      <c r="R41" s="318"/>
      <c r="S41" s="327"/>
      <c r="T41" s="327"/>
      <c r="U41" s="327"/>
      <c r="V41" s="318"/>
      <c r="W41" s="318"/>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9" t="s">
        <v>356</v>
      </c>
      <c r="C43" s="310"/>
      <c r="D43" s="310"/>
      <c r="E43" s="310"/>
      <c r="F43" s="310"/>
      <c r="G43" s="310"/>
      <c r="H43" s="310"/>
      <c r="I43" s="310"/>
      <c r="J43" s="310"/>
      <c r="K43" s="310"/>
      <c r="L43" s="310"/>
      <c r="M43" s="310"/>
      <c r="N43" s="310"/>
      <c r="O43" s="305" t="str">
        <f>W6&amp;" - "&amp;W12</f>
        <v>Residual household waste per household (kg/household) (Ex NI191) - 2019-20</v>
      </c>
      <c r="P43" s="305"/>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6"/>
      <c r="AP43" s="85"/>
    </row>
    <row r="44" spans="2:16384">
      <c r="B44" s="311"/>
      <c r="C44" s="312"/>
      <c r="D44" s="312"/>
      <c r="E44" s="312"/>
      <c r="F44" s="312"/>
      <c r="G44" s="312"/>
      <c r="H44" s="312"/>
      <c r="I44" s="312"/>
      <c r="J44" s="312"/>
      <c r="K44" s="312"/>
      <c r="L44" s="312"/>
      <c r="M44" s="312"/>
      <c r="N44" s="312"/>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99">
        <f>IF('Filtered Data'!$H$8="..",L35,L35*100)</f>
        <v>522.1</v>
      </c>
      <c r="F48" s="299"/>
      <c r="G48" s="299"/>
      <c r="H48" s="299"/>
      <c r="I48" s="6"/>
      <c r="J48" s="6"/>
      <c r="K48" s="293">
        <f>IF('Filtered Data'!$H$8="..",K$32,K$32*100)</f>
        <v>406.85</v>
      </c>
      <c r="L48" s="293"/>
      <c r="M48" s="293">
        <f>IF('Filtered Data'!$H$8="..",T$32,T$32*100)</f>
        <v>454.5</v>
      </c>
      <c r="N48" s="293"/>
      <c r="O48" s="293">
        <f>IF('Filtered Data'!$H$8="..",AC$32,AC$32*100)</f>
        <v>497.25</v>
      </c>
      <c r="P48" s="293"/>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99">
        <f>IF('Filtered Data'!$H$8="..",L37,L37*100)</f>
        <v>447.61263736263703</v>
      </c>
      <c r="F49" s="299"/>
      <c r="G49" s="299"/>
      <c r="H49" s="299"/>
      <c r="I49" s="6"/>
      <c r="J49" s="6"/>
      <c r="K49" s="293">
        <f>IF('Filtered Data'!$H$8="..",K$32,K$32*100)</f>
        <v>406.85</v>
      </c>
      <c r="L49" s="293"/>
      <c r="M49" s="293">
        <f>IF('Filtered Data'!$H$8="..",T$32,T$32*100)</f>
        <v>454.5</v>
      </c>
      <c r="N49" s="293"/>
      <c r="O49" s="293">
        <f>IF('Filtered Data'!$H$8="..",AC$32,AC$32*100)</f>
        <v>497.25</v>
      </c>
      <c r="P49" s="293"/>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299">
        <f>IF('Filtered Data'!$H$8="..",L39,L39*100)</f>
        <v>491.55</v>
      </c>
      <c r="F50" s="299"/>
      <c r="G50" s="299"/>
      <c r="H50" s="299"/>
      <c r="I50" s="6"/>
      <c r="J50" s="6"/>
      <c r="K50" s="293">
        <f>IF('Filtered Data'!$H$8="..",K$32,K$32*100)</f>
        <v>406.85</v>
      </c>
      <c r="L50" s="293"/>
      <c r="M50" s="293">
        <f>IF('Filtered Data'!$H$8="..",T$32,T$32*100)</f>
        <v>454.5</v>
      </c>
      <c r="N50" s="293"/>
      <c r="O50" s="293">
        <f>IF('Filtered Data'!$H$8="..",AC$32,AC$32*100)</f>
        <v>497.25</v>
      </c>
      <c r="P50" s="293"/>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299">
        <f>IF('Filtered Data'!$H$8="..",L38,L38*100)</f>
        <v>421.37000000000006</v>
      </c>
      <c r="F51" s="299"/>
      <c r="G51" s="299"/>
      <c r="H51" s="299"/>
      <c r="I51" s="6"/>
      <c r="J51" s="6"/>
      <c r="K51" s="293">
        <f>IF('Filtered Data'!$H$8="..",K$32,K$32*100)</f>
        <v>406.85</v>
      </c>
      <c r="L51" s="293"/>
      <c r="M51" s="293">
        <f>IF('Filtered Data'!$H$8="..",T$32,T$32*100)</f>
        <v>454.5</v>
      </c>
      <c r="N51" s="293"/>
      <c r="O51" s="293">
        <f>IF('Filtered Data'!$H$8="..",AC$32,AC$32*100)</f>
        <v>497.25</v>
      </c>
      <c r="P51" s="293"/>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299"/>
      <c r="F52" s="299"/>
      <c r="G52" s="299"/>
      <c r="H52" s="299"/>
      <c r="I52" s="6"/>
      <c r="J52" s="6"/>
      <c r="K52" s="293"/>
      <c r="L52" s="293"/>
      <c r="M52" s="293"/>
      <c r="N52" s="293"/>
      <c r="O52" s="293"/>
      <c r="P52" s="293"/>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00"/>
      <c r="F53" s="300"/>
      <c r="G53" s="300"/>
      <c r="H53" s="300"/>
      <c r="I53" s="6"/>
      <c r="J53" s="6"/>
      <c r="K53" s="293"/>
      <c r="L53" s="293"/>
      <c r="M53" s="293"/>
      <c r="N53" s="293"/>
      <c r="O53" s="293"/>
      <c r="P53" s="293"/>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7" t="str">
        <f>B3</f>
        <v>Waste Management Indicators</v>
      </c>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P59" s="85"/>
    </row>
    <row r="60" spans="2:42">
      <c r="AP60" s="85"/>
    </row>
    <row r="61" spans="2:42" ht="12" customHeight="1">
      <c r="B61" s="1" t="str">
        <f>W6&amp;" - "&amp;W12</f>
        <v>Residual household waste per household (kg/household) (Ex NI191) - 2019-20</v>
      </c>
      <c r="AP61" s="85"/>
    </row>
    <row r="62" spans="2:42" ht="12" customHeight="1">
      <c r="AP62" s="85"/>
    </row>
    <row r="63" spans="2:42" ht="12" customHeight="1">
      <c r="B63" s="1" t="s">
        <v>362</v>
      </c>
      <c r="AP63" s="85"/>
    </row>
    <row r="64" spans="2:42" ht="12" customHeight="1">
      <c r="AP64" s="85"/>
    </row>
    <row r="65" spans="2:42" ht="12" customHeight="1">
      <c r="B65" s="294" t="s">
        <v>353</v>
      </c>
      <c r="C65" s="294"/>
      <c r="D65" s="294"/>
      <c r="E65" s="321" t="s">
        <v>333</v>
      </c>
      <c r="F65" s="321"/>
      <c r="G65" s="321"/>
      <c r="H65" s="321"/>
      <c r="I65" s="321"/>
      <c r="J65" s="321"/>
      <c r="K65" s="321"/>
      <c r="L65" s="321"/>
      <c r="M65" s="321"/>
      <c r="N65" s="321"/>
      <c r="O65" s="321"/>
      <c r="P65" s="321"/>
      <c r="Q65" s="321"/>
      <c r="R65" s="321"/>
      <c r="S65" s="321"/>
      <c r="T65" s="321"/>
      <c r="U65" s="294" t="s">
        <v>363</v>
      </c>
      <c r="V65" s="294"/>
      <c r="W65" s="294"/>
      <c r="X65" s="294"/>
      <c r="Y65" s="24"/>
      <c r="Z65" s="24"/>
      <c r="AA65" s="24"/>
      <c r="AB65" s="24"/>
      <c r="AC65" s="23"/>
      <c r="AD65" s="24"/>
      <c r="AE65" s="24"/>
      <c r="AF65" s="24"/>
      <c r="AG65" s="24"/>
      <c r="AH65" s="11"/>
      <c r="AI65" s="24"/>
      <c r="AJ65" s="24"/>
      <c r="AK65" s="24"/>
      <c r="AL65" s="24"/>
      <c r="AP65" s="85"/>
    </row>
    <row r="66" spans="2:42" ht="12" customHeight="1">
      <c r="B66" s="291">
        <v>1</v>
      </c>
      <c r="C66" s="290"/>
      <c r="D66" s="290"/>
      <c r="E66" s="292" t="str">
        <f>VLOOKUP(B66,'Filtered Data'!K:L,2,FALSE)</f>
        <v>West Somerset</v>
      </c>
      <c r="F66" s="292"/>
      <c r="G66" s="292"/>
      <c r="H66" s="292"/>
      <c r="I66" s="292"/>
      <c r="J66" s="292"/>
      <c r="K66" s="292"/>
      <c r="L66" s="292"/>
      <c r="M66" s="292"/>
      <c r="N66" s="292"/>
      <c r="O66" s="292"/>
      <c r="P66" s="292"/>
      <c r="Q66" s="292"/>
      <c r="R66" s="292"/>
      <c r="S66" s="292"/>
      <c r="T66" s="292"/>
      <c r="U66" s="298">
        <f>IF('Filtered Data'!$H$8="%.",(VLOOKUP(B66,'Filtered Data'!K:M,3,FALSE))/100,VLOOKUP(B66,'Filtered Data'!K:M,3,FALSE))</f>
        <v>0</v>
      </c>
      <c r="V66" s="298"/>
      <c r="W66" s="298"/>
      <c r="X66" s="298"/>
      <c r="Y66" s="181" t="str">
        <f>IF((VLOOKUP(E66,classifications!C:K,9,FALSE))="Sparse","S","")</f>
        <v/>
      </c>
      <c r="Z66" s="181"/>
      <c r="AA66" s="181"/>
      <c r="AB66" s="181"/>
      <c r="AC66" s="181"/>
      <c r="AD66" s="303"/>
      <c r="AE66" s="303"/>
      <c r="AF66" s="303"/>
      <c r="AG66" s="303"/>
      <c r="AH66" s="303"/>
      <c r="AI66" s="303"/>
      <c r="AJ66" s="303"/>
      <c r="AK66" s="303"/>
      <c r="AL66" s="303"/>
      <c r="AP66" s="85"/>
    </row>
    <row r="67" spans="2:42" ht="12" customHeight="1">
      <c r="B67" s="291">
        <v>2</v>
      </c>
      <c r="C67" s="290"/>
      <c r="D67" s="290"/>
      <c r="E67" s="292" t="str">
        <f>VLOOKUP(B67,'Filtered Data'!K:L,2,FALSE)</f>
        <v>East Devon</v>
      </c>
      <c r="F67" s="292"/>
      <c r="G67" s="292"/>
      <c r="H67" s="292"/>
      <c r="I67" s="292"/>
      <c r="J67" s="292"/>
      <c r="K67" s="292"/>
      <c r="L67" s="292"/>
      <c r="M67" s="292"/>
      <c r="N67" s="292"/>
      <c r="O67" s="292"/>
      <c r="P67" s="292"/>
      <c r="Q67" s="292"/>
      <c r="R67" s="292"/>
      <c r="S67" s="292"/>
      <c r="T67" s="292"/>
      <c r="U67" s="298">
        <f>IF('Filtered Data'!$H$8="%.",(VLOOKUP(B67,'Filtered Data'!K:M,3,FALSE))/100,VLOOKUP(B67,'Filtered Data'!K:M,3,FALSE))</f>
        <v>251.7</v>
      </c>
      <c r="V67" s="298"/>
      <c r="W67" s="298"/>
      <c r="X67" s="298"/>
      <c r="Y67" s="181" t="str">
        <f>IF((VLOOKUP(E67,classifications!C:K,9,FALSE))="Sparse","S","")</f>
        <v>S</v>
      </c>
      <c r="Z67" s="181"/>
      <c r="AA67" s="181"/>
      <c r="AB67" s="181"/>
      <c r="AC67" s="181"/>
      <c r="AD67" s="303"/>
      <c r="AE67" s="303"/>
      <c r="AF67" s="303"/>
      <c r="AG67" s="303"/>
      <c r="AH67" s="303"/>
      <c r="AI67" s="303"/>
      <c r="AJ67" s="303"/>
      <c r="AK67" s="303"/>
      <c r="AL67" s="303"/>
      <c r="AP67" s="85"/>
    </row>
    <row r="68" spans="2:42" ht="12" customHeight="1">
      <c r="B68" s="291">
        <v>3</v>
      </c>
      <c r="C68" s="290"/>
      <c r="D68" s="290"/>
      <c r="E68" s="292" t="str">
        <f>VLOOKUP(B68,'Filtered Data'!K:L,2,FALSE)</f>
        <v>Stroud</v>
      </c>
      <c r="F68" s="292"/>
      <c r="G68" s="292"/>
      <c r="H68" s="292"/>
      <c r="I68" s="292"/>
      <c r="J68" s="292"/>
      <c r="K68" s="292"/>
      <c r="L68" s="292"/>
      <c r="M68" s="292"/>
      <c r="N68" s="292"/>
      <c r="O68" s="292"/>
      <c r="P68" s="292"/>
      <c r="Q68" s="292"/>
      <c r="R68" s="292"/>
      <c r="S68" s="292"/>
      <c r="T68" s="292"/>
      <c r="U68" s="298">
        <f>IF('Filtered Data'!$H$8="%.",(VLOOKUP(B68,'Filtered Data'!K:M,3,FALSE))/100,VLOOKUP(B68,'Filtered Data'!K:M,3,FALSE))</f>
        <v>272.39999999999998</v>
      </c>
      <c r="V68" s="298"/>
      <c r="W68" s="298"/>
      <c r="X68" s="298"/>
      <c r="Y68" s="181" t="str">
        <f>IF((VLOOKUP(E68,classifications!C:K,9,FALSE))="Sparse","S","")</f>
        <v>S</v>
      </c>
      <c r="Z68" s="181"/>
      <c r="AA68" s="181"/>
      <c r="AB68" s="181"/>
      <c r="AC68" s="181"/>
      <c r="AD68" s="303"/>
      <c r="AE68" s="303"/>
      <c r="AF68" s="303"/>
      <c r="AG68" s="303"/>
      <c r="AH68" s="303"/>
      <c r="AI68" s="303"/>
      <c r="AJ68" s="303"/>
      <c r="AK68" s="303"/>
      <c r="AL68" s="303"/>
      <c r="AP68" s="85"/>
    </row>
    <row r="69" spans="2:42" ht="12" customHeight="1">
      <c r="B69" s="291">
        <v>4</v>
      </c>
      <c r="C69" s="290"/>
      <c r="D69" s="290"/>
      <c r="E69" s="292" t="str">
        <f>VLOOKUP(B69,'Filtered Data'!K:L,2,FALSE)</f>
        <v>Colchester</v>
      </c>
      <c r="F69" s="292"/>
      <c r="G69" s="292"/>
      <c r="H69" s="292"/>
      <c r="I69" s="292"/>
      <c r="J69" s="292"/>
      <c r="K69" s="292"/>
      <c r="L69" s="292"/>
      <c r="M69" s="292"/>
      <c r="N69" s="292"/>
      <c r="O69" s="292"/>
      <c r="P69" s="292"/>
      <c r="Q69" s="292"/>
      <c r="R69" s="292"/>
      <c r="S69" s="292"/>
      <c r="T69" s="292"/>
      <c r="U69" s="298">
        <f>IF('Filtered Data'!$H$8="%.",(VLOOKUP(B69,'Filtered Data'!K:M,3,FALSE))/100,VLOOKUP(B69,'Filtered Data'!K:M,3,FALSE))</f>
        <v>280.60000000000002</v>
      </c>
      <c r="V69" s="298"/>
      <c r="W69" s="298"/>
      <c r="X69" s="298"/>
      <c r="Y69" s="181" t="str">
        <f>IF((VLOOKUP(E69,classifications!C:K,9,FALSE))="Sparse","S","")</f>
        <v/>
      </c>
      <c r="Z69" s="181"/>
      <c r="AA69" s="181"/>
      <c r="AB69" s="181"/>
      <c r="AC69" s="181"/>
      <c r="AD69" s="303"/>
      <c r="AE69" s="303"/>
      <c r="AF69" s="303"/>
      <c r="AG69" s="303"/>
      <c r="AH69" s="303"/>
      <c r="AI69" s="303"/>
      <c r="AJ69" s="303"/>
      <c r="AK69" s="303"/>
      <c r="AL69" s="303"/>
      <c r="AP69" s="85"/>
    </row>
    <row r="70" spans="2:42" ht="12" customHeight="1">
      <c r="B70" s="291">
        <v>5</v>
      </c>
      <c r="C70" s="290"/>
      <c r="D70" s="290"/>
      <c r="E70" s="292" t="str">
        <f>VLOOKUP(B70,'Filtered Data'!K:L,2,FALSE)</f>
        <v>Vale of White Horse</v>
      </c>
      <c r="F70" s="292"/>
      <c r="G70" s="292"/>
      <c r="H70" s="292"/>
      <c r="I70" s="292"/>
      <c r="J70" s="292"/>
      <c r="K70" s="292"/>
      <c r="L70" s="292"/>
      <c r="M70" s="292"/>
      <c r="N70" s="292"/>
      <c r="O70" s="292"/>
      <c r="P70" s="292"/>
      <c r="Q70" s="292"/>
      <c r="R70" s="292"/>
      <c r="S70" s="292"/>
      <c r="T70" s="292"/>
      <c r="U70" s="298">
        <f>IF('Filtered Data'!$H$8="%.",(VLOOKUP(B70,'Filtered Data'!K:M,3,FALSE))/100,VLOOKUP(B70,'Filtered Data'!K:M,3,FALSE))</f>
        <v>294.8</v>
      </c>
      <c r="V70" s="298"/>
      <c r="W70" s="298"/>
      <c r="X70" s="298"/>
      <c r="Y70" s="181" t="str">
        <f>IF((VLOOKUP(E70,classifications!C:K,9,FALSE))="Sparse","S","")</f>
        <v>S</v>
      </c>
      <c r="Z70" s="181"/>
      <c r="AA70" s="181"/>
      <c r="AB70" s="181"/>
      <c r="AC70" s="181"/>
      <c r="AD70" s="303"/>
      <c r="AE70" s="303"/>
      <c r="AF70" s="303"/>
      <c r="AG70" s="303"/>
      <c r="AH70" s="303"/>
      <c r="AI70" s="303"/>
      <c r="AJ70" s="303"/>
      <c r="AK70" s="303"/>
      <c r="AL70" s="303"/>
      <c r="AP70" s="85"/>
    </row>
    <row r="71" spans="2:42" ht="12" customHeight="1">
      <c r="B71" s="291">
        <v>6</v>
      </c>
      <c r="C71" s="290"/>
      <c r="D71" s="290"/>
      <c r="E71" s="292" t="str">
        <f>VLOOKUP(B71,'Filtered Data'!K:L,2,FALSE)</f>
        <v>Derbyshire Dales</v>
      </c>
      <c r="F71" s="292"/>
      <c r="G71" s="292"/>
      <c r="H71" s="292"/>
      <c r="I71" s="292"/>
      <c r="J71" s="292"/>
      <c r="K71" s="292"/>
      <c r="L71" s="292"/>
      <c r="M71" s="292"/>
      <c r="N71" s="292"/>
      <c r="O71" s="292"/>
      <c r="P71" s="292"/>
      <c r="Q71" s="292"/>
      <c r="R71" s="292"/>
      <c r="S71" s="292"/>
      <c r="T71" s="292"/>
      <c r="U71" s="298">
        <f>IF('Filtered Data'!$H$8="%.",(VLOOKUP(B71,'Filtered Data'!K:M,3,FALSE))/100,VLOOKUP(B71,'Filtered Data'!K:M,3,FALSE))</f>
        <v>306</v>
      </c>
      <c r="V71" s="298"/>
      <c r="W71" s="298"/>
      <c r="X71" s="298"/>
      <c r="Y71" s="181" t="str">
        <f>IF((VLOOKUP(E71,classifications!C:K,9,FALSE))="Sparse","S","")</f>
        <v>S</v>
      </c>
      <c r="Z71" s="181"/>
      <c r="AA71" s="181"/>
      <c r="AB71" s="181"/>
      <c r="AC71" s="181"/>
      <c r="AD71" s="303"/>
      <c r="AE71" s="303"/>
      <c r="AF71" s="303"/>
      <c r="AG71" s="303"/>
      <c r="AH71" s="303"/>
      <c r="AI71" s="303"/>
      <c r="AJ71" s="303"/>
      <c r="AK71" s="303"/>
      <c r="AL71" s="303"/>
      <c r="AP71" s="85"/>
    </row>
    <row r="72" spans="2:42" ht="12" customHeight="1">
      <c r="B72" s="291">
        <v>7</v>
      </c>
      <c r="C72" s="290"/>
      <c r="D72" s="290"/>
      <c r="E72" s="292" t="str">
        <f>VLOOKUP(B72,'Filtered Data'!K:L,2,FALSE)</f>
        <v>South Oxfordshire</v>
      </c>
      <c r="F72" s="292"/>
      <c r="G72" s="292"/>
      <c r="H72" s="292"/>
      <c r="I72" s="292"/>
      <c r="J72" s="292"/>
      <c r="K72" s="292"/>
      <c r="L72" s="292"/>
      <c r="M72" s="292"/>
      <c r="N72" s="292"/>
      <c r="O72" s="292"/>
      <c r="P72" s="292"/>
      <c r="Q72" s="292"/>
      <c r="R72" s="292"/>
      <c r="S72" s="292"/>
      <c r="T72" s="292"/>
      <c r="U72" s="298">
        <f>IF('Filtered Data'!$H$8="%.",(VLOOKUP(B72,'Filtered Data'!K:M,3,FALSE))/100,VLOOKUP(B72,'Filtered Data'!K:M,3,FALSE))</f>
        <v>306.89999999999998</v>
      </c>
      <c r="V72" s="298"/>
      <c r="W72" s="298"/>
      <c r="X72" s="298"/>
      <c r="Y72" s="181" t="str">
        <f>IF((VLOOKUP(E72,classifications!C:K,9,FALSE))="Sparse","S","")</f>
        <v>S</v>
      </c>
      <c r="Z72" s="181"/>
      <c r="AA72" s="181"/>
      <c r="AB72" s="181"/>
      <c r="AC72" s="181"/>
      <c r="AD72" s="303"/>
      <c r="AE72" s="303"/>
      <c r="AF72" s="303"/>
      <c r="AG72" s="303"/>
      <c r="AH72" s="303"/>
      <c r="AI72" s="303"/>
      <c r="AJ72" s="303"/>
      <c r="AK72" s="303"/>
      <c r="AL72" s="303"/>
      <c r="AP72" s="85"/>
    </row>
    <row r="73" spans="2:42" ht="12" customHeight="1">
      <c r="B73" s="291">
        <v>8</v>
      </c>
      <c r="C73" s="290"/>
      <c r="D73" s="290"/>
      <c r="E73" s="292" t="str">
        <f>VLOOKUP(B73,'Filtered Data'!K:L,2,FALSE)</f>
        <v>Three Rivers</v>
      </c>
      <c r="F73" s="292"/>
      <c r="G73" s="292"/>
      <c r="H73" s="292"/>
      <c r="I73" s="292"/>
      <c r="J73" s="292"/>
      <c r="K73" s="292"/>
      <c r="L73" s="292"/>
      <c r="M73" s="292"/>
      <c r="N73" s="292"/>
      <c r="O73" s="292"/>
      <c r="P73" s="292"/>
      <c r="Q73" s="292"/>
      <c r="R73" s="292"/>
      <c r="S73" s="292"/>
      <c r="T73" s="292"/>
      <c r="U73" s="298">
        <f>IF('Filtered Data'!$H$8="%.",(VLOOKUP(B73,'Filtered Data'!K:M,3,FALSE))/100,VLOOKUP(B73,'Filtered Data'!K:M,3,FALSE))</f>
        <v>309.5</v>
      </c>
      <c r="V73" s="298"/>
      <c r="W73" s="298"/>
      <c r="X73" s="298"/>
      <c r="Y73" s="181" t="str">
        <f>IF((VLOOKUP(E73,classifications!C:K,9,FALSE))="Sparse","S","")</f>
        <v/>
      </c>
      <c r="Z73" s="181"/>
      <c r="AA73" s="181"/>
      <c r="AB73" s="181"/>
      <c r="AC73" s="181"/>
      <c r="AD73" s="303"/>
      <c r="AE73" s="303"/>
      <c r="AF73" s="303"/>
      <c r="AG73" s="303"/>
      <c r="AH73" s="303"/>
      <c r="AI73" s="303"/>
      <c r="AJ73" s="303"/>
      <c r="AK73" s="303"/>
      <c r="AL73" s="303"/>
      <c r="AP73" s="85"/>
    </row>
    <row r="74" spans="2:42" ht="12" customHeight="1">
      <c r="B74" s="291">
        <v>9</v>
      </c>
      <c r="C74" s="290"/>
      <c r="D74" s="290"/>
      <c r="E74" s="292" t="str">
        <f>VLOOKUP(B74,'Filtered Data'!K:L,2,FALSE)</f>
        <v>West Devon</v>
      </c>
      <c r="F74" s="292"/>
      <c r="G74" s="292"/>
      <c r="H74" s="292"/>
      <c r="I74" s="292"/>
      <c r="J74" s="292"/>
      <c r="K74" s="292"/>
      <c r="L74" s="292"/>
      <c r="M74" s="292"/>
      <c r="N74" s="292"/>
      <c r="O74" s="292"/>
      <c r="P74" s="292"/>
      <c r="Q74" s="292"/>
      <c r="R74" s="292"/>
      <c r="S74" s="292"/>
      <c r="T74" s="292"/>
      <c r="U74" s="298">
        <f>IF('Filtered Data'!$H$8="%.",(VLOOKUP(B74,'Filtered Data'!K:M,3,FALSE))/100,VLOOKUP(B74,'Filtered Data'!K:M,3,FALSE))</f>
        <v>310.7</v>
      </c>
      <c r="V74" s="298"/>
      <c r="W74" s="298"/>
      <c r="X74" s="298"/>
      <c r="Y74" s="181" t="str">
        <f>IF((VLOOKUP(E74,classifications!C:K,9,FALSE))="Sparse","S","")</f>
        <v>S</v>
      </c>
      <c r="Z74" s="181"/>
      <c r="AA74" s="181"/>
      <c r="AB74" s="181"/>
      <c r="AC74" s="181"/>
      <c r="AD74" s="303"/>
      <c r="AE74" s="303"/>
      <c r="AF74" s="303"/>
      <c r="AG74" s="303"/>
      <c r="AH74" s="303"/>
      <c r="AI74" s="303"/>
      <c r="AJ74" s="303"/>
      <c r="AK74" s="303"/>
      <c r="AL74" s="303"/>
      <c r="AP74" s="85"/>
    </row>
    <row r="75" spans="2:42" ht="12" customHeight="1">
      <c r="B75" s="291">
        <v>10</v>
      </c>
      <c r="C75" s="290"/>
      <c r="D75" s="290"/>
      <c r="E75" s="292" t="str">
        <f>VLOOKUP(B75,'Filtered Data'!K:L,2,FALSE)</f>
        <v>Surrey Heath</v>
      </c>
      <c r="F75" s="292"/>
      <c r="G75" s="292"/>
      <c r="H75" s="292"/>
      <c r="I75" s="292"/>
      <c r="J75" s="292"/>
      <c r="K75" s="292"/>
      <c r="L75" s="292"/>
      <c r="M75" s="292"/>
      <c r="N75" s="292"/>
      <c r="O75" s="292"/>
      <c r="P75" s="292"/>
      <c r="Q75" s="292"/>
      <c r="R75" s="292"/>
      <c r="S75" s="292"/>
      <c r="T75" s="292"/>
      <c r="U75" s="298">
        <f>IF('Filtered Data'!$H$8="%.",(VLOOKUP(B75,'Filtered Data'!K:M,3,FALSE))/100,VLOOKUP(B75,'Filtered Data'!K:M,3,FALSE))</f>
        <v>324.89999999999998</v>
      </c>
      <c r="V75" s="298"/>
      <c r="W75" s="298"/>
      <c r="X75" s="298"/>
      <c r="Y75" s="181" t="str">
        <f>IF((VLOOKUP(E75,classifications!C:K,9,FALSE))="Sparse","S","")</f>
        <v/>
      </c>
      <c r="Z75" s="181"/>
      <c r="AA75" s="181"/>
      <c r="AB75" s="181"/>
      <c r="AC75" s="181"/>
      <c r="AD75" s="303"/>
      <c r="AE75" s="303"/>
      <c r="AF75" s="303"/>
      <c r="AG75" s="303"/>
      <c r="AH75" s="303"/>
      <c r="AI75" s="303"/>
      <c r="AJ75" s="303"/>
      <c r="AK75" s="303"/>
      <c r="AL75" s="303"/>
      <c r="AP75" s="85"/>
    </row>
    <row r="76" spans="2:42" ht="12" customHeight="1">
      <c r="B76" s="291">
        <v>11</v>
      </c>
      <c r="C76" s="290"/>
      <c r="D76" s="290"/>
      <c r="E76" s="292" t="str">
        <f>VLOOKUP(B76,'Filtered Data'!K:L,2,FALSE)</f>
        <v>Oxford</v>
      </c>
      <c r="F76" s="292"/>
      <c r="G76" s="292"/>
      <c r="H76" s="292"/>
      <c r="I76" s="292"/>
      <c r="J76" s="292"/>
      <c r="K76" s="292"/>
      <c r="L76" s="292"/>
      <c r="M76" s="292"/>
      <c r="N76" s="292"/>
      <c r="O76" s="292"/>
      <c r="P76" s="292"/>
      <c r="Q76" s="292"/>
      <c r="R76" s="292"/>
      <c r="S76" s="292"/>
      <c r="T76" s="292"/>
      <c r="U76" s="298">
        <f>IF('Filtered Data'!$H$8="%.",(VLOOKUP(B76,'Filtered Data'!K:M,3,FALSE))/100,VLOOKUP(B76,'Filtered Data'!K:M,3,FALSE))</f>
        <v>331.5</v>
      </c>
      <c r="V76" s="298"/>
      <c r="W76" s="298"/>
      <c r="X76" s="298"/>
      <c r="Y76" s="181" t="str">
        <f>IF((VLOOKUP(E76,classifications!C:K,9,FALSE))="Sparse","S","")</f>
        <v/>
      </c>
      <c r="Z76" s="181"/>
      <c r="AA76" s="181"/>
      <c r="AB76" s="181"/>
      <c r="AC76" s="181"/>
      <c r="AD76" s="303"/>
      <c r="AE76" s="303"/>
      <c r="AF76" s="303"/>
      <c r="AG76" s="303"/>
      <c r="AH76" s="303"/>
      <c r="AI76" s="303"/>
      <c r="AJ76" s="303"/>
      <c r="AK76" s="303"/>
      <c r="AL76" s="303"/>
      <c r="AP76" s="85"/>
    </row>
    <row r="77" spans="2:42" ht="12" customHeight="1">
      <c r="B77" s="291">
        <v>12</v>
      </c>
      <c r="C77" s="290"/>
      <c r="D77" s="290"/>
      <c r="E77" s="292" t="str">
        <f>VLOOKUP(B77,'Filtered Data'!K:L,2,FALSE)</f>
        <v>South Hams</v>
      </c>
      <c r="F77" s="292"/>
      <c r="G77" s="292"/>
      <c r="H77" s="292"/>
      <c r="I77" s="292"/>
      <c r="J77" s="292"/>
      <c r="K77" s="292"/>
      <c r="L77" s="292"/>
      <c r="M77" s="292"/>
      <c r="N77" s="292"/>
      <c r="O77" s="292"/>
      <c r="P77" s="292"/>
      <c r="Q77" s="292"/>
      <c r="R77" s="292"/>
      <c r="S77" s="292"/>
      <c r="T77" s="292"/>
      <c r="U77" s="298">
        <f>IF('Filtered Data'!$H$8="%.",(VLOOKUP(B77,'Filtered Data'!K:M,3,FALSE))/100,VLOOKUP(B77,'Filtered Data'!K:M,3,FALSE))</f>
        <v>333.9</v>
      </c>
      <c r="V77" s="298"/>
      <c r="W77" s="298"/>
      <c r="X77" s="298"/>
      <c r="Y77" s="181" t="str">
        <f>IF((VLOOKUP(E77,classifications!C:K,9,FALSE))="Sparse","S","")</f>
        <v>S</v>
      </c>
      <c r="Z77" s="181"/>
      <c r="AA77" s="181"/>
      <c r="AB77" s="181"/>
      <c r="AC77" s="181"/>
      <c r="AD77" s="303"/>
      <c r="AE77" s="303"/>
      <c r="AF77" s="303"/>
      <c r="AG77" s="303"/>
      <c r="AH77" s="303"/>
      <c r="AI77" s="303"/>
      <c r="AJ77" s="303"/>
      <c r="AK77" s="303"/>
      <c r="AL77" s="303"/>
      <c r="AP77" s="85"/>
    </row>
    <row r="78" spans="2:42" ht="12" customHeight="1">
      <c r="B78" s="291">
        <v>13</v>
      </c>
      <c r="C78" s="290"/>
      <c r="D78" s="290"/>
      <c r="E78" s="292" t="str">
        <f>VLOOKUP(B78,'Filtered Data'!K:L,2,FALSE)</f>
        <v>Maldon</v>
      </c>
      <c r="F78" s="292"/>
      <c r="G78" s="292"/>
      <c r="H78" s="292"/>
      <c r="I78" s="292"/>
      <c r="J78" s="292"/>
      <c r="K78" s="292"/>
      <c r="L78" s="292"/>
      <c r="M78" s="292"/>
      <c r="N78" s="292"/>
      <c r="O78" s="292"/>
      <c r="P78" s="292"/>
      <c r="Q78" s="292"/>
      <c r="R78" s="292"/>
      <c r="S78" s="292"/>
      <c r="T78" s="292"/>
      <c r="U78" s="298">
        <f>IF('Filtered Data'!$H$8="%.",(VLOOKUP(B78,'Filtered Data'!K:M,3,FALSE))/100,VLOOKUP(B78,'Filtered Data'!K:M,3,FALSE))</f>
        <v>336.8</v>
      </c>
      <c r="V78" s="298"/>
      <c r="W78" s="298"/>
      <c r="X78" s="298"/>
      <c r="Y78" s="181" t="str">
        <f>IF((VLOOKUP(E78,classifications!C:K,9,FALSE))="Sparse","S","")</f>
        <v/>
      </c>
      <c r="Z78" s="181"/>
      <c r="AA78" s="181"/>
      <c r="AB78" s="181"/>
      <c r="AC78" s="181"/>
      <c r="AD78" s="303"/>
      <c r="AE78" s="303"/>
      <c r="AF78" s="303"/>
      <c r="AG78" s="303"/>
      <c r="AH78" s="303"/>
      <c r="AI78" s="303"/>
      <c r="AJ78" s="303"/>
      <c r="AK78" s="303"/>
      <c r="AL78" s="303"/>
      <c r="AP78" s="85"/>
    </row>
    <row r="79" spans="2:42" ht="12" customHeight="1">
      <c r="B79" s="291">
        <v>14</v>
      </c>
      <c r="C79" s="290"/>
      <c r="D79" s="290"/>
      <c r="E79" s="292" t="str">
        <f>VLOOKUP(B79,'Filtered Data'!K:L,2,FALSE)</f>
        <v>North Hertfordshire</v>
      </c>
      <c r="F79" s="292"/>
      <c r="G79" s="292"/>
      <c r="H79" s="292"/>
      <c r="I79" s="292"/>
      <c r="J79" s="292"/>
      <c r="K79" s="292"/>
      <c r="L79" s="292"/>
      <c r="M79" s="292"/>
      <c r="N79" s="292"/>
      <c r="O79" s="292"/>
      <c r="P79" s="292"/>
      <c r="Q79" s="292"/>
      <c r="R79" s="292"/>
      <c r="S79" s="292"/>
      <c r="T79" s="292"/>
      <c r="U79" s="298">
        <f>IF('Filtered Data'!$H$8="%.",(VLOOKUP(B79,'Filtered Data'!K:M,3,FALSE))/100,VLOOKUP(B79,'Filtered Data'!K:M,3,FALSE))</f>
        <v>337.4</v>
      </c>
      <c r="V79" s="298"/>
      <c r="W79" s="298"/>
      <c r="X79" s="298"/>
      <c r="Y79" s="181" t="str">
        <f>IF((VLOOKUP(E79,classifications!C:K,9,FALSE))="Sparse","S","")</f>
        <v/>
      </c>
      <c r="Z79" s="181"/>
      <c r="AA79" s="181"/>
      <c r="AB79" s="181"/>
      <c r="AC79" s="181"/>
      <c r="AD79" s="303"/>
      <c r="AE79" s="303"/>
      <c r="AF79" s="303"/>
      <c r="AG79" s="303"/>
      <c r="AH79" s="303"/>
      <c r="AI79" s="303"/>
      <c r="AJ79" s="303"/>
      <c r="AK79" s="303"/>
      <c r="AL79" s="303"/>
      <c r="AP79" s="85"/>
    </row>
    <row r="80" spans="2:42" ht="12" customHeight="1">
      <c r="B80" s="291">
        <v>15</v>
      </c>
      <c r="C80" s="290"/>
      <c r="D80" s="290"/>
      <c r="E80" s="292" t="str">
        <f>VLOOKUP(B80,'Filtered Data'!K:L,2,FALSE)</f>
        <v>Torridge</v>
      </c>
      <c r="F80" s="292"/>
      <c r="G80" s="292"/>
      <c r="H80" s="292"/>
      <c r="I80" s="292"/>
      <c r="J80" s="292"/>
      <c r="K80" s="292"/>
      <c r="L80" s="292"/>
      <c r="M80" s="292"/>
      <c r="N80" s="292"/>
      <c r="O80" s="292"/>
      <c r="P80" s="292"/>
      <c r="Q80" s="292"/>
      <c r="R80" s="292"/>
      <c r="S80" s="292"/>
      <c r="T80" s="292"/>
      <c r="U80" s="298">
        <f>IF('Filtered Data'!$H$8="%.",(VLOOKUP(B80,'Filtered Data'!K:M,3,FALSE))/100,VLOOKUP(B80,'Filtered Data'!K:M,3,FALSE))</f>
        <v>339.2</v>
      </c>
      <c r="V80" s="298"/>
      <c r="W80" s="298"/>
      <c r="X80" s="298"/>
      <c r="Y80" s="181" t="str">
        <f>IF((VLOOKUP(E80,classifications!C:K,9,FALSE))="Sparse","S","")</f>
        <v>S</v>
      </c>
      <c r="Z80" s="181"/>
      <c r="AA80" s="181"/>
      <c r="AB80" s="181"/>
      <c r="AC80" s="181"/>
      <c r="AD80" s="303"/>
      <c r="AE80" s="303"/>
      <c r="AF80" s="303"/>
      <c r="AG80" s="303"/>
      <c r="AH80" s="303"/>
      <c r="AI80" s="303"/>
      <c r="AJ80" s="303"/>
      <c r="AK80" s="303"/>
      <c r="AL80" s="303"/>
      <c r="AP80" s="85"/>
    </row>
    <row r="81" spans="1:48" ht="12" customHeight="1">
      <c r="B81" s="291">
        <v>16</v>
      </c>
      <c r="C81" s="290"/>
      <c r="D81" s="290"/>
      <c r="E81" s="292" t="str">
        <f>VLOOKUP(B81,'Filtered Data'!K:L,2,FALSE)</f>
        <v>Teignbridge</v>
      </c>
      <c r="F81" s="292"/>
      <c r="G81" s="292"/>
      <c r="H81" s="292"/>
      <c r="I81" s="292"/>
      <c r="J81" s="292"/>
      <c r="K81" s="292"/>
      <c r="L81" s="292"/>
      <c r="M81" s="292"/>
      <c r="N81" s="292"/>
      <c r="O81" s="292"/>
      <c r="P81" s="292"/>
      <c r="Q81" s="292"/>
      <c r="R81" s="292"/>
      <c r="S81" s="292"/>
      <c r="T81" s="292"/>
      <c r="U81" s="298">
        <f>IF('Filtered Data'!$H$8="%.",(VLOOKUP(B81,'Filtered Data'!K:M,3,FALSE))/100,VLOOKUP(B81,'Filtered Data'!K:M,3,FALSE))</f>
        <v>341.5</v>
      </c>
      <c r="V81" s="298"/>
      <c r="W81" s="298"/>
      <c r="X81" s="298"/>
      <c r="Y81" s="181" t="str">
        <f>IF((VLOOKUP(E81,classifications!C:K,9,FALSE))="Sparse","S","")</f>
        <v>S</v>
      </c>
      <c r="Z81" s="181"/>
      <c r="AA81" s="181"/>
      <c r="AB81" s="181"/>
      <c r="AC81" s="181"/>
      <c r="AD81" s="303"/>
      <c r="AE81" s="303"/>
      <c r="AF81" s="303"/>
      <c r="AG81" s="303"/>
      <c r="AH81" s="303"/>
      <c r="AI81" s="303"/>
      <c r="AJ81" s="303"/>
      <c r="AK81" s="303"/>
      <c r="AL81" s="303"/>
      <c r="AP81" s="85"/>
    </row>
    <row r="82" spans="1:48" ht="12" customHeight="1">
      <c r="B82" s="291">
        <v>17</v>
      </c>
      <c r="C82" s="290"/>
      <c r="D82" s="290"/>
      <c r="E82" s="292" t="str">
        <f>VLOOKUP(B82,'Filtered Data'!K:L,2,FALSE)</f>
        <v>Rochford</v>
      </c>
      <c r="F82" s="292"/>
      <c r="G82" s="292"/>
      <c r="H82" s="292"/>
      <c r="I82" s="292"/>
      <c r="J82" s="292"/>
      <c r="K82" s="292"/>
      <c r="L82" s="292"/>
      <c r="M82" s="292"/>
      <c r="N82" s="292"/>
      <c r="O82" s="292"/>
      <c r="P82" s="292"/>
      <c r="Q82" s="292"/>
      <c r="R82" s="292"/>
      <c r="S82" s="292"/>
      <c r="T82" s="292"/>
      <c r="U82" s="298">
        <f>IF('Filtered Data'!$H$8="%.",(VLOOKUP(B82,'Filtered Data'!K:M,3,FALSE))/100,VLOOKUP(B82,'Filtered Data'!K:M,3,FALSE))</f>
        <v>345</v>
      </c>
      <c r="V82" s="298"/>
      <c r="W82" s="298"/>
      <c r="X82" s="298"/>
      <c r="Y82" s="181" t="str">
        <f>IF((VLOOKUP(E82,classifications!C:K,9,FALSE))="Sparse","S","")</f>
        <v/>
      </c>
      <c r="Z82" s="181"/>
      <c r="AA82" s="181"/>
      <c r="AB82" s="181"/>
      <c r="AC82" s="181"/>
      <c r="AD82" s="303"/>
      <c r="AE82" s="303"/>
      <c r="AF82" s="303"/>
      <c r="AG82" s="303"/>
      <c r="AH82" s="303"/>
      <c r="AI82" s="303"/>
      <c r="AJ82" s="303"/>
      <c r="AK82" s="303"/>
      <c r="AL82" s="303"/>
      <c r="AP82" s="85"/>
    </row>
    <row r="83" spans="1:48" ht="12" customHeight="1">
      <c r="B83" s="291">
        <v>18</v>
      </c>
      <c r="C83" s="290"/>
      <c r="D83" s="290"/>
      <c r="E83" s="292" t="str">
        <f>VLOOKUP(B83,'Filtered Data'!K:L,2,FALSE)</f>
        <v>Ashford</v>
      </c>
      <c r="F83" s="292"/>
      <c r="G83" s="292"/>
      <c r="H83" s="292"/>
      <c r="I83" s="292"/>
      <c r="J83" s="292"/>
      <c r="K83" s="292"/>
      <c r="L83" s="292"/>
      <c r="M83" s="292"/>
      <c r="N83" s="292"/>
      <c r="O83" s="292"/>
      <c r="P83" s="292"/>
      <c r="Q83" s="292"/>
      <c r="R83" s="292"/>
      <c r="S83" s="292"/>
      <c r="T83" s="292"/>
      <c r="U83" s="298">
        <f>IF('Filtered Data'!$H$8="%.",(VLOOKUP(B83,'Filtered Data'!K:M,3,FALSE))/100,VLOOKUP(B83,'Filtered Data'!K:M,3,FALSE))</f>
        <v>352.2</v>
      </c>
      <c r="V83" s="298"/>
      <c r="W83" s="298"/>
      <c r="X83" s="298"/>
      <c r="Y83" s="181" t="str">
        <f>IF((VLOOKUP(E83,classifications!C:K,9,FALSE))="Sparse","S","")</f>
        <v>S</v>
      </c>
      <c r="Z83" s="181"/>
      <c r="AA83" s="181"/>
      <c r="AB83" s="181"/>
      <c r="AC83" s="181"/>
      <c r="AD83" s="303"/>
      <c r="AE83" s="303"/>
      <c r="AF83" s="303"/>
      <c r="AG83" s="303"/>
      <c r="AH83" s="303"/>
      <c r="AI83" s="303"/>
      <c r="AJ83" s="303"/>
      <c r="AK83" s="303"/>
      <c r="AL83" s="303"/>
      <c r="AP83" s="85"/>
    </row>
    <row r="84" spans="1:48" ht="12" customHeight="1">
      <c r="B84" s="291">
        <v>19</v>
      </c>
      <c r="C84" s="290"/>
      <c r="D84" s="290"/>
      <c r="E84" s="292" t="str">
        <f>VLOOKUP(B84,'Filtered Data'!K:L,2,FALSE)</f>
        <v>Guildford</v>
      </c>
      <c r="F84" s="292"/>
      <c r="G84" s="292"/>
      <c r="H84" s="292"/>
      <c r="I84" s="292"/>
      <c r="J84" s="292"/>
      <c r="K84" s="292"/>
      <c r="L84" s="292"/>
      <c r="M84" s="292"/>
      <c r="N84" s="292"/>
      <c r="O84" s="292"/>
      <c r="P84" s="292"/>
      <c r="Q84" s="292"/>
      <c r="R84" s="292"/>
      <c r="S84" s="292"/>
      <c r="T84" s="292"/>
      <c r="U84" s="298">
        <f>IF('Filtered Data'!$H$8="%.",(VLOOKUP(B84,'Filtered Data'!K:M,3,FALSE))/100,VLOOKUP(B84,'Filtered Data'!K:M,3,FALSE))</f>
        <v>355.6</v>
      </c>
      <c r="V84" s="298"/>
      <c r="W84" s="298"/>
      <c r="X84" s="298"/>
      <c r="Y84" s="181" t="str">
        <f>IF((VLOOKUP(E84,classifications!C:K,9,FALSE))="Sparse","S","")</f>
        <v/>
      </c>
      <c r="Z84" s="181"/>
      <c r="AA84" s="181"/>
      <c r="AB84" s="181"/>
      <c r="AC84" s="181"/>
      <c r="AD84" s="303"/>
      <c r="AE84" s="303"/>
      <c r="AF84" s="303"/>
      <c r="AG84" s="303"/>
      <c r="AH84" s="303"/>
      <c r="AI84" s="303"/>
      <c r="AJ84" s="303"/>
      <c r="AK84" s="303"/>
      <c r="AL84" s="303"/>
      <c r="AP84" s="85"/>
    </row>
    <row r="85" spans="1:48" ht="12" customHeight="1">
      <c r="B85" s="291">
        <v>20</v>
      </c>
      <c r="C85" s="291"/>
      <c r="D85" s="291"/>
      <c r="E85" s="292" t="str">
        <f>VLOOKUP(B85,'Filtered Data'!K:L,2,FALSE)</f>
        <v>Dover</v>
      </c>
      <c r="F85" s="292"/>
      <c r="G85" s="292"/>
      <c r="H85" s="292"/>
      <c r="I85" s="292"/>
      <c r="J85" s="292"/>
      <c r="K85" s="292"/>
      <c r="L85" s="292"/>
      <c r="M85" s="292"/>
      <c r="N85" s="292"/>
      <c r="O85" s="292"/>
      <c r="P85" s="292"/>
      <c r="Q85" s="292"/>
      <c r="R85" s="292"/>
      <c r="S85" s="292"/>
      <c r="T85" s="292"/>
      <c r="U85" s="298">
        <f>IF('Filtered Data'!$H$8="%.",(VLOOKUP(B85,'Filtered Data'!K:M,3,FALSE))/100,VLOOKUP(B85,'Filtered Data'!K:M,3,FALSE))</f>
        <v>356.5</v>
      </c>
      <c r="V85" s="298"/>
      <c r="W85" s="298"/>
      <c r="X85" s="298"/>
      <c r="Y85" s="181" t="str">
        <f>IF((VLOOKUP(E85,classifications!C:K,9,FALSE))="Sparse","S","")</f>
        <v/>
      </c>
      <c r="Z85" s="181"/>
      <c r="AA85" s="181"/>
      <c r="AB85" s="181"/>
      <c r="AC85" s="181"/>
      <c r="AD85" s="303"/>
      <c r="AE85" s="303"/>
      <c r="AF85" s="303"/>
      <c r="AG85" s="303"/>
      <c r="AH85" s="303"/>
      <c r="AI85" s="303"/>
      <c r="AJ85" s="303"/>
      <c r="AK85" s="303"/>
      <c r="AL85" s="303"/>
      <c r="AP85" s="85"/>
    </row>
    <row r="86" spans="1:48" ht="12" customHeight="1">
      <c r="A86" s="80"/>
      <c r="B86" s="301">
        <f>IF(Q37&lt;=MAX(B66:D85),"",Q37)</f>
        <v>156</v>
      </c>
      <c r="C86" s="301"/>
      <c r="D86" s="301"/>
      <c r="E86" s="286" t="str">
        <f>IF(B86="","",VLOOKUP(B86,'Filtered Data'!K:L,2,FALSE))</f>
        <v>Allerdale</v>
      </c>
      <c r="F86" s="286"/>
      <c r="G86" s="286"/>
      <c r="H86" s="286"/>
      <c r="I86" s="286"/>
      <c r="J86" s="286"/>
      <c r="K86" s="286"/>
      <c r="L86" s="286"/>
      <c r="M86" s="286"/>
      <c r="N86" s="286"/>
      <c r="O86" s="286"/>
      <c r="P86" s="286"/>
      <c r="Q86" s="286"/>
      <c r="R86" s="286"/>
      <c r="S86" s="286"/>
      <c r="T86" s="286"/>
      <c r="U86" s="362">
        <f>IF(B86="","",L35)</f>
        <v>522.1</v>
      </c>
      <c r="V86" s="362"/>
      <c r="W86" s="362"/>
      <c r="X86" s="362"/>
      <c r="Y86" s="181" t="str">
        <f>IF(B86="","",IF((VLOOKUP(E86,classifications!C:K,9,FALSE))="Sparse","S",""))</f>
        <v>S</v>
      </c>
      <c r="Z86" s="181"/>
      <c r="AA86" s="181"/>
      <c r="AB86" s="181"/>
      <c r="AC86" s="181"/>
      <c r="AD86" s="363"/>
      <c r="AE86" s="363"/>
      <c r="AF86" s="363"/>
      <c r="AG86" s="363"/>
      <c r="AH86" s="363"/>
      <c r="AI86" s="363"/>
      <c r="AJ86" s="363"/>
      <c r="AK86" s="363"/>
      <c r="AL86" s="363"/>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s="1" t="str">
        <f>IF('Filtered Data'!D1="UA",J9,J10)</f>
        <v>Cumbria</v>
      </c>
      <c r="U89" s="1"/>
      <c r="AD89" s="1"/>
      <c r="AP89" s="85"/>
    </row>
    <row r="90" spans="1:48" ht="12" customHeight="1">
      <c r="B90" s="1"/>
      <c r="AP90" s="85"/>
    </row>
    <row r="91" spans="1:48" ht="12" customHeight="1">
      <c r="B91" s="294" t="str">
        <f>IF('Filtered Data'!D1="MD","",IF('Filtered Data'!D1="SC","","Rank"))</f>
        <v>Rank</v>
      </c>
      <c r="C91" s="294"/>
      <c r="D91" s="294"/>
      <c r="E91" s="321" t="str">
        <f>IF('Filtered Data'!D1="MD","",IF('Filtered Data'!D1="SC","","Authority"))</f>
        <v>Authority</v>
      </c>
      <c r="F91" s="321"/>
      <c r="G91" s="321"/>
      <c r="H91" s="321"/>
      <c r="I91" s="321"/>
      <c r="J91" s="321"/>
      <c r="K91" s="321"/>
      <c r="L91" s="321"/>
      <c r="M91" s="321"/>
      <c r="N91" s="321"/>
      <c r="O91" s="281"/>
      <c r="P91" s="281"/>
      <c r="Q91" s="281"/>
      <c r="R91" s="281"/>
      <c r="S91" s="281"/>
      <c r="T91" s="281"/>
      <c r="U91" s="294" t="str">
        <f>IF('Filtered Data'!D1="MD","",IF('Filtered Data'!D1="SC","","Value"))</f>
        <v>Value</v>
      </c>
      <c r="V91" s="294"/>
      <c r="W91" s="294"/>
      <c r="AA91" s="294"/>
      <c r="AB91" s="294"/>
      <c r="AC91" s="294"/>
      <c r="AD91" s="321"/>
      <c r="AE91" s="321"/>
      <c r="AF91" s="321"/>
      <c r="AG91" s="321"/>
      <c r="AH91" s="321"/>
      <c r="AI91" s="321"/>
      <c r="AJ91" s="321"/>
      <c r="AK91" s="321"/>
      <c r="AL91" s="321"/>
      <c r="AM91" s="321"/>
      <c r="AN91" s="294"/>
      <c r="AO91" s="294"/>
      <c r="AP91" s="294"/>
      <c r="AV91" s="85"/>
    </row>
    <row r="92" spans="1:48" ht="12" customHeight="1">
      <c r="B92" s="289">
        <f>IF('Filtered Data'!$D$1="MD","",IF('Filtered Data'!$D$1="SC","",IF('Filtered Data'!$D$1="UA",'Filtered Data'!AS11,'Filtered Data'!AL11)))</f>
        <v>1</v>
      </c>
      <c r="C92" s="290"/>
      <c r="D92" s="290"/>
      <c r="E92" s="286" t="str">
        <f>IF(B92="","",IF('Filtered Data'!$D$1="UA",VLOOKUP(B92,'Filtered Data'!AS:AU,2,FALSE),VLOOKUP(B92,'Filtered Data'!AL:AN,2,FALSE)))</f>
        <v>Eden</v>
      </c>
      <c r="F92" s="286"/>
      <c r="G92" s="286"/>
      <c r="H92" s="286"/>
      <c r="I92" s="286"/>
      <c r="J92" s="286"/>
      <c r="K92" s="286"/>
      <c r="L92" s="286"/>
      <c r="M92" s="286"/>
      <c r="N92" s="286"/>
      <c r="O92" s="286"/>
      <c r="P92" s="286"/>
      <c r="Q92" s="286"/>
      <c r="R92" s="286"/>
      <c r="S92" s="286"/>
      <c r="T92" s="286"/>
      <c r="U92" s="29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438.1</v>
      </c>
      <c r="V92" s="298"/>
      <c r="W92" s="298"/>
      <c r="X92" s="298"/>
      <c r="Y92" s="182" t="str">
        <f>IF(E92="","",IF((VLOOKUP(E92,classifications!C:K,9,FALSE))="Sparse","S",""))</f>
        <v>S</v>
      </c>
      <c r="AA92" s="289"/>
      <c r="AB92" s="290"/>
      <c r="AC92" s="290"/>
      <c r="AD92" s="292"/>
      <c r="AE92" s="292"/>
      <c r="AF92" s="292"/>
      <c r="AG92" s="292"/>
      <c r="AH92" s="292"/>
      <c r="AI92" s="292"/>
      <c r="AJ92" s="292"/>
      <c r="AK92" s="292"/>
      <c r="AL92" s="292"/>
      <c r="AM92" s="292"/>
      <c r="AN92" s="295"/>
      <c r="AO92" s="295"/>
      <c r="AP92" s="295"/>
      <c r="AQ92" s="295"/>
      <c r="AR92" s="182"/>
      <c r="AV92" s="85"/>
    </row>
    <row r="93" spans="1:48" ht="12" customHeight="1">
      <c r="B93" s="289">
        <f>IF('Filtered Data'!$D$1="MD","",IF('Filtered Data'!$D$1="SC","",IF('Filtered Data'!$D$1="UA",'Filtered Data'!AS12,'Filtered Data'!AL12)))</f>
        <v>2</v>
      </c>
      <c r="C93" s="290"/>
      <c r="D93" s="290"/>
      <c r="E93" s="286" t="str">
        <f>IF(B93="","",IF('Filtered Data'!$D$1="UA",VLOOKUP(B93,'Filtered Data'!AS:AU,2,FALSE),VLOOKUP(B93,'Filtered Data'!AL:AN,2,FALSE)))</f>
        <v>South Lakeland</v>
      </c>
      <c r="F93" s="286"/>
      <c r="G93" s="286"/>
      <c r="H93" s="286"/>
      <c r="I93" s="286"/>
      <c r="J93" s="286"/>
      <c r="K93" s="286"/>
      <c r="L93" s="286"/>
      <c r="M93" s="286"/>
      <c r="N93" s="286"/>
      <c r="O93" s="286"/>
      <c r="P93" s="286"/>
      <c r="Q93" s="286"/>
      <c r="R93" s="286"/>
      <c r="S93" s="286"/>
      <c r="T93" s="286"/>
      <c r="U93" s="29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460.6</v>
      </c>
      <c r="V93" s="298"/>
      <c r="W93" s="298"/>
      <c r="X93" s="298"/>
      <c r="Y93" s="182" t="str">
        <f>IF(E93="","",IF((VLOOKUP(E93,classifications!C:K,9,FALSE))="Sparse","S",""))</f>
        <v>S</v>
      </c>
      <c r="AA93" s="289"/>
      <c r="AB93" s="290"/>
      <c r="AC93" s="290"/>
      <c r="AD93" s="292"/>
      <c r="AE93" s="292"/>
      <c r="AF93" s="292"/>
      <c r="AG93" s="292"/>
      <c r="AH93" s="292"/>
      <c r="AI93" s="292"/>
      <c r="AJ93" s="292"/>
      <c r="AK93" s="292"/>
      <c r="AL93" s="292"/>
      <c r="AM93" s="292"/>
      <c r="AN93" s="295"/>
      <c r="AO93" s="295"/>
      <c r="AP93" s="295"/>
      <c r="AQ93" s="295"/>
      <c r="AR93" s="182"/>
      <c r="AV93" s="85"/>
    </row>
    <row r="94" spans="1:48" ht="12" customHeight="1">
      <c r="B94" s="289">
        <f>IF('Filtered Data'!$D$1="MD","",IF('Filtered Data'!$D$1="SC","",IF('Filtered Data'!$D$1="UA",'Filtered Data'!AS13,'Filtered Data'!AL13)))</f>
        <v>3</v>
      </c>
      <c r="C94" s="290"/>
      <c r="D94" s="290"/>
      <c r="E94" s="286" t="str">
        <f>IF(B94="","",IF('Filtered Data'!$D$1="UA",VLOOKUP(B94,'Filtered Data'!AS:AU,2,FALSE),VLOOKUP(B94,'Filtered Data'!AL:AN,2,FALSE)))</f>
        <v>Carlisle</v>
      </c>
      <c r="F94" s="286"/>
      <c r="G94" s="286"/>
      <c r="H94" s="286"/>
      <c r="I94" s="286"/>
      <c r="J94" s="286"/>
      <c r="K94" s="286"/>
      <c r="L94" s="286"/>
      <c r="M94" s="286"/>
      <c r="N94" s="286"/>
      <c r="O94" s="286"/>
      <c r="P94" s="286"/>
      <c r="Q94" s="286"/>
      <c r="R94" s="286"/>
      <c r="S94" s="286"/>
      <c r="T94" s="286"/>
      <c r="U94" s="29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474.4</v>
      </c>
      <c r="V94" s="298"/>
      <c r="W94" s="298"/>
      <c r="X94" s="298"/>
      <c r="Y94" s="182" t="str">
        <f>IF(E94="","",IF((VLOOKUP(E94,classifications!C:K,9,FALSE))="Sparse","S",""))</f>
        <v/>
      </c>
      <c r="AA94" s="289"/>
      <c r="AB94" s="290"/>
      <c r="AC94" s="290"/>
      <c r="AD94" s="292"/>
      <c r="AE94" s="292"/>
      <c r="AF94" s="292"/>
      <c r="AG94" s="292"/>
      <c r="AH94" s="292"/>
      <c r="AI94" s="292"/>
      <c r="AJ94" s="292"/>
      <c r="AK94" s="292"/>
      <c r="AL94" s="292"/>
      <c r="AM94" s="292"/>
      <c r="AN94" s="295"/>
      <c r="AO94" s="295"/>
      <c r="AP94" s="295"/>
      <c r="AQ94" s="295"/>
      <c r="AR94" s="182"/>
      <c r="AV94" s="85"/>
    </row>
    <row r="95" spans="1:48" ht="12" customHeight="1">
      <c r="B95" s="289">
        <f>IF('Filtered Data'!$D$1="MD","",IF('Filtered Data'!$D$1="SC","",IF('Filtered Data'!$D$1="UA",'Filtered Data'!AS14,'Filtered Data'!AL14)))</f>
        <v>4</v>
      </c>
      <c r="C95" s="290"/>
      <c r="D95" s="290"/>
      <c r="E95" s="286" t="str">
        <f>IF(B95="","",IF('Filtered Data'!$D$1="UA",VLOOKUP(B95,'Filtered Data'!AS:AU,2,FALSE),VLOOKUP(B95,'Filtered Data'!AL:AN,2,FALSE)))</f>
        <v>Copeland</v>
      </c>
      <c r="F95" s="286"/>
      <c r="G95" s="286"/>
      <c r="H95" s="286"/>
      <c r="I95" s="286"/>
      <c r="J95" s="286"/>
      <c r="K95" s="286"/>
      <c r="L95" s="286"/>
      <c r="M95" s="286"/>
      <c r="N95" s="286"/>
      <c r="O95" s="286"/>
      <c r="P95" s="286"/>
      <c r="Q95" s="286"/>
      <c r="R95" s="286"/>
      <c r="S95" s="286"/>
      <c r="T95" s="286"/>
      <c r="U95" s="29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483.2</v>
      </c>
      <c r="V95" s="298"/>
      <c r="W95" s="298"/>
      <c r="X95" s="298"/>
      <c r="Y95" s="182" t="str">
        <f>IF(E95="","",IF((VLOOKUP(E95,classifications!C:K,9,FALSE))="Sparse","S",""))</f>
        <v>S</v>
      </c>
      <c r="AA95" s="289"/>
      <c r="AB95" s="290"/>
      <c r="AC95" s="290"/>
      <c r="AD95" s="292"/>
      <c r="AE95" s="292"/>
      <c r="AF95" s="292"/>
      <c r="AG95" s="292"/>
      <c r="AH95" s="292"/>
      <c r="AI95" s="292"/>
      <c r="AJ95" s="292"/>
      <c r="AK95" s="292"/>
      <c r="AL95" s="292"/>
      <c r="AM95" s="292"/>
      <c r="AN95" s="295"/>
      <c r="AO95" s="295"/>
      <c r="AP95" s="295"/>
      <c r="AQ95" s="295"/>
      <c r="AR95" s="182"/>
      <c r="AV95" s="85"/>
    </row>
    <row r="96" spans="1:48" ht="12" customHeight="1">
      <c r="B96" s="289">
        <f>IF('Filtered Data'!$D$1="MD","",IF('Filtered Data'!$D$1="SC","",IF('Filtered Data'!$D$1="UA",'Filtered Data'!AS15,'Filtered Data'!AL15)))</f>
        <v>5</v>
      </c>
      <c r="C96" s="290"/>
      <c r="D96" s="290"/>
      <c r="E96" s="286" t="str">
        <f>IF(B96="","",IF('Filtered Data'!$D$1="UA",VLOOKUP(B96,'Filtered Data'!AS:AU,2,FALSE),VLOOKUP(B96,'Filtered Data'!AL:AN,2,FALSE)))</f>
        <v>Allerdale</v>
      </c>
      <c r="F96" s="286"/>
      <c r="G96" s="286"/>
      <c r="H96" s="286"/>
      <c r="I96" s="286"/>
      <c r="J96" s="286"/>
      <c r="K96" s="286"/>
      <c r="L96" s="286"/>
      <c r="M96" s="286"/>
      <c r="N96" s="286"/>
      <c r="O96" s="286"/>
      <c r="P96" s="286"/>
      <c r="Q96" s="286"/>
      <c r="R96" s="286"/>
      <c r="S96" s="286"/>
      <c r="T96" s="286"/>
      <c r="U96" s="29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522.1</v>
      </c>
      <c r="V96" s="298"/>
      <c r="W96" s="298"/>
      <c r="X96" s="298"/>
      <c r="Y96" s="182" t="str">
        <f>IF(E96="","",IF((VLOOKUP(E96,classifications!C:K,9,FALSE))="Sparse","S",""))</f>
        <v>S</v>
      </c>
      <c r="AA96" s="289"/>
      <c r="AB96" s="290"/>
      <c r="AC96" s="290"/>
      <c r="AD96" s="292"/>
      <c r="AE96" s="292"/>
      <c r="AF96" s="292"/>
      <c r="AG96" s="292"/>
      <c r="AH96" s="292"/>
      <c r="AI96" s="292"/>
      <c r="AJ96" s="292"/>
      <c r="AK96" s="292"/>
      <c r="AL96" s="292"/>
      <c r="AM96" s="292"/>
      <c r="AN96" s="295"/>
      <c r="AO96" s="295"/>
      <c r="AP96" s="295"/>
      <c r="AQ96" s="295"/>
      <c r="AR96" s="182"/>
      <c r="AV96" s="85"/>
    </row>
    <row r="97" spans="2:48" ht="12" customHeight="1">
      <c r="B97" s="289">
        <f>IF('Filtered Data'!$D$1="MD","",IF('Filtered Data'!$D$1="SC","",IF('Filtered Data'!$D$1="UA",'Filtered Data'!AS16,'Filtered Data'!AL16)))</f>
        <v>6</v>
      </c>
      <c r="C97" s="290"/>
      <c r="D97" s="290"/>
      <c r="E97" s="286" t="str">
        <f>IF(B97="","",IF('Filtered Data'!$D$1="UA",VLOOKUP(B97,'Filtered Data'!AS:AU,2,FALSE),VLOOKUP(B97,'Filtered Data'!AL:AN,2,FALSE)))</f>
        <v>Barrow-in-Furness</v>
      </c>
      <c r="F97" s="286"/>
      <c r="G97" s="286"/>
      <c r="H97" s="286"/>
      <c r="I97" s="286"/>
      <c r="J97" s="286"/>
      <c r="K97" s="286"/>
      <c r="L97" s="286"/>
      <c r="M97" s="286"/>
      <c r="N97" s="286"/>
      <c r="O97" s="286"/>
      <c r="P97" s="286"/>
      <c r="Q97" s="286"/>
      <c r="R97" s="286"/>
      <c r="S97" s="286"/>
      <c r="T97" s="286"/>
      <c r="U97" s="29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570.9</v>
      </c>
      <c r="V97" s="298"/>
      <c r="W97" s="298"/>
      <c r="X97" s="298"/>
      <c r="Y97" s="182" t="str">
        <f>IF(E97="","",IF((VLOOKUP(E97,classifications!C:K,9,FALSE))="Sparse","S",""))</f>
        <v/>
      </c>
      <c r="AA97" s="289"/>
      <c r="AB97" s="290"/>
      <c r="AC97" s="290"/>
      <c r="AD97" s="292"/>
      <c r="AE97" s="292"/>
      <c r="AF97" s="292"/>
      <c r="AG97" s="292"/>
      <c r="AH97" s="292"/>
      <c r="AI97" s="292"/>
      <c r="AJ97" s="292"/>
      <c r="AK97" s="292"/>
      <c r="AL97" s="292"/>
      <c r="AM97" s="292"/>
      <c r="AN97" s="295"/>
      <c r="AO97" s="295"/>
      <c r="AP97" s="295"/>
      <c r="AQ97" s="295"/>
      <c r="AR97" s="182"/>
      <c r="AV97" s="85"/>
    </row>
    <row r="98" spans="2:48" ht="12" customHeight="1">
      <c r="B98" s="289" t="str">
        <f>IF('Filtered Data'!$D$1="MD","",IF('Filtered Data'!$D$1="SC","",IF('Filtered Data'!$D$1="UA",'Filtered Data'!AS17,'Filtered Data'!AL17)))</f>
        <v/>
      </c>
      <c r="C98" s="290"/>
      <c r="D98" s="290"/>
      <c r="E98" s="286" t="str">
        <f>IF(B98="","",IF('Filtered Data'!$D$1="UA",VLOOKUP(B98,'Filtered Data'!AS:AU,2,FALSE),VLOOKUP(B98,'Filtered Data'!AL:AN,2,FALSE)))</f>
        <v/>
      </c>
      <c r="F98" s="286"/>
      <c r="G98" s="286"/>
      <c r="H98" s="286"/>
      <c r="I98" s="286"/>
      <c r="J98" s="286"/>
      <c r="K98" s="286"/>
      <c r="L98" s="286"/>
      <c r="M98" s="286"/>
      <c r="N98" s="286"/>
      <c r="O98" s="286"/>
      <c r="P98" s="286"/>
      <c r="Q98" s="286"/>
      <c r="R98" s="286"/>
      <c r="S98" s="286"/>
      <c r="T98" s="286"/>
      <c r="U98" s="29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8"/>
      <c r="W98" s="298"/>
      <c r="X98" s="298"/>
      <c r="Y98" s="182" t="str">
        <f>IF(E98="","",IF((VLOOKUP(E98,classifications!C:K,9,FALSE))="Sparse","S",""))</f>
        <v/>
      </c>
      <c r="AA98" s="289"/>
      <c r="AB98" s="290"/>
      <c r="AC98" s="290"/>
      <c r="AD98" s="292"/>
      <c r="AE98" s="292"/>
      <c r="AF98" s="292"/>
      <c r="AG98" s="292"/>
      <c r="AH98" s="292"/>
      <c r="AI98" s="292"/>
      <c r="AJ98" s="292"/>
      <c r="AK98" s="292"/>
      <c r="AL98" s="292"/>
      <c r="AM98" s="292"/>
      <c r="AN98" s="295"/>
      <c r="AO98" s="295"/>
      <c r="AP98" s="295"/>
      <c r="AQ98" s="295"/>
      <c r="AR98" s="182"/>
      <c r="AV98" s="85"/>
    </row>
    <row r="99" spans="2:48" ht="12" customHeight="1">
      <c r="B99" s="289" t="str">
        <f>IF('Filtered Data'!$D$1="MD","",IF('Filtered Data'!$D$1="SC","",IF('Filtered Data'!$D$1="UA",'Filtered Data'!AS18,'Filtered Data'!AL18)))</f>
        <v/>
      </c>
      <c r="C99" s="290"/>
      <c r="D99" s="290"/>
      <c r="E99" s="286" t="str">
        <f>IF(B99="","",IF('Filtered Data'!$D$1="UA",VLOOKUP(B99,'Filtered Data'!AS:AU,2,FALSE),VLOOKUP(B99,'Filtered Data'!AL:AN,2,FALSE)))</f>
        <v/>
      </c>
      <c r="F99" s="286"/>
      <c r="G99" s="286"/>
      <c r="H99" s="286"/>
      <c r="I99" s="286"/>
      <c r="J99" s="286"/>
      <c r="K99" s="286"/>
      <c r="L99" s="286"/>
      <c r="M99" s="286"/>
      <c r="N99" s="286"/>
      <c r="O99" s="286"/>
      <c r="P99" s="286"/>
      <c r="Q99" s="286"/>
      <c r="R99" s="286"/>
      <c r="S99" s="286"/>
      <c r="T99" s="286"/>
      <c r="U99" s="29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8"/>
      <c r="W99" s="298"/>
      <c r="X99" s="298"/>
      <c r="Y99" s="182" t="str">
        <f>IF(E99="","",IF((VLOOKUP(E99,classifications!C:K,9,FALSE))="Sparse","S",""))</f>
        <v/>
      </c>
      <c r="AA99" s="289"/>
      <c r="AB99" s="290"/>
      <c r="AC99" s="290"/>
      <c r="AD99" s="292"/>
      <c r="AE99" s="292"/>
      <c r="AF99" s="292"/>
      <c r="AG99" s="292"/>
      <c r="AH99" s="292"/>
      <c r="AI99" s="292"/>
      <c r="AJ99" s="292"/>
      <c r="AK99" s="292"/>
      <c r="AL99" s="292"/>
      <c r="AM99" s="292"/>
      <c r="AN99" s="295"/>
      <c r="AO99" s="295"/>
      <c r="AP99" s="295"/>
      <c r="AQ99" s="295"/>
      <c r="AR99" s="182"/>
      <c r="AV99" s="85"/>
    </row>
    <row r="100" spans="2:48" ht="12" customHeight="1">
      <c r="B100" s="289" t="str">
        <f>IF('Filtered Data'!$D$1="MD","",IF('Filtered Data'!$D$1="SC","",IF('Filtered Data'!$D$1="UA",'Filtered Data'!AS19,'Filtered Data'!AL19)))</f>
        <v/>
      </c>
      <c r="C100" s="290"/>
      <c r="D100" s="290"/>
      <c r="E100" s="286" t="str">
        <f>IF(B100="","",IF('Filtered Data'!$D$1="UA",VLOOKUP(B100,'Filtered Data'!AS:AU,2,FALSE),VLOOKUP(B100,'Filtered Data'!AL:AN,2,FALSE)))</f>
        <v/>
      </c>
      <c r="F100" s="286"/>
      <c r="G100" s="286"/>
      <c r="H100" s="286"/>
      <c r="I100" s="286"/>
      <c r="J100" s="286"/>
      <c r="K100" s="286"/>
      <c r="L100" s="286"/>
      <c r="M100" s="286"/>
      <c r="N100" s="286"/>
      <c r="O100" s="286"/>
      <c r="P100" s="286"/>
      <c r="Q100" s="286"/>
      <c r="R100" s="286"/>
      <c r="S100" s="286"/>
      <c r="T100" s="286"/>
      <c r="U100" s="29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8"/>
      <c r="W100" s="298"/>
      <c r="X100" s="298"/>
      <c r="Y100" s="182" t="str">
        <f>IF(E100="","",IF((VLOOKUP(E100,classifications!C:K,9,FALSE))="Sparse","S",""))</f>
        <v/>
      </c>
      <c r="AA100" s="289"/>
      <c r="AB100" s="290"/>
      <c r="AC100" s="290"/>
      <c r="AD100" s="292"/>
      <c r="AE100" s="292"/>
      <c r="AF100" s="292"/>
      <c r="AG100" s="292"/>
      <c r="AH100" s="292"/>
      <c r="AI100" s="292"/>
      <c r="AJ100" s="292"/>
      <c r="AK100" s="292"/>
      <c r="AL100" s="292"/>
      <c r="AM100" s="292"/>
      <c r="AN100" s="295"/>
      <c r="AO100" s="295"/>
      <c r="AP100" s="295"/>
      <c r="AQ100" s="295"/>
      <c r="AR100" s="182"/>
      <c r="AV100" s="85"/>
    </row>
    <row r="101" spans="2:48" ht="12" customHeight="1">
      <c r="B101" s="289" t="str">
        <f>IF('Filtered Data'!$D$1="MD","",IF('Filtered Data'!$D$1="SC","",IF('Filtered Data'!$D$1="UA",'Filtered Data'!AS20,'Filtered Data'!AL20)))</f>
        <v/>
      </c>
      <c r="C101" s="290"/>
      <c r="D101" s="290"/>
      <c r="E101" s="286" t="str">
        <f>IF(B101="","",IF('Filtered Data'!$D$1="UA",VLOOKUP(B101,'Filtered Data'!AS:AU,2,FALSE),VLOOKUP(B101,'Filtered Data'!AL:AN,2,FALSE)))</f>
        <v/>
      </c>
      <c r="F101" s="286"/>
      <c r="G101" s="286"/>
      <c r="H101" s="286"/>
      <c r="I101" s="286"/>
      <c r="J101" s="286"/>
      <c r="K101" s="286"/>
      <c r="L101" s="286"/>
      <c r="M101" s="286"/>
      <c r="N101" s="286"/>
      <c r="O101" s="286"/>
      <c r="P101" s="286"/>
      <c r="Q101" s="286"/>
      <c r="R101" s="286"/>
      <c r="S101" s="286"/>
      <c r="T101" s="286"/>
      <c r="U101" s="29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8"/>
      <c r="W101" s="298"/>
      <c r="X101" s="298"/>
      <c r="Y101" s="182" t="str">
        <f>IF(E101="","",IF((VLOOKUP(E101,classifications!C:K,9,FALSE))="Sparse","S",""))</f>
        <v/>
      </c>
      <c r="AA101" s="289"/>
      <c r="AB101" s="290"/>
      <c r="AC101" s="290"/>
      <c r="AD101" s="292"/>
      <c r="AE101" s="292"/>
      <c r="AF101" s="292"/>
      <c r="AG101" s="292"/>
      <c r="AH101" s="292"/>
      <c r="AI101" s="292"/>
      <c r="AJ101" s="292"/>
      <c r="AK101" s="292"/>
      <c r="AL101" s="292"/>
      <c r="AM101" s="292"/>
      <c r="AN101" s="295"/>
      <c r="AO101" s="295"/>
      <c r="AP101" s="295"/>
      <c r="AQ101" s="295"/>
      <c r="AR101" s="182"/>
      <c r="AV101" s="85"/>
    </row>
    <row r="102" spans="2:48" ht="12" customHeight="1">
      <c r="B102" s="289" t="str">
        <f>IF('Filtered Data'!$D$1="MD","",IF('Filtered Data'!$D$1="SC","",IF('Filtered Data'!$D$1="UA",'Filtered Data'!AS21,'Filtered Data'!AL21)))</f>
        <v/>
      </c>
      <c r="C102" s="290"/>
      <c r="D102" s="290"/>
      <c r="E102" s="286" t="str">
        <f>IF(B102="","",IF('Filtered Data'!$D$1="UA",VLOOKUP(B102,'Filtered Data'!AS:AU,2,FALSE),VLOOKUP(B102,'Filtered Data'!AL:AN,2,FALSE)))</f>
        <v/>
      </c>
      <c r="F102" s="286"/>
      <c r="G102" s="286"/>
      <c r="H102" s="286"/>
      <c r="I102" s="286"/>
      <c r="J102" s="286"/>
      <c r="K102" s="286"/>
      <c r="L102" s="286"/>
      <c r="M102" s="286"/>
      <c r="N102" s="286"/>
      <c r="O102" s="286"/>
      <c r="P102" s="286"/>
      <c r="Q102" s="286"/>
      <c r="R102" s="286"/>
      <c r="S102" s="286"/>
      <c r="T102" s="286"/>
      <c r="U102" s="29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8"/>
      <c r="W102" s="298"/>
      <c r="X102" s="298"/>
      <c r="Y102" s="182" t="str">
        <f>IF(E102="","",IF((VLOOKUP(E102,classifications!C:K,9,FALSE))="Sparse","S",""))</f>
        <v/>
      </c>
      <c r="AA102" s="289"/>
      <c r="AB102" s="290"/>
      <c r="AC102" s="290"/>
      <c r="AD102" s="292"/>
      <c r="AE102" s="292"/>
      <c r="AF102" s="292"/>
      <c r="AG102" s="292"/>
      <c r="AH102" s="292"/>
      <c r="AI102" s="292"/>
      <c r="AJ102" s="292"/>
      <c r="AK102" s="292"/>
      <c r="AL102" s="292"/>
      <c r="AM102" s="292"/>
      <c r="AN102" s="295"/>
      <c r="AO102" s="295"/>
      <c r="AP102" s="295"/>
      <c r="AQ102" s="295"/>
      <c r="AR102" s="182"/>
      <c r="AV102" s="85"/>
    </row>
    <row r="103" spans="2:48" ht="12" customHeight="1">
      <c r="B103" s="289" t="str">
        <f>IF('Filtered Data'!$D$1="MD","",IF('Filtered Data'!$D$1="SC","",IF('Filtered Data'!$D$1="UA",'Filtered Data'!AS22,'Filtered Data'!AL22)))</f>
        <v/>
      </c>
      <c r="C103" s="290"/>
      <c r="D103" s="290"/>
      <c r="E103" s="286" t="str">
        <f>IF(B103="","",IF('Filtered Data'!$D$1="UA",VLOOKUP(B103,'Filtered Data'!AS:AU,2,FALSE),VLOOKUP(B103,'Filtered Data'!AL:AN,2,FALSE)))</f>
        <v/>
      </c>
      <c r="F103" s="286"/>
      <c r="G103" s="286"/>
      <c r="H103" s="286"/>
      <c r="I103" s="286"/>
      <c r="J103" s="286"/>
      <c r="K103" s="286"/>
      <c r="L103" s="286"/>
      <c r="M103" s="286"/>
      <c r="N103" s="286"/>
      <c r="O103" s="286"/>
      <c r="P103" s="286"/>
      <c r="Q103" s="286"/>
      <c r="R103" s="286"/>
      <c r="S103" s="286"/>
      <c r="T103" s="286"/>
      <c r="U103" s="29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8"/>
      <c r="W103" s="298"/>
      <c r="X103" s="298"/>
      <c r="Y103" s="182" t="str">
        <f>IF(E103="","",IF((VLOOKUP(E103,classifications!C:K,9,FALSE))="Sparse","S",""))</f>
        <v/>
      </c>
      <c r="AA103" s="289"/>
      <c r="AB103" s="290"/>
      <c r="AC103" s="290"/>
      <c r="AD103" s="292"/>
      <c r="AE103" s="292"/>
      <c r="AF103" s="292"/>
      <c r="AG103" s="292"/>
      <c r="AH103" s="292"/>
      <c r="AI103" s="292"/>
      <c r="AJ103" s="292"/>
      <c r="AK103" s="292"/>
      <c r="AL103" s="292"/>
      <c r="AM103" s="292"/>
      <c r="AN103" s="295"/>
      <c r="AO103" s="295"/>
      <c r="AP103" s="295"/>
      <c r="AQ103" s="295"/>
      <c r="AR103" s="182"/>
      <c r="AV103" s="85"/>
    </row>
    <row r="104" spans="2:48" ht="12" customHeight="1">
      <c r="B104" s="289" t="str">
        <f>IF('Filtered Data'!$D$1="MD","",IF('Filtered Data'!$D$1="SC","",IF('Filtered Data'!$D$1="UA",'Filtered Data'!AS23,'Filtered Data'!AL23)))</f>
        <v/>
      </c>
      <c r="C104" s="290"/>
      <c r="D104" s="290"/>
      <c r="E104" s="286" t="str">
        <f>IF(B104="","",IF('Filtered Data'!$D$1="UA",VLOOKUP(B104,'Filtered Data'!AS:AU,2,FALSE),VLOOKUP(B104,'Filtered Data'!AL:AN,2,FALSE)))</f>
        <v/>
      </c>
      <c r="F104" s="286"/>
      <c r="G104" s="286"/>
      <c r="H104" s="286"/>
      <c r="I104" s="286"/>
      <c r="J104" s="286"/>
      <c r="K104" s="286"/>
      <c r="L104" s="286"/>
      <c r="M104" s="286"/>
      <c r="N104" s="286"/>
      <c r="O104" s="286"/>
      <c r="P104" s="286"/>
      <c r="Q104" s="286"/>
      <c r="R104" s="286"/>
      <c r="S104" s="286"/>
      <c r="T104" s="286"/>
      <c r="U104" s="29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8"/>
      <c r="W104" s="298"/>
      <c r="X104" s="298"/>
      <c r="Y104" s="182" t="str">
        <f>IF(E104="","",IF((VLOOKUP(E104,classifications!C:K,9,FALSE))="Sparse","S",""))</f>
        <v/>
      </c>
      <c r="AA104" s="289"/>
      <c r="AB104" s="290"/>
      <c r="AC104" s="290"/>
      <c r="AD104" s="292"/>
      <c r="AE104" s="292"/>
      <c r="AF104" s="292"/>
      <c r="AG104" s="292"/>
      <c r="AH104" s="292"/>
      <c r="AI104" s="292"/>
      <c r="AJ104" s="292"/>
      <c r="AK104" s="292"/>
      <c r="AL104" s="292"/>
      <c r="AM104" s="292"/>
      <c r="AN104" s="295"/>
      <c r="AO104" s="295"/>
      <c r="AP104" s="295"/>
      <c r="AQ104" s="295"/>
      <c r="AR104" s="182"/>
      <c r="AV104" s="85"/>
    </row>
    <row r="105" spans="2:48" ht="12" customHeight="1">
      <c r="B105" s="289" t="str">
        <f>IF('Filtered Data'!$D$1="MD","",IF('Filtered Data'!$D$1="SC","",IF('Filtered Data'!$D$1="UA",'Filtered Data'!AS24,'Filtered Data'!AL24)))</f>
        <v/>
      </c>
      <c r="C105" s="290"/>
      <c r="D105" s="290"/>
      <c r="E105" s="286" t="str">
        <f>IF(B105="","",IF('Filtered Data'!$D$1="UA",VLOOKUP(B105,'Filtered Data'!AS:AU,2,FALSE),VLOOKUP(B105,'Filtered Data'!AL:AN,2,FALSE)))</f>
        <v/>
      </c>
      <c r="F105" s="286"/>
      <c r="G105" s="286"/>
      <c r="H105" s="286"/>
      <c r="I105" s="286"/>
      <c r="J105" s="286"/>
      <c r="K105" s="286"/>
      <c r="L105" s="286"/>
      <c r="M105" s="286"/>
      <c r="N105" s="286"/>
      <c r="O105" s="286"/>
      <c r="P105" s="286"/>
      <c r="Q105" s="286"/>
      <c r="R105" s="286"/>
      <c r="S105" s="286"/>
      <c r="T105" s="286"/>
      <c r="U105" s="29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8"/>
      <c r="W105" s="298"/>
      <c r="X105" s="298"/>
      <c r="Y105" s="182" t="str">
        <f>IF(E105="","",IF((VLOOKUP(E105,classifications!C:K,9,FALSE))="Sparse","S",""))</f>
        <v/>
      </c>
      <c r="AA105" s="289"/>
      <c r="AB105" s="290"/>
      <c r="AC105" s="290"/>
      <c r="AD105" s="292"/>
      <c r="AE105" s="292"/>
      <c r="AF105" s="292"/>
      <c r="AG105" s="292"/>
      <c r="AH105" s="292"/>
      <c r="AI105" s="292"/>
      <c r="AJ105" s="292"/>
      <c r="AK105" s="292"/>
      <c r="AL105" s="292"/>
      <c r="AM105" s="292"/>
      <c r="AN105" s="295"/>
      <c r="AO105" s="295"/>
      <c r="AP105" s="295"/>
      <c r="AQ105" s="295"/>
      <c r="AR105" s="182"/>
      <c r="AV105" s="85"/>
    </row>
    <row r="106" spans="2:48" ht="12" customHeight="1">
      <c r="B106" s="289" t="str">
        <f>IF('Filtered Data'!$D$1="MD","",IF('Filtered Data'!$D$1="SC","",IF('Filtered Data'!$D$1="UA",'Filtered Data'!AS25,'Filtered Data'!AL25)))</f>
        <v/>
      </c>
      <c r="C106" s="290"/>
      <c r="D106" s="290"/>
      <c r="E106" s="286" t="str">
        <f>IF(B106="","",IF('Filtered Data'!$D$1="UA",VLOOKUP(B106,'Filtered Data'!AS:AU,2,FALSE),VLOOKUP(B106,'Filtered Data'!AL:AN,2,FALSE)))</f>
        <v/>
      </c>
      <c r="F106" s="286"/>
      <c r="G106" s="286"/>
      <c r="H106" s="286"/>
      <c r="I106" s="286"/>
      <c r="J106" s="286"/>
      <c r="K106" s="286"/>
      <c r="L106" s="286"/>
      <c r="M106" s="286"/>
      <c r="N106" s="286"/>
      <c r="O106" s="286"/>
      <c r="P106" s="286"/>
      <c r="Q106" s="286"/>
      <c r="R106" s="286"/>
      <c r="S106" s="286"/>
      <c r="T106" s="286"/>
      <c r="U106" s="29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8"/>
      <c r="W106" s="298"/>
      <c r="X106" s="298"/>
      <c r="Y106" s="182" t="str">
        <f>IF(E106="","",IF((VLOOKUP(E106,classifications!C:K,9,FALSE))="Sparse","S",""))</f>
        <v/>
      </c>
      <c r="AA106" s="289"/>
      <c r="AB106" s="290"/>
      <c r="AC106" s="290"/>
      <c r="AD106" s="292"/>
      <c r="AE106" s="292"/>
      <c r="AF106" s="292"/>
      <c r="AG106" s="292"/>
      <c r="AH106" s="292"/>
      <c r="AI106" s="292"/>
      <c r="AJ106" s="292"/>
      <c r="AK106" s="292"/>
      <c r="AL106" s="292"/>
      <c r="AM106" s="292"/>
      <c r="AN106" s="295"/>
      <c r="AO106" s="295"/>
      <c r="AP106" s="295"/>
      <c r="AQ106" s="295"/>
      <c r="AR106" s="182"/>
      <c r="AV106" s="85"/>
    </row>
    <row r="107" spans="2:48" ht="12" customHeight="1">
      <c r="B107" s="289" t="str">
        <f>IF('Filtered Data'!$D$1="MD","",IF('Filtered Data'!$D$1="SC","",IF('Filtered Data'!$D$1="UA",'Filtered Data'!AS26,'Filtered Data'!AL26)))</f>
        <v/>
      </c>
      <c r="C107" s="290"/>
      <c r="D107" s="290"/>
      <c r="E107" s="286" t="str">
        <f>IF(B107="","",IF('Filtered Data'!$D$1="UA",VLOOKUP(B107,'Filtered Data'!AS:AU,2,FALSE),VLOOKUP(B107,'Filtered Data'!AL:AN,2,FALSE)))</f>
        <v/>
      </c>
      <c r="F107" s="286"/>
      <c r="G107" s="286"/>
      <c r="H107" s="286"/>
      <c r="I107" s="286"/>
      <c r="J107" s="286"/>
      <c r="K107" s="286"/>
      <c r="L107" s="286"/>
      <c r="M107" s="286"/>
      <c r="N107" s="286"/>
      <c r="O107" s="286"/>
      <c r="P107" s="286"/>
      <c r="Q107" s="286"/>
      <c r="R107" s="286"/>
      <c r="S107" s="286"/>
      <c r="T107" s="286"/>
      <c r="U107" s="29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8"/>
      <c r="W107" s="298"/>
      <c r="X107" s="298"/>
      <c r="Y107" s="182" t="str">
        <f>IF(E107="","",IF((VLOOKUP(E107,classifications!C:K,9,FALSE))="Sparse","S",""))</f>
        <v/>
      </c>
      <c r="AA107" s="289"/>
      <c r="AB107" s="290"/>
      <c r="AC107" s="290"/>
      <c r="AD107" s="292"/>
      <c r="AE107" s="292"/>
      <c r="AF107" s="292"/>
      <c r="AG107" s="292"/>
      <c r="AH107" s="292"/>
      <c r="AI107" s="292"/>
      <c r="AJ107" s="292"/>
      <c r="AK107" s="292"/>
      <c r="AL107" s="292"/>
      <c r="AM107" s="292"/>
      <c r="AN107" s="295"/>
      <c r="AO107" s="295"/>
      <c r="AP107" s="295"/>
      <c r="AQ107" s="295"/>
      <c r="AR107" s="182"/>
      <c r="AV107" s="85"/>
    </row>
    <row r="108" spans="2:48" ht="12" customHeight="1">
      <c r="B108" s="290"/>
      <c r="C108" s="290"/>
      <c r="D108" s="290"/>
      <c r="E108" s="321" t="str">
        <f>IF('Filtered Data'!D1="MD","",IF('Filtered Data'!D1="SC","","Average"))</f>
        <v>Average</v>
      </c>
      <c r="F108" s="321"/>
      <c r="G108" s="321"/>
      <c r="H108" s="321"/>
      <c r="I108" s="321"/>
      <c r="J108" s="321"/>
      <c r="K108" s="321"/>
      <c r="L108" s="321"/>
      <c r="M108" s="321"/>
      <c r="N108" s="321"/>
      <c r="O108" s="281"/>
      <c r="P108" s="281"/>
      <c r="Q108" s="281"/>
      <c r="R108" s="281"/>
      <c r="S108" s="281"/>
      <c r="T108" s="281"/>
      <c r="U108" s="302">
        <f>IF(ISERROR(AVERAGE(U92:U107)),"",AVERAGE(U92:U107))</f>
        <v>491.55</v>
      </c>
      <c r="V108" s="302"/>
      <c r="W108" s="302"/>
      <c r="X108" s="302"/>
      <c r="Y108" s="182"/>
      <c r="AA108" s="290"/>
      <c r="AB108" s="290"/>
      <c r="AC108" s="290"/>
      <c r="AD108" s="24"/>
      <c r="AE108" s="24"/>
      <c r="AF108" s="24"/>
      <c r="AG108" s="24"/>
      <c r="AH108" s="24"/>
      <c r="AI108" s="24"/>
      <c r="AJ108" s="24"/>
      <c r="AK108" s="24"/>
      <c r="AL108" s="24"/>
      <c r="AM108" s="27"/>
      <c r="AN108" s="296"/>
      <c r="AO108" s="296"/>
      <c r="AP108" s="296"/>
      <c r="AQ108" s="296"/>
      <c r="AV108" s="85"/>
    </row>
    <row r="109" spans="2:48" ht="12" customHeight="1">
      <c r="W109" s="22">
        <f>COUNT(AA92:AB107)</f>
        <v>0</v>
      </c>
    </row>
    <row r="110" spans="2:48" ht="19.5" customHeight="1">
      <c r="B110" s="297" t="str">
        <f>B3</f>
        <v>Waste Management Indicators</v>
      </c>
      <c r="C110" s="297"/>
      <c r="D110" s="297"/>
      <c r="E110" s="297"/>
      <c r="F110" s="297"/>
      <c r="G110" s="297"/>
      <c r="H110" s="297"/>
      <c r="I110" s="297"/>
      <c r="J110" s="297"/>
      <c r="K110" s="297"/>
      <c r="L110" s="297"/>
      <c r="M110" s="297"/>
      <c r="N110" s="297"/>
      <c r="O110" s="297"/>
      <c r="P110" s="297"/>
      <c r="Q110" s="297"/>
      <c r="R110" s="297"/>
      <c r="S110" s="297"/>
      <c r="T110" s="297"/>
      <c r="U110" s="297"/>
      <c r="V110" s="297"/>
      <c r="W110" s="297"/>
      <c r="X110" s="297"/>
      <c r="Y110" s="297"/>
      <c r="Z110" s="297"/>
      <c r="AA110" s="297"/>
      <c r="AB110" s="297"/>
      <c r="AC110" s="297"/>
      <c r="AD110" s="297"/>
      <c r="AE110" s="297"/>
      <c r="AF110" s="297"/>
      <c r="AG110" s="297"/>
      <c r="AH110" s="297"/>
      <c r="AI110" s="297"/>
      <c r="AJ110" s="297"/>
      <c r="AK110" s="297"/>
      <c r="AL110" s="297"/>
      <c r="AM110" s="297"/>
      <c r="AN110" s="297"/>
    </row>
    <row r="111" spans="2:48" ht="12" customHeight="1"/>
    <row r="112" spans="2:48" ht="12" customHeight="1">
      <c r="B112" s="321" t="s">
        <v>371</v>
      </c>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row>
    <row r="113" spans="2:40" ht="12" customHeight="1"/>
    <row r="114" spans="2:40" ht="12" customHeight="1">
      <c r="B114" s="344" t="str">
        <f>W6&amp;" - "&amp;W12</f>
        <v>Residual household waste per household (kg/household) (Ex NI191) - 2019-20</v>
      </c>
      <c r="C114" s="345"/>
      <c r="D114" s="345"/>
      <c r="E114" s="345"/>
      <c r="F114" s="345"/>
      <c r="G114" s="345"/>
      <c r="H114" s="345"/>
      <c r="I114" s="345"/>
      <c r="J114" s="345"/>
      <c r="K114" s="345"/>
      <c r="L114" s="345"/>
      <c r="M114" s="345"/>
      <c r="N114" s="345"/>
      <c r="O114" s="345"/>
      <c r="P114" s="345"/>
      <c r="Q114" s="345"/>
      <c r="R114" s="345"/>
      <c r="S114" s="345"/>
      <c r="T114" s="345"/>
      <c r="U114" s="345"/>
      <c r="V114" s="345"/>
      <c r="W114" s="345"/>
      <c r="X114" s="345"/>
      <c r="Y114" s="345"/>
      <c r="Z114" s="345"/>
      <c r="AA114" s="345"/>
      <c r="AB114" s="345"/>
      <c r="AC114" s="345"/>
      <c r="AD114" s="345"/>
      <c r="AE114" s="345"/>
      <c r="AF114" s="345"/>
      <c r="AG114" s="345"/>
      <c r="AH114" s="345"/>
      <c r="AI114" s="345"/>
      <c r="AJ114" s="345"/>
      <c r="AK114" s="345"/>
      <c r="AL114" s="345"/>
      <c r="AM114" s="345"/>
      <c r="AN114" s="26"/>
    </row>
    <row r="115" spans="2:40" ht="12" customHeight="1">
      <c r="B115" s="347"/>
      <c r="C115" s="348"/>
      <c r="D115" s="348"/>
      <c r="E115" s="348"/>
      <c r="F115" s="348"/>
      <c r="G115" s="348"/>
      <c r="H115" s="348"/>
      <c r="I115" s="348"/>
      <c r="J115" s="348"/>
      <c r="K115" s="348"/>
      <c r="L115" s="348"/>
      <c r="M115" s="348"/>
      <c r="N115" s="348"/>
      <c r="O115" s="348"/>
      <c r="P115" s="348"/>
      <c r="Q115" s="348"/>
      <c r="R115" s="348"/>
      <c r="S115" s="348"/>
      <c r="T115" s="348"/>
      <c r="U115" s="348"/>
      <c r="V115" s="348"/>
      <c r="W115" s="348"/>
      <c r="X115" s="348"/>
      <c r="Y115" s="348"/>
      <c r="Z115" s="348"/>
      <c r="AA115" s="348"/>
      <c r="AB115" s="348"/>
      <c r="AC115" s="348"/>
      <c r="AD115" s="348"/>
      <c r="AE115" s="348"/>
      <c r="AF115" s="348"/>
      <c r="AG115" s="348"/>
      <c r="AH115" s="348"/>
      <c r="AI115" s="348"/>
      <c r="AJ115" s="348"/>
      <c r="AK115" s="348"/>
      <c r="AL115" s="348"/>
      <c r="AM115" s="34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64">
        <f>IF('Filtered Data'!H8="..",L35,L35*100)</f>
        <v>522.1</v>
      </c>
      <c r="H118" s="364"/>
      <c r="I118" s="364"/>
      <c r="J118" s="364"/>
      <c r="K118" s="364"/>
      <c r="L118" s="6"/>
      <c r="M118" s="293">
        <f>K$48</f>
        <v>406.85</v>
      </c>
      <c r="N118" s="293"/>
      <c r="O118" s="293">
        <f>M$48</f>
        <v>454.5</v>
      </c>
      <c r="P118" s="293"/>
      <c r="Q118" s="293">
        <f>O$48</f>
        <v>497.25</v>
      </c>
      <c r="R118" s="293"/>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364">
        <f>IF('Filtered Data'!H8="%%",(AVERAGEIF('Filtered Data'!AA$10:AA$492,$F119,'Filtered Data'!M$10:M$492))*100,(AVERAGEIF('Filtered Data'!AA$10:AA$492,$F119,'Filtered Data'!M$10:M$492)))</f>
        <v>431.87887323943664</v>
      </c>
      <c r="H119" s="364"/>
      <c r="I119" s="364"/>
      <c r="J119" s="364"/>
      <c r="K119" s="364"/>
      <c r="L119" s="6"/>
      <c r="M119" s="293">
        <f>K$48</f>
        <v>406.85</v>
      </c>
      <c r="N119" s="293"/>
      <c r="O119" s="293">
        <f>M$48</f>
        <v>454.5</v>
      </c>
      <c r="P119" s="293"/>
      <c r="Q119" s="293">
        <f>O$48</f>
        <v>497.25</v>
      </c>
      <c r="R119" s="293"/>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364">
        <f>IF('Filtered Data'!H8="%%",(AVERAGEIF('Filtered Data'!AA$10:AA$492,$F120,'Filtered Data'!M$10:M$492))*100,(AVERAGEIF('Filtered Data'!AA$10:AA$492,$F120,'Filtered Data'!M$10:M$492)))</f>
        <v>463.78405797101453</v>
      </c>
      <c r="H120" s="364"/>
      <c r="I120" s="364"/>
      <c r="J120" s="364"/>
      <c r="K120" s="364"/>
      <c r="L120" s="6"/>
      <c r="M120" s="293">
        <f>K$48</f>
        <v>406.85</v>
      </c>
      <c r="N120" s="293"/>
      <c r="O120" s="293">
        <f>M$48</f>
        <v>454.5</v>
      </c>
      <c r="P120" s="293"/>
      <c r="Q120" s="293">
        <f>O$48</f>
        <v>497.25</v>
      </c>
      <c r="R120" s="293"/>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364">
        <f>IF('Filtered Data'!H8="%%",(AVERAGEIF('Filtered Data'!AA$10:AA$492,$F121,'Filtered Data'!M$10:M$492))*100,(AVERAGEIF('Filtered Data'!AA$10:AA$492,$F121,'Filtered Data'!M$10:M$492)))</f>
        <v>447.64285714285734</v>
      </c>
      <c r="H121" s="364"/>
      <c r="I121" s="364"/>
      <c r="J121" s="364"/>
      <c r="K121" s="364"/>
      <c r="L121" s="6"/>
      <c r="M121" s="293">
        <f>K$48</f>
        <v>406.85</v>
      </c>
      <c r="N121" s="293"/>
      <c r="O121" s="293">
        <f>M$48</f>
        <v>454.5</v>
      </c>
      <c r="P121" s="293"/>
      <c r="Q121" s="293">
        <f>O$48</f>
        <v>497.25</v>
      </c>
      <c r="R121" s="293"/>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64"/>
      <c r="H122" s="364"/>
      <c r="I122" s="364"/>
      <c r="J122" s="364"/>
      <c r="K122" s="364"/>
      <c r="L122" s="6"/>
      <c r="M122" s="293"/>
      <c r="N122" s="293"/>
      <c r="O122" s="293"/>
      <c r="P122" s="293"/>
      <c r="Q122" s="293"/>
      <c r="R122" s="293"/>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64"/>
      <c r="H123" s="364"/>
      <c r="I123" s="364"/>
      <c r="J123" s="364"/>
      <c r="K123" s="364"/>
      <c r="L123" s="6"/>
      <c r="M123" s="293"/>
      <c r="N123" s="293"/>
      <c r="O123" s="293"/>
      <c r="P123" s="293"/>
      <c r="Q123" s="293"/>
      <c r="R123" s="293"/>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64"/>
      <c r="H124" s="364"/>
      <c r="I124" s="364"/>
      <c r="J124" s="364"/>
      <c r="K124" s="364"/>
      <c r="L124" s="6"/>
      <c r="M124" s="293"/>
      <c r="N124" s="293"/>
      <c r="O124" s="293"/>
      <c r="P124" s="293"/>
      <c r="Q124" s="293"/>
      <c r="R124" s="293"/>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bQnSDmc5dLffMlKTFgtLo7Wq03PpfTmod9Ne5WVh0ha6tsM9tLghjlhS2rjvFH2iZQ71hiy+bZrfSTiL7psPxA==" saltValue="B77YSMmrwroy6zd3wYOi9g==" spinCount="100000"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76:D76"/>
    <mergeCell ref="B74:D74"/>
    <mergeCell ref="B75:D75"/>
    <mergeCell ref="E81:T81"/>
    <mergeCell ref="E91:N91"/>
    <mergeCell ref="E84:T84"/>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Q41:R41"/>
    <mergeCell ref="V41:W41"/>
    <mergeCell ref="L38:O38"/>
    <mergeCell ref="V40:W40"/>
    <mergeCell ref="U70:X70"/>
    <mergeCell ref="U69:X69"/>
    <mergeCell ref="K52:L52"/>
    <mergeCell ref="E65:T65"/>
    <mergeCell ref="E69:T69"/>
    <mergeCell ref="E70:T70"/>
    <mergeCell ref="U65:X6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67" t="s">
        <v>823</v>
      </c>
      <c r="U1" s="368"/>
      <c r="V1" s="368"/>
      <c r="W1" s="369"/>
      <c r="X1" s="87"/>
      <c r="AA1" s="367" t="s">
        <v>822</v>
      </c>
      <c r="AB1" s="368"/>
      <c r="AC1" s="368"/>
      <c r="AD1" s="36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7"/>
      <c r="U2" s="368"/>
      <c r="V2" s="368"/>
      <c r="W2" s="369"/>
      <c r="X2" s="365"/>
      <c r="Y2" s="366"/>
      <c r="Z2" s="366"/>
      <c r="AA2" s="367"/>
      <c r="AB2" s="368"/>
      <c r="AC2" s="368"/>
      <c r="AD2" s="369"/>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Residual household waste per household (kg/household) (Ex NI191)</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v>
      </c>
      <c r="Q7" s="145">
        <f>IF(I8="A",MAX(N11:N355),MIN(N11:N355))</f>
        <v>631.79999999999995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Allerdale</v>
      </c>
      <c r="Q8" s="146">
        <f>VLOOKUP(D3,L11:N355,3,FALSE)</f>
        <v>522.1</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447.61263736263703</v>
      </c>
      <c r="N9" s="123"/>
      <c r="O9" s="126" t="s">
        <v>340</v>
      </c>
      <c r="P9" s="126" t="s">
        <v>351</v>
      </c>
      <c r="Q9" s="126" t="s">
        <v>352</v>
      </c>
      <c r="R9" s="128" t="s">
        <v>400</v>
      </c>
      <c r="S9" s="53"/>
      <c r="T9" s="230" t="s">
        <v>818</v>
      </c>
      <c r="U9" s="231">
        <f>IF($H$8="%.",(AVERAGE(U11:U355))/100,(AVERAGE(U11:U355)))</f>
        <v>435.2084507042253</v>
      </c>
      <c r="V9" s="232"/>
      <c r="W9" s="232"/>
      <c r="X9" s="121" t="str">
        <f>"Lower Level Ranking for Authorites in "&amp;H3&amp;" &amp; are a "&amp;F3</f>
        <v>Lower Level Ranking for Authorites in Mainly Rural (rural including hub towns &gt;=80%)  &amp; are a SD</v>
      </c>
      <c r="Y9" s="123">
        <f>IF($H$8="%.",(AVERAGE(Y11:Y355))/100,(AVERAGE(Y11:Y355)))</f>
        <v>421.37000000000006</v>
      </c>
      <c r="Z9" s="122"/>
      <c r="AA9" s="240" t="s">
        <v>379</v>
      </c>
      <c r="AB9" s="231">
        <f>IF($H$8="%.",(AVERAGE(AB11:AB355))/100,(AVERAGE(AB11:AB355)))</f>
        <v>431.87887323943664</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491.55</v>
      </c>
      <c r="AK9" s="122"/>
      <c r="AL9" s="70"/>
      <c r="AM9" s="31"/>
      <c r="AN9" s="31"/>
      <c r="AP9" s="121" t="str">
        <f>"Regional Ranking in for "&amp;F3</f>
        <v>Regional Ranking in for SD</v>
      </c>
      <c r="AQ9" s="123">
        <f>IF($H$8="%.",(AVERAGE(AQ11:AQ355))/100,(AVERAGE(AQ11:AQ355)))</f>
        <v>486.09444444444449</v>
      </c>
      <c r="AR9" s="122"/>
      <c r="AS9" s="122"/>
      <c r="AT9" s="122"/>
      <c r="AU9" s="122"/>
      <c r="AV9" s="49"/>
      <c r="AW9" s="115"/>
      <c r="AX9" s="178" t="str">
        <f>Profile!$W$6</f>
        <v>Residual household waste per household (kg/household) (Ex NI191)</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406.85</v>
      </c>
      <c r="P10" s="130">
        <f>QUARTILE(N:N,2)</f>
        <v>454.5</v>
      </c>
      <c r="Q10" s="130">
        <f>IF(I8="A",QUARTILE(N:N,3),QUARTILE(N:N,1))</f>
        <v>497.25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459</v>
      </c>
      <c r="G11" s="105"/>
      <c r="H11" s="60">
        <f t="shared" ref="H11:H74" si="1">IF(D11=$D$1,HLOOKUP($D$6,$AX$10:$ZZ$355,ROW()-9,FALSE),"")</f>
        <v>459</v>
      </c>
      <c r="I11" s="112">
        <f>IF(H11="","",IF($I$8="A",(RANK(H11,H$11:H$355,1)+COUNTIF(H$11:H11,H11)-1),(RANK(H11,H$11:H$355)+COUNTIF(H$11:H11,H11)-1)))</f>
        <v>96</v>
      </c>
      <c r="J11" s="58"/>
      <c r="K11" s="51">
        <v>1</v>
      </c>
      <c r="L11" s="59" t="str">
        <f t="shared" ref="L11:L74" si="2">IF(K11="","",INDEX(C$11:C$355,MATCH(K11,I$11:I$355,0)))</f>
        <v>West Somerset</v>
      </c>
      <c r="M11" s="153">
        <f t="shared" ref="M11:M74" si="3">IF(L11="","",IF(VLOOKUP(L11,C:D,2,FALSE)=$F$3,VLOOKUP(L11,C:H,6,FALSE),""))</f>
        <v>0</v>
      </c>
      <c r="N11" s="148">
        <f>IF(L11="","",IF($H$8="%%",M11*100,M11))</f>
        <v>0</v>
      </c>
      <c r="O11" s="131">
        <f>IF(I$8="A",IF(N11&gt;=$P$7,IF(N11&lt;=$O$10,N11,""),""),IF(N11&lt;=$P$7,IF(N11&gt;=$O$10,N11,""),""))</f>
        <v>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 xml:space="preserve">Mainly Rural (rural including hub towns &gt;=80%) </v>
      </c>
      <c r="Y11" s="49">
        <f t="shared" ref="Y11:Y74" si="4">IF($D$1="UA",IF(X11="Largely Rural (rural including hub towns 50-79%) ",M11,IF(X11="Mainly Rural (rural including hub towns &gt;=80%) ",M11,IF(X11="Urban with Significant Rural (rural including hub towns 26-49%)",M11,""))),IF($D$1="SD",IF(X11=$H$3,M11,"")))</f>
        <v>0</v>
      </c>
      <c r="Z11" s="57">
        <f>IF(Y11="","",IF(I$8="A",(RANK(Y11,Y$11:Y$355,1)+COUNTIF(Y$11:Y11,Y11)-1),(RANK(Y11,Y$11:Y$355)+COUNTIF(Y$11:Y11,Y11)-1)))</f>
        <v>1</v>
      </c>
      <c r="AA11" s="242" t="str">
        <f>IF(L11="","",VLOOKUP($L11,classifications!C:I,7,FALSE))</f>
        <v>Predominantly Rural</v>
      </c>
      <c r="AB11" s="236">
        <f>IF(AA11=$J$3,M11,"")</f>
        <v>0</v>
      </c>
      <c r="AC11" s="236">
        <f>IF(AB11="","",IF($I$8="A",(RANK(AB11,AB$11:AB$355)+COUNTIF(AB$11:AB11,AB11)-1),(RANK(AB11,AB$11:AB$355,1)+COUNTIF(AB$11:AB11,AB11)-1)))</f>
        <v>71</v>
      </c>
      <c r="AD11" s="236"/>
      <c r="AE11" s="71" t="e">
        <f>IF(I$8="A",(RANK(AG11,AG$11:AG$355,1)+COUNTIF(AG$11:AG11,AG11)-1),(RANK(AG11,AG$11:AG$355)+COUNTIF(AG$11:AG11,AG11)-1))</f>
        <v>#N/A</v>
      </c>
      <c r="AF11" s="69" t="str">
        <f>'Filtered Data'!D3</f>
        <v>Allerdale</v>
      </c>
      <c r="AG11" s="142">
        <f>VLOOKUP(Profile!$J$5,$C$11:$H$355,4,FALSE)</f>
        <v>522.1</v>
      </c>
      <c r="AH11" s="72" t="e">
        <f>AE11</f>
        <v>#N/A</v>
      </c>
      <c r="AI11" s="61" t="str">
        <f>IF(L11="","",VLOOKUP($L11,classifications!$C:$J,8,FALSE))</f>
        <v>Somerset</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Eden</v>
      </c>
      <c r="AN11" s="31">
        <f t="shared" ref="AN11:AN74" si="7">(VLOOKUP(AM11,L:M,2,FALSE))</f>
        <v>438.1</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Hyndburn</v>
      </c>
      <c r="AU11" s="62">
        <f t="shared" ref="AU11:AU74" si="9">IF(AT11="","",VLOOKUP(AT11,L:M,2,FALSE))</f>
        <v>404.1</v>
      </c>
      <c r="AX11" s="44">
        <f>HLOOKUP($AX$9&amp;$AX$10,Data!$A$1:$ZZ$2000,(MATCH($C11,Data!$A$1:$A$2000,0)),FALSE)</f>
        <v>459</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522.1</v>
      </c>
      <c r="G12" s="105"/>
      <c r="H12" s="60">
        <f t="shared" si="1"/>
        <v>522.1</v>
      </c>
      <c r="I12" s="112">
        <f>IF(H12="","",IF($I$8="A",(RANK(H12,H$11:H$355,1)+COUNTIF(H$11:H12,H12)-1),(RANK(H12,H$11:H$355)+COUNTIF(H$11:H12,H12)-1)))</f>
        <v>156</v>
      </c>
      <c r="J12" s="58"/>
      <c r="K12" s="51">
        <f t="shared" ref="K12:K75" si="10">IF(K11="","",IF(K11+1&gt;(COUNT(H$11:H$355)),"",K11+1))</f>
        <v>2</v>
      </c>
      <c r="L12" s="59" t="str">
        <f t="shared" si="2"/>
        <v>East Devon</v>
      </c>
      <c r="M12" s="153">
        <f t="shared" si="3"/>
        <v>251.7</v>
      </c>
      <c r="N12" s="148">
        <f>IF(L12="","",IF($H$8="%%",M12*100,M12))</f>
        <v>251.7</v>
      </c>
      <c r="O12" s="131">
        <f t="shared" ref="O12:O74" si="11">IF(I$8="A",IF(N12&gt;=$P$7,IF(N12&lt;=$O$10,N12,""),""),IF(N12&lt;=$P$7,IF(N12&gt;=$O$10,N12,""),""))</f>
        <v>251.7</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251.7</v>
      </c>
      <c r="V12" s="236">
        <f>IF(U12="","",IF($I$8="A",(RANK(U12,U$11:U$355)+COUNTIF(U$11:U12,U12)-1),(RANK(U12,U$11:U$355,1)+COUNTIF(U$11:U12,U12)-1)))</f>
        <v>71</v>
      </c>
      <c r="W12" s="237"/>
      <c r="X12" s="61" t="str">
        <f>IF(L12="","",VLOOKUP($L12,classifications!$C:$J,6,FALSE))</f>
        <v xml:space="preserve">Largely Rural (rural including hub towns 50-79%) </v>
      </c>
      <c r="Y12" s="49" t="str">
        <f t="shared" si="4"/>
        <v/>
      </c>
      <c r="Z12" s="57" t="str">
        <f>IF(Y12="","",IF(I$8="A",(RANK(Y12,Y$11:Y$355,1)+COUNTIF(Y$11:Y12,Y12)-1),(RANK(Y12,Y$11:Y$355)+COUNTIF(Y$11:Y12,Y12)-1)))</f>
        <v/>
      </c>
      <c r="AA12" s="242" t="str">
        <f>IF(L12="","",VLOOKUP($L12,classifications!C:I,7,FALSE))</f>
        <v>Predominantly Rural</v>
      </c>
      <c r="AB12" s="236">
        <f t="shared" ref="AB12:AB75" si="14">IF(AA12=$J$3,M12,"")</f>
        <v>251.7</v>
      </c>
      <c r="AC12" s="236">
        <f>IF(AB12="","",IF($I$8="A",(RANK(AB12,AB$11:AB$355)+COUNTIF(AB$11:AB12,AB12)-1),(RANK(AB12,AB$11:AB$355,1)+COUNTIF(AB$11:AB12,AB12)-1)))</f>
        <v>70</v>
      </c>
      <c r="AD12" s="236"/>
      <c r="AE12" s="71" t="e">
        <f>IF(I$8="A",(RANK(AG12,AG$11:AG$355,1)+COUNTIF(AG$11:AG12,AG12)-1),(RANK(AG12,AG$11:AG$355)+COUNTIF(AG$11:AG12,AG12)-1))</f>
        <v>#N/A</v>
      </c>
      <c r="AF12" s="6" t="str">
        <f>VLOOKUP(Profile!$J$5,Families!$C:$R,2,FALSE)</f>
        <v>Dover</v>
      </c>
      <c r="AG12" s="143">
        <f t="shared" ref="AG12:AG26" si="15">VLOOKUP(AF12,$C$11:$H$355,4,FALSE)</f>
        <v>356.5</v>
      </c>
      <c r="AH12" s="72" t="e">
        <f>AE12</f>
        <v>#N/A</v>
      </c>
      <c r="AI12" s="61" t="str">
        <f>IF(L12="","",VLOOKUP($L12,classifications!$C:$J,8,FALSE))</f>
        <v>Devon</v>
      </c>
      <c r="AJ12" s="62" t="str">
        <f t="shared" si="5"/>
        <v/>
      </c>
      <c r="AK12" s="57" t="str">
        <f>IF(AJ12="","",IF(I$8="A",(RANK(AJ12,AJ$11:AJ$355,1)+COUNTIF(AJ$11:AJ12,AJ12)-1),(RANK(AJ12,AJ$11:AJ$355)+COUNTIF(AJ$11:AJ12,AJ12)-1)))</f>
        <v/>
      </c>
      <c r="AL12" s="52">
        <f t="shared" ref="AL12:AL75" si="16">IF(AL11="","",IF(AL11+1&gt;(COUNT(AJ$11:AJ$355)),"",AL11+1))</f>
        <v>2</v>
      </c>
      <c r="AM12" s="31" t="str">
        <f t="shared" si="6"/>
        <v>South Lakeland</v>
      </c>
      <c r="AN12" s="31">
        <f t="shared" si="7"/>
        <v>460.6</v>
      </c>
      <c r="AP12" s="61" t="str">
        <f>IF(L12="","",VLOOKUP($L12,classifications!$C:$E,3,FALSE))</f>
        <v>South West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Wyre</v>
      </c>
      <c r="AU12" s="62">
        <f t="shared" si="9"/>
        <v>431.3</v>
      </c>
      <c r="AX12" s="44">
        <f>HLOOKUP($AX$9&amp;$AX$10,Data!$A$1:$ZZ$2000,(MATCH($C12,Data!$A$1:$A$2000,0)),FALSE)</f>
        <v>522.1</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551.9</v>
      </c>
      <c r="G13" s="105"/>
      <c r="H13" s="60">
        <f t="shared" si="1"/>
        <v>551.9</v>
      </c>
      <c r="I13" s="112">
        <f>IF(H13="","",IF($I$8="A",(RANK(H13,H$11:H$355,1)+COUNTIF(H$11:H13,H13)-1),(RANK(H13,H$11:H$355)+COUNTIF(H$11:H13,H13)-1)))</f>
        <v>167</v>
      </c>
      <c r="J13" s="58"/>
      <c r="K13" s="51">
        <f t="shared" si="10"/>
        <v>3</v>
      </c>
      <c r="L13" s="59" t="str">
        <f t="shared" si="2"/>
        <v>Stroud</v>
      </c>
      <c r="M13" s="153">
        <f t="shared" si="3"/>
        <v>272.39999999999998</v>
      </c>
      <c r="N13" s="148">
        <f>IF(L13="","",IF($H$8="%%",M13*100,M13))</f>
        <v>272.39999999999998</v>
      </c>
      <c r="O13" s="131">
        <f t="shared" si="11"/>
        <v>272.39999999999998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t="str">
        <f>IF(L13="","",VLOOKUP(L13,classifications!C:K,9,FALSE))</f>
        <v>Sparse</v>
      </c>
      <c r="U13" s="235">
        <f t="shared" si="13"/>
        <v>272.39999999999998</v>
      </c>
      <c r="V13" s="236">
        <f>IF(U13="","",IF($I$8="A",(RANK(U13,U$11:U$355)+COUNTIF(U$11:U13,U13)-1),(RANK(U13,U$11:U$355,1)+COUNTIF(U$11:U13,U13)-1)))</f>
        <v>70</v>
      </c>
      <c r="W13" s="237"/>
      <c r="X13" s="61" t="str">
        <f>IF(L13="","",VLOOKUP($L13,classifications!$C:$J,6,FALSE))</f>
        <v>Urban with Significant Rural (rural including hub towns 26-49%)</v>
      </c>
      <c r="Y13" s="49" t="str">
        <f t="shared" si="4"/>
        <v/>
      </c>
      <c r="Z13" s="57" t="str">
        <f>IF(Y13="","",IF(I$8="A",(RANK(Y13,Y$11:Y$355,1)+COUNTIF(Y$11:Y13,Y13)-1),(RANK(Y13,Y$11:Y$355)+COUNTIF(Y$11:Y13,Y13)-1)))</f>
        <v/>
      </c>
      <c r="AA13" s="242" t="str">
        <f>IF(L13="","",VLOOKUP($L13,classifications!C:I,7,FALSE))</f>
        <v>Significant Rural</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Carlisle</v>
      </c>
      <c r="AG13" s="143">
        <f t="shared" si="15"/>
        <v>474.4</v>
      </c>
      <c r="AH13" s="72" t="e">
        <f t="shared" ref="AH13:AH26" si="22">AE13</f>
        <v>#N/A</v>
      </c>
      <c r="AI13" s="61" t="str">
        <f>IF(L13="","",VLOOKUP($L13,classifications!$C:$J,8,FALSE))</f>
        <v>Gloucestershire</v>
      </c>
      <c r="AJ13" s="62" t="str">
        <f>IF(AI13=$I$3,M13,"")</f>
        <v/>
      </c>
      <c r="AK13" s="57" t="str">
        <f>IF(AJ13="","",IF(I$8="A",(RANK(AJ13,AJ$11:AJ$355,1)+COUNTIF(AJ$11:AJ13,AJ13)-1),(RANK(AJ13,AJ$11:AJ$355)+COUNTIF(AJ$11:AJ13,AJ13)-1)))</f>
        <v/>
      </c>
      <c r="AL13" s="52">
        <f t="shared" si="16"/>
        <v>3</v>
      </c>
      <c r="AM13" s="31" t="str">
        <f t="shared" si="6"/>
        <v>Carlisle</v>
      </c>
      <c r="AN13" s="31">
        <f t="shared" si="7"/>
        <v>474.4</v>
      </c>
      <c r="AP13" s="61" t="str">
        <f>IF(L13="","",VLOOKUP($L13,classifications!$C:$E,3,FALSE))</f>
        <v>South West</v>
      </c>
      <c r="AQ13" s="62" t="str">
        <f t="shared" si="17"/>
        <v/>
      </c>
      <c r="AR13" s="57" t="str">
        <f>IF(AQ13="","",IF(I$8="A",(RANK(AQ13,AQ$11:AQ$355,1)+COUNTIF(AQ$11:AQ13,AQ13)-1),(RANK(AQ13,AQ$11:AQ$355)+COUNTIF(AQ$11:AQ13,AQ13)-1)))</f>
        <v/>
      </c>
      <c r="AS13" s="52">
        <f t="shared" si="18"/>
        <v>3</v>
      </c>
      <c r="AT13" s="57" t="str">
        <f t="shared" si="8"/>
        <v>Eden</v>
      </c>
      <c r="AU13" s="62">
        <f t="shared" si="9"/>
        <v>438.1</v>
      </c>
      <c r="AX13" s="44">
        <f>HLOOKUP($AX$9&amp;$AX$10,Data!$A$1:$ZZ$2000,(MATCH($C13,Data!$A$1:$A$2000,0)),FALSE)</f>
        <v>551.9</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410.1</v>
      </c>
      <c r="G14" s="105"/>
      <c r="H14" s="60">
        <f t="shared" si="1"/>
        <v>410.1</v>
      </c>
      <c r="I14" s="112">
        <f>IF(H14="","",IF($I$8="A",(RANK(H14,H$11:H$355,1)+COUNTIF(H$11:H14,H14)-1),(RANK(H14,H$11:H$355)+COUNTIF(H$11:H14,H14)-1)))</f>
        <v>50</v>
      </c>
      <c r="J14" s="58"/>
      <c r="K14" s="51">
        <f t="shared" si="10"/>
        <v>4</v>
      </c>
      <c r="L14" s="59" t="str">
        <f t="shared" si="2"/>
        <v>Colchester</v>
      </c>
      <c r="M14" s="153">
        <f t="shared" si="3"/>
        <v>280.60000000000002</v>
      </c>
      <c r="N14" s="148">
        <f t="shared" ref="N14:N75" si="23">IF(L14="","",IF($H$8="%%",M14*100,M14))</f>
        <v>280.60000000000002</v>
      </c>
      <c r="O14" s="131">
        <f t="shared" si="11"/>
        <v>280.60000000000002</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Significant Rural (rural including hub towns 26-49%)</v>
      </c>
      <c r="Y14" s="49" t="str">
        <f t="shared" si="4"/>
        <v/>
      </c>
      <c r="Z14" s="57" t="str">
        <f>IF(Y14="","",IF(I$8="A",(RANK(Y14,Y$11:Y$355,1)+COUNTIF(Y$11:Y14,Y14)-1),(RANK(Y14,Y$11:Y$355)+COUNTIF(Y$11:Y14,Y14)-1)))</f>
        <v/>
      </c>
      <c r="AA14" s="242" t="str">
        <f>IF(L14="","",VLOOKUP($L14,classifications!C:I,7,FALSE))</f>
        <v>Significant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Essex</v>
      </c>
      <c r="AJ14" s="62" t="str">
        <f t="shared" si="5"/>
        <v/>
      </c>
      <c r="AK14" s="57" t="str">
        <f>IF(AJ14="","",IF(I$8="A",(RANK(AJ14,AJ$11:AJ$355,1)+COUNTIF(AJ$11:AJ14,AJ14)-1),(RANK(AJ14,AJ$11:AJ$355)+COUNTIF(AJ$11:AJ14,AJ14)-1)))</f>
        <v/>
      </c>
      <c r="AL14" s="52">
        <f t="shared" si="16"/>
        <v>4</v>
      </c>
      <c r="AM14" s="31" t="str">
        <f t="shared" si="6"/>
        <v>Copeland</v>
      </c>
      <c r="AN14" s="31">
        <f t="shared" si="7"/>
        <v>483.2</v>
      </c>
      <c r="AP14" s="61" t="str">
        <f>IF(L14="","",VLOOKUP($L14,classifications!$C:$E,3,FALSE))</f>
        <v>East of England</v>
      </c>
      <c r="AQ14" s="62" t="str">
        <f t="shared" si="17"/>
        <v/>
      </c>
      <c r="AR14" s="57" t="str">
        <f>IF(AQ14="","",IF(I$8="A",(RANK(AQ14,AQ$11:AQ$355,1)+COUNTIF(AQ$11:AQ14,AQ14)-1),(RANK(AQ14,AQ$11:AQ$355)+COUNTIF(AQ$11:AQ14,AQ14)-1)))</f>
        <v/>
      </c>
      <c r="AS14" s="52">
        <f t="shared" si="18"/>
        <v>4</v>
      </c>
      <c r="AT14" s="57" t="str">
        <f t="shared" si="8"/>
        <v>Fylde</v>
      </c>
      <c r="AU14" s="62">
        <f t="shared" si="9"/>
        <v>441.1</v>
      </c>
      <c r="AX14" s="44">
        <f>HLOOKUP($AX$9&amp;$AX$10,Data!$A$1:$ZZ$2000,(MATCH($C14,Data!$A$1:$A$2000,0)),FALSE)</f>
        <v>410.1</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505.7</v>
      </c>
      <c r="G15" s="105"/>
      <c r="H15" s="60">
        <f t="shared" si="1"/>
        <v>505.7</v>
      </c>
      <c r="I15" s="112">
        <f>IF(H15="","",IF($I$8="A",(RANK(H15,H$11:H$355,1)+COUNTIF(H$11:H15,H15)-1),(RANK(H15,H$11:H$355)+COUNTIF(H$11:H15,H15)-1)))</f>
        <v>142</v>
      </c>
      <c r="J15" s="58"/>
      <c r="K15" s="51">
        <f t="shared" si="10"/>
        <v>5</v>
      </c>
      <c r="L15" s="59" t="str">
        <f t="shared" si="2"/>
        <v>Vale of White Horse</v>
      </c>
      <c r="M15" s="153">
        <f t="shared" si="3"/>
        <v>294.8</v>
      </c>
      <c r="N15" s="148">
        <f t="shared" si="23"/>
        <v>294.8</v>
      </c>
      <c r="O15" s="131">
        <f t="shared" si="11"/>
        <v>294.8</v>
      </c>
      <c r="P15" s="131" t="str">
        <f t="shared" si="19"/>
        <v/>
      </c>
      <c r="Q15" s="131" t="str">
        <f t="shared" si="20"/>
        <v/>
      </c>
      <c r="R15" s="127" t="str">
        <f t="shared" si="21"/>
        <v/>
      </c>
      <c r="S15" s="60" t="str">
        <f t="shared" si="12"/>
        <v/>
      </c>
      <c r="T15" s="228" t="str">
        <f>IF(L15="","",VLOOKUP(L15,classifications!C:K,9,FALSE))</f>
        <v>Sparse</v>
      </c>
      <c r="U15" s="235">
        <f t="shared" si="13"/>
        <v>294.8</v>
      </c>
      <c r="V15" s="236">
        <f>IF(U15="","",IF($I$8="A",(RANK(U15,U$11:U$355)+COUNTIF(U$11:U15,U15)-1),(RANK(U15,U$11:U$355,1)+COUNTIF(U$11:U15,U15)-1)))</f>
        <v>69</v>
      </c>
      <c r="W15" s="237"/>
      <c r="X15" s="61" t="str">
        <f>IF(L15="","",VLOOKUP($L15,classifications!$C:$J,6,FALSE))</f>
        <v xml:space="preserve">Largely Rural (rural including hub towns 50-79%) </v>
      </c>
      <c r="Y15" s="49" t="str">
        <f t="shared" si="4"/>
        <v/>
      </c>
      <c r="Z15" s="57" t="str">
        <f>IF(Y15="","",IF(I$8="A",(RANK(Y15,Y$11:Y$355,1)+COUNTIF(Y$11:Y15,Y15)-1),(RANK(Y15,Y$11:Y$355)+COUNTIF(Y$11:Y15,Y15)-1)))</f>
        <v/>
      </c>
      <c r="AA15" s="242" t="str">
        <f>IF(L15="","",VLOOKUP($L15,classifications!C:I,7,FALSE))</f>
        <v>Predominantly Rural</v>
      </c>
      <c r="AB15" s="236">
        <f t="shared" si="14"/>
        <v>294.8</v>
      </c>
      <c r="AC15" s="236">
        <f>IF(AB15="","",IF($I$8="A",(RANK(AB15,AB$11:AB$355)+COUNTIF(AB$11:AB15,AB15)-1),(RANK(AB15,AB$11:AB$355,1)+COUNTIF(AB$11:AB15,AB15)-1)))</f>
        <v>69</v>
      </c>
      <c r="AD15" s="236"/>
      <c r="AE15" s="71" t="e">
        <f>IF(I$8="A",(RANK(AG15,AG$11:AG$355,1)+COUNTIF(AG$11:AG15,AG15)-1),(RANK(AG15,AG$11:AG$355)+COUNTIF(AG$11:AG15,AG15)-1))</f>
        <v>#N/A</v>
      </c>
      <c r="AF15" s="6" t="str">
        <f>VLOOKUP(Profile!$J$5,Families!$C:$R,5,FALSE)</f>
        <v>Bassetlaw</v>
      </c>
      <c r="AG15" s="143">
        <f t="shared" si="15"/>
        <v>631.79999999999995</v>
      </c>
      <c r="AH15" s="72" t="e">
        <f t="shared" si="22"/>
        <v>#N/A</v>
      </c>
      <c r="AI15" s="61" t="str">
        <f>IF(L15="","",VLOOKUP($L15,classifications!$C:$J,8,FALSE))</f>
        <v>Oxfordshire</v>
      </c>
      <c r="AJ15" s="62" t="str">
        <f t="shared" si="5"/>
        <v/>
      </c>
      <c r="AK15" s="57" t="str">
        <f>IF(AJ15="","",IF(I$8="A",(RANK(AJ15,AJ$11:AJ$355,1)+COUNTIF(AJ$11:AJ15,AJ15)-1),(RANK(AJ15,AJ$11:AJ$355)+COUNTIF(AJ$11:AJ15,AJ15)-1)))</f>
        <v/>
      </c>
      <c r="AL15" s="52">
        <f t="shared" si="16"/>
        <v>5</v>
      </c>
      <c r="AM15" s="31" t="str">
        <f t="shared" si="6"/>
        <v>Allerdale</v>
      </c>
      <c r="AN15" s="31">
        <f t="shared" si="7"/>
        <v>522.1</v>
      </c>
      <c r="AP15" s="61" t="str">
        <f>IF(L15="","",VLOOKUP($L15,classifications!$C:$E,3,FALSE))</f>
        <v>South East</v>
      </c>
      <c r="AQ15" s="62" t="str">
        <f t="shared" si="17"/>
        <v/>
      </c>
      <c r="AR15" s="57" t="str">
        <f>IF(AQ15="","",IF(I$8="A",(RANK(AQ15,AQ$11:AQ$355,1)+COUNTIF(AQ$11:AQ15,AQ15)-1),(RANK(AQ15,AQ$11:AQ$355)+COUNTIF(AQ$11:AQ15,AQ15)-1)))</f>
        <v/>
      </c>
      <c r="AS15" s="52">
        <f t="shared" si="18"/>
        <v>5</v>
      </c>
      <c r="AT15" s="57" t="str">
        <f t="shared" si="8"/>
        <v>South Ribble</v>
      </c>
      <c r="AU15" s="62">
        <f t="shared" si="9"/>
        <v>445.3</v>
      </c>
      <c r="AX15" s="44">
        <f>HLOOKUP($AX$9&amp;$AX$10,Data!$A$1:$ZZ$2000,(MATCH($C15,Data!$A$1:$A$2000,0)),FALSE)</f>
        <v>505.7</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352.2</v>
      </c>
      <c r="G16" s="105"/>
      <c r="H16" s="60">
        <f t="shared" si="1"/>
        <v>352.2</v>
      </c>
      <c r="I16" s="112">
        <f>IF(H16="","",IF($I$8="A",(RANK(H16,H$11:H$355,1)+COUNTIF(H$11:H16,H16)-1),(RANK(H16,H$11:H$355)+COUNTIF(H$11:H16,H16)-1)))</f>
        <v>18</v>
      </c>
      <c r="J16" s="58"/>
      <c r="K16" s="51">
        <f t="shared" si="10"/>
        <v>6</v>
      </c>
      <c r="L16" s="59" t="str">
        <f t="shared" si="2"/>
        <v>Derbyshire Dales</v>
      </c>
      <c r="M16" s="153">
        <f t="shared" si="3"/>
        <v>306</v>
      </c>
      <c r="N16" s="148">
        <f t="shared" si="23"/>
        <v>306</v>
      </c>
      <c r="O16" s="131">
        <f t="shared" si="11"/>
        <v>306</v>
      </c>
      <c r="P16" s="131" t="str">
        <f t="shared" si="19"/>
        <v/>
      </c>
      <c r="Q16" s="131" t="str">
        <f t="shared" si="20"/>
        <v/>
      </c>
      <c r="R16" s="127" t="str">
        <f t="shared" si="21"/>
        <v/>
      </c>
      <c r="S16" s="60" t="str">
        <f t="shared" si="12"/>
        <v/>
      </c>
      <c r="T16" s="228" t="str">
        <f>IF(L16="","",VLOOKUP(L16,classifications!C:K,9,FALSE))</f>
        <v>Sparse</v>
      </c>
      <c r="U16" s="235">
        <f t="shared" si="13"/>
        <v>306</v>
      </c>
      <c r="V16" s="236">
        <f>IF(U16="","",IF($I$8="A",(RANK(U16,U$11:U$355)+COUNTIF(U$11:U16,U16)-1),(RANK(U16,U$11:U$355,1)+COUNTIF(U$11:U16,U16)-1)))</f>
        <v>68</v>
      </c>
      <c r="W16" s="237"/>
      <c r="X16" s="61" t="str">
        <f>IF(L16="","",VLOOKUP($L16,classifications!$C:$J,6,FALSE))</f>
        <v xml:space="preserve">Mainly Rural (rural including hub towns &gt;=80%) </v>
      </c>
      <c r="Y16" s="49">
        <f t="shared" si="4"/>
        <v>306</v>
      </c>
      <c r="Z16" s="57">
        <f>IF(Y16="","",IF(I$8="A",(RANK(Y16,Y$11:Y$355,1)+COUNTIF(Y$11:Y16,Y16)-1),(RANK(Y16,Y$11:Y$355)+COUNTIF(Y$11:Y16,Y16)-1)))</f>
        <v>2</v>
      </c>
      <c r="AA16" s="242" t="str">
        <f>IF(L16="","",VLOOKUP($L16,classifications!C:I,7,FALSE))</f>
        <v>Predominantly Rural</v>
      </c>
      <c r="AB16" s="236">
        <f t="shared" si="14"/>
        <v>306</v>
      </c>
      <c r="AC16" s="236">
        <f>IF(AB16="","",IF($I$8="A",(RANK(AB16,AB$11:AB$355)+COUNTIF(AB$11:AB16,AB16)-1),(RANK(AB16,AB$11:AB$355,1)+COUNTIF(AB$11:AB16,AB16)-1)))</f>
        <v>68</v>
      </c>
      <c r="AD16" s="236"/>
      <c r="AE16" s="71" t="e">
        <f>IF(I$8="A",(RANK(AG16,AG$11:AG$355,1)+COUNTIF(AG$11:AG16,AG16)-1),(RANK(AG16,AG$11:AG$355)+COUNTIF(AG$11:AG16,AG16)-1))</f>
        <v>#N/A</v>
      </c>
      <c r="AF16" s="6" t="str">
        <f>VLOOKUP(Profile!$J$5,Families!$C:$R,6,FALSE)</f>
        <v>North Devon</v>
      </c>
      <c r="AG16" s="143">
        <f t="shared" si="15"/>
        <v>409.7</v>
      </c>
      <c r="AH16" s="72" t="e">
        <f t="shared" si="22"/>
        <v>#N/A</v>
      </c>
      <c r="AI16" s="61" t="str">
        <f>IF(L16="","",VLOOKUP($L16,classifications!$C:$J,8,FALSE))</f>
        <v>Derbyshire</v>
      </c>
      <c r="AJ16" s="62" t="str">
        <f t="shared" si="5"/>
        <v/>
      </c>
      <c r="AK16" s="57" t="str">
        <f>IF(AJ16="","",IF(I$8="A",(RANK(AJ16,AJ$11:AJ$355,1)+COUNTIF(AJ$11:AJ16,AJ16)-1),(RANK(AJ16,AJ$11:AJ$355)+COUNTIF(AJ$11:AJ16,AJ16)-1)))</f>
        <v/>
      </c>
      <c r="AL16" s="52">
        <f t="shared" si="16"/>
        <v>6</v>
      </c>
      <c r="AM16" s="31" t="str">
        <f t="shared" si="6"/>
        <v>Barrow-in-Furness</v>
      </c>
      <c r="AN16" s="31">
        <f t="shared" si="7"/>
        <v>570.9</v>
      </c>
      <c r="AP16" s="61" t="str">
        <f>IF(L16="","",VLOOKUP($L16,classifications!$C:$E,3,FALSE))</f>
        <v>East Midlands</v>
      </c>
      <c r="AQ16" s="62" t="str">
        <f t="shared" si="17"/>
        <v/>
      </c>
      <c r="AR16" s="57" t="str">
        <f>IF(AQ16="","",IF(I$8="A",(RANK(AQ16,AQ$11:AQ$355,1)+COUNTIF(AQ$11:AQ16,AQ16)-1),(RANK(AQ16,AQ$11:AQ$355)+COUNTIF(AQ$11:AQ16,AQ16)-1)))</f>
        <v/>
      </c>
      <c r="AS16" s="52">
        <f t="shared" si="18"/>
        <v>6</v>
      </c>
      <c r="AT16" s="57" t="str">
        <f t="shared" si="8"/>
        <v>Chorley</v>
      </c>
      <c r="AU16" s="62">
        <f t="shared" si="9"/>
        <v>455</v>
      </c>
      <c r="AX16" s="44">
        <f>HLOOKUP($AX$9&amp;$AX$10,Data!$A$1:$ZZ$2000,(MATCH($C16,Data!$A$1:$A$2000,0)),FALSE)</f>
        <v>352.2</v>
      </c>
      <c r="AY16" s="156"/>
      <c r="AZ16" s="44"/>
    </row>
    <row r="17" spans="1:52">
      <c r="A17" s="84" t="str">
        <f>$D$1&amp;7</f>
        <v>SD7</v>
      </c>
      <c r="B17" s="85" t="str">
        <f>IF(ISERROR(VLOOKUP(A17,classifications!A:C,3,FALSE)),0,VLOOKUP(A17,classifications!A:C,3,FALSE))</f>
        <v>Cherwell</v>
      </c>
      <c r="C17" s="31" t="s">
        <v>11</v>
      </c>
      <c r="D17" s="49" t="str">
        <f>VLOOKUP($C17,classifications!$C:$J,4,FALSE)</f>
        <v>SD</v>
      </c>
      <c r="E17" s="49">
        <f>VLOOKUP(C17,classifications!C:K,9,FALSE)</f>
        <v>0</v>
      </c>
      <c r="F17" s="59">
        <f t="shared" si="0"/>
        <v>371.9</v>
      </c>
      <c r="G17" s="105"/>
      <c r="H17" s="60">
        <f t="shared" si="1"/>
        <v>371.9</v>
      </c>
      <c r="I17" s="112">
        <f>IF(H17="","",IF($I$8="A",(RANK(H17,H$11:H$355,1)+COUNTIF(H$11:H17,H17)-1),(RANK(H17,H$11:H$355)+COUNTIF(H$11:H17,H17)-1)))</f>
        <v>25</v>
      </c>
      <c r="J17" s="58"/>
      <c r="K17" s="51">
        <f t="shared" si="10"/>
        <v>7</v>
      </c>
      <c r="L17" s="59" t="str">
        <f t="shared" si="2"/>
        <v>South Oxfordshire</v>
      </c>
      <c r="M17" s="153">
        <f t="shared" si="3"/>
        <v>306.89999999999998</v>
      </c>
      <c r="N17" s="148">
        <f t="shared" si="23"/>
        <v>306.89999999999998</v>
      </c>
      <c r="O17" s="131">
        <f t="shared" si="11"/>
        <v>306.89999999999998</v>
      </c>
      <c r="P17" s="131" t="str">
        <f t="shared" si="19"/>
        <v/>
      </c>
      <c r="Q17" s="131" t="str">
        <f t="shared" si="20"/>
        <v/>
      </c>
      <c r="R17" s="127" t="str">
        <f t="shared" si="21"/>
        <v/>
      </c>
      <c r="S17" s="60" t="str">
        <f t="shared" si="12"/>
        <v/>
      </c>
      <c r="T17" s="228" t="str">
        <f>IF(L17="","",VLOOKUP(L17,classifications!C:K,9,FALSE))</f>
        <v>Sparse</v>
      </c>
      <c r="U17" s="235">
        <f t="shared" si="13"/>
        <v>306.89999999999998</v>
      </c>
      <c r="V17" s="236">
        <f>IF(U17="","",IF($I$8="A",(RANK(U17,U$11:U$355)+COUNTIF(U$11:U17,U17)-1),(RANK(U17,U$11:U$355,1)+COUNTIF(U$11:U17,U17)-1)))</f>
        <v>67</v>
      </c>
      <c r="W17" s="237"/>
      <c r="X17" s="61" t="str">
        <f>IF(L17="","",VLOOKUP($L17,classifications!$C:$J,6,FALSE))</f>
        <v xml:space="preserve">Mainly Rural (rural including hub towns &gt;=80%) </v>
      </c>
      <c r="Y17" s="49">
        <f t="shared" si="4"/>
        <v>306.89999999999998</v>
      </c>
      <c r="Z17" s="57">
        <f>IF(Y17="","",IF(I$8="A",(RANK(Y17,Y$11:Y$355,1)+COUNTIF(Y$11:Y17,Y17)-1),(RANK(Y17,Y$11:Y$355)+COUNTIF(Y$11:Y17,Y17)-1)))</f>
        <v>3</v>
      </c>
      <c r="AA17" s="242" t="str">
        <f>IF(L17="","",VLOOKUP($L17,classifications!C:I,7,FALSE))</f>
        <v>Predominantly Rural</v>
      </c>
      <c r="AB17" s="236">
        <f t="shared" si="14"/>
        <v>306.89999999999998</v>
      </c>
      <c r="AC17" s="236">
        <f>IF(AB17="","",IF($I$8="A",(RANK(AB17,AB$11:AB$355)+COUNTIF(AB$11:AB17,AB17)-1),(RANK(AB17,AB$11:AB$355,1)+COUNTIF(AB$11:AB17,AB17)-1)))</f>
        <v>67</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Oxfordshire</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East</v>
      </c>
      <c r="AQ17" s="62" t="str">
        <f t="shared" si="17"/>
        <v/>
      </c>
      <c r="AR17" s="57" t="str">
        <f>IF(AQ17="","",IF(I$8="A",(RANK(AQ17,AQ$11:AQ$355,1)+COUNTIF(AQ$11:AQ17,AQ17)-1),(RANK(AQ17,AQ$11:AQ$355)+COUNTIF(AQ$11:AQ17,AQ17)-1)))</f>
        <v/>
      </c>
      <c r="AS17" s="52">
        <f t="shared" si="18"/>
        <v>7</v>
      </c>
      <c r="AT17" s="57" t="str">
        <f t="shared" si="8"/>
        <v>South Lakeland</v>
      </c>
      <c r="AU17" s="62">
        <f t="shared" si="9"/>
        <v>460.6</v>
      </c>
      <c r="AX17" s="44">
        <f>HLOOKUP($AX$9&amp;$AX$10,Data!$A$1:$ZZ$2000,(MATCH($C17,Data!$A$1:$A$2000,0)),FALSE)</f>
        <v>371.9</v>
      </c>
      <c r="AY17" s="156"/>
      <c r="AZ17" s="44"/>
    </row>
    <row r="18" spans="1:52">
      <c r="A18" s="84" t="str">
        <f>$D$1&amp;8</f>
        <v>SD8</v>
      </c>
      <c r="B18" s="85" t="str">
        <f>IF(ISERROR(VLOOKUP(A18,classifications!A:C,3,FALSE)),0,VLOOKUP(A18,classifications!A:C,3,FALSE))</f>
        <v>Chichester</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Three Rivers</v>
      </c>
      <c r="M18" s="153">
        <f t="shared" si="3"/>
        <v>309.5</v>
      </c>
      <c r="N18" s="148">
        <f t="shared" si="23"/>
        <v>309.5</v>
      </c>
      <c r="O18" s="131">
        <f t="shared" si="11"/>
        <v>309.5</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Major Conurbation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Torridge</v>
      </c>
      <c r="AG18" s="143">
        <f t="shared" si="15"/>
        <v>339.2</v>
      </c>
      <c r="AH18" s="72" t="e">
        <f t="shared" si="22"/>
        <v>#N/A</v>
      </c>
      <c r="AI18" s="61" t="str">
        <f>IF(L18="","",VLOOKUP($L18,classifications!$C:$J,8,FALSE))</f>
        <v>Hertfordshire</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East of England</v>
      </c>
      <c r="AQ18" s="62" t="str">
        <f t="shared" si="17"/>
        <v/>
      </c>
      <c r="AR18" s="57" t="str">
        <f>IF(AQ18="","",IF(I$8="A",(RANK(AQ18,AQ$11:AQ$355,1)+COUNTIF(AQ$11:AQ18,AQ18)-1),(RANK(AQ18,AQ$11:AQ$355)+COUNTIF(AQ$11:AQ18,AQ18)-1)))</f>
        <v/>
      </c>
      <c r="AS18" s="52">
        <f t="shared" si="18"/>
        <v>8</v>
      </c>
      <c r="AT18" s="57" t="str">
        <f t="shared" si="8"/>
        <v>Lancaster</v>
      </c>
      <c r="AU18" s="62">
        <f t="shared" si="9"/>
        <v>465.9</v>
      </c>
      <c r="AX18" s="44" t="str">
        <f>HLOOKUP($AX$9&amp;$AX$10,Data!$A$1:$ZZ$2000,(MATCH($C18,Data!$A$1:$A$2000,0)),FALSE)</f>
        <v>-</v>
      </c>
      <c r="AY18" s="156"/>
      <c r="AZ18" s="44"/>
    </row>
    <row r="19" spans="1:52">
      <c r="A19" s="84" t="str">
        <f>$D$1&amp;9</f>
        <v>SD9</v>
      </c>
      <c r="B19" s="85" t="str">
        <f>IF(ISERROR(VLOOKUP(A19,classifications!A:C,3,FALSE)),0,VLOOKUP(A19,classifications!A:C,3,FALSE))</f>
        <v>Copeland</v>
      </c>
      <c r="C19" s="31" t="s">
        <v>338</v>
      </c>
      <c r="D19" s="49" t="str">
        <f>VLOOKUP($C19,classifications!$C:$J,4,FALSE)</f>
        <v>L</v>
      </c>
      <c r="E19" s="49">
        <f>VLOOKUP(C19,classifications!C:K,9,FALSE)</f>
        <v>0</v>
      </c>
      <c r="F19" s="59">
        <f t="shared" si="0"/>
        <v>891.2</v>
      </c>
      <c r="G19" s="105"/>
      <c r="H19" s="60" t="str">
        <f t="shared" si="1"/>
        <v/>
      </c>
      <c r="I19" s="112" t="str">
        <f>IF(H19="","",IF($I$8="A",(RANK(H19,H$11:H$355,1)+COUNTIF(H$11:H19,H19)-1),(RANK(H19,H$11:H$355)+COUNTIF(H$11:H19,H19)-1)))</f>
        <v/>
      </c>
      <c r="J19" s="58"/>
      <c r="K19" s="51">
        <f t="shared" si="10"/>
        <v>9</v>
      </c>
      <c r="L19" s="59" t="str">
        <f t="shared" si="2"/>
        <v>West Devon</v>
      </c>
      <c r="M19" s="153">
        <f t="shared" si="3"/>
        <v>310.7</v>
      </c>
      <c r="N19" s="148">
        <f t="shared" si="23"/>
        <v>310.7</v>
      </c>
      <c r="O19" s="131">
        <f t="shared" si="11"/>
        <v>310.7</v>
      </c>
      <c r="P19" s="131" t="str">
        <f t="shared" si="19"/>
        <v/>
      </c>
      <c r="Q19" s="131" t="str">
        <f t="shared" si="20"/>
        <v/>
      </c>
      <c r="R19" s="127" t="str">
        <f t="shared" si="21"/>
        <v/>
      </c>
      <c r="S19" s="60" t="str">
        <f t="shared" si="12"/>
        <v/>
      </c>
      <c r="T19" s="228" t="str">
        <f>IF(L19="","",VLOOKUP(L19,classifications!C:K,9,FALSE))</f>
        <v>Sparse</v>
      </c>
      <c r="U19" s="235">
        <f t="shared" si="13"/>
        <v>310.7</v>
      </c>
      <c r="V19" s="236">
        <f>IF(U19="","",IF($I$8="A",(RANK(U19,U$11:U$355)+COUNTIF(U$11:U19,U19)-1),(RANK(U19,U$11:U$355,1)+COUNTIF(U$11:U19,U19)-1)))</f>
        <v>66</v>
      </c>
      <c r="W19" s="237"/>
      <c r="X19" s="61" t="str">
        <f>IF(L19="","",VLOOKUP($L19,classifications!$C:$J,6,FALSE))</f>
        <v xml:space="preserve">Mainly Rural (rural including hub towns &gt;=80%) </v>
      </c>
      <c r="Y19" s="49">
        <f t="shared" si="4"/>
        <v>310.7</v>
      </c>
      <c r="Z19" s="57">
        <f>IF(Y19="","",IF(I$8="A",(RANK(Y19,Y$11:Y$355,1)+COUNTIF(Y$11:Y19,Y19)-1),(RANK(Y19,Y$11:Y$355)+COUNTIF(Y$11:Y19,Y19)-1)))</f>
        <v>4</v>
      </c>
      <c r="AA19" s="242" t="str">
        <f>IF(L19="","",VLOOKUP($L19,classifications!C:I,7,FALSE))</f>
        <v>Predominantly Rural</v>
      </c>
      <c r="AB19" s="236">
        <f t="shared" si="14"/>
        <v>310.7</v>
      </c>
      <c r="AC19" s="236">
        <f>IF(AB19="","",IF($I$8="A",(RANK(AB19,AB$11:AB$355)+COUNTIF(AB$11:AB19,AB19)-1),(RANK(AB19,AB$11:AB$355,1)+COUNTIF(AB$11:AB19,AB19)-1)))</f>
        <v>66</v>
      </c>
      <c r="AD19" s="236"/>
      <c r="AE19" s="71" t="e">
        <f>IF(I$8="A",(RANK(AG19,AG$11:AG$355,1)+COUNTIF(AG$11:AG19,AG19)-1),(RANK(AG19,AG$11:AG$355)+COUNTIF(AG$11:AG19,AG19)-1))</f>
        <v>#N/A</v>
      </c>
      <c r="AF19" s="6" t="str">
        <f>VLOOKUP(Profile!$J$5,Families!$C:$R,9,FALSE)</f>
        <v>Newark &amp; Sherwood</v>
      </c>
      <c r="AG19" s="143">
        <f t="shared" si="15"/>
        <v>565.9</v>
      </c>
      <c r="AH19" s="72" t="e">
        <f t="shared" si="22"/>
        <v>#N/A</v>
      </c>
      <c r="AI19" s="61" t="str">
        <f>IF(L19="","",VLOOKUP($L19,classifications!$C:$J,8,FALSE))</f>
        <v>Devon</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South West</v>
      </c>
      <c r="AQ19" s="62" t="str">
        <f t="shared" si="17"/>
        <v/>
      </c>
      <c r="AR19" s="57" t="str">
        <f>IF(AQ19="","",IF(I$8="A",(RANK(AQ19,AQ$11:AQ$355,1)+COUNTIF(AQ$11:AQ19,AQ19)-1),(RANK(AQ19,AQ$11:AQ$355)+COUNTIF(AQ$11:AQ19,AQ19)-1)))</f>
        <v/>
      </c>
      <c r="AS19" s="52">
        <f t="shared" si="18"/>
        <v>9</v>
      </c>
      <c r="AT19" s="57" t="str">
        <f t="shared" si="8"/>
        <v>Burnley</v>
      </c>
      <c r="AU19" s="62">
        <f t="shared" si="9"/>
        <v>471.7</v>
      </c>
      <c r="AX19" s="44">
        <f>HLOOKUP($AX$9&amp;$AX$10,Data!$A$1:$ZZ$2000,(MATCH($C19,Data!$A$1:$A$2000,0)),FALSE)</f>
        <v>891.2</v>
      </c>
      <c r="AY19" s="156"/>
      <c r="AZ19" s="44"/>
    </row>
    <row r="20" spans="1:52">
      <c r="A20" s="84" t="str">
        <f>$D$1&amp;10</f>
        <v>SD10</v>
      </c>
      <c r="B20" s="85" t="str">
        <f>IF(ISERROR(VLOOKUP(A20,classifications!A:C,3,FALSE)),0,VLOOKUP(A20,classifications!A:C,3,FALSE))</f>
        <v>Cotswold</v>
      </c>
      <c r="C20" s="31" t="s">
        <v>196</v>
      </c>
      <c r="D20" s="49" t="str">
        <f>VLOOKUP($C20,classifications!$C:$J,4,FALSE)</f>
        <v>L</v>
      </c>
      <c r="E20" s="49">
        <f>VLOOKUP(C20,classifications!C:K,9,FALSE)</f>
        <v>0</v>
      </c>
      <c r="F20" s="59">
        <f t="shared" si="0"/>
        <v>630.5</v>
      </c>
      <c r="G20" s="105"/>
      <c r="H20" s="60" t="str">
        <f t="shared" si="1"/>
        <v/>
      </c>
      <c r="I20" s="112" t="str">
        <f>IF(H20="","",IF($I$8="A",(RANK(H20,H$11:H$355,1)+COUNTIF(H$11:H20,H20)-1),(RANK(H20,H$11:H$355)+COUNTIF(H$11:H20,H20)-1)))</f>
        <v/>
      </c>
      <c r="J20" s="58"/>
      <c r="K20" s="51">
        <f t="shared" si="10"/>
        <v>10</v>
      </c>
      <c r="L20" s="59" t="str">
        <f t="shared" si="2"/>
        <v>Surrey Heath</v>
      </c>
      <c r="M20" s="153">
        <f t="shared" si="3"/>
        <v>324.89999999999998</v>
      </c>
      <c r="N20" s="148">
        <f t="shared" si="23"/>
        <v>324.89999999999998</v>
      </c>
      <c r="O20" s="131">
        <f t="shared" si="11"/>
        <v>324.89999999999998</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IF(U20="","",IF($I$8="A",(RANK(U20,U$11:U$355)+COUNTIF(U$11:U20,U20)-1),(RANK(U20,U$11:U$355,1)+COUNTIF(U$11:U20,U20)-1)))</f>
        <v/>
      </c>
      <c r="W20" s="237"/>
      <c r="X20" s="61" t="str">
        <f>IF(L20="","",VLOOKUP($L20,classifications!$C:$J,6,FALSE))</f>
        <v>Urban with City and Town</v>
      </c>
      <c r="Y20" s="49" t="str">
        <f t="shared" si="4"/>
        <v/>
      </c>
      <c r="Z20" s="57" t="str">
        <f>IF(Y20="","",IF(I$8="A",(RANK(Y20,Y$11:Y$355,1)+COUNTIF(Y$11:Y20,Y20)-1),(RANK(Y20,Y$11:Y$355)+COUNTIF(Y$11:Y20,Y20)-1)))</f>
        <v/>
      </c>
      <c r="AA20" s="242" t="str">
        <f>IF(L20="","",VLOOKUP($L20,classifications!C:I,7,FALSE))</f>
        <v>Predominantly Urban</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Amber Valley</v>
      </c>
      <c r="AG20" s="143">
        <f t="shared" si="15"/>
        <v>551.9</v>
      </c>
      <c r="AH20" s="72" t="e">
        <f t="shared" si="22"/>
        <v>#N/A</v>
      </c>
      <c r="AI20" s="61" t="str">
        <f>IF(L20="","",VLOOKUP($L20,classifications!$C:$J,8,FALSE))</f>
        <v>Surrey</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East</v>
      </c>
      <c r="AQ20" s="62" t="str">
        <f t="shared" si="17"/>
        <v/>
      </c>
      <c r="AR20" s="57" t="str">
        <f>IF(AQ20="","",IF(I$8="A",(RANK(AQ20,AQ$11:AQ$355,1)+COUNTIF(AQ$11:AQ20,AQ20)-1),(RANK(AQ20,AQ$11:AQ$355)+COUNTIF(AQ$11:AQ20,AQ20)-1)))</f>
        <v/>
      </c>
      <c r="AS20" s="52">
        <f t="shared" si="18"/>
        <v>10</v>
      </c>
      <c r="AT20" s="57" t="str">
        <f t="shared" si="8"/>
        <v>Carlisle</v>
      </c>
      <c r="AU20" s="62">
        <f t="shared" si="9"/>
        <v>474.4</v>
      </c>
      <c r="AX20" s="44">
        <f>HLOOKUP($AX$9&amp;$AX$10,Data!$A$1:$ZZ$2000,(MATCH($C20,Data!$A$1:$A$2000,0)),FALSE)</f>
        <v>630.5</v>
      </c>
      <c r="AY20" s="156"/>
      <c r="AZ20" s="44"/>
    </row>
    <row r="21" spans="1:52">
      <c r="A21" s="84" t="str">
        <f>$D$1&amp;11</f>
        <v>SD11</v>
      </c>
      <c r="B21" s="85" t="str">
        <f>IF(ISERROR(VLOOKUP(A21,classifications!A:C,3,FALSE)),0,VLOOKUP(A21,classifications!A:C,3,FALSE))</f>
        <v>Craven</v>
      </c>
      <c r="C21" s="31" t="s">
        <v>222</v>
      </c>
      <c r="D21" s="49" t="str">
        <f>VLOOKUP($C21,classifications!$C:$J,4,FALSE)</f>
        <v>MD</v>
      </c>
      <c r="E21" s="49">
        <f>VLOOKUP(C21,classifications!C:K,9,FALSE)</f>
        <v>0</v>
      </c>
      <c r="F21" s="59">
        <f t="shared" si="0"/>
        <v>478.8</v>
      </c>
      <c r="G21" s="105"/>
      <c r="H21" s="60" t="str">
        <f t="shared" si="1"/>
        <v/>
      </c>
      <c r="I21" s="112" t="str">
        <f>IF(H21="","",IF($I$8="A",(RANK(H21,H$11:H$355,1)+COUNTIF(H$11:H21,H21)-1),(RANK(H21,H$11:H$355)+COUNTIF(H$11:H21,H21)-1)))</f>
        <v/>
      </c>
      <c r="J21" s="58"/>
      <c r="K21" s="51">
        <f t="shared" si="10"/>
        <v>11</v>
      </c>
      <c r="L21" s="59" t="str">
        <f t="shared" si="2"/>
        <v>Oxford</v>
      </c>
      <c r="M21" s="153">
        <f t="shared" si="3"/>
        <v>331.5</v>
      </c>
      <c r="N21" s="148">
        <f t="shared" si="23"/>
        <v>331.5</v>
      </c>
      <c r="O21" s="131">
        <f t="shared" si="11"/>
        <v>331.5</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IF(U21="","",IF($I$8="A",(RANK(U21,U$11:U$355)+COUNTIF(U$11:U21,U21)-1),(RANK(U21,U$11:U$355,1)+COUNTIF(U$11:U21,U21)-1)))</f>
        <v/>
      </c>
      <c r="W21" s="237"/>
      <c r="X21" s="61" t="str">
        <f>IF(L21="","",VLOOKUP($L21,classifications!$C:$J,6,FALSE))</f>
        <v>Urban with City and Town</v>
      </c>
      <c r="Y21" s="49" t="str">
        <f t="shared" si="4"/>
        <v/>
      </c>
      <c r="Z21" s="57" t="str">
        <f>IF(Y21="","",IF(I$8="A",(RANK(Y21,Y$11:Y$355,1)+COUNTIF(Y$11:Y21,Y21)-1),(RANK(Y21,Y$11:Y$355)+COUNTIF(Y$11:Y21,Y21)-1)))</f>
        <v/>
      </c>
      <c r="AA21" s="242" t="str">
        <f>IF(L21="","",VLOOKUP($L21,classifications!C:I,7,FALSE))</f>
        <v>Predominantly Urban</v>
      </c>
      <c r="AB21" s="236" t="str">
        <f t="shared" si="14"/>
        <v/>
      </c>
      <c r="AC21" s="236" t="str">
        <f>IF(AB21="","",IF($I$8="A",(RANK(AB21,AB$11:AB$355)+COUNTIF(AB$11:AB21,AB21)-1),(RANK(AB21,AB$11:AB$355,1)+COUNTIF(AB$11:AB21,AB21)-1)))</f>
        <v/>
      </c>
      <c r="AD21" s="236"/>
      <c r="AE21" s="71" t="e">
        <f>IF(I$8="A",(RANK(AG21,AG$11:AG$355,1)+COUNTIF(AG$11:AG21,AG21)-1),(RANK(AG21,AG$11:AG$355)+COUNTIF(AG$11:AG21,AG21)-1))</f>
        <v>#N/A</v>
      </c>
      <c r="AF21" s="6" t="str">
        <f>VLOOKUP(Profile!$J$5,Families!$C:$R,11,FALSE)</f>
        <v>Copeland</v>
      </c>
      <c r="AG21" s="143">
        <f t="shared" si="15"/>
        <v>483.2</v>
      </c>
      <c r="AH21" s="72" t="e">
        <f t="shared" si="22"/>
        <v>#N/A</v>
      </c>
      <c r="AI21" s="61" t="str">
        <f>IF(L21="","",VLOOKUP($L21,classifications!$C:$J,8,FALSE))</f>
        <v>Oxfordshire</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East</v>
      </c>
      <c r="AQ21" s="62" t="str">
        <f t="shared" si="17"/>
        <v/>
      </c>
      <c r="AR21" s="57" t="str">
        <f>IF(AQ21="","",IF(I$8="A",(RANK(AQ21,AQ$11:AQ$355,1)+COUNTIF(AQ$11:AQ21,AQ21)-1),(RANK(AQ21,AQ$11:AQ$355)+COUNTIF(AQ$11:AQ21,AQ21)-1)))</f>
        <v/>
      </c>
      <c r="AS21" s="52">
        <f t="shared" si="18"/>
        <v>11</v>
      </c>
      <c r="AT21" s="57" t="str">
        <f t="shared" si="8"/>
        <v>West Lancashire</v>
      </c>
      <c r="AU21" s="62">
        <f t="shared" si="9"/>
        <v>477.2</v>
      </c>
      <c r="AX21" s="44">
        <f>HLOOKUP($AX$9&amp;$AX$10,Data!$A$1:$ZZ$2000,(MATCH($C21,Data!$A$1:$A$2000,0)),FALSE)</f>
        <v>478.8</v>
      </c>
      <c r="AY21" s="156"/>
      <c r="AZ21" s="44"/>
    </row>
    <row r="22" spans="1:52">
      <c r="A22" s="84" t="str">
        <f>$D$1&amp;12</f>
        <v>SD12</v>
      </c>
      <c r="B22" s="85" t="str">
        <f>IF(ISERROR(VLOOKUP(A22,classifications!A:C,3,FALSE)),0,VLOOKUP(A22,classifications!A:C,3,FALSE))</f>
        <v>Daventry</v>
      </c>
      <c r="C22" s="31" t="s">
        <v>13</v>
      </c>
      <c r="D22" s="49" t="str">
        <f>VLOOKUP($C22,classifications!$C:$J,4,FALSE)</f>
        <v>SD</v>
      </c>
      <c r="E22" s="49">
        <f>VLOOKUP(C22,classifications!C:K,9,FALSE)</f>
        <v>0</v>
      </c>
      <c r="F22" s="59">
        <f t="shared" si="0"/>
        <v>570.9</v>
      </c>
      <c r="G22" s="105"/>
      <c r="H22" s="60">
        <f t="shared" si="1"/>
        <v>570.9</v>
      </c>
      <c r="I22" s="112">
        <f>IF(H22="","",IF($I$8="A",(RANK(H22,H$11:H$355,1)+COUNTIF(H$11:H22,H22)-1),(RANK(H22,H$11:H$355)+COUNTIF(H$11:H22,H22)-1)))</f>
        <v>177</v>
      </c>
      <c r="J22" s="58"/>
      <c r="K22" s="51">
        <f t="shared" si="10"/>
        <v>12</v>
      </c>
      <c r="L22" s="59" t="str">
        <f t="shared" si="2"/>
        <v>South Hams</v>
      </c>
      <c r="M22" s="153">
        <f t="shared" si="3"/>
        <v>333.9</v>
      </c>
      <c r="N22" s="148">
        <f t="shared" si="23"/>
        <v>333.9</v>
      </c>
      <c r="O22" s="131">
        <f t="shared" si="11"/>
        <v>333.9</v>
      </c>
      <c r="P22" s="131" t="str">
        <f t="shared" si="19"/>
        <v/>
      </c>
      <c r="Q22" s="131" t="str">
        <f t="shared" si="20"/>
        <v/>
      </c>
      <c r="R22" s="127" t="str">
        <f t="shared" si="21"/>
        <v/>
      </c>
      <c r="S22" s="60" t="str">
        <f t="shared" si="12"/>
        <v/>
      </c>
      <c r="T22" s="228" t="str">
        <f>IF(L22="","",VLOOKUP(L22,classifications!C:K,9,FALSE))</f>
        <v>Sparse</v>
      </c>
      <c r="U22" s="235">
        <f t="shared" si="13"/>
        <v>333.9</v>
      </c>
      <c r="V22" s="236">
        <f>IF(U22="","",IF($I$8="A",(RANK(U22,U$11:U$355)+COUNTIF(U$11:U22,U22)-1),(RANK(U22,U$11:U$355,1)+COUNTIF(U$11:U22,U22)-1)))</f>
        <v>65</v>
      </c>
      <c r="W22" s="237"/>
      <c r="X22" s="61" t="str">
        <f>IF(L22="","",VLOOKUP($L22,classifications!$C:$J,6,FALSE))</f>
        <v xml:space="preserve">Mainly Rural (rural including hub towns &gt;=80%) </v>
      </c>
      <c r="Y22" s="49">
        <f t="shared" si="4"/>
        <v>333.9</v>
      </c>
      <c r="Z22" s="57">
        <f>IF(Y22="","",IF(I$8="A",(RANK(Y22,Y$11:Y$355,1)+COUNTIF(Y$11:Y22,Y22)-1),(RANK(Y22,Y$11:Y$355)+COUNTIF(Y$11:Y22,Y22)-1)))</f>
        <v>5</v>
      </c>
      <c r="AA22" s="242" t="str">
        <f>IF(L22="","",VLOOKUP($L22,classifications!C:I,7,FALSE))</f>
        <v>Predominantly Rural</v>
      </c>
      <c r="AB22" s="236">
        <f t="shared" si="14"/>
        <v>333.9</v>
      </c>
      <c r="AC22" s="236">
        <f>IF(AB22="","",IF($I$8="A",(RANK(AB22,AB$11:AB$355)+COUNTIF(AB$11:AB22,AB22)-1),(RANK(AB22,AB$11:AB$355,1)+COUNTIF(AB$11:AB22,AB22)-1)))</f>
        <v>65</v>
      </c>
      <c r="AD22" s="236"/>
      <c r="AE22" s="71" t="e">
        <f>IF(I$8="A",(RANK(AG22,AG$11:AG$355,1)+COUNTIF(AG$11:AG22,AG22)-1),(RANK(AG22,AG$11:AG$355)+COUNTIF(AG$11:AG22,AG22)-1))</f>
        <v>#N/A</v>
      </c>
      <c r="AF22" s="6" t="str">
        <f>VLOOKUP(Profile!$J$5,Families!$C:$R,12,FALSE)</f>
        <v>Newcastle-under-Lyme</v>
      </c>
      <c r="AG22" s="143">
        <f t="shared" si="15"/>
        <v>456.8</v>
      </c>
      <c r="AH22" s="72" t="e">
        <f t="shared" si="22"/>
        <v>#N/A</v>
      </c>
      <c r="AI22" s="61" t="str">
        <f>IF(L22="","",VLOOKUP($L22,classifications!$C:$J,8,FALSE))</f>
        <v>Devon</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West</v>
      </c>
      <c r="AQ22" s="62" t="str">
        <f t="shared" si="17"/>
        <v/>
      </c>
      <c r="AR22" s="57" t="str">
        <f>IF(AQ22="","",IF(I$8="A",(RANK(AQ22,AQ$11:AQ$355,1)+COUNTIF(AQ$11:AQ22,AQ22)-1),(RANK(AQ22,AQ$11:AQ$355)+COUNTIF(AQ$11:AQ22,AQ22)-1)))</f>
        <v/>
      </c>
      <c r="AS22" s="52">
        <f t="shared" si="18"/>
        <v>12</v>
      </c>
      <c r="AT22" s="57" t="str">
        <f t="shared" si="8"/>
        <v>Copeland</v>
      </c>
      <c r="AU22" s="62">
        <f t="shared" si="9"/>
        <v>483.2</v>
      </c>
      <c r="AX22" s="44">
        <f>HLOOKUP($AX$9&amp;$AX$10,Data!$A$1:$ZZ$2000,(MATCH($C22,Data!$A$1:$A$2000,0)),FALSE)</f>
        <v>570.9</v>
      </c>
      <c r="AY22" s="156"/>
      <c r="AZ22" s="44"/>
    </row>
    <row r="23" spans="1:52">
      <c r="A23" s="84" t="str">
        <f>$D$1&amp;13</f>
        <v>SD13</v>
      </c>
      <c r="B23" s="85" t="str">
        <f>IF(ISERROR(VLOOKUP(A23,classifications!A:C,3,FALSE)),0,VLOOKUP(A23,classifications!A:C,3,FALSE))</f>
        <v>Derbyshire Dales</v>
      </c>
      <c r="C23" s="31" t="s">
        <v>14</v>
      </c>
      <c r="D23" s="49" t="str">
        <f>VLOOKUP($C23,classifications!$C:$J,4,FALSE)</f>
        <v>SD</v>
      </c>
      <c r="E23" s="49">
        <f>VLOOKUP(C23,classifications!C:K,9,FALSE)</f>
        <v>0</v>
      </c>
      <c r="F23" s="59">
        <f t="shared" si="0"/>
        <v>537</v>
      </c>
      <c r="G23" s="105"/>
      <c r="H23" s="60">
        <f t="shared" si="1"/>
        <v>537</v>
      </c>
      <c r="I23" s="112">
        <f>IF(H23="","",IF($I$8="A",(RANK(H23,H$11:H$355,1)+COUNTIF(H$11:H23,H23)-1),(RANK(H23,H$11:H$355)+COUNTIF(H$11:H23,H23)-1)))</f>
        <v>161</v>
      </c>
      <c r="J23" s="58"/>
      <c r="K23" s="51">
        <f t="shared" si="10"/>
        <v>13</v>
      </c>
      <c r="L23" s="59" t="str">
        <f t="shared" si="2"/>
        <v>Maldon</v>
      </c>
      <c r="M23" s="153">
        <f t="shared" si="3"/>
        <v>336.8</v>
      </c>
      <c r="N23" s="148">
        <f t="shared" si="23"/>
        <v>336.8</v>
      </c>
      <c r="O23" s="131">
        <f t="shared" si="11"/>
        <v>336.8</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 xml:space="preserve">Mainly Rural (rural including hub towns &gt;=80%) </v>
      </c>
      <c r="Y23" s="49">
        <f t="shared" si="4"/>
        <v>336.8</v>
      </c>
      <c r="Z23" s="57">
        <f>IF(Y23="","",IF(I$8="A",(RANK(Y23,Y$11:Y$355,1)+COUNTIF(Y$11:Y23,Y23)-1),(RANK(Y23,Y$11:Y$355)+COUNTIF(Y$11:Y23,Y23)-1)))</f>
        <v>6</v>
      </c>
      <c r="AA23" s="242" t="str">
        <f>IF(L23="","",VLOOKUP($L23,classifications!C:I,7,FALSE))</f>
        <v>Predominantly Rural</v>
      </c>
      <c r="AB23" s="236">
        <f t="shared" si="14"/>
        <v>336.8</v>
      </c>
      <c r="AC23" s="236">
        <f>IF(AB23="","",IF($I$8="A",(RANK(AB23,AB$11:AB$355)+COUNTIF(AB$11:AB23,AB23)-1),(RANK(AB23,AB$11:AB$355,1)+COUNTIF(AB$11:AB23,AB23)-1)))</f>
        <v>64</v>
      </c>
      <c r="AD23" s="236"/>
      <c r="AE23" s="71" t="e">
        <f>IF(I$8="A",(RANK(AG23,AG$11:AG$355,1)+COUNTIF(AG$11:AG23,AG23)-1),(RANK(AG23,AG$11:AG$355)+COUNTIF(AG$11:AG23,AG23)-1))</f>
        <v>#N/A</v>
      </c>
      <c r="AF23" s="6" t="str">
        <f>VLOOKUP(Profile!$J$5,Families!$C:$R,13,FALSE)</f>
        <v>Wyre Forest</v>
      </c>
      <c r="AG23" s="143">
        <f t="shared" si="15"/>
        <v>520.4</v>
      </c>
      <c r="AH23" s="72" t="e">
        <f t="shared" si="22"/>
        <v>#N/A</v>
      </c>
      <c r="AI23" s="61" t="str">
        <f>IF(L23="","",VLOOKUP($L23,classifications!$C:$J,8,FALSE))</f>
        <v>Essex</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East of England</v>
      </c>
      <c r="AQ23" s="62" t="str">
        <f t="shared" si="17"/>
        <v/>
      </c>
      <c r="AR23" s="57" t="str">
        <f>IF(AQ23="","",IF(I$8="A",(RANK(AQ23,AQ$11:AQ$355,1)+COUNTIF(AQ$11:AQ23,AQ23)-1),(RANK(AQ23,AQ$11:AQ$355)+COUNTIF(AQ$11:AQ23,AQ23)-1)))</f>
        <v/>
      </c>
      <c r="AS23" s="52">
        <f t="shared" si="18"/>
        <v>13</v>
      </c>
      <c r="AT23" s="57" t="str">
        <f t="shared" si="8"/>
        <v>Allerdale</v>
      </c>
      <c r="AU23" s="62">
        <f t="shared" si="9"/>
        <v>522.1</v>
      </c>
      <c r="AX23" s="44">
        <f>HLOOKUP($AX$9&amp;$AX$10,Data!$A$1:$ZZ$2000,(MATCH($C23,Data!$A$1:$A$2000,0)),FALSE)</f>
        <v>537</v>
      </c>
      <c r="AY23" s="156"/>
      <c r="AZ23" s="44"/>
    </row>
    <row r="24" spans="1:52">
      <c r="A24" s="84" t="str">
        <f>$D$1&amp;14</f>
        <v>SD14</v>
      </c>
      <c r="B24" s="85" t="str">
        <f>IF(ISERROR(VLOOKUP(A24,classifications!A:C,3,FALSE)),0,VLOOKUP(A24,classifications!A:C,3,FALSE))</f>
        <v>East Cambridgeshire</v>
      </c>
      <c r="C24" s="31" t="s">
        <v>342</v>
      </c>
      <c r="D24" s="49" t="str">
        <f>VLOOKUP($C24,classifications!$C:$J,4,FALSE)</f>
        <v>SD</v>
      </c>
      <c r="E24" s="49">
        <f>VLOOKUP(C24,classifications!C:K,9,FALSE)</f>
        <v>0</v>
      </c>
      <c r="F24" s="59">
        <f t="shared" si="0"/>
        <v>555.9</v>
      </c>
      <c r="G24" s="105"/>
      <c r="H24" s="60">
        <f t="shared" si="1"/>
        <v>555.9</v>
      </c>
      <c r="I24" s="112">
        <f>IF(H24="","",IF($I$8="A",(RANK(H24,H$11:H$355,1)+COUNTIF(H$11:H24,H24)-1),(RANK(H24,H$11:H$355)+COUNTIF(H$11:H24,H24)-1)))</f>
        <v>171</v>
      </c>
      <c r="J24" s="58"/>
      <c r="K24" s="51">
        <f t="shared" si="10"/>
        <v>14</v>
      </c>
      <c r="L24" s="59" t="str">
        <f t="shared" si="2"/>
        <v>North Hertfordshire</v>
      </c>
      <c r="M24" s="153">
        <f t="shared" si="3"/>
        <v>337.4</v>
      </c>
      <c r="N24" s="148">
        <f t="shared" si="23"/>
        <v>337.4</v>
      </c>
      <c r="O24" s="131">
        <f t="shared" si="11"/>
        <v>337.4</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Significant Rural (rural including hub towns 26-49%)</v>
      </c>
      <c r="Y24" s="49" t="str">
        <f t="shared" si="4"/>
        <v/>
      </c>
      <c r="Z24" s="57" t="str">
        <f>IF(Y24="","",IF(I$8="A",(RANK(Y24,Y$11:Y$355,1)+COUNTIF(Y$11:Y24,Y24)-1),(RANK(Y24,Y$11:Y$355)+COUNTIF(Y$11:Y24,Y24)-1)))</f>
        <v/>
      </c>
      <c r="AA24" s="242" t="str">
        <f>IF(L24="","",VLOOKUP($L24,classifications!C:I,7,FALSE))</f>
        <v>Significant Rural</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North East Derbyshire</v>
      </c>
      <c r="AG24" s="143">
        <f t="shared" si="15"/>
        <v>465.5</v>
      </c>
      <c r="AH24" s="72" t="e">
        <f t="shared" si="22"/>
        <v>#N/A</v>
      </c>
      <c r="AI24" s="61" t="str">
        <f>IF(L24="","",VLOOKUP($L24,classifications!$C:$J,8,FALSE))</f>
        <v>Hertfordshire</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East of England</v>
      </c>
      <c r="AQ24" s="62" t="str">
        <f t="shared" si="17"/>
        <v/>
      </c>
      <c r="AR24" s="57" t="str">
        <f>IF(AQ24="","",IF(I$8="A",(RANK(AQ24,AQ$11:AQ$355,1)+COUNTIF(AQ$11:AQ24,AQ24)-1),(RANK(AQ24,AQ$11:AQ$355)+COUNTIF(AQ$11:AQ24,AQ24)-1)))</f>
        <v/>
      </c>
      <c r="AS24" s="52">
        <f t="shared" si="18"/>
        <v>14</v>
      </c>
      <c r="AT24" s="57" t="str">
        <f t="shared" si="8"/>
        <v>Rossendale</v>
      </c>
      <c r="AU24" s="62">
        <f t="shared" si="9"/>
        <v>523.79999999999995</v>
      </c>
      <c r="AX24" s="44">
        <f>HLOOKUP($AX$9&amp;$AX$10,Data!$A$1:$ZZ$2000,(MATCH($C24,Data!$A$1:$A$2000,0)),FALSE)</f>
        <v>555.9</v>
      </c>
      <c r="AY24" s="156"/>
      <c r="AZ24" s="44"/>
    </row>
    <row r="25" spans="1:52">
      <c r="A25" s="84" t="str">
        <f>$D$1&amp;15</f>
        <v>SD15</v>
      </c>
      <c r="B25" s="85" t="str">
        <f>IF(ISERROR(VLOOKUP(A25,classifications!A:C,3,FALSE)),0,VLOOKUP(A25,classifications!A:C,3,FALSE))</f>
        <v>East Devon</v>
      </c>
      <c r="C25" s="31" t="s">
        <v>15</v>
      </c>
      <c r="D25" s="49" t="str">
        <f>VLOOKUP($C25,classifications!$C:$J,4,FALSE)</f>
        <v>SD</v>
      </c>
      <c r="E25" s="49">
        <f>VLOOKUP(C25,classifications!C:K,9,FALSE)</f>
        <v>0</v>
      </c>
      <c r="F25" s="59">
        <f t="shared" si="0"/>
        <v>631.79999999999995</v>
      </c>
      <c r="G25" s="105"/>
      <c r="H25" s="60">
        <f t="shared" si="1"/>
        <v>631.79999999999995</v>
      </c>
      <c r="I25" s="112">
        <f>IF(H25="","",IF($I$8="A",(RANK(H25,H$11:H$355,1)+COUNTIF(H$11:H25,H25)-1),(RANK(H25,H$11:H$355)+COUNTIF(H$11:H25,H25)-1)))</f>
        <v>182</v>
      </c>
      <c r="J25" s="58"/>
      <c r="K25" s="51">
        <f t="shared" si="10"/>
        <v>15</v>
      </c>
      <c r="L25" s="59" t="str">
        <f t="shared" si="2"/>
        <v>Torridge</v>
      </c>
      <c r="M25" s="153">
        <f t="shared" si="3"/>
        <v>339.2</v>
      </c>
      <c r="N25" s="148">
        <f t="shared" si="23"/>
        <v>339.2</v>
      </c>
      <c r="O25" s="131">
        <f t="shared" si="11"/>
        <v>339.2</v>
      </c>
      <c r="P25" s="131" t="str">
        <f t="shared" si="19"/>
        <v/>
      </c>
      <c r="Q25" s="131" t="str">
        <f t="shared" si="20"/>
        <v/>
      </c>
      <c r="R25" s="127" t="str">
        <f t="shared" si="21"/>
        <v/>
      </c>
      <c r="S25" s="60" t="str">
        <f t="shared" si="12"/>
        <v/>
      </c>
      <c r="T25" s="228" t="str">
        <f>IF(L25="","",VLOOKUP(L25,classifications!C:K,9,FALSE))</f>
        <v>Sparse</v>
      </c>
      <c r="U25" s="235">
        <f t="shared" si="13"/>
        <v>339.2</v>
      </c>
      <c r="V25" s="236">
        <f>IF(U25="","",IF($I$8="A",(RANK(U25,U$11:U$355)+COUNTIF(U$11:U25,U25)-1),(RANK(U25,U$11:U$355,1)+COUNTIF(U$11:U25,U25)-1)))</f>
        <v>64</v>
      </c>
      <c r="W25" s="237"/>
      <c r="X25" s="61" t="str">
        <f>IF(L25="","",VLOOKUP($L25,classifications!$C:$J,6,FALSE))</f>
        <v xml:space="preserve">Mainly Rural (rural including hub towns &gt;=80%) </v>
      </c>
      <c r="Y25" s="49">
        <f t="shared" si="4"/>
        <v>339.2</v>
      </c>
      <c r="Z25" s="57">
        <f>IF(Y25="","",IF(I$8="A",(RANK(Y25,Y$11:Y$355,1)+COUNTIF(Y$11:Y25,Y25)-1),(RANK(Y25,Y$11:Y$355)+COUNTIF(Y$11:Y25,Y25)-1)))</f>
        <v>7</v>
      </c>
      <c r="AA25" s="242" t="str">
        <f>IF(L25="","",VLOOKUP($L25,classifications!C:I,7,FALSE))</f>
        <v>Predominantly Rural</v>
      </c>
      <c r="AB25" s="236">
        <f t="shared" si="14"/>
        <v>339.2</v>
      </c>
      <c r="AC25" s="236">
        <f>IF(AB25="","",IF($I$8="A",(RANK(AB25,AB$11:AB$355)+COUNTIF(AB$11:AB25,AB25)-1),(RANK(AB25,AB$11:AB$355,1)+COUNTIF(AB$11:AB25,AB25)-1)))</f>
        <v>63</v>
      </c>
      <c r="AD25" s="236"/>
      <c r="AE25" s="71" t="e">
        <f>IF(I$8="A",(RANK(AG25,AG$11:AG$355,1)+COUNTIF(AG$11:AG25,AG25)-1),(RANK(AG25,AG$11:AG$355)+COUNTIF(AG$11:AG25,AG25)-1))</f>
        <v>#N/A</v>
      </c>
      <c r="AF25" s="6" t="str">
        <f>VLOOKUP(Profile!$J$5,Families!$C:$R,15,FALSE)</f>
        <v>Bolsover</v>
      </c>
      <c r="AG25" s="143">
        <f t="shared" si="15"/>
        <v>540.9</v>
      </c>
      <c r="AH25" s="72" t="e">
        <f t="shared" si="22"/>
        <v>#N/A</v>
      </c>
      <c r="AI25" s="61" t="str">
        <f>IF(L25="","",VLOOKUP($L25,classifications!$C:$J,8,FALSE))</f>
        <v>Devon</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South West</v>
      </c>
      <c r="AQ25" s="62" t="str">
        <f t="shared" si="17"/>
        <v/>
      </c>
      <c r="AR25" s="57" t="str">
        <f>IF(AQ25="","",IF(I$8="A",(RANK(AQ25,AQ$11:AQ$355,1)+COUNTIF(AQ$11:AQ25,AQ25)-1),(RANK(AQ25,AQ$11:AQ$355)+COUNTIF(AQ$11:AQ25,AQ25)-1)))</f>
        <v/>
      </c>
      <c r="AS25" s="52">
        <f t="shared" si="18"/>
        <v>15</v>
      </c>
      <c r="AT25" s="57" t="str">
        <f t="shared" si="8"/>
        <v>Pendle</v>
      </c>
      <c r="AU25" s="62">
        <f t="shared" si="9"/>
        <v>549.79999999999995</v>
      </c>
      <c r="AX25" s="44">
        <f>HLOOKUP($AX$9&amp;$AX$10,Data!$A$1:$ZZ$2000,(MATCH($C25,Data!$A$1:$A$2000,0)),FALSE)</f>
        <v>631.79999999999995</v>
      </c>
      <c r="AY25" s="156"/>
      <c r="AZ25" s="44"/>
    </row>
    <row r="26" spans="1:52">
      <c r="A26" s="84" t="str">
        <f>$D$1&amp;16</f>
        <v>SD16</v>
      </c>
      <c r="B26" s="85" t="str">
        <f>IF(ISERROR(VLOOKUP(A26,classifications!A:C,3,FALSE)),0,VLOOKUP(A26,classifications!A:C,3,FALSE))</f>
        <v>East Hertfordshire</v>
      </c>
      <c r="C26" s="31" t="s">
        <v>258</v>
      </c>
      <c r="D26" s="49" t="str">
        <f>VLOOKUP($C26,classifications!$C:$J,4,FALSE)</f>
        <v>UA</v>
      </c>
      <c r="E26" s="49">
        <f>VLOOKUP(C26,classifications!C:K,9,FALSE)</f>
        <v>0</v>
      </c>
      <c r="F26" s="59">
        <f t="shared" si="0"/>
        <v>389.7</v>
      </c>
      <c r="G26" s="105"/>
      <c r="H26" s="60" t="str">
        <f t="shared" si="1"/>
        <v/>
      </c>
      <c r="I26" s="112" t="str">
        <f>IF(H26="","",IF($I$8="A",(RANK(H26,H$11:H$355,1)+COUNTIF(H$11:H26,H26)-1),(RANK(H26,H$11:H$355)+COUNTIF(H$11:H26,H26)-1)))</f>
        <v/>
      </c>
      <c r="J26" s="58"/>
      <c r="K26" s="51">
        <f t="shared" si="10"/>
        <v>16</v>
      </c>
      <c r="L26" s="59" t="str">
        <f t="shared" si="2"/>
        <v>Teignbridge</v>
      </c>
      <c r="M26" s="153">
        <f t="shared" si="3"/>
        <v>341.5</v>
      </c>
      <c r="N26" s="148">
        <f t="shared" si="23"/>
        <v>341.5</v>
      </c>
      <c r="O26" s="131">
        <f t="shared" si="11"/>
        <v>341.5</v>
      </c>
      <c r="P26" s="131" t="str">
        <f t="shared" si="19"/>
        <v/>
      </c>
      <c r="Q26" s="131" t="str">
        <f t="shared" si="20"/>
        <v/>
      </c>
      <c r="R26" s="127" t="str">
        <f t="shared" si="21"/>
        <v/>
      </c>
      <c r="S26" s="60" t="str">
        <f t="shared" si="12"/>
        <v/>
      </c>
      <c r="T26" s="228" t="str">
        <f>IF(L26="","",VLOOKUP(L26,classifications!C:K,9,FALSE))</f>
        <v>Sparse</v>
      </c>
      <c r="U26" s="235">
        <f t="shared" si="13"/>
        <v>341.5</v>
      </c>
      <c r="V26" s="236">
        <f>IF(U26="","",IF($I$8="A",(RANK(U26,U$11:U$355)+COUNTIF(U$11:U26,U26)-1),(RANK(U26,U$11:U$355,1)+COUNTIF(U$11:U26,U26)-1)))</f>
        <v>63</v>
      </c>
      <c r="W26" s="237"/>
      <c r="X26" s="61" t="str">
        <f>IF(L26="","",VLOOKUP($L26,classifications!$C:$J,6,FALSE))</f>
        <v xml:space="preserve">Largely Rural (rural including hub towns 50-79%) </v>
      </c>
      <c r="Y26" s="49" t="str">
        <f t="shared" si="4"/>
        <v/>
      </c>
      <c r="Z26" s="57" t="str">
        <f>IF(Y26="","",IF(I$8="A",(RANK(Y26,Y$11:Y$355,1)+COUNTIF(Y$11:Y26,Y26)-1),(RANK(Y26,Y$11:Y$355)+COUNTIF(Y$11:Y26,Y26)-1)))</f>
        <v/>
      </c>
      <c r="AA26" s="242" t="str">
        <f>IF(L26="","",VLOOKUP($L26,classifications!C:I,7,FALSE))</f>
        <v>Predominantly Rural</v>
      </c>
      <c r="AB26" s="236">
        <f t="shared" si="14"/>
        <v>341.5</v>
      </c>
      <c r="AC26" s="236">
        <f>IF(AB26="","",IF($I$8="A",(RANK(AB26,AB$11:AB$355)+COUNTIF(AB$11:AB26,AB26)-1),(RANK(AB26,AB$11:AB$355,1)+COUNTIF(AB$11:AB26,AB26)-1)))</f>
        <v>62</v>
      </c>
      <c r="AD26" s="236"/>
      <c r="AE26" s="71" t="e">
        <f>IF(I$8="A",(RANK(AG26,AG$11:AG$355,1)+COUNTIF(AG$11:AG26,AG26)-1),(RANK(AG26,AG$11:AG$355)+COUNTIF(AG$11:AG26,AG26)-1))</f>
        <v>#N/A</v>
      </c>
      <c r="AF26" s="6" t="str">
        <f>VLOOKUP(Profile!$J$5,Families!$C:$R,16,FALSE)</f>
        <v>Wyre</v>
      </c>
      <c r="AG26" s="143">
        <f t="shared" si="15"/>
        <v>431.3</v>
      </c>
      <c r="AH26" s="72" t="e">
        <f t="shared" si="22"/>
        <v>#N/A</v>
      </c>
      <c r="AI26" s="61" t="str">
        <f>IF(L26="","",VLOOKUP($L26,classifications!$C:$J,8,FALSE))</f>
        <v>Devon</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West</v>
      </c>
      <c r="AQ26" s="62" t="str">
        <f t="shared" si="17"/>
        <v/>
      </c>
      <c r="AR26" s="57" t="str">
        <f>IF(AQ26="","",IF(I$8="A",(RANK(AQ26,AQ$11:AQ$355,1)+COUNTIF(AQ$11:AQ26,AQ26)-1),(RANK(AQ26,AQ$11:AQ$355)+COUNTIF(AQ$11:AQ26,AQ26)-1)))</f>
        <v/>
      </c>
      <c r="AS26" s="52">
        <f t="shared" si="18"/>
        <v>16</v>
      </c>
      <c r="AT26" s="57" t="str">
        <f t="shared" si="8"/>
        <v>Preston</v>
      </c>
      <c r="AU26" s="62">
        <f t="shared" si="9"/>
        <v>554.70000000000005</v>
      </c>
      <c r="AX26" s="44">
        <f>HLOOKUP($AX$9&amp;$AX$10,Data!$A$1:$ZZ$2000,(MATCH($C26,Data!$A$1:$A$2000,0)),FALSE)</f>
        <v>389.7</v>
      </c>
      <c r="AY26" s="156"/>
      <c r="AZ26" s="44"/>
    </row>
    <row r="27" spans="1:52">
      <c r="A27" s="84" t="str">
        <f>$D$1&amp;17</f>
        <v>SD17</v>
      </c>
      <c r="B27" s="85" t="str">
        <f>IF(ISERROR(VLOOKUP(A27,classifications!A:C,3,FALSE)),0,VLOOKUP(A27,classifications!A:C,3,FALSE))</f>
        <v>East Lindsey</v>
      </c>
      <c r="C27" s="31" t="s">
        <v>259</v>
      </c>
      <c r="D27" s="49" t="str">
        <f>VLOOKUP($C27,classifications!$C:$J,4,FALSE)</f>
        <v>UA</v>
      </c>
      <c r="E27" s="49">
        <f>VLOOKUP(C27,classifications!C:K,9,FALSE)</f>
        <v>0</v>
      </c>
      <c r="F27" s="59">
        <f t="shared" si="0"/>
        <v>554.79999999999995</v>
      </c>
      <c r="G27" s="105"/>
      <c r="H27" s="60" t="str">
        <f t="shared" si="1"/>
        <v/>
      </c>
      <c r="I27" s="112" t="str">
        <f>IF(H27="","",IF($I$8="A",(RANK(H27,H$11:H$355,1)+COUNTIF(H$11:H27,H27)-1),(RANK(H27,H$11:H$355)+COUNTIF(H$11:H27,H27)-1)))</f>
        <v/>
      </c>
      <c r="J27" s="58"/>
      <c r="K27" s="51">
        <f t="shared" si="10"/>
        <v>17</v>
      </c>
      <c r="L27" s="59" t="str">
        <f t="shared" si="2"/>
        <v>Rochford</v>
      </c>
      <c r="M27" s="153">
        <f t="shared" si="3"/>
        <v>345</v>
      </c>
      <c r="N27" s="148">
        <f t="shared" si="23"/>
        <v>345</v>
      </c>
      <c r="O27" s="131">
        <f t="shared" si="11"/>
        <v>345</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Essex</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East of England</v>
      </c>
      <c r="AQ27" s="62" t="str">
        <f t="shared" si="17"/>
        <v/>
      </c>
      <c r="AR27" s="57" t="str">
        <f>IF(AQ27="","",IF(I$8="A",(RANK(AQ27,AQ$11:AQ$355,1)+COUNTIF(AQ$11:AQ27,AQ27)-1),(RANK(AQ27,AQ$11:AQ$355)+COUNTIF(AQ$11:AQ27,AQ27)-1)))</f>
        <v/>
      </c>
      <c r="AS27" s="52">
        <f t="shared" si="18"/>
        <v>17</v>
      </c>
      <c r="AT27" s="57" t="str">
        <f t="shared" si="8"/>
        <v>Barrow-in-Furness</v>
      </c>
      <c r="AU27" s="62">
        <f t="shared" si="9"/>
        <v>570.9</v>
      </c>
      <c r="AX27" s="44">
        <f>HLOOKUP($AX$9&amp;$AX$10,Data!$A$1:$ZZ$2000,(MATCH($C27,Data!$A$1:$A$2000,0)),FALSE)</f>
        <v>554.79999999999995</v>
      </c>
      <c r="AY27" s="156"/>
      <c r="AZ27" s="44"/>
    </row>
    <row r="28" spans="1:52">
      <c r="A28" s="84" t="str">
        <f>$D$1&amp;18</f>
        <v>SD18</v>
      </c>
      <c r="B28" s="85" t="str">
        <f>IF(ISERROR(VLOOKUP(A28,classifications!A:C,3,FALSE)),0,VLOOKUP(A28,classifications!A:C,3,FALSE))</f>
        <v>East Northamptonshire</v>
      </c>
      <c r="C28" s="31" t="s">
        <v>197</v>
      </c>
      <c r="D28" s="49" t="str">
        <f>VLOOKUP($C28,classifications!$C:$J,4,FALSE)</f>
        <v>L</v>
      </c>
      <c r="E28" s="49">
        <f>VLOOKUP(C28,classifications!C:K,9,FALSE)</f>
        <v>0</v>
      </c>
      <c r="F28" s="59">
        <f t="shared" si="0"/>
        <v>438.4</v>
      </c>
      <c r="G28" s="105"/>
      <c r="H28" s="60" t="str">
        <f t="shared" si="1"/>
        <v/>
      </c>
      <c r="I28" s="112" t="str">
        <f>IF(H28="","",IF($I$8="A",(RANK(H28,H$11:H$355,1)+COUNTIF(H$11:H28,H28)-1),(RANK(H28,H$11:H$355)+COUNTIF(H$11:H28,H28)-1)))</f>
        <v/>
      </c>
      <c r="J28" s="58"/>
      <c r="K28" s="51">
        <f t="shared" si="10"/>
        <v>18</v>
      </c>
      <c r="L28" s="59" t="str">
        <f t="shared" si="2"/>
        <v>Ashford</v>
      </c>
      <c r="M28" s="153">
        <f t="shared" si="3"/>
        <v>352.2</v>
      </c>
      <c r="N28" s="148">
        <f t="shared" si="23"/>
        <v>352.2</v>
      </c>
      <c r="O28" s="131">
        <f t="shared" si="11"/>
        <v>352.2</v>
      </c>
      <c r="P28" s="131" t="str">
        <f t="shared" si="19"/>
        <v/>
      </c>
      <c r="Q28" s="131" t="str">
        <f t="shared" si="20"/>
        <v/>
      </c>
      <c r="R28" s="127" t="str">
        <f t="shared" si="21"/>
        <v/>
      </c>
      <c r="S28" s="60" t="str">
        <f t="shared" si="12"/>
        <v/>
      </c>
      <c r="T28" s="228" t="str">
        <f>IF(L28="","",VLOOKUP(L28,classifications!C:K,9,FALSE))</f>
        <v>Sparse</v>
      </c>
      <c r="U28" s="235">
        <f t="shared" si="13"/>
        <v>352.2</v>
      </c>
      <c r="V28" s="236">
        <f>IF(U28="","",IF($I$8="A",(RANK(U28,U$11:U$355)+COUNTIF(U$11:U28,U28)-1),(RANK(U28,U$11:U$355,1)+COUNTIF(U$11:U28,U28)-1)))</f>
        <v>62</v>
      </c>
      <c r="W28" s="237"/>
      <c r="X28" s="61" t="str">
        <f>IF(L28="","",VLOOKUP($L28,classifications!$C:$J,6,FALSE))</f>
        <v>Urban with Significant Rural (rural including hub towns 26-49%)</v>
      </c>
      <c r="Y28" s="49" t="str">
        <f t="shared" si="4"/>
        <v/>
      </c>
      <c r="Z28" s="57" t="str">
        <f>IF(Y28="","",IF(I$8="A",(RANK(Y28,Y$11:Y$355,1)+COUNTIF(Y$11:Y28,Y28)-1),(RANK(Y28,Y$11:Y$355)+COUNTIF(Y$11:Y28,Y28)-1)))</f>
        <v/>
      </c>
      <c r="AA28" s="242" t="str">
        <f>IF(L28="","",VLOOKUP($L28,classifications!C:I,7,FALSE))</f>
        <v>Significant Rural</v>
      </c>
      <c r="AB28" s="236" t="str">
        <f t="shared" si="14"/>
        <v/>
      </c>
      <c r="AC28" s="236" t="str">
        <f>IF(AB28="","",IF($I$8="A",(RANK(AB28,AB$11:AB$355)+COUNTIF(AB$11:AB28,AB28)-1),(RANK(AB28,AB$11:AB$355,1)+COUNTIF(AB$11:AB28,AB28)-1)))</f>
        <v/>
      </c>
      <c r="AD28" s="236"/>
      <c r="AE28" s="51"/>
      <c r="AF28" s="6"/>
      <c r="AG28" s="143"/>
      <c r="AH28" s="52"/>
      <c r="AI28" s="61" t="str">
        <f>IF(L28="","",VLOOKUP($L28,classifications!$C:$J,8,FALSE))</f>
        <v>Kent</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South East</v>
      </c>
      <c r="AQ28" s="62" t="str">
        <f t="shared" si="17"/>
        <v/>
      </c>
      <c r="AR28" s="57" t="str">
        <f>IF(AQ28="","",IF(I$8="A",(RANK(AQ28,AQ$11:AQ$355,1)+COUNTIF(AQ$11:AQ28,AQ28)-1),(RANK(AQ28,AQ$11:AQ$355)+COUNTIF(AQ$11:AQ28,AQ28)-1)))</f>
        <v/>
      </c>
      <c r="AS28" s="52">
        <f t="shared" si="18"/>
        <v>18</v>
      </c>
      <c r="AT28" s="57" t="str">
        <f t="shared" si="8"/>
        <v>Ribble Valley</v>
      </c>
      <c r="AU28" s="62">
        <f t="shared" si="9"/>
        <v>580.5</v>
      </c>
      <c r="AX28" s="44">
        <f>HLOOKUP($AX$9&amp;$AX$10,Data!$A$1:$ZZ$2000,(MATCH($C28,Data!$A$1:$A$2000,0)),FALSE)</f>
        <v>438.4</v>
      </c>
      <c r="AY28" s="156"/>
      <c r="AZ28" s="44"/>
    </row>
    <row r="29" spans="1:52">
      <c r="A29" s="84" t="str">
        <f>$D$1&amp;19</f>
        <v>SD19</v>
      </c>
      <c r="B29" s="85" t="str">
        <f>IF(ISERROR(VLOOKUP(A29,classifications!A:C,3,FALSE)),0,VLOOKUP(A29,classifications!A:C,3,FALSE))</f>
        <v>Eden</v>
      </c>
      <c r="C29" s="31" t="s">
        <v>223</v>
      </c>
      <c r="D29" s="49" t="str">
        <f>VLOOKUP($C29,classifications!$C:$J,4,FALSE)</f>
        <v>MD</v>
      </c>
      <c r="E29" s="49">
        <f>VLOOKUP(C29,classifications!C:K,9,FALSE)</f>
        <v>0</v>
      </c>
      <c r="F29" s="59">
        <f t="shared" si="0"/>
        <v>704.5</v>
      </c>
      <c r="G29" s="105"/>
      <c r="H29" s="60" t="str">
        <f t="shared" si="1"/>
        <v/>
      </c>
      <c r="I29" s="112" t="str">
        <f>IF(H29="","",IF($I$8="A",(RANK(H29,H$11:H$355,1)+COUNTIF(H$11:H29,H29)-1),(RANK(H29,H$11:H$355)+COUNTIF(H$11:H29,H29)-1)))</f>
        <v/>
      </c>
      <c r="J29" s="58"/>
      <c r="K29" s="51">
        <f t="shared" si="10"/>
        <v>19</v>
      </c>
      <c r="L29" s="59" t="str">
        <f t="shared" si="2"/>
        <v>Guildford</v>
      </c>
      <c r="M29" s="153">
        <f t="shared" si="3"/>
        <v>355.6</v>
      </c>
      <c r="N29" s="148">
        <f t="shared" si="23"/>
        <v>355.6</v>
      </c>
      <c r="O29" s="131">
        <f t="shared" si="11"/>
        <v>355.6</v>
      </c>
      <c r="P29" s="131" t="str">
        <f t="shared" si="19"/>
        <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Surrey</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South East</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704.5</v>
      </c>
      <c r="AY29" s="156"/>
      <c r="AZ29" s="44"/>
    </row>
    <row r="30" spans="1:52">
      <c r="A30" s="84" t="str">
        <f>$D$1&amp;20</f>
        <v>SD20</v>
      </c>
      <c r="B30" s="85" t="str">
        <f>IF(ISERROR(VLOOKUP(A30,classifications!A:C,3,FALSE)),0,VLOOKUP(A30,classifications!A:C,3,FALSE))</f>
        <v>Forest of Dean</v>
      </c>
      <c r="C30" s="31" t="s">
        <v>16</v>
      </c>
      <c r="D30" s="49" t="str">
        <f>VLOOKUP($C30,classifications!$C:$J,4,FALSE)</f>
        <v>SD</v>
      </c>
      <c r="E30" s="49">
        <f>VLOOKUP(C30,classifications!C:K,9,FALSE)</f>
        <v>0</v>
      </c>
      <c r="F30" s="59">
        <f t="shared" si="0"/>
        <v>477.4</v>
      </c>
      <c r="G30" s="105"/>
      <c r="H30" s="60">
        <f t="shared" si="1"/>
        <v>477.4</v>
      </c>
      <c r="I30" s="112">
        <f>IF(H30="","",IF($I$8="A",(RANK(H30,H$11:H$355,1)+COUNTIF(H$11:H30,H30)-1),(RANK(H30,H$11:H$355)+COUNTIF(H$11:H30,H30)-1)))</f>
        <v>122</v>
      </c>
      <c r="J30" s="58"/>
      <c r="K30" s="51">
        <f t="shared" si="10"/>
        <v>20</v>
      </c>
      <c r="L30" s="59" t="str">
        <f t="shared" si="2"/>
        <v>Dover</v>
      </c>
      <c r="M30" s="153">
        <f t="shared" si="3"/>
        <v>356.5</v>
      </c>
      <c r="N30" s="148">
        <f t="shared" si="23"/>
        <v>356.5</v>
      </c>
      <c r="O30" s="131">
        <f t="shared" si="11"/>
        <v>356.5</v>
      </c>
      <c r="P30" s="131" t="str">
        <f t="shared" si="19"/>
        <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Urban with Significant Rural (rural including hub towns 26-49%)</v>
      </c>
      <c r="Y30" s="49" t="str">
        <f t="shared" si="4"/>
        <v/>
      </c>
      <c r="Z30" s="57" t="str">
        <f>IF(Y30="","",IF(I$8="A",(RANK(Y30,Y$11:Y$355,1)+COUNTIF(Y$11:Y30,Y30)-1),(RANK(Y30,Y$11:Y$355)+COUNTIF(Y$11:Y30,Y30)-1)))</f>
        <v/>
      </c>
      <c r="AA30" s="242" t="str">
        <f>IF(L30="","",VLOOKUP($L30,classifications!C:I,7,FALSE))</f>
        <v>Significant Rural</v>
      </c>
      <c r="AB30" s="236" t="str">
        <f t="shared" si="14"/>
        <v/>
      </c>
      <c r="AC30" s="236" t="str">
        <f>IF(AB30="","",IF($I$8="A",(RANK(AB30,AB$11:AB$355)+COUNTIF(AB$11:AB30,AB30)-1),(RANK(AB30,AB$11:AB$355,1)+COUNTIF(AB$11:AB30,AB30)-1)))</f>
        <v/>
      </c>
      <c r="AD30" s="236"/>
      <c r="AE30" s="51"/>
      <c r="AF30" s="6"/>
      <c r="AG30" s="143"/>
      <c r="AH30" s="52"/>
      <c r="AI30" s="61" t="str">
        <f>IF(L30="","",VLOOKUP($L30,classifications!$C:$J,8,FALSE))</f>
        <v>Kent</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477.4</v>
      </c>
      <c r="AY30" s="156"/>
      <c r="AZ30" s="44"/>
    </row>
    <row r="31" spans="1:52">
      <c r="A31" s="84" t="str">
        <f>$D$1&amp;21</f>
        <v>SD21</v>
      </c>
      <c r="B31" s="85" t="str">
        <f>IF(ISERROR(VLOOKUP(A31,classifications!A:C,3,FALSE)),0,VLOOKUP(A31,classifications!A:C,3,FALSE))</f>
        <v>Hambleton</v>
      </c>
      <c r="C31" s="31" t="s">
        <v>260</v>
      </c>
      <c r="D31" s="49" t="str">
        <f>VLOOKUP($C31,classifications!$C:$J,4,FALSE)</f>
        <v>UA</v>
      </c>
      <c r="E31" s="49">
        <f>VLOOKUP(C31,classifications!C:K,9,FALSE)</f>
        <v>0</v>
      </c>
      <c r="F31" s="59">
        <f t="shared" si="0"/>
        <v>611.1</v>
      </c>
      <c r="G31" s="105"/>
      <c r="H31" s="60" t="str">
        <f t="shared" si="1"/>
        <v/>
      </c>
      <c r="I31" s="112" t="str">
        <f>IF(H31="","",IF($I$8="A",(RANK(H31,H$11:H$355,1)+COUNTIF(H$11:H31,H31)-1),(RANK(H31,H$11:H$355)+COUNTIF(H$11:H31,H31)-1)))</f>
        <v/>
      </c>
      <c r="J31" s="58"/>
      <c r="K31" s="51">
        <f t="shared" si="10"/>
        <v>21</v>
      </c>
      <c r="L31" s="59" t="str">
        <f t="shared" si="2"/>
        <v>Mid Devon</v>
      </c>
      <c r="M31" s="153">
        <f t="shared" si="3"/>
        <v>361.4</v>
      </c>
      <c r="N31" s="148">
        <f t="shared" si="23"/>
        <v>361.4</v>
      </c>
      <c r="O31" s="131">
        <f t="shared" si="11"/>
        <v>361.4</v>
      </c>
      <c r="P31" s="131" t="str">
        <f t="shared" si="19"/>
        <v/>
      </c>
      <c r="Q31" s="131" t="str">
        <f t="shared" si="20"/>
        <v/>
      </c>
      <c r="R31" s="127" t="str">
        <f t="shared" si="21"/>
        <v/>
      </c>
      <c r="S31" s="60" t="str">
        <f t="shared" si="12"/>
        <v/>
      </c>
      <c r="T31" s="228" t="str">
        <f>IF(L31="","",VLOOKUP(L31,classifications!C:K,9,FALSE))</f>
        <v>Sparse</v>
      </c>
      <c r="U31" s="235">
        <f t="shared" si="13"/>
        <v>361.4</v>
      </c>
      <c r="V31" s="236">
        <f>IF(U31="","",IF($I$8="A",(RANK(U31,U$11:U$355)+COUNTIF(U$11:U31,U31)-1),(RANK(U31,U$11:U$355,1)+COUNTIF(U$11:U31,U31)-1)))</f>
        <v>61</v>
      </c>
      <c r="W31" s="237"/>
      <c r="X31" s="61" t="str">
        <f>IF(L31="","",VLOOKUP($L31,classifications!$C:$J,6,FALSE))</f>
        <v xml:space="preserve">Mainly Rural (rural including hub towns &gt;=80%) </v>
      </c>
      <c r="Y31" s="49">
        <f t="shared" si="4"/>
        <v>361.4</v>
      </c>
      <c r="Z31" s="57">
        <f>IF(Y31="","",IF(I$8="A",(RANK(Y31,Y$11:Y$355,1)+COUNTIF(Y$11:Y31,Y31)-1),(RANK(Y31,Y$11:Y$355)+COUNTIF(Y$11:Y31,Y31)-1)))</f>
        <v>8</v>
      </c>
      <c r="AA31" s="242" t="str">
        <f>IF(L31="","",VLOOKUP($L31,classifications!C:I,7,FALSE))</f>
        <v>Predominantly Rural</v>
      </c>
      <c r="AB31" s="236">
        <f t="shared" si="14"/>
        <v>361.4</v>
      </c>
      <c r="AC31" s="236">
        <f>IF(AB31="","",IF($I$8="A",(RANK(AB31,AB$11:AB$355)+COUNTIF(AB$11:AB31,AB31)-1),(RANK(AB31,AB$11:AB$355,1)+COUNTIF(AB$11:AB31,AB31)-1)))</f>
        <v>61</v>
      </c>
      <c r="AD31" s="236"/>
      <c r="AE31" s="51"/>
      <c r="AF31" s="6"/>
      <c r="AG31" s="143"/>
      <c r="AH31" s="52"/>
      <c r="AI31" s="61" t="str">
        <f>IF(L31="","",VLOOKUP($L31,classifications!$C:$J,8,FALSE))</f>
        <v>Devon</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South West</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611.1</v>
      </c>
      <c r="AY31" s="156"/>
      <c r="AZ31" s="44"/>
    </row>
    <row r="32" spans="1:52">
      <c r="A32" s="84" t="str">
        <f>$D$1&amp;22</f>
        <v>SD22</v>
      </c>
      <c r="B32" s="85" t="str">
        <f>IF(ISERROR(VLOOKUP(A32,classifications!A:C,3,FALSE)),0,VLOOKUP(A32,classifications!A:C,3,FALSE))</f>
        <v>Harborough</v>
      </c>
      <c r="C32" s="31" t="s">
        <v>261</v>
      </c>
      <c r="D32" s="49" t="str">
        <f>VLOOKUP($C32,classifications!$C:$J,4,FALSE)</f>
        <v>UA</v>
      </c>
      <c r="E32" s="49">
        <f>VLOOKUP(C32,classifications!C:K,9,FALSE)</f>
        <v>0</v>
      </c>
      <c r="F32" s="59">
        <f t="shared" si="0"/>
        <v>552.5</v>
      </c>
      <c r="G32" s="105"/>
      <c r="H32" s="60" t="str">
        <f t="shared" si="1"/>
        <v/>
      </c>
      <c r="I32" s="112" t="str">
        <f>IF(H32="","",IF($I$8="A",(RANK(H32,H$11:H$355,1)+COUNTIF(H$11:H32,H32)-1),(RANK(H32,H$11:H$355)+COUNTIF(H$11:H32,H32)-1)))</f>
        <v/>
      </c>
      <c r="J32" s="58"/>
      <c r="K32" s="51">
        <f t="shared" si="10"/>
        <v>22</v>
      </c>
      <c r="L32" s="59" t="str">
        <f t="shared" si="2"/>
        <v>Tandridge</v>
      </c>
      <c r="M32" s="153">
        <f t="shared" si="3"/>
        <v>362.9</v>
      </c>
      <c r="N32" s="148">
        <f t="shared" si="23"/>
        <v>362.9</v>
      </c>
      <c r="O32" s="131">
        <f t="shared" si="11"/>
        <v>362.9</v>
      </c>
      <c r="P32" s="131" t="str">
        <f t="shared" si="19"/>
        <v/>
      </c>
      <c r="Q32" s="131" t="str">
        <f t="shared" si="20"/>
        <v/>
      </c>
      <c r="R32" s="127" t="str">
        <f t="shared" si="21"/>
        <v/>
      </c>
      <c r="S32" s="60" t="str">
        <f t="shared" si="12"/>
        <v/>
      </c>
      <c r="T32" s="228" t="str">
        <f>IF(L32="","",VLOOKUP(L32,classifications!C:K,9,FALSE))</f>
        <v>Sparse</v>
      </c>
      <c r="U32" s="235">
        <f t="shared" si="13"/>
        <v>362.9</v>
      </c>
      <c r="V32" s="236">
        <f>IF(U32="","",IF($I$8="A",(RANK(U32,U$11:U$355)+COUNTIF(U$11:U32,U32)-1),(RANK(U32,U$11:U$355,1)+COUNTIF(U$11:U32,U32)-1)))</f>
        <v>60</v>
      </c>
      <c r="W32" s="237"/>
      <c r="X32" s="61" t="str">
        <f>IF(L32="","",VLOOKUP($L32,classifications!$C:$J,6,FALSE))</f>
        <v>Urban with Significant Rural (rural including hub towns 26-49%)</v>
      </c>
      <c r="Y32" s="49" t="str">
        <f t="shared" si="4"/>
        <v/>
      </c>
      <c r="Z32" s="57" t="str">
        <f>IF(Y32="","",IF(I$8="A",(RANK(Y32,Y$11:Y$355,1)+COUNTIF(Y$11:Y32,Y32)-1),(RANK(Y32,Y$11:Y$355)+COUNTIF(Y$11:Y32,Y32)-1)))</f>
        <v/>
      </c>
      <c r="AA32" s="242" t="str">
        <f>IF(L32="","",VLOOKUP($L32,classifications!C:I,7,FALSE))</f>
        <v>Significant Rural</v>
      </c>
      <c r="AB32" s="236" t="str">
        <f t="shared" si="14"/>
        <v/>
      </c>
      <c r="AC32" s="236" t="str">
        <f>IF(AB32="","",IF($I$8="A",(RANK(AB32,AB$11:AB$355)+COUNTIF(AB$11:AB32,AB32)-1),(RANK(AB32,AB$11:AB$355,1)+COUNTIF(AB$11:AB32,AB32)-1)))</f>
        <v/>
      </c>
      <c r="AD32" s="236"/>
      <c r="AE32" s="51"/>
      <c r="AG32" s="143"/>
      <c r="AH32" s="52"/>
      <c r="AI32" s="61" t="str">
        <f>IF(L32="","",VLOOKUP($L32,classifications!$C:$J,8,FALSE))</f>
        <v>Surrey</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552.5</v>
      </c>
      <c r="AY32" s="156"/>
      <c r="AZ32" s="44"/>
    </row>
    <row r="33" spans="1:52">
      <c r="A33" s="84" t="str">
        <f>$D$1&amp;23</f>
        <v>SD23</v>
      </c>
      <c r="B33" s="85" t="str">
        <f>IF(ISERROR(VLOOKUP(A33,classifications!A:C,3,FALSE)),0,VLOOKUP(A33,classifications!A:C,3,FALSE))</f>
        <v>Harrogate</v>
      </c>
      <c r="C33" s="31" t="s">
        <v>17</v>
      </c>
      <c r="D33" s="49" t="str">
        <f>VLOOKUP($C33,classifications!$C:$J,4,FALSE)</f>
        <v>SD</v>
      </c>
      <c r="E33" s="49">
        <f>VLOOKUP(C33,classifications!C:K,9,FALSE)</f>
        <v>0</v>
      </c>
      <c r="F33" s="59">
        <f t="shared" si="0"/>
        <v>540.9</v>
      </c>
      <c r="G33" s="105"/>
      <c r="H33" s="60">
        <f t="shared" si="1"/>
        <v>540.9</v>
      </c>
      <c r="I33" s="112">
        <f>IF(H33="","",IF($I$8="A",(RANK(H33,H$11:H$355,1)+COUNTIF(H$11:H33,H33)-1),(RANK(H33,H$11:H$355)+COUNTIF(H$11:H33,H33)-1)))</f>
        <v>163</v>
      </c>
      <c r="J33" s="58"/>
      <c r="K33" s="51">
        <f t="shared" si="10"/>
        <v>23</v>
      </c>
      <c r="L33" s="59" t="str">
        <f t="shared" si="2"/>
        <v>East Cambridgeshire</v>
      </c>
      <c r="M33" s="153">
        <f t="shared" si="3"/>
        <v>368.2</v>
      </c>
      <c r="N33" s="148">
        <f t="shared" si="23"/>
        <v>368.2</v>
      </c>
      <c r="O33" s="131">
        <f t="shared" si="11"/>
        <v>368.2</v>
      </c>
      <c r="P33" s="131" t="str">
        <f t="shared" si="19"/>
        <v/>
      </c>
      <c r="Q33" s="131" t="str">
        <f t="shared" si="20"/>
        <v/>
      </c>
      <c r="R33" s="127" t="str">
        <f t="shared" si="21"/>
        <v/>
      </c>
      <c r="S33" s="60" t="str">
        <f t="shared" si="12"/>
        <v/>
      </c>
      <c r="T33" s="228" t="str">
        <f>IF(L33="","",VLOOKUP(L33,classifications!C:K,9,FALSE))</f>
        <v>Sparse</v>
      </c>
      <c r="U33" s="235">
        <f t="shared" si="13"/>
        <v>368.2</v>
      </c>
      <c r="V33" s="236">
        <f>IF(U33="","",IF($I$8="A",(RANK(U33,U$11:U$355)+COUNTIF(U$11:U33,U33)-1),(RANK(U33,U$11:U$355,1)+COUNTIF(U$11:U33,U33)-1)))</f>
        <v>59</v>
      </c>
      <c r="W33" s="237"/>
      <c r="X33" s="61" t="str">
        <f>IF(L33="","",VLOOKUP($L33,classifications!$C:$J,6,FALSE))</f>
        <v xml:space="preserve">Mainly Rural (rural including hub towns &gt;=80%) </v>
      </c>
      <c r="Y33" s="49">
        <f t="shared" si="4"/>
        <v>368.2</v>
      </c>
      <c r="Z33" s="57">
        <f>IF(Y33="","",IF(I$8="A",(RANK(Y33,Y$11:Y$355,1)+COUNTIF(Y$11:Y33,Y33)-1),(RANK(Y33,Y$11:Y$355)+COUNTIF(Y$11:Y33,Y33)-1)))</f>
        <v>9</v>
      </c>
      <c r="AA33" s="242" t="str">
        <f>IF(L33="","",VLOOKUP($L33,classifications!C:I,7,FALSE))</f>
        <v>Predominantly Rural</v>
      </c>
      <c r="AB33" s="236">
        <f t="shared" si="14"/>
        <v>368.2</v>
      </c>
      <c r="AC33" s="236">
        <f>IF(AB33="","",IF($I$8="A",(RANK(AB33,AB$11:AB$355)+COUNTIF(AB$11:AB33,AB33)-1),(RANK(AB33,AB$11:AB$355,1)+COUNTIF(AB$11:AB33,AB33)-1)))</f>
        <v>60</v>
      </c>
      <c r="AD33" s="236"/>
      <c r="AE33" s="51"/>
      <c r="AG33" s="143"/>
      <c r="AH33" s="52"/>
      <c r="AI33" s="61" t="str">
        <f>IF(L33="","",VLOOKUP($L33,classifications!$C:$J,8,FALSE))</f>
        <v>Cambridgeshire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540.9</v>
      </c>
      <c r="AY33" s="156"/>
      <c r="AZ33" s="44"/>
    </row>
    <row r="34" spans="1:52">
      <c r="A34" s="84" t="str">
        <f>$D$1&amp;24</f>
        <v>SD24</v>
      </c>
      <c r="B34" s="85" t="str">
        <f>IF(ISERROR(VLOOKUP(A34,classifications!A:C,3,FALSE)),0,VLOOKUP(A34,classifications!A:C,3,FALSE))</f>
        <v>Huntingdonshire</v>
      </c>
      <c r="C34" s="31" t="s">
        <v>224</v>
      </c>
      <c r="D34" s="49" t="str">
        <f>VLOOKUP($C34,classifications!$C:$J,4,FALSE)</f>
        <v>MD</v>
      </c>
      <c r="E34" s="49">
        <f>VLOOKUP(C34,classifications!C:K,9,FALSE)</f>
        <v>0</v>
      </c>
      <c r="F34" s="59">
        <f t="shared" si="0"/>
        <v>366.1</v>
      </c>
      <c r="G34" s="105"/>
      <c r="H34" s="60" t="str">
        <f t="shared" si="1"/>
        <v/>
      </c>
      <c r="I34" s="112" t="str">
        <f>IF(H34="","",IF($I$8="A",(RANK(H34,H$11:H$355,1)+COUNTIF(H$11:H34,H34)-1),(RANK(H34,H$11:H$355)+COUNTIF(H$11:H34,H34)-1)))</f>
        <v/>
      </c>
      <c r="J34" s="58"/>
      <c r="K34" s="51">
        <f t="shared" si="10"/>
        <v>24</v>
      </c>
      <c r="L34" s="59" t="str">
        <f t="shared" si="2"/>
        <v>Cotswold</v>
      </c>
      <c r="M34" s="153">
        <f t="shared" si="3"/>
        <v>369.7</v>
      </c>
      <c r="N34" s="148">
        <f t="shared" si="23"/>
        <v>369.7</v>
      </c>
      <c r="O34" s="131">
        <f t="shared" si="11"/>
        <v>369.7</v>
      </c>
      <c r="P34" s="131" t="str">
        <f t="shared" si="19"/>
        <v/>
      </c>
      <c r="Q34" s="131" t="str">
        <f t="shared" si="20"/>
        <v/>
      </c>
      <c r="R34" s="127" t="str">
        <f t="shared" si="21"/>
        <v/>
      </c>
      <c r="S34" s="60" t="str">
        <f t="shared" si="12"/>
        <v/>
      </c>
      <c r="T34" s="228" t="str">
        <f>IF(L34="","",VLOOKUP(L34,classifications!C:K,9,FALSE))</f>
        <v>Sparse</v>
      </c>
      <c r="U34" s="235">
        <f t="shared" si="13"/>
        <v>369.7</v>
      </c>
      <c r="V34" s="236">
        <f>IF(U34="","",IF($I$8="A",(RANK(U34,U$11:U$355)+COUNTIF(U$11:U34,U34)-1),(RANK(U34,U$11:U$355,1)+COUNTIF(U$11:U34,U34)-1)))</f>
        <v>58</v>
      </c>
      <c r="W34" s="237"/>
      <c r="X34" s="61" t="str">
        <f>IF(L34="","",VLOOKUP($L34,classifications!$C:$J,6,FALSE))</f>
        <v xml:space="preserve">Mainly Rural (rural including hub towns &gt;=80%) </v>
      </c>
      <c r="Y34" s="49">
        <f t="shared" si="4"/>
        <v>369.7</v>
      </c>
      <c r="Z34" s="57">
        <f>IF(Y34="","",IF(I$8="A",(RANK(Y34,Y$11:Y$355,1)+COUNTIF(Y$11:Y34,Y34)-1),(RANK(Y34,Y$11:Y$355)+COUNTIF(Y$11:Y34,Y34)-1)))</f>
        <v>10</v>
      </c>
      <c r="AA34" s="242" t="str">
        <f>IF(L34="","",VLOOKUP($L34,classifications!C:I,7,FALSE))</f>
        <v>Predominantly Rural</v>
      </c>
      <c r="AB34" s="236">
        <f t="shared" si="14"/>
        <v>369.7</v>
      </c>
      <c r="AC34" s="236">
        <f>IF(AB34="","",IF($I$8="A",(RANK(AB34,AB$11:AB$355)+COUNTIF(AB$11:AB34,AB34)-1),(RANK(AB34,AB$11:AB$355,1)+COUNTIF(AB$11:AB34,AB34)-1)))</f>
        <v>59</v>
      </c>
      <c r="AD34" s="236"/>
      <c r="AE34" s="51"/>
      <c r="AG34" s="143"/>
      <c r="AH34" s="52"/>
      <c r="AI34" s="61" t="str">
        <f>IF(L34="","",VLOOKUP($L34,classifications!$C:$J,8,FALSE))</f>
        <v>Gloucestershire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South West</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366.1</v>
      </c>
      <c r="AY34" s="156"/>
      <c r="AZ34" s="44"/>
    </row>
    <row r="35" spans="1:52">
      <c r="A35" s="84" t="str">
        <f>$D$1&amp;25</f>
        <v>SD25</v>
      </c>
      <c r="B35" s="85" t="str">
        <f>IF(ISERROR(VLOOKUP(A35,classifications!A:C,3,FALSE)),0,VLOOKUP(A35,classifications!A:C,3,FALSE))</f>
        <v>King's Lynn &amp; West Norfolk</v>
      </c>
      <c r="C35" s="31" t="s">
        <v>18</v>
      </c>
      <c r="D35" s="49" t="str">
        <f>VLOOKUP($C35,classifications!$C:$J,4,FALSE)</f>
        <v>SD</v>
      </c>
      <c r="E35" s="49" t="str">
        <f>VLOOKUP(C35,classifications!C:K,9,FALSE)</f>
        <v>Sparse</v>
      </c>
      <c r="F35" s="59">
        <f t="shared" si="0"/>
        <v>572.20000000000005</v>
      </c>
      <c r="G35" s="105"/>
      <c r="H35" s="60">
        <f t="shared" si="1"/>
        <v>572.20000000000005</v>
      </c>
      <c r="I35" s="112">
        <f>IF(H35="","",IF($I$8="A",(RANK(H35,H$11:H$355,1)+COUNTIF(H$11:H35,H35)-1),(RANK(H35,H$11:H$355)+COUNTIF(H$11:H35,H35)-1)))</f>
        <v>178</v>
      </c>
      <c r="J35" s="58"/>
      <c r="K35" s="51">
        <f t="shared" si="10"/>
        <v>25</v>
      </c>
      <c r="L35" s="59" t="str">
        <f t="shared" si="2"/>
        <v>Aylesbury Vale</v>
      </c>
      <c r="M35" s="153">
        <f t="shared" si="3"/>
        <v>371.9</v>
      </c>
      <c r="N35" s="148">
        <f t="shared" si="23"/>
        <v>371.9</v>
      </c>
      <c r="O35" s="131">
        <f t="shared" si="11"/>
        <v>371.9</v>
      </c>
      <c r="P35" s="131" t="str">
        <f t="shared" si="19"/>
        <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 xml:space="preserve">Largely Rural (rural including hub towns 50-79%) </v>
      </c>
      <c r="Y35" s="49" t="str">
        <f t="shared" si="4"/>
        <v/>
      </c>
      <c r="Z35" s="57" t="str">
        <f>IF(Y35="","",IF(I$8="A",(RANK(Y35,Y$11:Y$355,1)+COUNTIF(Y$11:Y35,Y35)-1),(RANK(Y35,Y$11:Y$355)+COUNTIF(Y$11:Y35,Y35)-1)))</f>
        <v/>
      </c>
      <c r="AA35" s="242" t="str">
        <f>IF(L35="","",VLOOKUP($L35,classifications!C:I,7,FALSE))</f>
        <v>Predominantly Rural</v>
      </c>
      <c r="AB35" s="236">
        <f t="shared" si="14"/>
        <v>371.9</v>
      </c>
      <c r="AC35" s="236">
        <f>IF(AB35="","",IF($I$8="A",(RANK(AB35,AB$11:AB$355)+COUNTIF(AB$11:AB35,AB35)-1),(RANK(AB35,AB$11:AB$355,1)+COUNTIF(AB$11:AB35,AB35)-1)))</f>
        <v>58</v>
      </c>
      <c r="AD35" s="236"/>
      <c r="AE35" s="51" t="str">
        <f t="shared" ref="AE35:AE98" si="24">IF(AE34="","",IF(AE34+1&gt;(COUNT(AG:AG)),"",AE34+1))</f>
        <v/>
      </c>
      <c r="AG35" s="143"/>
      <c r="AH35" s="52"/>
      <c r="AI35" s="61" t="str">
        <f>IF(L35="","",VLOOKUP($L35,classifications!$C:$J,8,FALSE))</f>
        <v>Buckinghamshire</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South East</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572.20000000000005</v>
      </c>
      <c r="AY35" s="156"/>
      <c r="AZ35" s="44"/>
    </row>
    <row r="36" spans="1:52">
      <c r="A36" s="84" t="str">
        <f>$D$1&amp;26</f>
        <v>SD26</v>
      </c>
      <c r="B36" s="85" t="str">
        <f>IF(ISERROR(VLOOKUP(A36,classifications!A:C,3,FALSE)),0,VLOOKUP(A36,classifications!A:C,3,FALSE))</f>
        <v>Lewes</v>
      </c>
      <c r="C36" s="31" t="s">
        <v>910</v>
      </c>
      <c r="D36" s="49" t="str">
        <f>VLOOKUP($C36,classifications!$C:$J,4,FALSE)</f>
        <v>UA</v>
      </c>
      <c r="E36" s="49">
        <f>VLOOKUP(C36,classifications!C:K,9,FALSE)</f>
        <v>0</v>
      </c>
      <c r="F36" s="59">
        <f t="shared" si="0"/>
        <v>432.2</v>
      </c>
      <c r="G36" s="105"/>
      <c r="H36" s="60" t="str">
        <f t="shared" si="1"/>
        <v/>
      </c>
      <c r="I36" s="112" t="str">
        <f>IF(H36="","",IF($I$8="A",(RANK(H36,H$11:H$355,1)+COUNTIF(H$11:H36,H36)-1),(RANK(H36,H$11:H$355)+COUNTIF(H$11:H36,H36)-1)))</f>
        <v/>
      </c>
      <c r="J36" s="58"/>
      <c r="K36" s="51">
        <f t="shared" si="10"/>
        <v>26</v>
      </c>
      <c r="L36" s="59" t="str">
        <f t="shared" si="2"/>
        <v>West Oxfordshire</v>
      </c>
      <c r="M36" s="153">
        <f t="shared" si="3"/>
        <v>375.6</v>
      </c>
      <c r="N36" s="148">
        <f t="shared" si="23"/>
        <v>375.6</v>
      </c>
      <c r="O36" s="131">
        <f t="shared" si="11"/>
        <v>375.6</v>
      </c>
      <c r="P36" s="131" t="str">
        <f t="shared" si="19"/>
        <v/>
      </c>
      <c r="Q36" s="131" t="str">
        <f t="shared" si="20"/>
        <v/>
      </c>
      <c r="R36" s="127" t="str">
        <f t="shared" si="21"/>
        <v/>
      </c>
      <c r="S36" s="60" t="str">
        <f t="shared" si="12"/>
        <v/>
      </c>
      <c r="T36" s="228" t="str">
        <f>IF(L36="","",VLOOKUP(L36,classifications!C:K,9,FALSE))</f>
        <v>Sparse</v>
      </c>
      <c r="U36" s="235">
        <f t="shared" si="13"/>
        <v>375.6</v>
      </c>
      <c r="V36" s="236">
        <f>IF(U36="","",IF($I$8="A",(RANK(U36,U$11:U$355)+COUNTIF(U$11:U36,U36)-1),(RANK(U36,U$11:U$355,1)+COUNTIF(U$11:U36,U36)-1)))</f>
        <v>57</v>
      </c>
      <c r="W36" s="237"/>
      <c r="X36" s="61" t="str">
        <f>IF(L36="","",VLOOKUP($L36,classifications!$C:$J,6,FALSE))</f>
        <v xml:space="preserve">Mainly Rural (rural including hub towns &gt;=80%) </v>
      </c>
      <c r="Y36" s="49">
        <f t="shared" si="4"/>
        <v>375.6</v>
      </c>
      <c r="Z36" s="57">
        <f>IF(Y36="","",IF(I$8="A",(RANK(Y36,Y$11:Y$355,1)+COUNTIF(Y$11:Y36,Y36)-1),(RANK(Y36,Y$11:Y$355)+COUNTIF(Y$11:Y36,Y36)-1)))</f>
        <v>11</v>
      </c>
      <c r="AA36" s="242" t="str">
        <f>IF(L36="","",VLOOKUP($L36,classifications!C:I,7,FALSE))</f>
        <v>Predominantly Rural</v>
      </c>
      <c r="AB36" s="236">
        <f t="shared" si="14"/>
        <v>375.6</v>
      </c>
      <c r="AC36" s="236">
        <f>IF(AB36="","",IF($I$8="A",(RANK(AB36,AB$11:AB$355)+COUNTIF(AB$11:AB36,AB36)-1),(RANK(AB36,AB$11:AB$355,1)+COUNTIF(AB$11:AB36,AB36)-1)))</f>
        <v>57</v>
      </c>
      <c r="AD36" s="236"/>
      <c r="AE36" s="51" t="str">
        <f t="shared" si="24"/>
        <v/>
      </c>
      <c r="AG36" s="143"/>
      <c r="AH36" s="52"/>
      <c r="AI36" s="61" t="str">
        <f>IF(L36="","",VLOOKUP($L36,classifications!$C:$J,8,FALSE))</f>
        <v>Oxfordshire</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South East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432.2</v>
      </c>
      <c r="AY36" s="156"/>
      <c r="AZ36" s="44"/>
    </row>
    <row r="37" spans="1:52">
      <c r="A37" s="84" t="str">
        <f>$D$1&amp;27</f>
        <v>SD27</v>
      </c>
      <c r="B37" s="85" t="str">
        <f>IF(ISERROR(VLOOKUP(A37,classifications!A:C,3,FALSE)),0,VLOOKUP(A37,classifications!A:C,3,FALSE))</f>
        <v>Lichfield</v>
      </c>
      <c r="C37" s="31" t="s">
        <v>263</v>
      </c>
      <c r="D37" s="49" t="str">
        <f>VLOOKUP($C37,classifications!$C:$J,4,FALSE)</f>
        <v>UA</v>
      </c>
      <c r="E37" s="49">
        <f>VLOOKUP(C37,classifications!C:K,9,FALSE)</f>
        <v>0</v>
      </c>
      <c r="F37" s="59">
        <f t="shared" si="0"/>
        <v>550.70000000000005</v>
      </c>
      <c r="G37" s="105"/>
      <c r="H37" s="60" t="str">
        <f t="shared" si="1"/>
        <v/>
      </c>
      <c r="I37" s="112" t="str">
        <f>IF(H37="","",IF($I$8="A",(RANK(H37,H$11:H$355,1)+COUNTIF(H$11:H37,H37)-1),(RANK(H37,H$11:H$355)+COUNTIF(H$11:H37,H37)-1)))</f>
        <v/>
      </c>
      <c r="J37" s="58"/>
      <c r="K37" s="51">
        <f t="shared" si="10"/>
        <v>27</v>
      </c>
      <c r="L37" s="59" t="str">
        <f t="shared" si="2"/>
        <v>Warwick</v>
      </c>
      <c r="M37" s="153">
        <f t="shared" si="3"/>
        <v>376.8</v>
      </c>
      <c r="N37" s="148">
        <f t="shared" si="23"/>
        <v>376.8</v>
      </c>
      <c r="O37" s="131">
        <f t="shared" si="11"/>
        <v>376.8</v>
      </c>
      <c r="P37" s="131" t="str">
        <f t="shared" si="19"/>
        <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Warwickshire</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West Midlands</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550.70000000000005</v>
      </c>
      <c r="AY37" s="156"/>
      <c r="AZ37" s="44"/>
    </row>
    <row r="38" spans="1:52">
      <c r="A38" s="84" t="str">
        <f>$D$1&amp;28</f>
        <v>SD28</v>
      </c>
      <c r="B38" s="85" t="str">
        <f>IF(ISERROR(VLOOKUP(A38,classifications!A:C,3,FALSE)),0,VLOOKUP(A38,classifications!A:C,3,FALSE))</f>
        <v>Malvern Hills</v>
      </c>
      <c r="C38" s="31" t="s">
        <v>225</v>
      </c>
      <c r="D38" s="49" t="str">
        <f>VLOOKUP($C38,classifications!$C:$J,4,FALSE)</f>
        <v>MD</v>
      </c>
      <c r="E38" s="49">
        <f>VLOOKUP(C38,classifications!C:K,9,FALSE)</f>
        <v>0</v>
      </c>
      <c r="F38" s="59">
        <f t="shared" si="0"/>
        <v>530.20000000000005</v>
      </c>
      <c r="G38" s="105"/>
      <c r="H38" s="60" t="str">
        <f t="shared" si="1"/>
        <v/>
      </c>
      <c r="I38" s="112" t="str">
        <f>IF(H38="","",IF($I$8="A",(RANK(H38,H$11:H$355,1)+COUNTIF(H$11:H38,H38)-1),(RANK(H38,H$11:H$355)+COUNTIF(H$11:H38,H38)-1)))</f>
        <v/>
      </c>
      <c r="J38" s="58"/>
      <c r="K38" s="51">
        <f t="shared" si="10"/>
        <v>28</v>
      </c>
      <c r="L38" s="59" t="str">
        <f t="shared" si="2"/>
        <v>Staffordshire Moorlands</v>
      </c>
      <c r="M38" s="153">
        <f t="shared" si="3"/>
        <v>379.3</v>
      </c>
      <c r="N38" s="148">
        <f t="shared" si="23"/>
        <v>379.3</v>
      </c>
      <c r="O38" s="131">
        <f t="shared" si="11"/>
        <v>379.3</v>
      </c>
      <c r="P38" s="131" t="str">
        <f t="shared" si="19"/>
        <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 xml:space="preserve">Largely Rural (rural including hub towns 50-79%) </v>
      </c>
      <c r="Y38" s="49" t="str">
        <f t="shared" si="4"/>
        <v/>
      </c>
      <c r="Z38" s="57" t="str">
        <f>IF(Y38="","",IF(I$8="A",(RANK(Y38,Y$11:Y$355,1)+COUNTIF(Y$11:Y38,Y38)-1),(RANK(Y38,Y$11:Y$355)+COUNTIF(Y$11:Y38,Y38)-1)))</f>
        <v/>
      </c>
      <c r="AA38" s="242" t="str">
        <f>IF(L38="","",VLOOKUP($L38,classifications!C:I,7,FALSE))</f>
        <v>Predominantly Rural</v>
      </c>
      <c r="AB38" s="236">
        <f t="shared" si="14"/>
        <v>379.3</v>
      </c>
      <c r="AC38" s="236">
        <f>IF(AB38="","",IF($I$8="A",(RANK(AB38,AB$11:AB$355)+COUNTIF(AB$11:AB38,AB38)-1),(RANK(AB38,AB$11:AB$355,1)+COUNTIF(AB$11:AB38,AB38)-1)))</f>
        <v>56</v>
      </c>
      <c r="AD38" s="236"/>
      <c r="AE38" s="51" t="str">
        <f t="shared" si="24"/>
        <v/>
      </c>
      <c r="AG38" s="143"/>
      <c r="AH38" s="52"/>
      <c r="AI38" s="61" t="str">
        <f>IF(L38="","",VLOOKUP($L38,classifications!$C:$J,8,FALSE))</f>
        <v>Staffordshire</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West Midlands</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530.20000000000005</v>
      </c>
      <c r="AY38" s="156"/>
      <c r="AZ38" s="44"/>
    </row>
    <row r="39" spans="1:52">
      <c r="A39" s="84" t="str">
        <f>$D$1&amp;29</f>
        <v>SD29</v>
      </c>
      <c r="B39" s="85" t="str">
        <f>IF(ISERROR(VLOOKUP(A39,classifications!A:C,3,FALSE)),0,VLOOKUP(A39,classifications!A:C,3,FALSE))</f>
        <v>Melton</v>
      </c>
      <c r="C39" s="31" t="s">
        <v>19</v>
      </c>
      <c r="D39" s="49" t="str">
        <f>VLOOKUP($C39,classifications!$C:$J,4,FALSE)</f>
        <v>SD</v>
      </c>
      <c r="E39" s="49" t="str">
        <f>VLOOKUP(C39,classifications!C:K,9,FALSE)</f>
        <v>Sparse</v>
      </c>
      <c r="F39" s="59">
        <f t="shared" si="0"/>
        <v>471.6</v>
      </c>
      <c r="G39" s="105"/>
      <c r="H39" s="60">
        <f t="shared" si="1"/>
        <v>471.6</v>
      </c>
      <c r="I39" s="112">
        <f>IF(H39="","",IF($I$8="A",(RANK(H39,H$11:H$355,1)+COUNTIF(H$11:H39,H39)-1),(RANK(H39,H$11:H$355)+COUNTIF(H$11:H39,H39)-1)))</f>
        <v>114</v>
      </c>
      <c r="J39" s="58"/>
      <c r="K39" s="51">
        <f t="shared" si="10"/>
        <v>29</v>
      </c>
      <c r="L39" s="59" t="str">
        <f t="shared" si="2"/>
        <v>Waverley</v>
      </c>
      <c r="M39" s="153">
        <f t="shared" si="3"/>
        <v>380.2</v>
      </c>
      <c r="N39" s="148">
        <f t="shared" si="23"/>
        <v>380.2</v>
      </c>
      <c r="O39" s="131">
        <f t="shared" si="11"/>
        <v>380.2</v>
      </c>
      <c r="P39" s="131" t="str">
        <f t="shared" si="19"/>
        <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 xml:space="preserve">Largely Rural (rural including hub towns 50-79%) </v>
      </c>
      <c r="Y39" s="49" t="str">
        <f t="shared" si="4"/>
        <v/>
      </c>
      <c r="Z39" s="57" t="str">
        <f>IF(Y39="","",IF(I$8="A",(RANK(Y39,Y$11:Y$355,1)+COUNTIF(Y$11:Y39,Y39)-1),(RANK(Y39,Y$11:Y$355)+COUNTIF(Y$11:Y39,Y39)-1)))</f>
        <v/>
      </c>
      <c r="AA39" s="242" t="str">
        <f>IF(L39="","",VLOOKUP($L39,classifications!C:I,7,FALSE))</f>
        <v>Predominantly Rural</v>
      </c>
      <c r="AB39" s="236">
        <f t="shared" si="14"/>
        <v>380.2</v>
      </c>
      <c r="AC39" s="236">
        <f>IF(AB39="","",IF($I$8="A",(RANK(AB39,AB$11:AB$355)+COUNTIF(AB$11:AB39,AB39)-1),(RANK(AB39,AB$11:AB$355,1)+COUNTIF(AB$11:AB39,AB39)-1)))</f>
        <v>55</v>
      </c>
      <c r="AD39" s="236"/>
      <c r="AE39" s="51" t="str">
        <f t="shared" si="24"/>
        <v/>
      </c>
      <c r="AG39" s="143"/>
      <c r="AH39" s="52"/>
      <c r="AI39" s="61" t="str">
        <f>IF(L39="","",VLOOKUP($L39,classifications!$C:$J,8,FALSE))</f>
        <v>Surrey</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471.6</v>
      </c>
      <c r="AY39" s="156"/>
      <c r="AZ39" s="44"/>
    </row>
    <row r="40" spans="1:52">
      <c r="A40" s="84" t="str">
        <f>$D$1&amp;30</f>
        <v>SD30</v>
      </c>
      <c r="B40" s="85" t="str">
        <f>IF(ISERROR(VLOOKUP(A40,classifications!A:C,3,FALSE)),0,VLOOKUP(A40,classifications!A:C,3,FALSE))</f>
        <v>Mendip</v>
      </c>
      <c r="C40" s="31" t="s">
        <v>20</v>
      </c>
      <c r="D40" s="49" t="str">
        <f>VLOOKUP($C40,classifications!$C:$J,4,FALSE)</f>
        <v>SD</v>
      </c>
      <c r="E40" s="49" t="str">
        <f>VLOOKUP(C40,classifications!C:K,9,FALSE)</f>
        <v>Sparse</v>
      </c>
      <c r="F40" s="59">
        <f t="shared" si="0"/>
        <v>509.3</v>
      </c>
      <c r="G40" s="105"/>
      <c r="H40" s="60">
        <f t="shared" si="1"/>
        <v>509.3</v>
      </c>
      <c r="I40" s="112">
        <f>IF(H40="","",IF($I$8="A",(RANK(H40,H$11:H$355,1)+COUNTIF(H$11:H40,H40)-1),(RANK(H40,H$11:H$355)+COUNTIF(H$11:H40,H40)-1)))</f>
        <v>150</v>
      </c>
      <c r="J40" s="58"/>
      <c r="K40" s="51">
        <f t="shared" si="10"/>
        <v>30</v>
      </c>
      <c r="L40" s="59" t="str">
        <f t="shared" si="2"/>
        <v>Stratford-on-Avon</v>
      </c>
      <c r="M40" s="153">
        <f t="shared" si="3"/>
        <v>381.1</v>
      </c>
      <c r="N40" s="148">
        <f t="shared" si="23"/>
        <v>381.1</v>
      </c>
      <c r="O40" s="131">
        <f t="shared" si="11"/>
        <v>381.1</v>
      </c>
      <c r="P40" s="131" t="str">
        <f t="shared" si="19"/>
        <v/>
      </c>
      <c r="Q40" s="131" t="str">
        <f t="shared" si="20"/>
        <v/>
      </c>
      <c r="R40" s="127" t="str">
        <f t="shared" si="21"/>
        <v/>
      </c>
      <c r="S40" s="60" t="str">
        <f t="shared" si="12"/>
        <v/>
      </c>
      <c r="T40" s="228" t="str">
        <f>IF(L40="","",VLOOKUP(L40,classifications!C:K,9,FALSE))</f>
        <v>Sparse</v>
      </c>
      <c r="U40" s="235">
        <f t="shared" si="13"/>
        <v>381.1</v>
      </c>
      <c r="V40" s="236">
        <f>IF(U40="","",IF($I$8="A",(RANK(U40,U$11:U$355)+COUNTIF(U$11:U40,U40)-1),(RANK(U40,U$11:U$355,1)+COUNTIF(U$11:U40,U40)-1)))</f>
        <v>56</v>
      </c>
      <c r="W40" s="237"/>
      <c r="X40" s="61" t="str">
        <f>IF(L40="","",VLOOKUP($L40,classifications!$C:$J,6,FALSE))</f>
        <v xml:space="preserve">Mainly Rural (rural including hub towns &gt;=80%) </v>
      </c>
      <c r="Y40" s="49">
        <f t="shared" si="4"/>
        <v>381.1</v>
      </c>
      <c r="Z40" s="57">
        <f>IF(Y40="","",IF(I$8="A",(RANK(Y40,Y$11:Y$355,1)+COUNTIF(Y$11:Y40,Y40)-1),(RANK(Y40,Y$11:Y$355)+COUNTIF(Y$11:Y40,Y40)-1)))</f>
        <v>12</v>
      </c>
      <c r="AA40" s="242" t="str">
        <f>IF(L40="","",VLOOKUP($L40,classifications!C:I,7,FALSE))</f>
        <v>Predominantly Rural</v>
      </c>
      <c r="AB40" s="236">
        <f t="shared" si="14"/>
        <v>381.1</v>
      </c>
      <c r="AC40" s="236">
        <f>IF(AB40="","",IF($I$8="A",(RANK(AB40,AB$11:AB$355)+COUNTIF(AB$11:AB40,AB40)-1),(RANK(AB40,AB$11:AB$355,1)+COUNTIF(AB$11:AB40,AB40)-1)))</f>
        <v>54</v>
      </c>
      <c r="AD40" s="236"/>
      <c r="AE40" s="51" t="str">
        <f t="shared" si="24"/>
        <v/>
      </c>
      <c r="AG40" s="143"/>
      <c r="AH40" s="52"/>
      <c r="AI40" s="61" t="str">
        <f>IF(L40="","",VLOOKUP($L40,classifications!$C:$J,8,FALSE))</f>
        <v>Warwickshire</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West Midlands</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509.3</v>
      </c>
      <c r="AY40" s="156"/>
      <c r="AZ40" s="44"/>
    </row>
    <row r="41" spans="1:52">
      <c r="A41" s="84" t="str">
        <f>$D$1&amp;31</f>
        <v>SD31</v>
      </c>
      <c r="B41" s="85" t="str">
        <f>IF(ISERROR(VLOOKUP(A41,classifications!A:C,3,FALSE)),0,VLOOKUP(A41,classifications!A:C,3,FALSE))</f>
        <v>Mid Devon</v>
      </c>
      <c r="C41" s="31" t="s">
        <v>198</v>
      </c>
      <c r="D41" s="49" t="str">
        <f>VLOOKUP($C41,classifications!$C:$J,4,FALSE)</f>
        <v>L</v>
      </c>
      <c r="E41" s="49">
        <f>VLOOKUP(C41,classifications!C:K,9,FALSE)</f>
        <v>0</v>
      </c>
      <c r="F41" s="59">
        <f t="shared" si="0"/>
        <v>510.9</v>
      </c>
      <c r="G41" s="105"/>
      <c r="H41" s="60" t="str">
        <f t="shared" si="1"/>
        <v/>
      </c>
      <c r="I41" s="112" t="str">
        <f>IF(H41="","",IF($I$8="A",(RANK(H41,H$11:H$355,1)+COUNTIF(H$11:H41,H41)-1),(RANK(H41,H$11:H$355)+COUNTIF(H$11:H41,H41)-1)))</f>
        <v/>
      </c>
      <c r="J41" s="58"/>
      <c r="K41" s="51">
        <f t="shared" si="10"/>
        <v>31</v>
      </c>
      <c r="L41" s="59" t="str">
        <f t="shared" si="2"/>
        <v>Horsham</v>
      </c>
      <c r="M41" s="153">
        <f t="shared" si="3"/>
        <v>383.3</v>
      </c>
      <c r="N41" s="148">
        <f t="shared" si="23"/>
        <v>383.3</v>
      </c>
      <c r="O41" s="131">
        <f t="shared" si="11"/>
        <v>383.3</v>
      </c>
      <c r="P41" s="131" t="str">
        <f t="shared" si="19"/>
        <v/>
      </c>
      <c r="Q41" s="131" t="str">
        <f t="shared" si="20"/>
        <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 xml:space="preserve">Largely Rural (rural including hub towns 50-79%) </v>
      </c>
      <c r="Y41" s="49" t="str">
        <f t="shared" si="4"/>
        <v/>
      </c>
      <c r="Z41" s="57" t="str">
        <f>IF(Y41="","",IF(I$8="A",(RANK(Y41,Y$11:Y$355,1)+COUNTIF(Y$11:Y41,Y41)-1),(RANK(Y41,Y$11:Y$355)+COUNTIF(Y$11:Y41,Y41)-1)))</f>
        <v/>
      </c>
      <c r="AA41" s="242" t="str">
        <f>IF(L41="","",VLOOKUP($L41,classifications!C:I,7,FALSE))</f>
        <v>Predominantly Rural</v>
      </c>
      <c r="AB41" s="236">
        <f t="shared" si="14"/>
        <v>383.3</v>
      </c>
      <c r="AC41" s="236">
        <f>IF(AB41="","",IF($I$8="A",(RANK(AB41,AB$11:AB$355)+COUNTIF(AB$11:AB41,AB41)-1),(RANK(AB41,AB$11:AB$355,1)+COUNTIF(AB$11:AB41,AB41)-1)))</f>
        <v>53</v>
      </c>
      <c r="AD41" s="236"/>
      <c r="AE41" s="51" t="str">
        <f t="shared" si="24"/>
        <v/>
      </c>
      <c r="AG41" s="143"/>
      <c r="AH41" s="52"/>
      <c r="AI41" s="61" t="str">
        <f>IF(L41="","",VLOOKUP($L41,classifications!$C:$J,8,FALSE))</f>
        <v>West Sussex</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510.9</v>
      </c>
      <c r="AY41" s="156"/>
      <c r="AZ41" s="44"/>
    </row>
    <row r="42" spans="1:52">
      <c r="A42" s="84" t="str">
        <f>$D$1&amp;32</f>
        <v>SD32</v>
      </c>
      <c r="B42" s="85" t="str">
        <f>IF(ISERROR(VLOOKUP(A42,classifications!A:C,3,FALSE)),0,VLOOKUP(A42,classifications!A:C,3,FALSE))</f>
        <v>Mid Suffolk</v>
      </c>
      <c r="C42" s="31" t="s">
        <v>21</v>
      </c>
      <c r="D42" s="49" t="str">
        <f>VLOOKUP($C42,classifications!$C:$J,4,FALSE)</f>
        <v>SD</v>
      </c>
      <c r="E42" s="49">
        <f>VLOOKUP(C42,classifications!C:K,9,FALSE)</f>
        <v>0</v>
      </c>
      <c r="F42" s="59">
        <f t="shared" si="0"/>
        <v>480.4</v>
      </c>
      <c r="G42" s="105"/>
      <c r="H42" s="60">
        <f t="shared" si="1"/>
        <v>480.4</v>
      </c>
      <c r="I42" s="112">
        <f>IF(H42="","",IF($I$8="A",(RANK(H42,H$11:H$355,1)+COUNTIF(H$11:H42,H42)-1),(RANK(H42,H$11:H$355)+COUNTIF(H$11:H42,H42)-1)))</f>
        <v>124</v>
      </c>
      <c r="J42" s="58"/>
      <c r="K42" s="51">
        <f t="shared" si="10"/>
        <v>32</v>
      </c>
      <c r="L42" s="59" t="str">
        <f t="shared" si="2"/>
        <v>Huntingdonshire</v>
      </c>
      <c r="M42" s="153">
        <f t="shared" si="3"/>
        <v>386</v>
      </c>
      <c r="N42" s="148">
        <f t="shared" si="23"/>
        <v>386</v>
      </c>
      <c r="O42" s="131">
        <f t="shared" si="11"/>
        <v>386</v>
      </c>
      <c r="P42" s="131" t="str">
        <f t="shared" si="19"/>
        <v/>
      </c>
      <c r="Q42" s="131" t="str">
        <f t="shared" si="20"/>
        <v/>
      </c>
      <c r="R42" s="127" t="str">
        <f t="shared" si="21"/>
        <v/>
      </c>
      <c r="S42" s="60" t="str">
        <f t="shared" si="12"/>
        <v/>
      </c>
      <c r="T42" s="228" t="str">
        <f>IF(L42="","",VLOOKUP(L42,classifications!C:K,9,FALSE))</f>
        <v>Sparse</v>
      </c>
      <c r="U42" s="235">
        <f t="shared" si="13"/>
        <v>386</v>
      </c>
      <c r="V42" s="236">
        <f>IF(U42="","",IF($I$8="A",(RANK(U42,U$11:U$355)+COUNTIF(U$11:U42,U42)-1),(RANK(U42,U$11:U$355,1)+COUNTIF(U$11:U42,U42)-1)))</f>
        <v>55</v>
      </c>
      <c r="W42" s="237"/>
      <c r="X42" s="61" t="str">
        <f>IF(L42="","",VLOOKUP($L42,classifications!$C:$J,6,FALSE))</f>
        <v xml:space="preserve">Mainly Rural (rural including hub towns &gt;=80%) </v>
      </c>
      <c r="Y42" s="49">
        <f t="shared" si="4"/>
        <v>386</v>
      </c>
      <c r="Z42" s="57">
        <f>IF(Y42="","",IF(I$8="A",(RANK(Y42,Y$11:Y$355,1)+COUNTIF(Y$11:Y42,Y42)-1),(RANK(Y42,Y$11:Y$355)+COUNTIF(Y$11:Y42,Y42)-1)))</f>
        <v>13</v>
      </c>
      <c r="AA42" s="242" t="str">
        <f>IF(L42="","",VLOOKUP($L42,classifications!C:I,7,FALSE))</f>
        <v>Predominantly Rural</v>
      </c>
      <c r="AB42" s="236">
        <f t="shared" si="14"/>
        <v>386</v>
      </c>
      <c r="AC42" s="236">
        <f>IF(AB42="","",IF($I$8="A",(RANK(AB42,AB$11:AB$355)+COUNTIF(AB$11:AB42,AB42)-1),(RANK(AB42,AB$11:AB$355,1)+COUNTIF(AB$11:AB42,AB42)-1)))</f>
        <v>52</v>
      </c>
      <c r="AD42" s="236"/>
      <c r="AE42" s="51" t="str">
        <f t="shared" si="24"/>
        <v/>
      </c>
      <c r="AG42" s="143"/>
      <c r="AH42" s="52"/>
      <c r="AI42" s="61" t="str">
        <f>IF(L42="","",VLOOKUP($L42,classifications!$C:$J,8,FALSE))</f>
        <v>Cambridgeshire</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East of England</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480.4</v>
      </c>
      <c r="AY42" s="156"/>
      <c r="AZ42" s="44"/>
    </row>
    <row r="43" spans="1:52">
      <c r="A43" s="84" t="str">
        <f>$D$1&amp;33</f>
        <v>SD33</v>
      </c>
      <c r="B43" s="85" t="str">
        <f>IF(ISERROR(VLOOKUP(A43,classifications!A:C,3,FALSE)),0,VLOOKUP(A43,classifications!A:C,3,FALSE))</f>
        <v>Mid Sussex</v>
      </c>
      <c r="C43" s="31" t="s">
        <v>811</v>
      </c>
      <c r="D43" s="49" t="str">
        <f>VLOOKUP($C43,classifications!$C:$J,4,FALSE)</f>
        <v>UA</v>
      </c>
      <c r="E43" s="49">
        <f>VLOOKUP(C43,classifications!C:K,9,FALSE)</f>
        <v>0</v>
      </c>
      <c r="F43" s="59">
        <f t="shared" si="0"/>
        <v>552.29999999999995</v>
      </c>
      <c r="G43" s="105"/>
      <c r="H43" s="60" t="str">
        <f t="shared" si="1"/>
        <v/>
      </c>
      <c r="I43" s="112" t="str">
        <f>IF(H43="","",IF($I$8="A",(RANK(H43,H$11:H$355,1)+COUNTIF(H$11:H43,H43)-1),(RANK(H43,H$11:H$355)+COUNTIF(H$11:H43,H43)-1)))</f>
        <v/>
      </c>
      <c r="J43" s="58"/>
      <c r="K43" s="51">
        <f t="shared" si="10"/>
        <v>33</v>
      </c>
      <c r="L43" s="59" t="str">
        <f t="shared" si="2"/>
        <v>Woking</v>
      </c>
      <c r="M43" s="153">
        <f t="shared" si="3"/>
        <v>387.4</v>
      </c>
      <c r="N43" s="148">
        <f t="shared" si="23"/>
        <v>387.4</v>
      </c>
      <c r="O43" s="131">
        <f t="shared" si="11"/>
        <v>387.4</v>
      </c>
      <c r="P43" s="131" t="str">
        <f t="shared" si="19"/>
        <v/>
      </c>
      <c r="Q43" s="131" t="str">
        <f t="shared" si="20"/>
        <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Major Conurbation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Surrey</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South East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552.29999999999995</v>
      </c>
      <c r="AY43" s="156"/>
      <c r="AZ43" s="44"/>
    </row>
    <row r="44" spans="1:52">
      <c r="A44" s="84" t="str">
        <f>$D$1&amp;34</f>
        <v>SD34</v>
      </c>
      <c r="B44" s="85" t="str">
        <f>IF(ISERROR(VLOOKUP(A44,classifications!A:C,3,FALSE)),0,VLOOKUP(A44,classifications!A:C,3,FALSE))</f>
        <v>New Forest</v>
      </c>
      <c r="C44" s="31" t="s">
        <v>815</v>
      </c>
      <c r="D44" s="49" t="str">
        <f>VLOOKUP($C44,classifications!$C:$J,4,FALSE)</f>
        <v>UA</v>
      </c>
      <c r="E44" s="49">
        <f>VLOOKUP(C44,classifications!C:K,9,FALSE)</f>
        <v>0</v>
      </c>
      <c r="F44" s="59">
        <f t="shared" si="0"/>
        <v>430.9</v>
      </c>
      <c r="G44" s="105"/>
      <c r="H44" s="60" t="str">
        <f t="shared" si="1"/>
        <v/>
      </c>
      <c r="I44" s="112" t="str">
        <f>IF(H44="","",IF($I$8="A",(RANK(H44,H$11:H$355,1)+COUNTIF(H$11:H44,H44)-1),(RANK(H44,H$11:H$355)+COUNTIF(H$11:H44,H44)-1)))</f>
        <v/>
      </c>
      <c r="J44" s="58"/>
      <c r="K44" s="51">
        <f t="shared" si="10"/>
        <v>34</v>
      </c>
      <c r="L44" s="59" t="str">
        <f t="shared" si="2"/>
        <v>East Northamptonshire</v>
      </c>
      <c r="M44" s="153">
        <f t="shared" si="3"/>
        <v>389.9</v>
      </c>
      <c r="N44" s="148">
        <f t="shared" si="23"/>
        <v>389.9</v>
      </c>
      <c r="O44" s="131">
        <f t="shared" si="11"/>
        <v>389.9</v>
      </c>
      <c r="P44" s="131" t="str">
        <f t="shared" si="19"/>
        <v/>
      </c>
      <c r="Q44" s="131" t="str">
        <f t="shared" si="20"/>
        <v/>
      </c>
      <c r="R44" s="127" t="str">
        <f t="shared" si="21"/>
        <v/>
      </c>
      <c r="S44" s="60" t="str">
        <f t="shared" si="12"/>
        <v/>
      </c>
      <c r="T44" s="228" t="str">
        <f>IF(L44="","",VLOOKUP(L44,classifications!C:K,9,FALSE))</f>
        <v>Sparse</v>
      </c>
      <c r="U44" s="235">
        <f t="shared" si="25"/>
        <v>389.9</v>
      </c>
      <c r="V44" s="236">
        <f>IF(U44="","",IF($I$8="A",(RANK(U44,U$11:U$355)+COUNTIF(U$11:U44,U44)-1),(RANK(U44,U$11:U$355,1)+COUNTIF(U$11:U44,U44)-1)))</f>
        <v>54</v>
      </c>
      <c r="W44" s="237"/>
      <c r="X44" s="61" t="str">
        <f>IF(L44="","",VLOOKUP($L44,classifications!$C:$J,6,FALSE))</f>
        <v xml:space="preserve">Largely Rural (rural including hub towns 50-79%) </v>
      </c>
      <c r="Y44" s="49" t="str">
        <f t="shared" si="4"/>
        <v/>
      </c>
      <c r="Z44" s="57" t="str">
        <f>IF(Y44="","",IF(I$8="A",(RANK(Y44,Y$11:Y$355,1)+COUNTIF(Y$11:Y44,Y44)-1),(RANK(Y44,Y$11:Y$355)+COUNTIF(Y$11:Y44,Y44)-1)))</f>
        <v/>
      </c>
      <c r="AA44" s="242" t="str">
        <f>IF(L44="","",VLOOKUP($L44,classifications!C:I,7,FALSE))</f>
        <v>Predominantly Rural</v>
      </c>
      <c r="AB44" s="236">
        <f t="shared" si="14"/>
        <v>389.9</v>
      </c>
      <c r="AC44" s="236">
        <f>IF(AB44="","",IF($I$8="A",(RANK(AB44,AB$11:AB$355)+COUNTIF(AB$11:AB44,AB44)-1),(RANK(AB44,AB$11:AB$355,1)+COUNTIF(AB$11:AB44,AB44)-1)))</f>
        <v>51</v>
      </c>
      <c r="AD44" s="236"/>
      <c r="AE44" s="51" t="str">
        <f t="shared" si="24"/>
        <v/>
      </c>
      <c r="AG44" s="143"/>
      <c r="AH44" s="52"/>
      <c r="AI44" s="61" t="str">
        <f>IF(L44="","",VLOOKUP($L44,classifications!$C:$J,8,FALSE))</f>
        <v>Northamptonshire</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East Midlands</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430.9</v>
      </c>
      <c r="AY44" s="156"/>
      <c r="AZ44" s="44"/>
    </row>
    <row r="45" spans="1:52">
      <c r="A45" s="84" t="str">
        <f>$D$1&amp;35</f>
        <v>SD35</v>
      </c>
      <c r="B45" s="85" t="str">
        <f>IF(ISERROR(VLOOKUP(A45,classifications!A:C,3,FALSE)),0,VLOOKUP(A45,classifications!A:C,3,FALSE))</f>
        <v>Newark &amp; Sherwood</v>
      </c>
      <c r="C45" s="31" t="s">
        <v>22</v>
      </c>
      <c r="D45" s="49" t="str">
        <f>VLOOKUP($C45,classifications!$C:$J,4,FALSE)</f>
        <v>SD</v>
      </c>
      <c r="E45" s="49">
        <f>VLOOKUP(C45,classifications!C:K,9,FALSE)</f>
        <v>0</v>
      </c>
      <c r="F45" s="59">
        <f t="shared" si="0"/>
        <v>429.4</v>
      </c>
      <c r="G45" s="105"/>
      <c r="H45" s="60">
        <f t="shared" si="1"/>
        <v>429.4</v>
      </c>
      <c r="I45" s="112">
        <f>IF(H45="","",IF($I$8="A",(RANK(H45,H$11:H$355,1)+COUNTIF(H$11:H45,H45)-1),(RANK(H45,H$11:H$355)+COUNTIF(H$11:H45,H45)-1)))</f>
        <v>68</v>
      </c>
      <c r="J45" s="58"/>
      <c r="K45" s="51">
        <f t="shared" si="10"/>
        <v>35</v>
      </c>
      <c r="L45" s="59" t="str">
        <f t="shared" si="2"/>
        <v>South Bucks</v>
      </c>
      <c r="M45" s="153">
        <f t="shared" si="3"/>
        <v>391.8</v>
      </c>
      <c r="N45" s="148">
        <f t="shared" si="23"/>
        <v>391.8</v>
      </c>
      <c r="O45" s="131">
        <f t="shared" si="11"/>
        <v>391.8</v>
      </c>
      <c r="P45" s="131" t="str">
        <f t="shared" si="19"/>
        <v/>
      </c>
      <c r="Q45" s="131" t="str">
        <f t="shared" si="20"/>
        <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Significant Rural (rural including hub towns 26-49%)</v>
      </c>
      <c r="Y45" s="49" t="str">
        <f t="shared" si="4"/>
        <v/>
      </c>
      <c r="Z45" s="57" t="str">
        <f>IF(Y45="","",IF(I$8="A",(RANK(Y45,Y$11:Y$355,1)+COUNTIF(Y$11:Y45,Y45)-1),(RANK(Y45,Y$11:Y$355)+COUNTIF(Y$11:Y45,Y45)-1)))</f>
        <v/>
      </c>
      <c r="AA45" s="242" t="str">
        <f>IF(L45="","",VLOOKUP($L45,classifications!C:I,7,FALSE))</f>
        <v>Significant Rural</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Buckinghamshire</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429.4</v>
      </c>
      <c r="AY45" s="156"/>
      <c r="AZ45" s="44"/>
    </row>
    <row r="46" spans="1:52">
      <c r="A46" s="84" t="str">
        <f>$D$1&amp;36</f>
        <v>SD36</v>
      </c>
      <c r="B46" s="85" t="str">
        <f>IF(ISERROR(VLOOKUP(A46,classifications!A:C,3,FALSE)),0,VLOOKUP(A46,classifications!A:C,3,FALSE))</f>
        <v>North Devon</v>
      </c>
      <c r="C46" s="31" t="s">
        <v>199</v>
      </c>
      <c r="D46" s="49" t="str">
        <f>VLOOKUP($C46,classifications!$C:$J,4,FALSE)</f>
        <v>L</v>
      </c>
      <c r="E46" s="49">
        <f>VLOOKUP(C46,classifications!C:K,9,FALSE)</f>
        <v>0</v>
      </c>
      <c r="F46" s="59">
        <f t="shared" si="0"/>
        <v>429.9</v>
      </c>
      <c r="G46" s="105"/>
      <c r="H46" s="60" t="str">
        <f t="shared" si="1"/>
        <v/>
      </c>
      <c r="I46" s="112" t="str">
        <f>IF(H46="","",IF($I$8="A",(RANK(H46,H$11:H$355,1)+COUNTIF(H$11:H46,H46)-1),(RANK(H46,H$11:H$355)+COUNTIF(H$11:H46,H46)-1)))</f>
        <v/>
      </c>
      <c r="J46" s="58"/>
      <c r="K46" s="51">
        <f t="shared" si="10"/>
        <v>36</v>
      </c>
      <c r="L46" s="59" t="str">
        <f t="shared" si="2"/>
        <v>Reigate &amp; Banstead</v>
      </c>
      <c r="M46" s="153">
        <f t="shared" si="3"/>
        <v>392.9</v>
      </c>
      <c r="N46" s="148">
        <f t="shared" si="23"/>
        <v>392.9</v>
      </c>
      <c r="O46" s="131">
        <f t="shared" si="11"/>
        <v>392.9</v>
      </c>
      <c r="P46" s="131" t="str">
        <f t="shared" si="19"/>
        <v/>
      </c>
      <c r="Q46" s="131" t="str">
        <f t="shared" si="20"/>
        <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Surrey</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East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429.9</v>
      </c>
      <c r="AY46" s="156"/>
      <c r="AZ46" s="44"/>
    </row>
    <row r="47" spans="1:52">
      <c r="A47" s="84" t="str">
        <f>$D$1&amp;37</f>
        <v>SD37</v>
      </c>
      <c r="B47" s="85" t="str">
        <f>IF(ISERROR(VLOOKUP(A47,classifications!A:C,3,FALSE)),0,VLOOKUP(A47,classifications!A:C,3,FALSE))</f>
        <v>North Kesteven</v>
      </c>
      <c r="C47" s="31" t="s">
        <v>23</v>
      </c>
      <c r="D47" s="49" t="str">
        <f>VLOOKUP($C47,classifications!$C:$J,4,FALSE)</f>
        <v>SD</v>
      </c>
      <c r="E47" s="49">
        <f>VLOOKUP(C47,classifications!C:K,9,FALSE)</f>
        <v>0</v>
      </c>
      <c r="F47" s="59">
        <f t="shared" si="0"/>
        <v>562.4</v>
      </c>
      <c r="G47" s="105"/>
      <c r="H47" s="60">
        <f t="shared" si="1"/>
        <v>562.4</v>
      </c>
      <c r="I47" s="112">
        <f>IF(H47="","",IF($I$8="A",(RANK(H47,H$11:H$355,1)+COUNTIF(H$11:H47,H47)-1),(RANK(H47,H$11:H$355)+COUNTIF(H$11:H47,H47)-1)))</f>
        <v>174</v>
      </c>
      <c r="J47" s="58"/>
      <c r="K47" s="51">
        <f t="shared" si="10"/>
        <v>37</v>
      </c>
      <c r="L47" s="59" t="str">
        <f t="shared" si="2"/>
        <v>Dacorum</v>
      </c>
      <c r="M47" s="153">
        <f t="shared" si="3"/>
        <v>395.7</v>
      </c>
      <c r="N47" s="148">
        <f t="shared" si="23"/>
        <v>395.7</v>
      </c>
      <c r="O47" s="131">
        <f t="shared" si="11"/>
        <v>395.7</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Significant Rural (rural including hub towns 26-49%)</v>
      </c>
      <c r="Y47" s="49" t="str">
        <f t="shared" si="4"/>
        <v/>
      </c>
      <c r="Z47" s="57" t="str">
        <f>IF(Y47="","",IF(I$8="A",(RANK(Y47,Y$11:Y$355,1)+COUNTIF(Y$11:Y47,Y47)-1),(RANK(Y47,Y$11:Y$355)+COUNTIF(Y$11:Y47,Y47)-1)))</f>
        <v/>
      </c>
      <c r="AA47" s="242" t="str">
        <f>IF(L47="","",VLOOKUP($L47,classifications!C:I,7,FALSE))</f>
        <v>Significant Rural</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Hertfordshire</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East of England</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562.4</v>
      </c>
      <c r="AY47" s="156"/>
      <c r="AZ47" s="44"/>
    </row>
    <row r="48" spans="1:52">
      <c r="A48" s="84" t="str">
        <f>$D$1&amp;38</f>
        <v>SD38</v>
      </c>
      <c r="B48" s="85" t="str">
        <f>IF(ISERROR(VLOOKUP(A48,classifications!A:C,3,FALSE)),0,VLOOKUP(A48,classifications!A:C,3,FALSE))</f>
        <v>North Norfolk</v>
      </c>
      <c r="C48" s="31" t="s">
        <v>24</v>
      </c>
      <c r="D48" s="49" t="str">
        <f>VLOOKUP($C48,classifications!$C:$J,4,FALSE)</f>
        <v>SD</v>
      </c>
      <c r="E48" s="49">
        <f>VLOOKUP(C48,classifications!C:K,9,FALSE)</f>
        <v>0</v>
      </c>
      <c r="F48" s="59">
        <f t="shared" si="0"/>
        <v>505.7</v>
      </c>
      <c r="G48" s="105"/>
      <c r="H48" s="60">
        <f t="shared" si="1"/>
        <v>505.7</v>
      </c>
      <c r="I48" s="112">
        <f>IF(H48="","",IF($I$8="A",(RANK(H48,H$11:H$355,1)+COUNTIF(H$11:H48,H48)-1),(RANK(H48,H$11:H$355)+COUNTIF(H$11:H48,H48)-1)))</f>
        <v>143</v>
      </c>
      <c r="J48" s="58"/>
      <c r="K48" s="51">
        <f t="shared" si="10"/>
        <v>38</v>
      </c>
      <c r="L48" s="59" t="str">
        <f t="shared" si="2"/>
        <v>Castle Point</v>
      </c>
      <c r="M48" s="153">
        <f t="shared" si="3"/>
        <v>396.4</v>
      </c>
      <c r="N48" s="148">
        <f t="shared" si="23"/>
        <v>396.4</v>
      </c>
      <c r="O48" s="131">
        <f t="shared" si="11"/>
        <v>396.4</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Essex</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East of England</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505.7</v>
      </c>
      <c r="AY48" s="156"/>
      <c r="AZ48" s="44"/>
    </row>
    <row r="49" spans="1:52">
      <c r="A49" s="84" t="str">
        <f>$D$1&amp;39</f>
        <v>SD39</v>
      </c>
      <c r="B49" s="85" t="str">
        <f>IF(ISERROR(VLOOKUP(A49,classifications!A:C,3,FALSE)),0,VLOOKUP(A49,classifications!A:C,3,FALSE))</f>
        <v>North West Leicestershire</v>
      </c>
      <c r="C49" s="31" t="s">
        <v>25</v>
      </c>
      <c r="D49" s="49" t="str">
        <f>VLOOKUP($C49,classifications!$C:$J,4,FALSE)</f>
        <v>SD</v>
      </c>
      <c r="E49" s="49">
        <f>VLOOKUP(C49,classifications!C:K,9,FALSE)</f>
        <v>0</v>
      </c>
      <c r="F49" s="59">
        <f t="shared" si="0"/>
        <v>527.79999999999995</v>
      </c>
      <c r="G49" s="105"/>
      <c r="H49" s="60">
        <f t="shared" si="1"/>
        <v>527.79999999999995</v>
      </c>
      <c r="I49" s="112">
        <f>IF(H49="","",IF($I$8="A",(RANK(H49,H$11:H$355,1)+COUNTIF(H$11:H49,H49)-1),(RANK(H49,H$11:H$355)+COUNTIF(H$11:H49,H49)-1)))</f>
        <v>158</v>
      </c>
      <c r="J49" s="58"/>
      <c r="K49" s="51">
        <f t="shared" si="10"/>
        <v>39</v>
      </c>
      <c r="L49" s="59" t="str">
        <f t="shared" si="2"/>
        <v>Lewes</v>
      </c>
      <c r="M49" s="153">
        <f t="shared" si="3"/>
        <v>398.6</v>
      </c>
      <c r="N49" s="148">
        <f t="shared" si="23"/>
        <v>398.6</v>
      </c>
      <c r="O49" s="131">
        <f t="shared" si="11"/>
        <v>398.6</v>
      </c>
      <c r="P49" s="131" t="str">
        <f t="shared" si="19"/>
        <v/>
      </c>
      <c r="Q49" s="131" t="str">
        <f t="shared" si="20"/>
        <v/>
      </c>
      <c r="R49" s="127" t="str">
        <f t="shared" si="21"/>
        <v/>
      </c>
      <c r="S49" s="60" t="str">
        <f t="shared" si="12"/>
        <v/>
      </c>
      <c r="T49" s="228" t="str">
        <f>IF(L49="","",VLOOKUP(L49,classifications!C:K,9,FALSE))</f>
        <v>Sparse</v>
      </c>
      <c r="U49" s="235">
        <f t="shared" si="25"/>
        <v>398.6</v>
      </c>
      <c r="V49" s="236">
        <f>IF(U49="","",IF($I$8="A",(RANK(U49,U$11:U$355)+COUNTIF(U$11:U49,U49)-1),(RANK(U49,U$11:U$355,1)+COUNTIF(U$11:U49,U49)-1)))</f>
        <v>53</v>
      </c>
      <c r="W49" s="237"/>
      <c r="X49" s="61" t="str">
        <f>IF(L49="","",VLOOKUP($L49,classifications!$C:$J,6,FALSE))</f>
        <v>Urban with Significant Rural (rural including hub towns 26-49%)</v>
      </c>
      <c r="Y49" s="49" t="str">
        <f t="shared" si="4"/>
        <v/>
      </c>
      <c r="Z49" s="57" t="str">
        <f>IF(Y49="","",IF(I$8="A",(RANK(Y49,Y$11:Y$355,1)+COUNTIF(Y$11:Y49,Y49)-1),(RANK(Y49,Y$11:Y$355)+COUNTIF(Y$11:Y49,Y49)-1)))</f>
        <v/>
      </c>
      <c r="AA49" s="242" t="str">
        <f>IF(L49="","",VLOOKUP($L49,classifications!C:I,7,FALSE))</f>
        <v>Significant Rural</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East Sussex</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527.79999999999995</v>
      </c>
      <c r="AY49" s="156"/>
      <c r="AZ49" s="44"/>
    </row>
    <row r="50" spans="1:52">
      <c r="A50" s="84" t="str">
        <f>$D$1&amp;40</f>
        <v>SD40</v>
      </c>
      <c r="B50" s="85" t="str">
        <f>IF(ISERROR(VLOOKUP(A50,classifications!A:C,3,FALSE)),0,VLOOKUP(A50,classifications!A:C,3,FALSE))</f>
        <v>Ribble Valley</v>
      </c>
      <c r="C50" s="31" t="s">
        <v>300</v>
      </c>
      <c r="D50" s="49" t="str">
        <f>VLOOKUP($C50,classifications!$C:$J,4,FALSE)</f>
        <v>SC</v>
      </c>
      <c r="E50" s="49">
        <f>VLOOKUP(C50,classifications!C:K,9,FALSE)</f>
        <v>0</v>
      </c>
      <c r="F50" s="59">
        <f t="shared" si="0"/>
        <v>457.6</v>
      </c>
      <c r="G50" s="105"/>
      <c r="H50" s="60" t="str">
        <f t="shared" si="1"/>
        <v/>
      </c>
      <c r="I50" s="112" t="str">
        <f>IF(H50="","",IF($I$8="A",(RANK(H50,H$11:H$355,1)+COUNTIF(H$11:H50,H50)-1),(RANK(H50,H$11:H$355)+COUNTIF(H$11:H50,H50)-1)))</f>
        <v/>
      </c>
      <c r="J50" s="58"/>
      <c r="K50" s="51">
        <f t="shared" si="10"/>
        <v>40</v>
      </c>
      <c r="L50" s="59" t="str">
        <f t="shared" si="2"/>
        <v>Shepway</v>
      </c>
      <c r="M50" s="153">
        <f t="shared" si="3"/>
        <v>401</v>
      </c>
      <c r="N50" s="148">
        <f t="shared" si="23"/>
        <v>401</v>
      </c>
      <c r="O50" s="131">
        <f t="shared" si="11"/>
        <v>401</v>
      </c>
      <c r="P50" s="131" t="str">
        <f t="shared" si="19"/>
        <v/>
      </c>
      <c r="Q50" s="131" t="str">
        <f t="shared" si="20"/>
        <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Urban with Significant Rural (rural including hub towns 26-49%)</v>
      </c>
      <c r="Y50" s="49" t="str">
        <f t="shared" si="4"/>
        <v/>
      </c>
      <c r="Z50" s="57" t="str">
        <f>IF(Y50="","",IF(I$8="A",(RANK(Y50,Y$11:Y$355,1)+COUNTIF(Y$11:Y50,Y50)-1),(RANK(Y50,Y$11:Y$355)+COUNTIF(Y$11:Y50,Y50)-1)))</f>
        <v/>
      </c>
      <c r="AA50" s="242" t="str">
        <f>IF(L50="","",VLOOKUP($L50,classifications!C:I,7,FALSE))</f>
        <v>Significant Rural</v>
      </c>
      <c r="AB50" s="236" t="str">
        <f t="shared" si="14"/>
        <v/>
      </c>
      <c r="AC50" s="236" t="str">
        <f>IF(AB50="","",IF($I$8="A",(RANK(AB50,AB$11:AB$355)+COUNTIF(AB$11:AB50,AB50)-1),(RANK(AB50,AB$11:AB$355,1)+COUNTIF(AB$11:AB50,AB50)-1)))</f>
        <v/>
      </c>
      <c r="AD50" s="236"/>
      <c r="AE50" s="51" t="str">
        <f t="shared" si="24"/>
        <v/>
      </c>
      <c r="AG50" s="143"/>
      <c r="AH50" s="52"/>
      <c r="AI50" s="61" t="str">
        <f>IF(L50="","",VLOOKUP($L50,classifications!$C:$J,8,FALSE))</f>
        <v>Kent</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South East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457.6</v>
      </c>
      <c r="AY50" s="156"/>
      <c r="AZ50" s="44"/>
    </row>
    <row r="51" spans="1:52">
      <c r="A51" s="84" t="str">
        <f>$D$1&amp;41</f>
        <v>SD41</v>
      </c>
      <c r="B51" s="85" t="str">
        <f>IF(ISERROR(VLOOKUP(A51,classifications!A:C,3,FALSE)),0,VLOOKUP(A51,classifications!A:C,3,FALSE))</f>
        <v>Richmondshire</v>
      </c>
      <c r="C51" s="31" t="s">
        <v>26</v>
      </c>
      <c r="D51" s="49" t="str">
        <f>VLOOKUP($C51,classifications!$C:$J,4,FALSE)</f>
        <v>SD</v>
      </c>
      <c r="E51" s="49">
        <f>VLOOKUP(C51,classifications!C:K,9,FALSE)</f>
        <v>0</v>
      </c>
      <c r="F51" s="59">
        <f t="shared" si="0"/>
        <v>471.7</v>
      </c>
      <c r="G51" s="105"/>
      <c r="H51" s="60">
        <f t="shared" si="1"/>
        <v>471.7</v>
      </c>
      <c r="I51" s="112">
        <f>IF(H51="","",IF($I$8="A",(RANK(H51,H$11:H$355,1)+COUNTIF(H$11:H51,H51)-1),(RANK(H51,H$11:H$355)+COUNTIF(H$11:H51,H51)-1)))</f>
        <v>115</v>
      </c>
      <c r="J51" s="58"/>
      <c r="K51" s="51">
        <f t="shared" si="10"/>
        <v>41</v>
      </c>
      <c r="L51" s="59" t="str">
        <f t="shared" si="2"/>
        <v>Hambleton</v>
      </c>
      <c r="M51" s="153">
        <f t="shared" si="3"/>
        <v>401.4</v>
      </c>
      <c r="N51" s="148">
        <f t="shared" si="23"/>
        <v>401.4</v>
      </c>
      <c r="O51" s="131">
        <f t="shared" si="11"/>
        <v>401.4</v>
      </c>
      <c r="P51" s="131" t="str">
        <f t="shared" si="19"/>
        <v/>
      </c>
      <c r="Q51" s="131" t="str">
        <f t="shared" si="20"/>
        <v/>
      </c>
      <c r="R51" s="127" t="str">
        <f t="shared" si="21"/>
        <v/>
      </c>
      <c r="S51" s="60" t="str">
        <f t="shared" si="12"/>
        <v/>
      </c>
      <c r="T51" s="228" t="str">
        <f>IF(L51="","",VLOOKUP(L51,classifications!C:K,9,FALSE))</f>
        <v>Sparse</v>
      </c>
      <c r="U51" s="235">
        <f t="shared" si="25"/>
        <v>401.4</v>
      </c>
      <c r="V51" s="236">
        <f>IF(U51="","",IF($I$8="A",(RANK(U51,U$11:U$355)+COUNTIF(U$11:U51,U51)-1),(RANK(U51,U$11:U$355,1)+COUNTIF(U$11:U51,U51)-1)))</f>
        <v>52</v>
      </c>
      <c r="W51" s="237"/>
      <c r="X51" s="61" t="str">
        <f>IF(L51="","",VLOOKUP($L51,classifications!$C:$J,6,FALSE))</f>
        <v xml:space="preserve">Mainly Rural (rural including hub towns &gt;=80%) </v>
      </c>
      <c r="Y51" s="49">
        <f t="shared" si="4"/>
        <v>401.4</v>
      </c>
      <c r="Z51" s="57">
        <f>IF(Y51="","",IF(I$8="A",(RANK(Y51,Y$11:Y$355,1)+COUNTIF(Y$11:Y51,Y51)-1),(RANK(Y51,Y$11:Y$355)+COUNTIF(Y$11:Y51,Y51)-1)))</f>
        <v>14</v>
      </c>
      <c r="AA51" s="242" t="str">
        <f>IF(L51="","",VLOOKUP($L51,classifications!C:I,7,FALSE))</f>
        <v>Predominantly Rural</v>
      </c>
      <c r="AB51" s="236">
        <f t="shared" si="14"/>
        <v>401.4</v>
      </c>
      <c r="AC51" s="236">
        <f>IF(AB51="","",IF($I$8="A",(RANK(AB51,AB$11:AB$355)+COUNTIF(AB$11:AB51,AB51)-1),(RANK(AB51,AB$11:AB$355,1)+COUNTIF(AB$11:AB51,AB51)-1)))</f>
        <v>50</v>
      </c>
      <c r="AD51" s="236"/>
      <c r="AE51" s="51" t="str">
        <f t="shared" si="24"/>
        <v/>
      </c>
      <c r="AG51" s="143"/>
      <c r="AH51" s="52"/>
      <c r="AI51" s="61" t="str">
        <f>IF(L51="","",VLOOKUP($L51,classifications!$C:$J,8,FALSE))</f>
        <v>North Yorkshire</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Yorkshire &amp; Humberside</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471.7</v>
      </c>
      <c r="AY51" s="156"/>
      <c r="AZ51" s="44"/>
    </row>
    <row r="52" spans="1:52">
      <c r="A52" s="84" t="str">
        <f>$D$1&amp;42</f>
        <v>SD42</v>
      </c>
      <c r="B52" s="85" t="str">
        <f>IF(ISERROR(VLOOKUP(A52,classifications!A:C,3,FALSE)),0,VLOOKUP(A52,classifications!A:C,3,FALSE))</f>
        <v>Rother</v>
      </c>
      <c r="C52" s="31" t="s">
        <v>226</v>
      </c>
      <c r="D52" s="49" t="str">
        <f>VLOOKUP($C52,classifications!$C:$J,4,FALSE)</f>
        <v>MD</v>
      </c>
      <c r="E52" s="49">
        <f>VLOOKUP(C52,classifications!C:K,9,FALSE)</f>
        <v>0</v>
      </c>
      <c r="F52" s="59">
        <f t="shared" si="0"/>
        <v>350.8</v>
      </c>
      <c r="G52" s="105"/>
      <c r="H52" s="60" t="str">
        <f t="shared" si="1"/>
        <v/>
      </c>
      <c r="I52" s="112" t="str">
        <f>IF(H52="","",IF($I$8="A",(RANK(H52,H$11:H$355,1)+COUNTIF(H$11:H52,H52)-1),(RANK(H52,H$11:H$355)+COUNTIF(H$11:H52,H52)-1)))</f>
        <v/>
      </c>
      <c r="J52" s="58"/>
      <c r="K52" s="51">
        <f t="shared" si="10"/>
        <v>42</v>
      </c>
      <c r="L52" s="59" t="str">
        <f t="shared" si="2"/>
        <v>Hyndburn</v>
      </c>
      <c r="M52" s="153">
        <f t="shared" si="3"/>
        <v>404.1</v>
      </c>
      <c r="N52" s="148">
        <f t="shared" si="23"/>
        <v>404.1</v>
      </c>
      <c r="O52" s="131">
        <f t="shared" si="11"/>
        <v>404.1</v>
      </c>
      <c r="P52" s="131" t="str">
        <f t="shared" si="19"/>
        <v/>
      </c>
      <c r="Q52" s="131" t="str">
        <f t="shared" si="20"/>
        <v/>
      </c>
      <c r="R52" s="127" t="str">
        <f t="shared" si="21"/>
        <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Lancashire</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North West</v>
      </c>
      <c r="AQ52" s="62">
        <f t="shared" si="17"/>
        <v>404.1</v>
      </c>
      <c r="AR52" s="57">
        <f>IF(AQ52="","",IF(I$8="A",(RANK(AQ52,AQ$11:AQ$355,1)+COUNTIF(AQ$11:AQ52,AQ52)-1),(RANK(AQ52,AQ$11:AQ$355)+COUNTIF(AQ$11:AQ52,AQ52)-1)))</f>
        <v>1</v>
      </c>
      <c r="AS52" s="52" t="str">
        <f t="shared" si="18"/>
        <v/>
      </c>
      <c r="AT52" s="57" t="str">
        <f t="shared" si="8"/>
        <v/>
      </c>
      <c r="AU52" s="62" t="str">
        <f t="shared" si="9"/>
        <v/>
      </c>
      <c r="AX52" s="44">
        <f>HLOOKUP($AX$9&amp;$AX$10,Data!$A$1:$ZZ$2000,(MATCH($C52,Data!$A$1:$A$2000,0)),FALSE)</f>
        <v>350.8</v>
      </c>
      <c r="AY52" s="156"/>
      <c r="AZ52" s="44"/>
    </row>
    <row r="53" spans="1:52">
      <c r="A53" s="84" t="str">
        <f>$D$1&amp;43</f>
        <v>SD43</v>
      </c>
      <c r="B53" s="85" t="str">
        <f>IF(ISERROR(VLOOKUP(A53,classifications!A:C,3,FALSE)),0,VLOOKUP(A53,classifications!A:C,3,FALSE))</f>
        <v>Rugby</v>
      </c>
      <c r="C53" s="31" t="s">
        <v>227</v>
      </c>
      <c r="D53" s="49" t="str">
        <f>VLOOKUP($C53,classifications!$C:$J,4,FALSE)</f>
        <v>MD</v>
      </c>
      <c r="E53" s="49">
        <f>VLOOKUP(C53,classifications!C:K,9,FALSE)</f>
        <v>0</v>
      </c>
      <c r="F53" s="59">
        <f t="shared" si="0"/>
        <v>374.6</v>
      </c>
      <c r="G53" s="105"/>
      <c r="H53" s="60" t="str">
        <f t="shared" si="1"/>
        <v/>
      </c>
      <c r="I53" s="112" t="str">
        <f>IF(H53="","",IF($I$8="A",(RANK(H53,H$11:H$355,1)+COUNTIF(H$11:H53,H53)-1),(RANK(H53,H$11:H$355)+COUNTIF(H$11:H53,H53)-1)))</f>
        <v/>
      </c>
      <c r="J53" s="58"/>
      <c r="K53" s="51">
        <f t="shared" si="10"/>
        <v>43</v>
      </c>
      <c r="L53" s="59" t="str">
        <f t="shared" si="2"/>
        <v>Norwich</v>
      </c>
      <c r="M53" s="153">
        <f t="shared" si="3"/>
        <v>404.1</v>
      </c>
      <c r="N53" s="148">
        <f t="shared" si="23"/>
        <v>404.1</v>
      </c>
      <c r="O53" s="131">
        <f t="shared" si="11"/>
        <v>404.1</v>
      </c>
      <c r="P53" s="131" t="str">
        <f t="shared" si="19"/>
        <v/>
      </c>
      <c r="Q53" s="131" t="str">
        <f t="shared" si="20"/>
        <v/>
      </c>
      <c r="R53" s="127" t="str">
        <f t="shared" si="21"/>
        <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Norfolk</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East of England</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374.6</v>
      </c>
      <c r="AY53" s="156"/>
      <c r="AZ53" s="44"/>
    </row>
    <row r="54" spans="1:52">
      <c r="A54" s="84" t="str">
        <f>$D$1&amp;44</f>
        <v>SD44</v>
      </c>
      <c r="B54" s="85" t="str">
        <f>IF(ISERROR(VLOOKUP(A54,classifications!A:C,3,FALSE)),0,VLOOKUP(A54,classifications!A:C,3,FALSE))</f>
        <v>Ryedale</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Tendring</v>
      </c>
      <c r="M54" s="153">
        <f t="shared" si="3"/>
        <v>404.2</v>
      </c>
      <c r="N54" s="148">
        <f t="shared" si="23"/>
        <v>404.2</v>
      </c>
      <c r="O54" s="131">
        <f t="shared" si="11"/>
        <v>404.2</v>
      </c>
      <c r="P54" s="131" t="str">
        <f t="shared" si="19"/>
        <v/>
      </c>
      <c r="Q54" s="131" t="str">
        <f t="shared" si="20"/>
        <v/>
      </c>
      <c r="R54" s="127" t="str">
        <f t="shared" si="21"/>
        <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 xml:space="preserve">Largely Rural (rural including hub towns 50-79%) </v>
      </c>
      <c r="Y54" s="49" t="str">
        <f t="shared" si="4"/>
        <v/>
      </c>
      <c r="Z54" s="57" t="str">
        <f>IF(Y54="","",IF(I$8="A",(RANK(Y54,Y$11:Y$355,1)+COUNTIF(Y$11:Y54,Y54)-1),(RANK(Y54,Y$11:Y$355)+COUNTIF(Y$11:Y54,Y54)-1)))</f>
        <v/>
      </c>
      <c r="AA54" s="242" t="str">
        <f>IF(L54="","",VLOOKUP($L54,classifications!C:I,7,FALSE))</f>
        <v>Predominantly Rural</v>
      </c>
      <c r="AB54" s="236">
        <f t="shared" si="14"/>
        <v>404.2</v>
      </c>
      <c r="AC54" s="236">
        <f>IF(AB54="","",IF($I$8="A",(RANK(AB54,AB$11:AB$355)+COUNTIF(AB$11:AB54,AB54)-1),(RANK(AB54,AB$11:AB$355,1)+COUNTIF(AB$11:AB54,AB54)-1)))</f>
        <v>49</v>
      </c>
      <c r="AD54" s="236"/>
      <c r="AE54" s="51" t="str">
        <f t="shared" si="24"/>
        <v/>
      </c>
      <c r="AG54" s="143"/>
      <c r="AH54" s="52"/>
      <c r="AI54" s="61" t="str">
        <f>IF(L54="","",VLOOKUP($L54,classifications!$C:$J,8,FALSE))</f>
        <v>Essex</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East of England</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Scarborough</v>
      </c>
      <c r="C55" s="31" t="s">
        <v>302</v>
      </c>
      <c r="D55" s="49" t="str">
        <f>VLOOKUP($C55,classifications!$C:$J,4,FALSE)</f>
        <v>SC</v>
      </c>
      <c r="E55" s="49">
        <f>VLOOKUP(C55,classifications!C:K,9,FALSE)</f>
        <v>0</v>
      </c>
      <c r="F55" s="59">
        <f t="shared" si="0"/>
        <v>457.9</v>
      </c>
      <c r="G55" s="105"/>
      <c r="H55" s="60" t="str">
        <f t="shared" si="1"/>
        <v/>
      </c>
      <c r="I55" s="112" t="str">
        <f>IF(H55="","",IF($I$8="A",(RANK(H55,H$11:H$355,1)+COUNTIF(H$11:H55,H55)-1),(RANK(H55,H$11:H$355)+COUNTIF(H$11:H55,H55)-1)))</f>
        <v/>
      </c>
      <c r="J55" s="58"/>
      <c r="K55" s="51">
        <f t="shared" si="10"/>
        <v>45</v>
      </c>
      <c r="L55" s="59" t="str">
        <f t="shared" si="2"/>
        <v>South Northamptonshire</v>
      </c>
      <c r="M55" s="153">
        <f t="shared" si="3"/>
        <v>404.8</v>
      </c>
      <c r="N55" s="148">
        <f t="shared" si="23"/>
        <v>404.8</v>
      </c>
      <c r="O55" s="131">
        <f t="shared" si="11"/>
        <v>404.8</v>
      </c>
      <c r="P55" s="131" t="str">
        <f t="shared" si="19"/>
        <v/>
      </c>
      <c r="Q55" s="131" t="str">
        <f t="shared" si="20"/>
        <v/>
      </c>
      <c r="R55" s="127" t="str">
        <f t="shared" si="21"/>
        <v/>
      </c>
      <c r="S55" s="60" t="str">
        <f t="shared" si="12"/>
        <v/>
      </c>
      <c r="T55" s="228" t="str">
        <f>IF(L55="","",VLOOKUP(L55,classifications!C:K,9,FALSE))</f>
        <v>Sparse</v>
      </c>
      <c r="U55" s="235">
        <f t="shared" si="25"/>
        <v>404.8</v>
      </c>
      <c r="V55" s="236">
        <f>IF(U55="","",IF($I$8="A",(RANK(U55,U$11:U$355)+COUNTIF(U$11:U55,U55)-1),(RANK(U55,U$11:U$355,1)+COUNTIF(U$11:U55,U55)-1)))</f>
        <v>51</v>
      </c>
      <c r="W55" s="237"/>
      <c r="X55" s="61" t="str">
        <f>IF(L55="","",VLOOKUP($L55,classifications!$C:$J,6,FALSE))</f>
        <v xml:space="preserve">Mainly Rural (rural including hub towns &gt;=80%) </v>
      </c>
      <c r="Y55" s="49">
        <f t="shared" si="4"/>
        <v>404.8</v>
      </c>
      <c r="Z55" s="57">
        <f>IF(Y55="","",IF(I$8="A",(RANK(Y55,Y$11:Y$355,1)+COUNTIF(Y$11:Y55,Y55)-1),(RANK(Y55,Y$11:Y$355)+COUNTIF(Y$11:Y55,Y55)-1)))</f>
        <v>15</v>
      </c>
      <c r="AA55" s="242" t="str">
        <f>IF(L55="","",VLOOKUP($L55,classifications!C:I,7,FALSE))</f>
        <v>Predominantly Rural</v>
      </c>
      <c r="AB55" s="236">
        <f t="shared" si="14"/>
        <v>404.8</v>
      </c>
      <c r="AC55" s="236">
        <f>IF(AB55="","",IF($I$8="A",(RANK(AB55,AB$11:AB$355)+COUNTIF(AB$11:AB55,AB55)-1),(RANK(AB55,AB$11:AB$355,1)+COUNTIF(AB$11:AB55,AB55)-1)))</f>
        <v>48</v>
      </c>
      <c r="AD55" s="236"/>
      <c r="AE55" s="51" t="str">
        <f t="shared" si="24"/>
        <v/>
      </c>
      <c r="AG55" s="143"/>
      <c r="AH55" s="52"/>
      <c r="AI55" s="61" t="str">
        <f>IF(L55="","",VLOOKUP($L55,classifications!$C:$J,8,FALSE))</f>
        <v>Northamptonshire</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East Midlands</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457.9</v>
      </c>
      <c r="AY55" s="156"/>
      <c r="AZ55" s="44"/>
    </row>
    <row r="56" spans="1:52">
      <c r="A56" s="84" t="str">
        <f>$D$1&amp;46</f>
        <v>SD46</v>
      </c>
      <c r="B56" s="85" t="str">
        <f>IF(ISERROR(VLOOKUP(A56,classifications!A:C,3,FALSE)),0,VLOOKUP(A56,classifications!A:C,3,FALSE))</f>
        <v>Sedgemoor</v>
      </c>
      <c r="C56" s="31" t="s">
        <v>200</v>
      </c>
      <c r="D56" s="49" t="str">
        <f>VLOOKUP($C56,classifications!$C:$J,4,FALSE)</f>
        <v>L</v>
      </c>
      <c r="E56" s="49">
        <f>VLOOKUP(C56,classifications!C:K,9,FALSE)</f>
        <v>0</v>
      </c>
      <c r="F56" s="59">
        <f t="shared" si="0"/>
        <v>395.7</v>
      </c>
      <c r="G56" s="105"/>
      <c r="H56" s="60" t="str">
        <f t="shared" si="1"/>
        <v/>
      </c>
      <c r="I56" s="112" t="str">
        <f>IF(H56="","",IF($I$8="A",(RANK(H56,H$11:H$355,1)+COUNTIF(H$11:H56,H56)-1),(RANK(H56,H$11:H$355)+COUNTIF(H$11:H56,H56)-1)))</f>
        <v/>
      </c>
      <c r="J56" s="58"/>
      <c r="K56" s="51">
        <f t="shared" si="10"/>
        <v>46</v>
      </c>
      <c r="L56" s="59" t="str">
        <f t="shared" si="2"/>
        <v>Tewkesbury</v>
      </c>
      <c r="M56" s="153">
        <f t="shared" si="3"/>
        <v>406.8</v>
      </c>
      <c r="N56" s="148">
        <f t="shared" si="23"/>
        <v>406.8</v>
      </c>
      <c r="O56" s="131">
        <f t="shared" si="11"/>
        <v>406.8</v>
      </c>
      <c r="P56" s="131" t="str">
        <f t="shared" si="19"/>
        <v/>
      </c>
      <c r="Q56" s="131" t="str">
        <f t="shared" si="20"/>
        <v/>
      </c>
      <c r="R56" s="127" t="str">
        <f t="shared" si="21"/>
        <v/>
      </c>
      <c r="S56" s="60" t="str">
        <f t="shared" si="12"/>
        <v/>
      </c>
      <c r="T56" s="228" t="str">
        <f>IF(L56="","",VLOOKUP(L56,classifications!C:K,9,FALSE))</f>
        <v>Sparse</v>
      </c>
      <c r="U56" s="235">
        <f t="shared" si="25"/>
        <v>406.8</v>
      </c>
      <c r="V56" s="236">
        <f>IF(U56="","",IF($I$8="A",(RANK(U56,U$11:U$355)+COUNTIF(U$11:U56,U56)-1),(RANK(U56,U$11:U$355,1)+COUNTIF(U$11:U56,U56)-1)))</f>
        <v>50</v>
      </c>
      <c r="W56" s="237"/>
      <c r="X56" s="61" t="str">
        <f>IF(L56="","",VLOOKUP($L56,classifications!$C:$J,6,FALSE))</f>
        <v xml:space="preserve">Largely Rural (rural including hub towns 50-79%) </v>
      </c>
      <c r="Y56" s="49" t="str">
        <f t="shared" si="4"/>
        <v/>
      </c>
      <c r="Z56" s="57" t="str">
        <f>IF(Y56="","",IF(I$8="A",(RANK(Y56,Y$11:Y$355,1)+COUNTIF(Y$11:Y56,Y56)-1),(RANK(Y56,Y$11:Y$355)+COUNTIF(Y$11:Y56,Y56)-1)))</f>
        <v/>
      </c>
      <c r="AA56" s="242" t="str">
        <f>IF(L56="","",VLOOKUP($L56,classifications!C:I,7,FALSE))</f>
        <v>Predominantly Rural</v>
      </c>
      <c r="AB56" s="236">
        <f t="shared" si="14"/>
        <v>406.8</v>
      </c>
      <c r="AC56" s="236">
        <f>IF(AB56="","",IF($I$8="A",(RANK(AB56,AB$11:AB$355)+COUNTIF(AB$11:AB56,AB56)-1),(RANK(AB56,AB$11:AB$355,1)+COUNTIF(AB$11:AB56,AB56)-1)))</f>
        <v>47</v>
      </c>
      <c r="AD56" s="236"/>
      <c r="AE56" s="51" t="str">
        <f t="shared" si="24"/>
        <v/>
      </c>
      <c r="AG56" s="143"/>
      <c r="AH56" s="52"/>
      <c r="AI56" s="61" t="str">
        <f>IF(L56="","",VLOOKUP($L56,classifications!$C:$J,8,FALSE))</f>
        <v>Gloucestershire</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South West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395.7</v>
      </c>
      <c r="AY56" s="156"/>
      <c r="AZ56" s="44"/>
    </row>
    <row r="57" spans="1:52">
      <c r="A57" s="84" t="str">
        <f>$D$1&amp;47</f>
        <v>SD47</v>
      </c>
      <c r="B57" s="85" t="str">
        <f>IF(ISERROR(VLOOKUP(A57,classifications!A:C,3,FALSE)),0,VLOOKUP(A57,classifications!A:C,3,FALSE))</f>
        <v>Selby</v>
      </c>
      <c r="C57" s="31" t="s">
        <v>28</v>
      </c>
      <c r="D57" s="49" t="str">
        <f>VLOOKUP($C57,classifications!$C:$J,4,FALSE)</f>
        <v>SD</v>
      </c>
      <c r="E57" s="49">
        <f>VLOOKUP(C57,classifications!C:K,9,FALSE)</f>
        <v>0</v>
      </c>
      <c r="F57" s="59">
        <f t="shared" si="0"/>
        <v>495.2</v>
      </c>
      <c r="G57" s="105"/>
      <c r="H57" s="60">
        <f t="shared" si="1"/>
        <v>495.2</v>
      </c>
      <c r="I57" s="112">
        <f>IF(H57="","",IF($I$8="A",(RANK(H57,H$11:H$355,1)+COUNTIF(H$11:H57,H57)-1),(RANK(H57,H$11:H$355)+COUNTIF(H$11:H57,H57)-1)))</f>
        <v>135</v>
      </c>
      <c r="J57" s="58"/>
      <c r="K57" s="51">
        <f t="shared" si="10"/>
        <v>47</v>
      </c>
      <c r="L57" s="59" t="str">
        <f t="shared" si="2"/>
        <v>Mole Valley</v>
      </c>
      <c r="M57" s="153">
        <f t="shared" si="3"/>
        <v>407</v>
      </c>
      <c r="N57" s="148">
        <f t="shared" si="23"/>
        <v>407</v>
      </c>
      <c r="O57" s="131" t="str">
        <f t="shared" si="11"/>
        <v/>
      </c>
      <c r="P57" s="131">
        <f t="shared" si="19"/>
        <v>407</v>
      </c>
      <c r="Q57" s="131" t="str">
        <f t="shared" si="20"/>
        <v/>
      </c>
      <c r="R57" s="127" t="str">
        <f t="shared" si="21"/>
        <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Significant Rural (rural including hub towns 26-49%)</v>
      </c>
      <c r="Y57" s="49" t="str">
        <f t="shared" si="4"/>
        <v/>
      </c>
      <c r="Z57" s="57" t="str">
        <f>IF(Y57="","",IF(I$8="A",(RANK(Y57,Y$11:Y$355,1)+COUNTIF(Y$11:Y57,Y57)-1),(RANK(Y57,Y$11:Y$355)+COUNTIF(Y$11:Y57,Y57)-1)))</f>
        <v/>
      </c>
      <c r="AA57" s="242" t="str">
        <f>IF(L57="","",VLOOKUP($L57,classifications!C:I,7,FALSE))</f>
        <v>Significant Rural</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Surrey</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495.2</v>
      </c>
      <c r="AY57" s="156"/>
      <c r="AZ57" s="44"/>
    </row>
    <row r="58" spans="1:52">
      <c r="A58" s="84" t="str">
        <f>$D$1&amp;48</f>
        <v>SD48</v>
      </c>
      <c r="B58" s="85" t="str">
        <f>IF(ISERROR(VLOOKUP(A58,classifications!A:C,3,FALSE)),0,VLOOKUP(A58,classifications!A:C,3,FALSE))</f>
        <v>Sevenoaks</v>
      </c>
      <c r="C58" s="31" t="s">
        <v>29</v>
      </c>
      <c r="D58" s="49" t="str">
        <f>VLOOKUP($C58,classifications!$C:$J,4,FALSE)</f>
        <v>SD</v>
      </c>
      <c r="E58" s="49">
        <f>VLOOKUP(C58,classifications!C:K,9,FALSE)</f>
        <v>0</v>
      </c>
      <c r="F58" s="59">
        <f t="shared" si="0"/>
        <v>427.6</v>
      </c>
      <c r="G58" s="105"/>
      <c r="H58" s="60">
        <f t="shared" si="1"/>
        <v>427.6</v>
      </c>
      <c r="I58" s="112">
        <f>IF(H58="","",IF($I$8="A",(RANK(H58,H$11:H$355,1)+COUNTIF(H$11:H58,H58)-1),(RANK(H58,H$11:H$355)+COUNTIF(H$11:H58,H58)-1)))</f>
        <v>65</v>
      </c>
      <c r="J58" s="58"/>
      <c r="K58" s="51">
        <f t="shared" si="10"/>
        <v>48</v>
      </c>
      <c r="L58" s="59" t="str">
        <f t="shared" si="2"/>
        <v>North Devon</v>
      </c>
      <c r="M58" s="153">
        <f t="shared" si="3"/>
        <v>409.7</v>
      </c>
      <c r="N58" s="148">
        <f t="shared" si="23"/>
        <v>409.7</v>
      </c>
      <c r="O58" s="131" t="str">
        <f t="shared" si="11"/>
        <v/>
      </c>
      <c r="P58" s="131">
        <f t="shared" si="19"/>
        <v>409.7</v>
      </c>
      <c r="Q58" s="131" t="str">
        <f t="shared" si="20"/>
        <v/>
      </c>
      <c r="R58" s="127" t="str">
        <f t="shared" si="21"/>
        <v/>
      </c>
      <c r="S58" s="60" t="str">
        <f t="shared" si="12"/>
        <v/>
      </c>
      <c r="T58" s="228" t="str">
        <f>IF(L58="","",VLOOKUP(L58,classifications!C:K,9,FALSE))</f>
        <v>Sparse</v>
      </c>
      <c r="U58" s="235">
        <f t="shared" si="25"/>
        <v>409.7</v>
      </c>
      <c r="V58" s="236">
        <f>IF(U58="","",IF($I$8="A",(RANK(U58,U$11:U$355)+COUNTIF(U$11:U58,U58)-1),(RANK(U58,U$11:U$355,1)+COUNTIF(U$11:U58,U58)-1)))</f>
        <v>49</v>
      </c>
      <c r="W58" s="237"/>
      <c r="X58" s="61" t="str">
        <f>IF(L58="","",VLOOKUP($L58,classifications!$C:$J,6,FALSE))</f>
        <v xml:space="preserve">Largely Rural (rural including hub towns 50-79%) </v>
      </c>
      <c r="Y58" s="49" t="str">
        <f t="shared" si="4"/>
        <v/>
      </c>
      <c r="Z58" s="57" t="str">
        <f>IF(Y58="","",IF(I$8="A",(RANK(Y58,Y$11:Y$355,1)+COUNTIF(Y$11:Y58,Y58)-1),(RANK(Y58,Y$11:Y$355)+COUNTIF(Y$11:Y58,Y58)-1)))</f>
        <v/>
      </c>
      <c r="AA58" s="242" t="str">
        <f>IF(L58="","",VLOOKUP($L58,classifications!C:I,7,FALSE))</f>
        <v>Predominantly Rural</v>
      </c>
      <c r="AB58" s="236">
        <f t="shared" si="14"/>
        <v>409.7</v>
      </c>
      <c r="AC58" s="236">
        <f>IF(AB58="","",IF($I$8="A",(RANK(AB58,AB$11:AB$355)+COUNTIF(AB$11:AB58,AB58)-1),(RANK(AB58,AB$11:AB$355,1)+COUNTIF(AB$11:AB58,AB58)-1)))</f>
        <v>46</v>
      </c>
      <c r="AD58" s="236"/>
      <c r="AE58" s="51" t="str">
        <f t="shared" si="24"/>
        <v/>
      </c>
      <c r="AG58" s="143"/>
      <c r="AH58" s="52"/>
      <c r="AI58" s="61" t="str">
        <f>IF(L58="","",VLOOKUP($L58,classifications!$C:$J,8,FALSE))</f>
        <v>Devon</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South West</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427.6</v>
      </c>
      <c r="AY58" s="156"/>
      <c r="AZ58" s="44"/>
    </row>
    <row r="59" spans="1:52">
      <c r="A59" s="84" t="str">
        <f>$D$1&amp;49</f>
        <v>SD49</v>
      </c>
      <c r="B59" s="85" t="str">
        <f>IF(ISERROR(VLOOKUP(A59,classifications!A:C,3,FALSE)),0,VLOOKUP(A59,classifications!A:C,3,FALSE))</f>
        <v>South Cambridgeshire</v>
      </c>
      <c r="C59" s="31" t="s">
        <v>30</v>
      </c>
      <c r="D59" s="49" t="str">
        <f>VLOOKUP($C59,classifications!$C:$J,4,FALSE)</f>
        <v>SD</v>
      </c>
      <c r="E59" s="49">
        <f>VLOOKUP(C59,classifications!C:K,9,FALSE)</f>
        <v>0</v>
      </c>
      <c r="F59" s="59">
        <f t="shared" si="0"/>
        <v>474.4</v>
      </c>
      <c r="G59" s="105"/>
      <c r="H59" s="60">
        <f t="shared" si="1"/>
        <v>474.4</v>
      </c>
      <c r="I59" s="112">
        <f>IF(H59="","",IF($I$8="A",(RANK(H59,H$11:H$355,1)+COUNTIF(H$11:H59,H59)-1),(RANK(H59,H$11:H$355)+COUNTIF(H$11:H59,H59)-1)))</f>
        <v>118</v>
      </c>
      <c r="J59" s="58"/>
      <c r="K59" s="51">
        <f t="shared" si="10"/>
        <v>49</v>
      </c>
      <c r="L59" s="59" t="str">
        <f t="shared" si="2"/>
        <v>Maidstone</v>
      </c>
      <c r="M59" s="153">
        <f t="shared" si="3"/>
        <v>410</v>
      </c>
      <c r="N59" s="148">
        <f t="shared" si="23"/>
        <v>410</v>
      </c>
      <c r="O59" s="131" t="str">
        <f t="shared" si="11"/>
        <v/>
      </c>
      <c r="P59" s="131">
        <f t="shared" si="19"/>
        <v>410</v>
      </c>
      <c r="Q59" s="131" t="str">
        <f t="shared" si="20"/>
        <v/>
      </c>
      <c r="R59" s="127" t="str">
        <f t="shared" si="21"/>
        <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Significant Rural (rural including hub towns 26-49%)</v>
      </c>
      <c r="Y59" s="49" t="str">
        <f t="shared" si="4"/>
        <v/>
      </c>
      <c r="Z59" s="57" t="str">
        <f>IF(Y59="","",IF(I$8="A",(RANK(Y59,Y$11:Y$355,1)+COUNTIF(Y$11:Y59,Y59)-1),(RANK(Y59,Y$11:Y$355)+COUNTIF(Y$11:Y59,Y59)-1)))</f>
        <v/>
      </c>
      <c r="AA59" s="242" t="str">
        <f>IF(L59="","",VLOOKUP($L59,classifications!C:I,7,FALSE))</f>
        <v>Significant Rural</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Kent</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South East</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474.4</v>
      </c>
      <c r="AY59" s="156"/>
      <c r="AZ59" s="44"/>
    </row>
    <row r="60" spans="1:52">
      <c r="A60" s="84" t="str">
        <f>$D$1&amp;50</f>
        <v>SD50</v>
      </c>
      <c r="B60" s="85" t="str">
        <f>IF(ISERROR(VLOOKUP(A60,classifications!A:C,3,FALSE)),0,VLOOKUP(A60,classifications!A:C,3,FALSE))</f>
        <v>South Derbyshire</v>
      </c>
      <c r="C60" s="31" t="s">
        <v>31</v>
      </c>
      <c r="D60" s="49" t="str">
        <f>VLOOKUP($C60,classifications!$C:$J,4,FALSE)</f>
        <v>SD</v>
      </c>
      <c r="E60" s="49">
        <f>VLOOKUP(C60,classifications!C:K,9,FALSE)</f>
        <v>0</v>
      </c>
      <c r="F60" s="59">
        <f t="shared" si="0"/>
        <v>396.4</v>
      </c>
      <c r="G60" s="105"/>
      <c r="H60" s="60">
        <f t="shared" si="1"/>
        <v>396.4</v>
      </c>
      <c r="I60" s="112">
        <f>IF(H60="","",IF($I$8="A",(RANK(H60,H$11:H$355,1)+COUNTIF(H$11:H60,H60)-1),(RANK(H60,H$11:H$355)+COUNTIF(H$11:H60,H60)-1)))</f>
        <v>38</v>
      </c>
      <c r="J60" s="58"/>
      <c r="K60" s="51">
        <f t="shared" si="10"/>
        <v>50</v>
      </c>
      <c r="L60" s="59" t="str">
        <f t="shared" si="2"/>
        <v>Arun</v>
      </c>
      <c r="M60" s="153">
        <f t="shared" si="3"/>
        <v>410.1</v>
      </c>
      <c r="N60" s="148">
        <f t="shared" si="23"/>
        <v>410.1</v>
      </c>
      <c r="O60" s="131" t="str">
        <f t="shared" si="11"/>
        <v/>
      </c>
      <c r="P60" s="131">
        <f t="shared" si="19"/>
        <v>410.1</v>
      </c>
      <c r="Q60" s="131" t="str">
        <f t="shared" si="20"/>
        <v/>
      </c>
      <c r="R60" s="127" t="str">
        <f t="shared" si="21"/>
        <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West Sussex</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South East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396.4</v>
      </c>
      <c r="AY60" s="156"/>
      <c r="AZ60" s="44"/>
    </row>
    <row r="61" spans="1:52">
      <c r="A61" s="84" t="str">
        <f>$D$1&amp;51</f>
        <v>SD51</v>
      </c>
      <c r="B61" s="85" t="str">
        <f>IF(ISERROR(VLOOKUP(A61,classifications!A:C,3,FALSE)),0,VLOOKUP(A61,classifications!A:C,3,FALSE))</f>
        <v>South Hams</v>
      </c>
      <c r="C61" s="31" t="s">
        <v>303</v>
      </c>
      <c r="D61" s="49" t="str">
        <f>VLOOKUP($C61,classifications!$C:$J,4,FALSE)</f>
        <v>UA</v>
      </c>
      <c r="E61" s="49">
        <f>VLOOKUP(C61,classifications!C:K,9,FALSE)</f>
        <v>0</v>
      </c>
      <c r="F61" s="59">
        <f t="shared" si="0"/>
        <v>560.5</v>
      </c>
      <c r="G61" s="105"/>
      <c r="H61" s="60" t="str">
        <f t="shared" si="1"/>
        <v/>
      </c>
      <c r="I61" s="112" t="str">
        <f>IF(H61="","",IF($I$8="A",(RANK(H61,H$11:H$355,1)+COUNTIF(H$11:H61,H61)-1),(RANK(H61,H$11:H$355)+COUNTIF(H$11:H61,H61)-1)))</f>
        <v/>
      </c>
      <c r="J61" s="58"/>
      <c r="K61" s="51">
        <f t="shared" si="10"/>
        <v>51</v>
      </c>
      <c r="L61" s="59" t="str">
        <f t="shared" si="2"/>
        <v>Oadby &amp; Wigston</v>
      </c>
      <c r="M61" s="153">
        <f t="shared" si="3"/>
        <v>410.3</v>
      </c>
      <c r="N61" s="148">
        <f t="shared" si="23"/>
        <v>410.3</v>
      </c>
      <c r="O61" s="131" t="str">
        <f t="shared" si="11"/>
        <v/>
      </c>
      <c r="P61" s="131">
        <f t="shared" si="19"/>
        <v>410.3</v>
      </c>
      <c r="Q61" s="131" t="str">
        <f t="shared" si="20"/>
        <v/>
      </c>
      <c r="R61" s="127" t="str">
        <f t="shared" si="21"/>
        <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Leicestershire</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East Midlands</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560.5</v>
      </c>
      <c r="AY61" s="156"/>
      <c r="AZ61" s="44"/>
    </row>
    <row r="62" spans="1:52">
      <c r="A62" s="84" t="str">
        <f>$D$1&amp;52</f>
        <v>SD52</v>
      </c>
      <c r="B62" s="85" t="str">
        <f>IF(ISERROR(VLOOKUP(A62,classifications!A:C,3,FALSE)),0,VLOOKUP(A62,classifications!A:C,3,FALSE))</f>
        <v>South Holland</v>
      </c>
      <c r="C62" s="31" t="s">
        <v>32</v>
      </c>
      <c r="D62" s="49" t="str">
        <f>VLOOKUP($C62,classifications!$C:$J,4,FALSE)</f>
        <v>SD</v>
      </c>
      <c r="E62" s="49">
        <f>VLOOKUP(C62,classifications!C:K,9,FALSE)</f>
        <v>0</v>
      </c>
      <c r="F62" s="59">
        <f t="shared" si="0"/>
        <v>454.5</v>
      </c>
      <c r="G62" s="105"/>
      <c r="H62" s="60">
        <f t="shared" si="1"/>
        <v>454.5</v>
      </c>
      <c r="I62" s="112">
        <f>IF(H62="","",IF($I$8="A",(RANK(H62,H$11:H$355,1)+COUNTIF(H$11:H62,H62)-1),(RANK(H62,H$11:H$355)+COUNTIF(H$11:H62,H62)-1)))</f>
        <v>91</v>
      </c>
      <c r="J62" s="58"/>
      <c r="K62" s="51">
        <f t="shared" si="10"/>
        <v>52</v>
      </c>
      <c r="L62" s="59" t="str">
        <f t="shared" si="2"/>
        <v>Forest of Dean</v>
      </c>
      <c r="M62" s="153">
        <f t="shared" si="3"/>
        <v>410.8</v>
      </c>
      <c r="N62" s="148">
        <f t="shared" si="23"/>
        <v>410.8</v>
      </c>
      <c r="O62" s="131" t="str">
        <f t="shared" si="11"/>
        <v/>
      </c>
      <c r="P62" s="131">
        <f t="shared" si="19"/>
        <v>410.8</v>
      </c>
      <c r="Q62" s="131" t="str">
        <f t="shared" si="20"/>
        <v/>
      </c>
      <c r="R62" s="127" t="str">
        <f t="shared" si="21"/>
        <v/>
      </c>
      <c r="S62" s="60" t="str">
        <f t="shared" si="12"/>
        <v/>
      </c>
      <c r="T62" s="228" t="str">
        <f>IF(L62="","",VLOOKUP(L62,classifications!C:K,9,FALSE))</f>
        <v>Sparse</v>
      </c>
      <c r="U62" s="235">
        <f t="shared" si="25"/>
        <v>410.8</v>
      </c>
      <c r="V62" s="236">
        <f>IF(U62="","",IF($I$8="A",(RANK(U62,U$11:U$355)+COUNTIF(U$11:U62,U62)-1),(RANK(U62,U$11:U$355,1)+COUNTIF(U$11:U62,U62)-1)))</f>
        <v>48</v>
      </c>
      <c r="W62" s="237"/>
      <c r="X62" s="61" t="str">
        <f>IF(L62="","",VLOOKUP($L62,classifications!$C:$J,6,FALSE))</f>
        <v xml:space="preserve">Mainly Rural (rural including hub towns &gt;=80%) </v>
      </c>
      <c r="Y62" s="49">
        <f t="shared" si="4"/>
        <v>410.8</v>
      </c>
      <c r="Z62" s="57">
        <f>IF(Y62="","",IF(I$8="A",(RANK(Y62,Y$11:Y$355,1)+COUNTIF(Y$11:Y62,Y62)-1),(RANK(Y62,Y$11:Y$355)+COUNTIF(Y$11:Y62,Y62)-1)))</f>
        <v>16</v>
      </c>
      <c r="AA62" s="242" t="str">
        <f>IF(L62="","",VLOOKUP($L62,classifications!C:I,7,FALSE))</f>
        <v>Predominantly Rural</v>
      </c>
      <c r="AB62" s="236">
        <f t="shared" si="14"/>
        <v>410.8</v>
      </c>
      <c r="AC62" s="236">
        <f>IF(AB62="","",IF($I$8="A",(RANK(AB62,AB$11:AB$355)+COUNTIF(AB$11:AB62,AB62)-1),(RANK(AB62,AB$11:AB$355,1)+COUNTIF(AB$11:AB62,AB62)-1)))</f>
        <v>45</v>
      </c>
      <c r="AD62" s="236"/>
      <c r="AE62" s="51" t="str">
        <f t="shared" si="24"/>
        <v/>
      </c>
      <c r="AG62" s="143"/>
      <c r="AH62" s="52"/>
      <c r="AI62" s="61" t="str">
        <f>IF(L62="","",VLOOKUP($L62,classifications!$C:$J,8,FALSE))</f>
        <v>Gloucestershire</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South West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454.5</v>
      </c>
      <c r="AY62" s="156"/>
      <c r="AZ62" s="44"/>
    </row>
    <row r="63" spans="1:52">
      <c r="A63" s="84" t="str">
        <f>$D$1&amp;53</f>
        <v>SD53</v>
      </c>
      <c r="B63" s="85" t="str">
        <f>IF(ISERROR(VLOOKUP(A63,classifications!A:C,3,FALSE)),0,VLOOKUP(A63,classifications!A:C,3,FALSE))</f>
        <v>South Kesteven</v>
      </c>
      <c r="C63" s="31" t="s">
        <v>33</v>
      </c>
      <c r="D63" s="49" t="str">
        <f>VLOOKUP($C63,classifications!$C:$J,4,FALSE)</f>
        <v>SD</v>
      </c>
      <c r="E63" s="49">
        <f>VLOOKUP(C63,classifications!C:K,9,FALSE)</f>
        <v>0</v>
      </c>
      <c r="F63" s="59">
        <f t="shared" si="0"/>
        <v>482.5</v>
      </c>
      <c r="G63" s="105"/>
      <c r="H63" s="60">
        <f t="shared" si="1"/>
        <v>482.5</v>
      </c>
      <c r="I63" s="112">
        <f>IF(H63="","",IF($I$8="A",(RANK(H63,H$11:H$355,1)+COUNTIF(H$11:H63,H63)-1),(RANK(H63,H$11:H$355)+COUNTIF(H$11:H63,H63)-1)))</f>
        <v>125</v>
      </c>
      <c r="J63" s="58"/>
      <c r="K63" s="51">
        <f t="shared" si="10"/>
        <v>53</v>
      </c>
      <c r="L63" s="59" t="str">
        <f t="shared" si="2"/>
        <v>High Peak</v>
      </c>
      <c r="M63" s="153">
        <f t="shared" si="3"/>
        <v>411</v>
      </c>
      <c r="N63" s="148">
        <f t="shared" si="23"/>
        <v>411</v>
      </c>
      <c r="O63" s="131" t="str">
        <f t="shared" si="11"/>
        <v/>
      </c>
      <c r="P63" s="131">
        <f t="shared" si="19"/>
        <v>411</v>
      </c>
      <c r="Q63" s="131" t="str">
        <f t="shared" si="20"/>
        <v/>
      </c>
      <c r="R63" s="127" t="str">
        <f t="shared" si="21"/>
        <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 xml:space="preserve">Largely Rural (rural including hub towns 50-79%) </v>
      </c>
      <c r="Y63" s="49" t="str">
        <f t="shared" si="4"/>
        <v/>
      </c>
      <c r="Z63" s="57" t="str">
        <f>IF(Y63="","",IF(I$8="A",(RANK(Y63,Y$11:Y$355,1)+COUNTIF(Y$11:Y63,Y63)-1),(RANK(Y63,Y$11:Y$355)+COUNTIF(Y$11:Y63,Y63)-1)))</f>
        <v/>
      </c>
      <c r="AA63" s="242" t="str">
        <f>IF(L63="","",VLOOKUP($L63,classifications!C:I,7,FALSE))</f>
        <v>Predominantly Rural</v>
      </c>
      <c r="AB63" s="236">
        <f t="shared" si="14"/>
        <v>411</v>
      </c>
      <c r="AC63" s="236">
        <f>IF(AB63="","",IF($I$8="A",(RANK(AB63,AB$11:AB$355)+COUNTIF(AB$11:AB63,AB63)-1),(RANK(AB63,AB$11:AB$355,1)+COUNTIF(AB$11:AB63,AB63)-1)))</f>
        <v>44</v>
      </c>
      <c r="AD63" s="236"/>
      <c r="AE63" s="51" t="str">
        <f t="shared" si="24"/>
        <v/>
      </c>
      <c r="AG63" s="143"/>
      <c r="AH63" s="52"/>
      <c r="AI63" s="61" t="str">
        <f>IF(L63="","",VLOOKUP($L63,classifications!$C:$J,8,FALSE))</f>
        <v>Derbyshire</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East Midlands</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482.5</v>
      </c>
      <c r="AY63" s="156"/>
      <c r="AZ63" s="44"/>
    </row>
    <row r="64" spans="1:52">
      <c r="A64" s="84" t="str">
        <f>$D$1&amp;54</f>
        <v>SD54</v>
      </c>
      <c r="B64" s="85" t="str">
        <f>IF(ISERROR(VLOOKUP(A64,classifications!A:C,3,FALSE)),0,VLOOKUP(A64,classifications!A:C,3,FALSE))</f>
        <v>South Lakeland</v>
      </c>
      <c r="C64" s="31" t="s">
        <v>34</v>
      </c>
      <c r="D64" s="49" t="str">
        <f>VLOOKUP($C64,classifications!$C:$J,4,FALSE)</f>
        <v>SD</v>
      </c>
      <c r="E64" s="49">
        <f>VLOOKUP(C64,classifications!C:K,9,FALSE)</f>
        <v>0</v>
      </c>
      <c r="F64" s="59">
        <f t="shared" si="0"/>
        <v>433.8</v>
      </c>
      <c r="G64" s="105"/>
      <c r="H64" s="60">
        <f t="shared" si="1"/>
        <v>433.8</v>
      </c>
      <c r="I64" s="112">
        <f>IF(H64="","",IF($I$8="A",(RANK(H64,H$11:H$355,1)+COUNTIF(H$11:H64,H64)-1),(RANK(H64,H$11:H$355)+COUNTIF(H$11:H64,H64)-1)))</f>
        <v>77</v>
      </c>
      <c r="J64" s="58"/>
      <c r="K64" s="51">
        <f t="shared" si="10"/>
        <v>54</v>
      </c>
      <c r="L64" s="59" t="str">
        <f t="shared" si="2"/>
        <v>Runnymede</v>
      </c>
      <c r="M64" s="153">
        <f t="shared" si="3"/>
        <v>417.1</v>
      </c>
      <c r="N64" s="148">
        <f t="shared" si="23"/>
        <v>417.1</v>
      </c>
      <c r="O64" s="131" t="str">
        <f t="shared" si="11"/>
        <v/>
      </c>
      <c r="P64" s="131">
        <f t="shared" si="19"/>
        <v>417.1</v>
      </c>
      <c r="Q64" s="131" t="str">
        <f t="shared" si="20"/>
        <v/>
      </c>
      <c r="R64" s="127" t="str">
        <f t="shared" si="21"/>
        <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Major Conurbation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Surrey</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East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433.8</v>
      </c>
      <c r="AY64" s="156"/>
      <c r="AZ64" s="44"/>
    </row>
    <row r="65" spans="1:52">
      <c r="A65" s="84" t="str">
        <f>$D$1&amp;55</f>
        <v>SD55</v>
      </c>
      <c r="B65" s="85" t="str">
        <f>IF(ISERROR(VLOOKUP(A65,classifications!A:C,3,FALSE)),0,VLOOKUP(A65,classifications!A:C,3,FALSE))</f>
        <v>South Norfolk</v>
      </c>
      <c r="C65" s="31" t="s">
        <v>35</v>
      </c>
      <c r="D65" s="49" t="str">
        <f>VLOOKUP($C65,classifications!$C:$J,4,FALSE)</f>
        <v>SD</v>
      </c>
      <c r="E65" s="49" t="str">
        <f>VLOOKUP(C65,classifications!C:K,9,FALSE)</f>
        <v>Sparse</v>
      </c>
      <c r="F65" s="59">
        <f t="shared" si="0"/>
        <v>422</v>
      </c>
      <c r="G65" s="105"/>
      <c r="H65" s="60">
        <f t="shared" si="1"/>
        <v>422</v>
      </c>
      <c r="I65" s="112">
        <f>IF(H65="","",IF($I$8="A",(RANK(H65,H$11:H$355,1)+COUNTIF(H$11:H65,H65)-1),(RANK(H65,H$11:H$355)+COUNTIF(H$11:H65,H65)-1)))</f>
        <v>59</v>
      </c>
      <c r="J65" s="58"/>
      <c r="K65" s="51">
        <f t="shared" si="10"/>
        <v>55</v>
      </c>
      <c r="L65" s="59" t="str">
        <f t="shared" si="2"/>
        <v>Welwyn Hatfield</v>
      </c>
      <c r="M65" s="153">
        <f t="shared" si="3"/>
        <v>417.3</v>
      </c>
      <c r="N65" s="148">
        <f t="shared" si="23"/>
        <v>417.3</v>
      </c>
      <c r="O65" s="131" t="str">
        <f t="shared" si="11"/>
        <v/>
      </c>
      <c r="P65" s="131">
        <f t="shared" si="19"/>
        <v>417.3</v>
      </c>
      <c r="Q65" s="131" t="str">
        <f t="shared" si="20"/>
        <v/>
      </c>
      <c r="R65" s="127" t="str">
        <f t="shared" si="21"/>
        <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City and Town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Hertfordshire</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East of England</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422</v>
      </c>
      <c r="AY65" s="156"/>
      <c r="AZ65" s="44"/>
    </row>
    <row r="66" spans="1:52">
      <c r="A66" s="84" t="str">
        <f>$D$1&amp;56</f>
        <v>SD56</v>
      </c>
      <c r="B66" s="85" t="str">
        <f>IF(ISERROR(VLOOKUP(A66,classifications!A:C,3,FALSE)),0,VLOOKUP(A66,classifications!A:C,3,FALSE))</f>
        <v>South Northamptonshire</v>
      </c>
      <c r="C66" s="31" t="s">
        <v>304</v>
      </c>
      <c r="D66" s="49" t="str">
        <f>VLOOKUP($C66,classifications!$C:$J,4,FALSE)</f>
        <v>UA</v>
      </c>
      <c r="E66" s="49" t="str">
        <f>VLOOKUP(C66,classifications!C:K,9,FALSE)</f>
        <v>Sparse</v>
      </c>
      <c r="F66" s="59">
        <f t="shared" si="0"/>
        <v>477.8</v>
      </c>
      <c r="G66" s="105"/>
      <c r="H66" s="60" t="str">
        <f t="shared" si="1"/>
        <v/>
      </c>
      <c r="I66" s="112" t="str">
        <f>IF(H66="","",IF($I$8="A",(RANK(H66,H$11:H$355,1)+COUNTIF(H$11:H66,H66)-1),(RANK(H66,H$11:H$355)+COUNTIF(H$11:H66,H66)-1)))</f>
        <v/>
      </c>
      <c r="J66" s="58"/>
      <c r="K66" s="51">
        <f t="shared" si="10"/>
        <v>56</v>
      </c>
      <c r="L66" s="59" t="str">
        <f t="shared" si="2"/>
        <v>Harrogate</v>
      </c>
      <c r="M66" s="153">
        <f t="shared" si="3"/>
        <v>418.8</v>
      </c>
      <c r="N66" s="148">
        <f t="shared" si="23"/>
        <v>418.8</v>
      </c>
      <c r="O66" s="131" t="str">
        <f t="shared" si="11"/>
        <v/>
      </c>
      <c r="P66" s="131">
        <f t="shared" si="19"/>
        <v>418.8</v>
      </c>
      <c r="Q66" s="131" t="str">
        <f t="shared" si="20"/>
        <v/>
      </c>
      <c r="R66" s="127" t="str">
        <f t="shared" si="21"/>
        <v/>
      </c>
      <c r="S66" s="60" t="str">
        <f t="shared" si="12"/>
        <v/>
      </c>
      <c r="T66" s="228" t="str">
        <f>IF(L66="","",VLOOKUP(L66,classifications!C:K,9,FALSE))</f>
        <v>Sparse</v>
      </c>
      <c r="U66" s="235">
        <f t="shared" si="25"/>
        <v>418.8</v>
      </c>
      <c r="V66" s="236">
        <f>IF(U66="","",IF($I$8="A",(RANK(U66,U$11:U$355)+COUNTIF(U$11:U66,U66)-1),(RANK(U66,U$11:U$355,1)+COUNTIF(U$11:U66,U66)-1)))</f>
        <v>47</v>
      </c>
      <c r="W66" s="237"/>
      <c r="X66" s="61" t="str">
        <f>IF(L66="","",VLOOKUP($L66,classifications!$C:$J,6,FALSE))</f>
        <v>Urban with Significant Rural (rural including hub towns 26-49%)</v>
      </c>
      <c r="Y66" s="49" t="str">
        <f t="shared" si="4"/>
        <v/>
      </c>
      <c r="Z66" s="57" t="str">
        <f>IF(Y66="","",IF(I$8="A",(RANK(Y66,Y$11:Y$355,1)+COUNTIF(Y$11:Y66,Y66)-1),(RANK(Y66,Y$11:Y$355)+COUNTIF(Y$11:Y66,Y66)-1)))</f>
        <v/>
      </c>
      <c r="AA66" s="242" t="str">
        <f>IF(L66="","",VLOOKUP($L66,classifications!C:I,7,FALSE))</f>
        <v>Significant Rural</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North Yorkshire</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Yorkshire &amp; Humberside</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477.8</v>
      </c>
      <c r="AY66" s="156"/>
      <c r="AZ66" s="44"/>
    </row>
    <row r="67" spans="1:52">
      <c r="A67" s="84" t="str">
        <f>$D$1&amp;57</f>
        <v>SD57</v>
      </c>
      <c r="B67" s="85" t="str">
        <f>IF(ISERROR(VLOOKUP(A67,classifications!A:C,3,FALSE)),0,VLOOKUP(A67,classifications!A:C,3,FALSE))</f>
        <v>South Oxfordshire</v>
      </c>
      <c r="C67" s="31" t="s">
        <v>812</v>
      </c>
      <c r="D67" s="49" t="str">
        <f>VLOOKUP($C67,classifications!$C:$J,4,FALSE)</f>
        <v>UA</v>
      </c>
      <c r="E67" s="49">
        <f>VLOOKUP(C67,classifications!C:K,9,FALSE)</f>
        <v>0</v>
      </c>
      <c r="F67" s="59">
        <f t="shared" si="0"/>
        <v>453.9</v>
      </c>
      <c r="G67" s="105"/>
      <c r="H67" s="60" t="str">
        <f t="shared" si="1"/>
        <v/>
      </c>
      <c r="I67" s="112" t="str">
        <f>IF(H67="","",IF($I$8="A",(RANK(H67,H$11:H$355,1)+COUNTIF(H$11:H67,H67)-1),(RANK(H67,H$11:H$355)+COUNTIF(H$11:H67,H67)-1)))</f>
        <v/>
      </c>
      <c r="J67" s="58"/>
      <c r="K67" s="51">
        <f t="shared" si="10"/>
        <v>57</v>
      </c>
      <c r="L67" s="59" t="str">
        <f t="shared" si="2"/>
        <v>Harlow</v>
      </c>
      <c r="M67" s="153">
        <f t="shared" si="3"/>
        <v>420.9</v>
      </c>
      <c r="N67" s="148">
        <f t="shared" si="23"/>
        <v>420.9</v>
      </c>
      <c r="O67" s="131" t="str">
        <f t="shared" si="11"/>
        <v/>
      </c>
      <c r="P67" s="131">
        <f t="shared" si="19"/>
        <v>420.9</v>
      </c>
      <c r="Q67" s="131" t="str">
        <f t="shared" si="20"/>
        <v/>
      </c>
      <c r="R67" s="127" t="str">
        <f t="shared" si="21"/>
        <v/>
      </c>
      <c r="S67" s="60" t="str">
        <f t="shared" si="12"/>
        <v/>
      </c>
      <c r="T67" s="228">
        <f>IF(L67="","",VLOOKUP(L67,classifications!C:K,9,FALSE))</f>
        <v>0</v>
      </c>
      <c r="U67" s="235" t="str">
        <f t="shared" si="25"/>
        <v/>
      </c>
      <c r="V67" s="236" t="str">
        <f>IF(U67="","",IF($I$8="A",(RANK(U67,U$11:U$355)+COUNTIF(U$11:U67,U67)-1),(RANK(U67,U$11:U$355,1)+COUNTIF(U$11:U67,U67)-1)))</f>
        <v/>
      </c>
      <c r="W67" s="237"/>
      <c r="X67" s="61" t="str">
        <f>IF(L67="","",VLOOKUP($L67,classifications!$C:$J,6,FALSE))</f>
        <v>Urban with City and Town</v>
      </c>
      <c r="Y67" s="49" t="str">
        <f t="shared" si="4"/>
        <v/>
      </c>
      <c r="Z67" s="57" t="str">
        <f>IF(Y67="","",IF(I$8="A",(RANK(Y67,Y$11:Y$355,1)+COUNTIF(Y$11:Y67,Y67)-1),(RANK(Y67,Y$11:Y$355)+COUNTIF(Y$11:Y67,Y67)-1)))</f>
        <v/>
      </c>
      <c r="AA67" s="242" t="str">
        <f>IF(L67="","",VLOOKUP($L67,classifications!C:I,7,FALSE))</f>
        <v>Predominantly Urban</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Essex</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East of England</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453.9</v>
      </c>
      <c r="AY67" s="156"/>
      <c r="AZ67" s="44"/>
    </row>
    <row r="68" spans="1:52">
      <c r="A68" s="84" t="str">
        <f>$D$1&amp;58</f>
        <v>SD58</v>
      </c>
      <c r="B68" s="85" t="str">
        <f>IF(ISERROR(VLOOKUP(A68,classifications!A:C,3,FALSE)),0,VLOOKUP(A68,classifications!A:C,3,FALSE))</f>
        <v>South Somerset</v>
      </c>
      <c r="C68" s="31" t="s">
        <v>36</v>
      </c>
      <c r="D68" s="49" t="str">
        <f>VLOOKUP($C68,classifications!$C:$J,4,FALSE)</f>
        <v>SD</v>
      </c>
      <c r="E68" s="49">
        <f>VLOOKUP(C68,classifications!C:K,9,FALSE)</f>
        <v>0</v>
      </c>
      <c r="F68" s="59">
        <f t="shared" si="0"/>
        <v>463.1</v>
      </c>
      <c r="G68" s="105"/>
      <c r="H68" s="60">
        <f t="shared" si="1"/>
        <v>463.1</v>
      </c>
      <c r="I68" s="112">
        <f>IF(H68="","",IF($I$8="A",(RANK(H68,H$11:H$355,1)+COUNTIF(H$11:H68,H68)-1),(RANK(H68,H$11:H$355)+COUNTIF(H$11:H68,H68)-1)))</f>
        <v>106</v>
      </c>
      <c r="J68" s="58"/>
      <c r="K68" s="51">
        <f t="shared" si="10"/>
        <v>58</v>
      </c>
      <c r="L68" s="59" t="str">
        <f t="shared" si="2"/>
        <v>Daventry</v>
      </c>
      <c r="M68" s="153">
        <f t="shared" si="3"/>
        <v>421.2</v>
      </c>
      <c r="N68" s="148">
        <f t="shared" si="23"/>
        <v>421.2</v>
      </c>
      <c r="O68" s="131" t="str">
        <f t="shared" si="11"/>
        <v/>
      </c>
      <c r="P68" s="131">
        <f t="shared" si="19"/>
        <v>421.2</v>
      </c>
      <c r="Q68" s="131" t="str">
        <f t="shared" si="20"/>
        <v/>
      </c>
      <c r="R68" s="127" t="str">
        <f t="shared" si="21"/>
        <v/>
      </c>
      <c r="S68" s="60" t="str">
        <f t="shared" si="12"/>
        <v/>
      </c>
      <c r="T68" s="228" t="str">
        <f>IF(L68="","",VLOOKUP(L68,classifications!C:K,9,FALSE))</f>
        <v>Sparse</v>
      </c>
      <c r="U68" s="235">
        <f t="shared" si="25"/>
        <v>421.2</v>
      </c>
      <c r="V68" s="236">
        <f>IF(U68="","",IF($I$8="A",(RANK(U68,U$11:U$355)+COUNTIF(U$11:U68,U68)-1),(RANK(U68,U$11:U$355,1)+COUNTIF(U$11:U68,U68)-1)))</f>
        <v>46</v>
      </c>
      <c r="W68" s="237"/>
      <c r="X68" s="61" t="str">
        <f>IF(L68="","",VLOOKUP($L68,classifications!$C:$J,6,FALSE))</f>
        <v xml:space="preserve">Mainly Rural (rural including hub towns &gt;=80%) </v>
      </c>
      <c r="Y68" s="49">
        <f t="shared" si="4"/>
        <v>421.2</v>
      </c>
      <c r="Z68" s="57">
        <f>IF(Y68="","",IF(I$8="A",(RANK(Y68,Y$11:Y$355,1)+COUNTIF(Y$11:Y68,Y68)-1),(RANK(Y68,Y$11:Y$355)+COUNTIF(Y$11:Y68,Y68)-1)))</f>
        <v>17</v>
      </c>
      <c r="AA68" s="242" t="str">
        <f>IF(L68="","",VLOOKUP($L68,classifications!C:I,7,FALSE))</f>
        <v>Predominantly Rural</v>
      </c>
      <c r="AB68" s="236">
        <f t="shared" si="14"/>
        <v>421.2</v>
      </c>
      <c r="AC68" s="236">
        <f>IF(AB68="","",IF($I$8="A",(RANK(AB68,AB$11:AB$355)+COUNTIF(AB$11:AB68,AB68)-1),(RANK(AB68,AB$11:AB$355,1)+COUNTIF(AB$11:AB68,AB68)-1)))</f>
        <v>43</v>
      </c>
      <c r="AD68" s="236"/>
      <c r="AE68" s="51" t="str">
        <f t="shared" si="24"/>
        <v/>
      </c>
      <c r="AG68" s="143"/>
      <c r="AH68" s="52"/>
      <c r="AI68" s="61" t="str">
        <f>IF(L68="","",VLOOKUP($L68,classifications!$C:$J,8,FALSE))</f>
        <v>Northamptonshire</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East Midlands</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463.1</v>
      </c>
      <c r="AY68" s="156"/>
      <c r="AZ68" s="44"/>
    </row>
    <row r="69" spans="1:52">
      <c r="A69" s="84" t="str">
        <f>$D$1&amp;59</f>
        <v>SD59</v>
      </c>
      <c r="B69" s="85" t="str">
        <f>IF(ISERROR(VLOOKUP(A69,classifications!A:C,3,FALSE)),0,VLOOKUP(A69,classifications!A:C,3,FALSE))</f>
        <v>South Staffordshire</v>
      </c>
      <c r="C69" s="31" t="s">
        <v>37</v>
      </c>
      <c r="D69" s="49" t="str">
        <f>VLOOKUP($C69,classifications!$C:$J,4,FALSE)</f>
        <v>SD</v>
      </c>
      <c r="E69" s="49" t="str">
        <f>VLOOKUP(C69,classifications!C:K,9,FALSE)</f>
        <v>Sparse</v>
      </c>
      <c r="F69" s="59">
        <f t="shared" si="0"/>
        <v>422.4</v>
      </c>
      <c r="G69" s="105"/>
      <c r="H69" s="60">
        <f t="shared" si="1"/>
        <v>422.4</v>
      </c>
      <c r="I69" s="112">
        <f>IF(H69="","",IF($I$8="A",(RANK(H69,H$11:H$355,1)+COUNTIF(H$11:H69,H69)-1),(RANK(H69,H$11:H$355)+COUNTIF(H$11:H69,H69)-1)))</f>
        <v>60</v>
      </c>
      <c r="J69" s="58"/>
      <c r="K69" s="51">
        <f t="shared" si="10"/>
        <v>59</v>
      </c>
      <c r="L69" s="59" t="str">
        <f t="shared" si="2"/>
        <v>Cherwell</v>
      </c>
      <c r="M69" s="153">
        <f t="shared" si="3"/>
        <v>422</v>
      </c>
      <c r="N69" s="148">
        <f t="shared" si="23"/>
        <v>422</v>
      </c>
      <c r="O69" s="131" t="str">
        <f t="shared" si="11"/>
        <v/>
      </c>
      <c r="P69" s="131">
        <f t="shared" si="19"/>
        <v>422</v>
      </c>
      <c r="Q69" s="131" t="str">
        <f t="shared" si="20"/>
        <v/>
      </c>
      <c r="R69" s="127" t="str">
        <f t="shared" si="21"/>
        <v/>
      </c>
      <c r="S69" s="60" t="str">
        <f t="shared" si="12"/>
        <v/>
      </c>
      <c r="T69" s="228" t="str">
        <f>IF(L69="","",VLOOKUP(L69,classifications!C:K,9,FALSE))</f>
        <v>Sparse</v>
      </c>
      <c r="U69" s="235">
        <f t="shared" si="25"/>
        <v>422</v>
      </c>
      <c r="V69" s="236">
        <f>IF(U69="","",IF($I$8="A",(RANK(U69,U$11:U$355)+COUNTIF(U$11:U69,U69)-1),(RANK(U69,U$11:U$355,1)+COUNTIF(U$11:U69,U69)-1)))</f>
        <v>45</v>
      </c>
      <c r="W69" s="237"/>
      <c r="X69" s="61" t="str">
        <f>IF(L69="","",VLOOKUP($L69,classifications!$C:$J,6,FALSE))</f>
        <v>Urban with Significant Rural (rural including hub towns 26-49%)</v>
      </c>
      <c r="Y69" s="49" t="str">
        <f t="shared" si="4"/>
        <v/>
      </c>
      <c r="Z69" s="57" t="str">
        <f>IF(Y69="","",IF(I$8="A",(RANK(Y69,Y$11:Y$355,1)+COUNTIF(Y$11:Y69,Y69)-1),(RANK(Y69,Y$11:Y$355)+COUNTIF(Y$11:Y69,Y69)-1)))</f>
        <v/>
      </c>
      <c r="AA69" s="242" t="str">
        <f>IF(L69="","",VLOOKUP($L69,classifications!C:I,7,FALSE))</f>
        <v>Significant Rural</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Oxfordshire</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South East</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422.4</v>
      </c>
      <c r="AY69" s="156"/>
      <c r="AZ69" s="44"/>
    </row>
    <row r="70" spans="1:52">
      <c r="A70" s="84" t="str">
        <f>$D$1&amp;60</f>
        <v>SD60</v>
      </c>
      <c r="B70" s="85" t="str">
        <f>IF(ISERROR(VLOOKUP(A70,classifications!A:C,3,FALSE)),0,VLOOKUP(A70,classifications!A:C,3,FALSE))</f>
        <v>West Suffolk</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Chichester</v>
      </c>
      <c r="M70" s="153">
        <f t="shared" si="3"/>
        <v>422.4</v>
      </c>
      <c r="N70" s="148">
        <f t="shared" si="23"/>
        <v>422.4</v>
      </c>
      <c r="O70" s="131" t="str">
        <f t="shared" si="11"/>
        <v/>
      </c>
      <c r="P70" s="131">
        <f t="shared" si="19"/>
        <v>422.4</v>
      </c>
      <c r="Q70" s="131" t="str">
        <f t="shared" si="20"/>
        <v/>
      </c>
      <c r="R70" s="127" t="str">
        <f t="shared" si="21"/>
        <v/>
      </c>
      <c r="S70" s="60" t="str">
        <f t="shared" si="12"/>
        <v/>
      </c>
      <c r="T70" s="228" t="str">
        <f>IF(L70="","",VLOOKUP(L70,classifications!C:K,9,FALSE))</f>
        <v>Sparse</v>
      </c>
      <c r="U70" s="235">
        <f t="shared" si="25"/>
        <v>422.4</v>
      </c>
      <c r="V70" s="236">
        <f>IF(U70="","",IF($I$8="A",(RANK(U70,U$11:U$355)+COUNTIF(U$11:U70,U70)-1),(RANK(U70,U$11:U$355,1)+COUNTIF(U$11:U70,U70)-1)))</f>
        <v>44</v>
      </c>
      <c r="W70" s="237"/>
      <c r="X70" s="61" t="str">
        <f>IF(L70="","",VLOOKUP($L70,classifications!$C:$J,6,FALSE))</f>
        <v xml:space="preserve">Largely Rural (rural including hub towns 50-79%) </v>
      </c>
      <c r="Y70" s="49" t="str">
        <f t="shared" si="4"/>
        <v/>
      </c>
      <c r="Z70" s="57" t="str">
        <f>IF(Y70="","",IF(I$8="A",(RANK(Y70,Y$11:Y$355,1)+COUNTIF(Y$11:Y70,Y70)-1),(RANK(Y70,Y$11:Y$355)+COUNTIF(Y$11:Y70,Y70)-1)))</f>
        <v/>
      </c>
      <c r="AA70" s="242" t="str">
        <f>IF(L70="","",VLOOKUP($L70,classifications!C:I,7,FALSE))</f>
        <v>Predominantly Rural</v>
      </c>
      <c r="AB70" s="236">
        <f t="shared" si="14"/>
        <v>422.4</v>
      </c>
      <c r="AC70" s="236">
        <f>IF(AB70="","",IF($I$8="A",(RANK(AB70,AB$11:AB$355)+COUNTIF(AB$11:AB70,AB70)-1),(RANK(AB70,AB$11:AB$355,1)+COUNTIF(AB$11:AB70,AB70)-1)))</f>
        <v>42</v>
      </c>
      <c r="AD70" s="236"/>
      <c r="AE70" s="51" t="str">
        <f t="shared" si="24"/>
        <v/>
      </c>
      <c r="AG70" s="143"/>
      <c r="AH70" s="52"/>
      <c r="AI70" s="61" t="str">
        <f>IF(L70="","",VLOOKUP($L70,classifications!$C:$J,8,FALSE))</f>
        <v>West Sussex</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South East</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Stafford</v>
      </c>
      <c r="C71" s="31" t="s">
        <v>39</v>
      </c>
      <c r="D71" s="49" t="str">
        <f>VLOOKUP($C71,classifications!$C:$J,4,FALSE)</f>
        <v>SD</v>
      </c>
      <c r="E71" s="49">
        <f>VLOOKUP(C71,classifications!C:K,9,FALSE)</f>
        <v>0</v>
      </c>
      <c r="F71" s="59">
        <f t="shared" si="0"/>
        <v>455</v>
      </c>
      <c r="G71" s="105"/>
      <c r="H71" s="60">
        <f t="shared" si="1"/>
        <v>455</v>
      </c>
      <c r="I71" s="112">
        <f>IF(H71="","",IF($I$8="A",(RANK(H71,H$11:H$355,1)+COUNTIF(H$11:H71,H71)-1),(RANK(H71,H$11:H$355)+COUNTIF(H$11:H71,H71)-1)))</f>
        <v>93</v>
      </c>
      <c r="J71" s="58"/>
      <c r="K71" s="51">
        <f t="shared" si="10"/>
        <v>61</v>
      </c>
      <c r="L71" s="59" t="str">
        <f t="shared" si="2"/>
        <v>Ryedale</v>
      </c>
      <c r="M71" s="153">
        <f t="shared" si="3"/>
        <v>424.9</v>
      </c>
      <c r="N71" s="148">
        <f t="shared" si="23"/>
        <v>424.9</v>
      </c>
      <c r="O71" s="131" t="str">
        <f t="shared" si="11"/>
        <v/>
      </c>
      <c r="P71" s="131">
        <f t="shared" si="19"/>
        <v>424.9</v>
      </c>
      <c r="Q71" s="131" t="str">
        <f t="shared" si="20"/>
        <v/>
      </c>
      <c r="R71" s="127" t="str">
        <f t="shared" si="21"/>
        <v/>
      </c>
      <c r="S71" s="60" t="str">
        <f t="shared" si="12"/>
        <v/>
      </c>
      <c r="T71" s="228" t="str">
        <f>IF(L71="","",VLOOKUP(L71,classifications!C:K,9,FALSE))</f>
        <v>Sparse</v>
      </c>
      <c r="U71" s="235">
        <f t="shared" si="25"/>
        <v>424.9</v>
      </c>
      <c r="V71" s="236">
        <f>IF(U71="","",IF($I$8="A",(RANK(U71,U$11:U$355)+COUNTIF(U$11:U71,U71)-1),(RANK(U71,U$11:U$355,1)+COUNTIF(U$11:U71,U71)-1)))</f>
        <v>43</v>
      </c>
      <c r="W71" s="237"/>
      <c r="X71" s="61" t="str">
        <f>IF(L71="","",VLOOKUP($L71,classifications!$C:$J,6,FALSE))</f>
        <v xml:space="preserve">Mainly Rural (rural including hub towns &gt;=80%) </v>
      </c>
      <c r="Y71" s="49">
        <f t="shared" si="4"/>
        <v>424.9</v>
      </c>
      <c r="Z71" s="57">
        <f>IF(Y71="","",IF(I$8="A",(RANK(Y71,Y$11:Y$355,1)+COUNTIF(Y$11:Y71,Y71)-1),(RANK(Y71,Y$11:Y$355)+COUNTIF(Y$11:Y71,Y71)-1)))</f>
        <v>18</v>
      </c>
      <c r="AA71" s="242" t="str">
        <f>IF(L71="","",VLOOKUP($L71,classifications!C:I,7,FALSE))</f>
        <v>Predominantly Rural</v>
      </c>
      <c r="AB71" s="236">
        <f t="shared" si="14"/>
        <v>424.9</v>
      </c>
      <c r="AC71" s="236">
        <f>IF(AB71="","",IF($I$8="A",(RANK(AB71,AB$11:AB$355)+COUNTIF(AB$11:AB71,AB71)-1),(RANK(AB71,AB$11:AB$355,1)+COUNTIF(AB$11:AB71,AB71)-1)))</f>
        <v>41</v>
      </c>
      <c r="AD71" s="236"/>
      <c r="AE71" s="51" t="str">
        <f t="shared" si="24"/>
        <v/>
      </c>
      <c r="AG71" s="143"/>
      <c r="AH71" s="52"/>
      <c r="AI71" s="61" t="str">
        <f>IF(L71="","",VLOOKUP($L71,classifications!$C:$J,8,FALSE))</f>
        <v>North Yorkshire</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Yorkshire &amp; Humberside</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455</v>
      </c>
      <c r="AY71" s="156"/>
      <c r="AZ71" s="44"/>
    </row>
    <row r="72" spans="1:52">
      <c r="A72" s="84" t="str">
        <f>$D$1&amp;62</f>
        <v>SD62</v>
      </c>
      <c r="B72" s="85" t="str">
        <f>IF(ISERROR(VLOOKUP(A72,classifications!A:C,3,FALSE)),0,VLOOKUP(A72,classifications!A:C,3,FALSE))</f>
        <v>Stratford-on-Avon</v>
      </c>
      <c r="C72" s="31" t="s">
        <v>369</v>
      </c>
      <c r="D72" s="49" t="str">
        <f>VLOOKUP($C72,classifications!$C:$J,4,FALSE)</f>
        <v>L</v>
      </c>
      <c r="E72" s="49">
        <f>VLOOKUP(C72,classifications!C:K,9,FALSE)</f>
        <v>0</v>
      </c>
      <c r="F72" s="59">
        <f t="shared" si="0"/>
        <v>379.5</v>
      </c>
      <c r="G72" s="105"/>
      <c r="H72" s="60" t="str">
        <f t="shared" si="1"/>
        <v/>
      </c>
      <c r="I72" s="112" t="str">
        <f>IF(H72="","",IF($I$8="A",(RANK(H72,H$11:H$355,1)+COUNTIF(H$11:H72,H72)-1),(RANK(H72,H$11:H$355)+COUNTIF(H$11:H72,H72)-1)))</f>
        <v/>
      </c>
      <c r="J72" s="58"/>
      <c r="K72" s="51">
        <f t="shared" si="10"/>
        <v>62</v>
      </c>
      <c r="L72" s="59" t="str">
        <f t="shared" si="2"/>
        <v>Malvern Hills</v>
      </c>
      <c r="M72" s="153">
        <f t="shared" si="3"/>
        <v>425.1</v>
      </c>
      <c r="N72" s="148">
        <f t="shared" si="23"/>
        <v>425.1</v>
      </c>
      <c r="O72" s="131" t="str">
        <f t="shared" si="11"/>
        <v/>
      </c>
      <c r="P72" s="131">
        <f t="shared" si="19"/>
        <v>425.1</v>
      </c>
      <c r="Q72" s="131" t="str">
        <f t="shared" si="20"/>
        <v/>
      </c>
      <c r="R72" s="127" t="str">
        <f t="shared" si="21"/>
        <v/>
      </c>
      <c r="S72" s="60" t="str">
        <f t="shared" si="12"/>
        <v/>
      </c>
      <c r="T72" s="228" t="str">
        <f>IF(L72="","",VLOOKUP(L72,classifications!C:K,9,FALSE))</f>
        <v>Sparse</v>
      </c>
      <c r="U72" s="235">
        <f t="shared" si="25"/>
        <v>425.1</v>
      </c>
      <c r="V72" s="236">
        <f>IF(U72="","",IF($I$8="A",(RANK(U72,U$11:U$355)+COUNTIF(U$11:U72,U72)-1),(RANK(U72,U$11:U$355,1)+COUNTIF(U$11:U72,U72)-1)))</f>
        <v>42</v>
      </c>
      <c r="W72" s="237"/>
      <c r="X72" s="61" t="str">
        <f>IF(L72="","",VLOOKUP($L72,classifications!$C:$J,6,FALSE))</f>
        <v xml:space="preserve">Largely Rural (rural including hub towns 50-79%) </v>
      </c>
      <c r="Y72" s="49" t="str">
        <f t="shared" si="4"/>
        <v/>
      </c>
      <c r="Z72" s="57" t="str">
        <f>IF(Y72="","",IF(I$8="A",(RANK(Y72,Y$11:Y$355,1)+COUNTIF(Y$11:Y72,Y72)-1),(RANK(Y72,Y$11:Y$355)+COUNTIF(Y$11:Y72,Y72)-1)))</f>
        <v/>
      </c>
      <c r="AA72" s="242" t="str">
        <f>IF(L72="","",VLOOKUP($L72,classifications!C:I,7,FALSE))</f>
        <v>Predominantly Rural</v>
      </c>
      <c r="AB72" s="236">
        <f t="shared" si="14"/>
        <v>425.1</v>
      </c>
      <c r="AC72" s="236">
        <f>IF(AB72="","",IF($I$8="A",(RANK(AB72,AB$11:AB$355)+COUNTIF(AB$11:AB72,AB72)-1),(RANK(AB72,AB$11:AB$355,1)+COUNTIF(AB$11:AB72,AB72)-1)))</f>
        <v>40</v>
      </c>
      <c r="AD72" s="236"/>
      <c r="AE72" s="51" t="str">
        <f t="shared" si="24"/>
        <v/>
      </c>
      <c r="AG72" s="143"/>
      <c r="AH72" s="52"/>
      <c r="AI72" s="61" t="str">
        <f>IF(L72="","",VLOOKUP($L72,classifications!$C:$J,8,FALSE))</f>
        <v>Worcestershire</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West Midlands</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379.5</v>
      </c>
      <c r="AY72" s="156"/>
      <c r="AZ72" s="44"/>
    </row>
    <row r="73" spans="1:52">
      <c r="A73" s="84" t="str">
        <f>$D$1&amp;63</f>
        <v>SD63</v>
      </c>
      <c r="B73" s="85" t="str">
        <f>IF(ISERROR(VLOOKUP(A73,classifications!A:C,3,FALSE)),0,VLOOKUP(A73,classifications!A:C,3,FALSE))</f>
        <v>Stroud</v>
      </c>
      <c r="C73" s="31" t="s">
        <v>41</v>
      </c>
      <c r="D73" s="49" t="str">
        <f>VLOOKUP($C73,classifications!$C:$J,4,FALSE)</f>
        <v>SD</v>
      </c>
      <c r="E73" s="49">
        <f>VLOOKUP(C73,classifications!C:K,9,FALSE)</f>
        <v>0</v>
      </c>
      <c r="F73" s="59">
        <f t="shared" si="0"/>
        <v>280.60000000000002</v>
      </c>
      <c r="G73" s="105"/>
      <c r="H73" s="60">
        <f t="shared" si="1"/>
        <v>280.60000000000002</v>
      </c>
      <c r="I73" s="112">
        <f>IF(H73="","",IF($I$8="A",(RANK(H73,H$11:H$355,1)+COUNTIF(H$11:H73,H73)-1),(RANK(H73,H$11:H$355)+COUNTIF(H$11:H73,H73)-1)))</f>
        <v>4</v>
      </c>
      <c r="J73" s="58"/>
      <c r="K73" s="51">
        <f t="shared" si="10"/>
        <v>63</v>
      </c>
      <c r="L73" s="59" t="str">
        <f t="shared" si="2"/>
        <v>Wycombe</v>
      </c>
      <c r="M73" s="153">
        <f t="shared" si="3"/>
        <v>425.1</v>
      </c>
      <c r="N73" s="148">
        <f t="shared" si="23"/>
        <v>425.1</v>
      </c>
      <c r="O73" s="131" t="str">
        <f t="shared" si="11"/>
        <v/>
      </c>
      <c r="P73" s="131">
        <f t="shared" si="19"/>
        <v>425.1</v>
      </c>
      <c r="Q73" s="131" t="str">
        <f t="shared" si="20"/>
        <v/>
      </c>
      <c r="R73" s="127" t="str">
        <f t="shared" si="21"/>
        <v/>
      </c>
      <c r="S73" s="60" t="str">
        <f t="shared" si="12"/>
        <v/>
      </c>
      <c r="T73" s="228">
        <f>IF(L73="","",VLOOKUP(L73,classifications!C:K,9,FALSE))</f>
        <v>0</v>
      </c>
      <c r="U73" s="235" t="str">
        <f t="shared" si="25"/>
        <v/>
      </c>
      <c r="V73" s="236" t="str">
        <f>IF(U73="","",IF($I$8="A",(RANK(U73,U$11:U$355)+COUNTIF(U$11:U73,U73)-1),(RANK(U73,U$11:U$355,1)+COUNTIF(U$11:U73,U73)-1)))</f>
        <v/>
      </c>
      <c r="W73" s="237"/>
      <c r="X73" s="61" t="str">
        <f>IF(L73="","",VLOOKUP($L73,classifications!$C:$J,6,FALSE))</f>
        <v>Urban with Significant Rural (rural including hub towns 26-49%)</v>
      </c>
      <c r="Y73" s="49" t="str">
        <f t="shared" si="4"/>
        <v/>
      </c>
      <c r="Z73" s="57" t="str">
        <f>IF(Y73="","",IF(I$8="A",(RANK(Y73,Y$11:Y$355,1)+COUNTIF(Y$11:Y73,Y73)-1),(RANK(Y73,Y$11:Y$355)+COUNTIF(Y$11:Y73,Y73)-1)))</f>
        <v/>
      </c>
      <c r="AA73" s="242" t="str">
        <f>IF(L73="","",VLOOKUP($L73,classifications!C:I,7,FALSE))</f>
        <v>Significant Rural</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Buckinghamshire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South East</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280.60000000000002</v>
      </c>
      <c r="AY73" s="156"/>
      <c r="AZ73" s="44"/>
    </row>
    <row r="74" spans="1:52">
      <c r="A74" s="84" t="str">
        <f>$D$1&amp;64</f>
        <v>SD64</v>
      </c>
      <c r="B74" s="85" t="str">
        <f>IF(ISERROR(VLOOKUP(A74,classifications!A:C,3,FALSE)),0,VLOOKUP(A74,classifications!A:C,3,FALSE))</f>
        <v>East Suffolk</v>
      </c>
      <c r="C74" s="31" t="s">
        <v>42</v>
      </c>
      <c r="D74" s="49" t="str">
        <f>VLOOKUP($C74,classifications!$C:$J,4,FALSE)</f>
        <v>SD</v>
      </c>
      <c r="E74" s="49" t="str">
        <f>VLOOKUP(C74,classifications!C:K,9,FALSE)</f>
        <v>Sparse</v>
      </c>
      <c r="F74" s="59">
        <f t="shared" si="0"/>
        <v>483.2</v>
      </c>
      <c r="G74" s="105"/>
      <c r="H74" s="60">
        <f t="shared" si="1"/>
        <v>483.2</v>
      </c>
      <c r="I74" s="112">
        <f>IF(H74="","",IF($I$8="A",(RANK(H74,H$11:H$355,1)+COUNTIF(H$11:H74,H74)-1),(RANK(H74,H$11:H$355)+COUNTIF(H$11:H74,H74)-1)))</f>
        <v>127</v>
      </c>
      <c r="J74" s="58"/>
      <c r="K74" s="51">
        <f t="shared" si="10"/>
        <v>64</v>
      </c>
      <c r="L74" s="59" t="str">
        <f t="shared" si="2"/>
        <v>Gravesham</v>
      </c>
      <c r="M74" s="153">
        <f t="shared" si="3"/>
        <v>427.5</v>
      </c>
      <c r="N74" s="148">
        <f t="shared" si="23"/>
        <v>427.5</v>
      </c>
      <c r="O74" s="131" t="str">
        <f t="shared" si="11"/>
        <v/>
      </c>
      <c r="P74" s="131">
        <f t="shared" si="19"/>
        <v>427.5</v>
      </c>
      <c r="Q74" s="131" t="str">
        <f t="shared" si="20"/>
        <v/>
      </c>
      <c r="R74" s="127" t="str">
        <f t="shared" si="21"/>
        <v/>
      </c>
      <c r="S74" s="60" t="str">
        <f t="shared" si="12"/>
        <v/>
      </c>
      <c r="T74" s="228">
        <f>IF(L74="","",VLOOKUP(L74,classifications!C:K,9,FALSE))</f>
        <v>0</v>
      </c>
      <c r="U74" s="235" t="str">
        <f t="shared" si="25"/>
        <v/>
      </c>
      <c r="V74" s="236" t="str">
        <f>IF(U74="","",IF($I$8="A",(RANK(U74,U$11:U$355)+COUNTIF(U$11:U74,U74)-1),(RANK(U74,U$11:U$355,1)+COUNTIF(U$11:U74,U74)-1)))</f>
        <v/>
      </c>
      <c r="W74" s="237"/>
      <c r="X74" s="61" t="str">
        <f>IF(L74="","",VLOOKUP($L74,classifications!$C:$J,6,FALSE))</f>
        <v>Urban with Major Conurbation</v>
      </c>
      <c r="Y74" s="49" t="str">
        <f t="shared" si="4"/>
        <v/>
      </c>
      <c r="Z74" s="57" t="str">
        <f>IF(Y74="","",IF(I$8="A",(RANK(Y74,Y$11:Y$355,1)+COUNTIF(Y$11:Y74,Y74)-1),(RANK(Y74,Y$11:Y$355)+COUNTIF(Y$11:Y74,Y74)-1)))</f>
        <v/>
      </c>
      <c r="AA74" s="242" t="str">
        <f>IF(L74="","",VLOOKUP($L74,classifications!C:I,7,FALSE))</f>
        <v>Predominantly Urban</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Kent</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South East</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483.2</v>
      </c>
      <c r="AY74" s="156"/>
      <c r="AZ74" s="44"/>
    </row>
    <row r="75" spans="1:52">
      <c r="A75" s="84" t="str">
        <f>$D$1&amp;65</f>
        <v>SD65</v>
      </c>
      <c r="B75" s="85" t="str">
        <f>IF(ISERROR(VLOOKUP(A75,classifications!A:C,3,FALSE)),0,VLOOKUP(A75,classifications!A:C,3,FALSE))</f>
        <v>Tandridge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Canterbury</v>
      </c>
      <c r="M75" s="153">
        <f t="shared" ref="M75:M138" si="29">IF(L75="","",IF(VLOOKUP(L75,C:D,2,FALSE)=$F$3,VLOOKUP(L75,C:H,6,FALSE),""))</f>
        <v>427.6</v>
      </c>
      <c r="N75" s="148">
        <f t="shared" si="23"/>
        <v>427.6</v>
      </c>
      <c r="O75" s="131" t="str">
        <f t="shared" ref="O75:O138" si="30">IF(I$8="A",IF(N75&gt;=$P$7,IF(N75&lt;=$O$10,N75,""),""),IF(N75&lt;=$P$7,IF(N75&gt;=$O$10,N75,""),""))</f>
        <v/>
      </c>
      <c r="P75" s="131">
        <f t="shared" si="19"/>
        <v>427.6</v>
      </c>
      <c r="Q75" s="131" t="str">
        <f t="shared" si="20"/>
        <v/>
      </c>
      <c r="R75" s="127" t="str">
        <f t="shared" si="21"/>
        <v/>
      </c>
      <c r="S75" s="60" t="str">
        <f t="shared" si="12"/>
        <v/>
      </c>
      <c r="T75" s="228">
        <f>IF(L75="","",VLOOKUP(L75,classifications!C:K,9,FALSE))</f>
        <v>0</v>
      </c>
      <c r="U75" s="235" t="str">
        <f t="shared" ref="U75:U138" si="31">IF(T75="Sparse",M75,"")</f>
        <v/>
      </c>
      <c r="V75" s="236" t="str">
        <f>IF(U75="","",IF($I$8="A",(RANK(U75,U$11:U$355)+COUNTIF(U$11:U75,U75)-1),(RANK(U75,U$11:U$355,1)+COUNTIF(U$11:U75,U75)-1)))</f>
        <v/>
      </c>
      <c r="W75" s="237"/>
      <c r="X75" s="61" t="str">
        <f>IF(L75="","",VLOOKUP($L75,classifications!$C:$J,6,FALSE))</f>
        <v>Urban with City and Town</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Urban</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Kent</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South East</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Teignbridge</v>
      </c>
      <c r="C76" s="31" t="s">
        <v>305</v>
      </c>
      <c r="D76" s="49" t="str">
        <f>VLOOKUP($C76,classifications!$C:$J,4,FALSE)</f>
        <v>UA</v>
      </c>
      <c r="E76" s="49" t="str">
        <f>VLOOKUP(C76,classifications!C:K,9,FALSE)</f>
        <v>Sparse</v>
      </c>
      <c r="F76" s="59">
        <f t="shared" si="26"/>
        <v>640.1</v>
      </c>
      <c r="G76" s="105"/>
      <c r="H76" s="60" t="str">
        <f t="shared" si="27"/>
        <v/>
      </c>
      <c r="I76" s="112" t="str">
        <f>IF(H76="","",IF($I$8="A",(RANK(H76,H$11:H$355,1)+COUNTIF(H$11:H76,H76)-1),(RANK(H76,H$11:H$355)+COUNTIF(H$11:H76,H76)-1)))</f>
        <v/>
      </c>
      <c r="J76" s="58"/>
      <c r="K76" s="51">
        <f t="shared" ref="K76:K139" si="38">IF(K75="","",IF(K75+1&gt;(COUNT(H$11:H$355)),"",K75+1))</f>
        <v>66</v>
      </c>
      <c r="L76" s="59" t="str">
        <f t="shared" si="28"/>
        <v>Eastleigh</v>
      </c>
      <c r="M76" s="153">
        <f t="shared" si="29"/>
        <v>429.3</v>
      </c>
      <c r="N76" s="148">
        <f t="shared" ref="N76:N139" si="39">IF(L76="","",IF($H$8="%%",M76*100,M76))</f>
        <v>429.3</v>
      </c>
      <c r="O76" s="131" t="str">
        <f t="shared" si="30"/>
        <v/>
      </c>
      <c r="P76" s="131">
        <f t="shared" si="19"/>
        <v>429.3</v>
      </c>
      <c r="Q76" s="131" t="str">
        <f t="shared" si="20"/>
        <v/>
      </c>
      <c r="R76" s="127" t="str">
        <f t="shared" si="21"/>
        <v/>
      </c>
      <c r="S76" s="60" t="str">
        <f t="shared" ref="S76:S139" si="40">IF(L76=D$3,"u","")</f>
        <v/>
      </c>
      <c r="T76" s="228">
        <f>IF(L76="","",VLOOKUP(L76,classifications!C:K,9,FALSE))</f>
        <v>0</v>
      </c>
      <c r="U76" s="235" t="str">
        <f t="shared" si="31"/>
        <v/>
      </c>
      <c r="V76" s="236" t="str">
        <f>IF(U76="","",IF($I$8="A",(RANK(U76,U$11:U$355)+COUNTIF(U$11:U76,U76)-1),(RANK(U76,U$11:U$355,1)+COUNTIF(U$11:U76,U76)-1)))</f>
        <v/>
      </c>
      <c r="W76" s="237"/>
      <c r="X76" s="61" t="str">
        <f>IF(L76="","",VLOOKUP($L76,classifications!$C:$J,6,FALSE))</f>
        <v>Urban with City and Town</v>
      </c>
      <c r="Y76" s="49" t="str">
        <f t="shared" si="32"/>
        <v/>
      </c>
      <c r="Z76" s="57" t="str">
        <f>IF(Y76="","",IF(I$8="A",(RANK(Y76,Y$11:Y$355,1)+COUNTIF(Y$11:Y76,Y76)-1),(RANK(Y76,Y$11:Y$355)+COUNTIF(Y$11:Y76,Y76)-1)))</f>
        <v/>
      </c>
      <c r="AA76" s="242" t="str">
        <f>IF(L76="","",VLOOKUP($L76,classifications!C:I,7,FALSE))</f>
        <v>Predominantly Urban</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Hampshire</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South East</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640.1</v>
      </c>
      <c r="AY76" s="156"/>
      <c r="AZ76" s="44"/>
    </row>
    <row r="77" spans="1:52">
      <c r="A77" s="84" t="str">
        <f>$D$1&amp;67</f>
        <v>SD67</v>
      </c>
      <c r="B77" s="85" t="str">
        <f>IF(ISERROR(VLOOKUP(A77,classifications!A:C,3,FALSE)),0,VLOOKUP(A77,classifications!A:C,3,FALSE))</f>
        <v>Tewkesbury</v>
      </c>
      <c r="C77" s="31" t="s">
        <v>44</v>
      </c>
      <c r="D77" s="49" t="str">
        <f>VLOOKUP($C77,classifications!$C:$J,4,FALSE)</f>
        <v>SD</v>
      </c>
      <c r="E77" s="49" t="str">
        <f>VLOOKUP(C77,classifications!C:K,9,FALSE)</f>
        <v>Sparse</v>
      </c>
      <c r="F77" s="59">
        <f t="shared" si="26"/>
        <v>369.7</v>
      </c>
      <c r="G77" s="105"/>
      <c r="H77" s="60">
        <f t="shared" si="27"/>
        <v>369.7</v>
      </c>
      <c r="I77" s="112">
        <f>IF(H77="","",IF($I$8="A",(RANK(H77,H$11:H$355,1)+COUNTIF(H$11:H77,H77)-1),(RANK(H77,H$11:H$355)+COUNTIF(H$11:H77,H77)-1)))</f>
        <v>24</v>
      </c>
      <c r="J77" s="58"/>
      <c r="K77" s="51">
        <f t="shared" si="38"/>
        <v>67</v>
      </c>
      <c r="L77" s="59" t="str">
        <f t="shared" si="28"/>
        <v>Wealden</v>
      </c>
      <c r="M77" s="153">
        <f t="shared" si="29"/>
        <v>429.3</v>
      </c>
      <c r="N77" s="148">
        <f t="shared" si="39"/>
        <v>429.3</v>
      </c>
      <c r="O77" s="131" t="str">
        <f t="shared" si="30"/>
        <v/>
      </c>
      <c r="P77" s="131">
        <f t="shared" ref="P77:P140" si="45">IF(I$8="A",IF(N77&gt;$O$10,IF(N77&lt;=$P$10,N77,""),""),IF(N77&lt;$O$10,IF(N77&gt;=$P$10,N77,""),""))</f>
        <v>429.3</v>
      </c>
      <c r="Q77" s="131" t="str">
        <f t="shared" ref="Q77:Q140" si="46">IF(I$8="A",IF(N77&gt;$P$10,IF(N77&lt;=$Q$10,N77,""),""),IF(N77&lt;$P$10,IF(N77&gt;=$Q$10,N77,""),""))</f>
        <v/>
      </c>
      <c r="R77" s="127" t="str">
        <f t="shared" ref="R77:R140" si="47">IF(I$8="A",IF(N77&gt;$Q$10,N77,""),IF(N77&lt;$Q$10,N77,""))</f>
        <v/>
      </c>
      <c r="S77" s="60" t="str">
        <f t="shared" si="40"/>
        <v/>
      </c>
      <c r="T77" s="228" t="str">
        <f>IF(L77="","",VLOOKUP(L77,classifications!C:K,9,FALSE))</f>
        <v>Sparse</v>
      </c>
      <c r="U77" s="235">
        <f t="shared" si="31"/>
        <v>429.3</v>
      </c>
      <c r="V77" s="236">
        <f>IF(U77="","",IF($I$8="A",(RANK(U77,U$11:U$355)+COUNTIF(U$11:U77,U77)-1),(RANK(U77,U$11:U$355,1)+COUNTIF(U$11:U77,U77)-1)))</f>
        <v>41</v>
      </c>
      <c r="W77" s="237"/>
      <c r="X77" s="61" t="str">
        <f>IF(L77="","",VLOOKUP($L77,classifications!$C:$J,6,FALSE))</f>
        <v xml:space="preserve">Mainly Rural (rural including hub towns &gt;=80%) </v>
      </c>
      <c r="Y77" s="49">
        <f t="shared" si="32"/>
        <v>429.3</v>
      </c>
      <c r="Z77" s="57">
        <f>IF(Y77="","",IF(I$8="A",(RANK(Y77,Y$11:Y$355,1)+COUNTIF(Y$11:Y77,Y77)-1),(RANK(Y77,Y$11:Y$355)+COUNTIF(Y$11:Y77,Y77)-1)))</f>
        <v>19</v>
      </c>
      <c r="AA77" s="242" t="str">
        <f>IF(L77="","",VLOOKUP($L77,classifications!C:I,7,FALSE))</f>
        <v>Predominantly Rural</v>
      </c>
      <c r="AB77" s="236">
        <f t="shared" si="41"/>
        <v>429.3</v>
      </c>
      <c r="AC77" s="236">
        <f>IF(AB77="","",IF($I$8="A",(RANK(AB77,AB$11:AB$355)+COUNTIF(AB$11:AB77,AB77)-1),(RANK(AB77,AB$11:AB$355,1)+COUNTIF(AB$11:AB77,AB77)-1)))</f>
        <v>39</v>
      </c>
      <c r="AD77" s="236"/>
      <c r="AE77" s="51" t="str">
        <f t="shared" si="24"/>
        <v/>
      </c>
      <c r="AG77" s="143"/>
      <c r="AH77" s="52"/>
      <c r="AI77" s="61" t="str">
        <f>IF(L77="","",VLOOKUP($L77,classifications!$C:$J,8,FALSE))</f>
        <v>East Sussex</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South East</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369.7</v>
      </c>
      <c r="AY77" s="156"/>
      <c r="AZ77" s="44"/>
    </row>
    <row r="78" spans="1:52">
      <c r="A78" s="84" t="str">
        <f>$D$1&amp;68</f>
        <v>SD68</v>
      </c>
      <c r="B78" s="85" t="str">
        <f>IF(ISERROR(VLOOKUP(A78,classifications!A:C,3,FALSE)),0,VLOOKUP(A78,classifications!A:C,3,FALSE))</f>
        <v>Torridge</v>
      </c>
      <c r="C78" s="31" t="s">
        <v>228</v>
      </c>
      <c r="D78" s="49" t="str">
        <f>VLOOKUP($C78,classifications!$C:$J,4,FALSE)</f>
        <v>MD</v>
      </c>
      <c r="E78" s="49">
        <f>VLOOKUP(C78,classifications!C:K,9,FALSE)</f>
        <v>0</v>
      </c>
      <c r="F78" s="59">
        <f t="shared" si="26"/>
        <v>597.4</v>
      </c>
      <c r="G78" s="105"/>
      <c r="H78" s="60" t="str">
        <f t="shared" si="27"/>
        <v/>
      </c>
      <c r="I78" s="112" t="str">
        <f>IF(H78="","",IF($I$8="A",(RANK(H78,H$11:H$355,1)+COUNTIF(H$11:H78,H78)-1),(RANK(H78,H$11:H$355)+COUNTIF(H$11:H78,H78)-1)))</f>
        <v/>
      </c>
      <c r="J78" s="58"/>
      <c r="K78" s="51">
        <f t="shared" si="38"/>
        <v>68</v>
      </c>
      <c r="L78" s="59" t="str">
        <f t="shared" si="28"/>
        <v>Broadland</v>
      </c>
      <c r="M78" s="153">
        <f t="shared" si="29"/>
        <v>429.4</v>
      </c>
      <c r="N78" s="148">
        <f t="shared" si="39"/>
        <v>429.4</v>
      </c>
      <c r="O78" s="131" t="str">
        <f t="shared" si="30"/>
        <v/>
      </c>
      <c r="P78" s="131">
        <f t="shared" si="45"/>
        <v>429.4</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Significant Rural (rural including hub towns 26-49%)</v>
      </c>
      <c r="Y78" s="49" t="str">
        <f t="shared" si="32"/>
        <v/>
      </c>
      <c r="Z78" s="57" t="str">
        <f>IF(Y78="","",IF(I$8="A",(RANK(Y78,Y$11:Y$355,1)+COUNTIF(Y$11:Y78,Y78)-1),(RANK(Y78,Y$11:Y$355)+COUNTIF(Y$11:Y78,Y78)-1)))</f>
        <v/>
      </c>
      <c r="AA78" s="242" t="str">
        <f>IF(L78="","",VLOOKUP($L78,classifications!C:I,7,FALSE))</f>
        <v>Significant Rural</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Norfolk</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East of England</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597.4</v>
      </c>
      <c r="AY78" s="156"/>
      <c r="AZ78" s="44"/>
    </row>
    <row r="79" spans="1:52">
      <c r="A79" s="84" t="str">
        <f>$D$1&amp;69</f>
        <v>SD69</v>
      </c>
      <c r="B79" s="85" t="str">
        <f>IF(ISERROR(VLOOKUP(A79,classifications!A:C,3,FALSE)),0,VLOOKUP(A79,classifications!A:C,3,FALSE))</f>
        <v>Tunbridge Wells</v>
      </c>
      <c r="C79" s="31" t="s">
        <v>45</v>
      </c>
      <c r="D79" s="49" t="str">
        <f>VLOOKUP($C79,classifications!$C:$J,4,FALSE)</f>
        <v>SD</v>
      </c>
      <c r="E79" s="49" t="str">
        <f>VLOOKUP(C79,classifications!C:K,9,FALSE)</f>
        <v>Sparse</v>
      </c>
      <c r="F79" s="59">
        <f t="shared" si="26"/>
        <v>461.2</v>
      </c>
      <c r="G79" s="105"/>
      <c r="H79" s="60">
        <f t="shared" si="27"/>
        <v>461.2</v>
      </c>
      <c r="I79" s="112">
        <f>IF(H79="","",IF($I$8="A",(RANK(H79,H$11:H$355,1)+COUNTIF(H$11:H79,H79)-1),(RANK(H79,H$11:H$355)+COUNTIF(H$11:H79,H79)-1)))</f>
        <v>104</v>
      </c>
      <c r="J79" s="58"/>
      <c r="K79" s="51">
        <f t="shared" si="38"/>
        <v>69</v>
      </c>
      <c r="L79" s="59" t="str">
        <f t="shared" si="28"/>
        <v>Mid Sussex</v>
      </c>
      <c r="M79" s="153">
        <f t="shared" si="29"/>
        <v>430</v>
      </c>
      <c r="N79" s="148">
        <f t="shared" si="39"/>
        <v>430</v>
      </c>
      <c r="O79" s="131" t="str">
        <f t="shared" si="30"/>
        <v/>
      </c>
      <c r="P79" s="131">
        <f t="shared" si="45"/>
        <v>430</v>
      </c>
      <c r="Q79" s="131" t="str">
        <f t="shared" si="46"/>
        <v/>
      </c>
      <c r="R79" s="127" t="str">
        <f t="shared" si="47"/>
        <v/>
      </c>
      <c r="S79" s="60" t="str">
        <f t="shared" si="40"/>
        <v/>
      </c>
      <c r="T79" s="228" t="str">
        <f>IF(L79="","",VLOOKUP(L79,classifications!C:K,9,FALSE))</f>
        <v>Sparse</v>
      </c>
      <c r="U79" s="235">
        <f t="shared" si="31"/>
        <v>430</v>
      </c>
      <c r="V79" s="236">
        <f>IF(U79="","",IF($I$8="A",(RANK(U79,U$11:U$355)+COUNTIF(U$11:U79,U79)-1),(RANK(U79,U$11:U$355,1)+COUNTIF(U$11:U79,U79)-1)))</f>
        <v>39</v>
      </c>
      <c r="W79" s="237"/>
      <c r="X79" s="61" t="str">
        <f>IF(L79="","",VLOOKUP($L79,classifications!$C:$J,6,FALSE))</f>
        <v>Urban with City and Town</v>
      </c>
      <c r="Y79" s="49" t="str">
        <f t="shared" si="32"/>
        <v/>
      </c>
      <c r="Z79" s="57" t="str">
        <f>IF(Y79="","",IF(I$8="A",(RANK(Y79,Y$11:Y$355,1)+COUNTIF(Y$11:Y79,Y79)-1),(RANK(Y79,Y$11:Y$355)+COUNTIF(Y$11:Y79,Y79)-1)))</f>
        <v/>
      </c>
      <c r="AA79" s="242" t="str">
        <f>IF(L79="","",VLOOKUP($L79,classifications!C:I,7,FALSE))</f>
        <v>Predominantly Urban</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West Sussex</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South East</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461.2</v>
      </c>
      <c r="AY79" s="156"/>
      <c r="AZ79" s="44"/>
    </row>
    <row r="80" spans="1:52">
      <c r="A80" s="84" t="str">
        <f>$D$1&amp;70</f>
        <v>SD70</v>
      </c>
      <c r="B80" s="85" t="str">
        <f>IF(ISERROR(VLOOKUP(A80,classifications!A:C,3,FALSE)),0,VLOOKUP(A80,classifications!A:C,3,FALSE))</f>
        <v>Uttlesford</v>
      </c>
      <c r="C80" s="31" t="s">
        <v>46</v>
      </c>
      <c r="D80" s="49" t="str">
        <f>VLOOKUP($C80,classifications!$C:$J,4,FALSE)</f>
        <v>SD</v>
      </c>
      <c r="E80" s="49">
        <f>VLOOKUP(C80,classifications!C:K,9,FALSE)</f>
        <v>0</v>
      </c>
      <c r="F80" s="59">
        <f t="shared" si="26"/>
        <v>508.2</v>
      </c>
      <c r="G80" s="105"/>
      <c r="H80" s="60">
        <f t="shared" si="27"/>
        <v>508.2</v>
      </c>
      <c r="I80" s="112">
        <f>IF(H80="","",IF($I$8="A",(RANK(H80,H$11:H$355,1)+COUNTIF(H$11:H80,H80)-1),(RANK(H80,H$11:H$355)+COUNTIF(H$11:H80,H80)-1)))</f>
        <v>148</v>
      </c>
      <c r="J80" s="58"/>
      <c r="K80" s="51">
        <f t="shared" si="38"/>
        <v>70</v>
      </c>
      <c r="L80" s="59" t="str">
        <f t="shared" si="28"/>
        <v>Tunbridge Wells</v>
      </c>
      <c r="M80" s="153">
        <f t="shared" si="29"/>
        <v>430</v>
      </c>
      <c r="N80" s="148">
        <f t="shared" si="39"/>
        <v>430</v>
      </c>
      <c r="O80" s="131" t="str">
        <f t="shared" si="30"/>
        <v/>
      </c>
      <c r="P80" s="131">
        <f t="shared" si="45"/>
        <v>430</v>
      </c>
      <c r="Q80" s="131" t="str">
        <f t="shared" si="46"/>
        <v/>
      </c>
      <c r="R80" s="127" t="str">
        <f t="shared" si="47"/>
        <v/>
      </c>
      <c r="S80" s="60" t="str">
        <f t="shared" si="40"/>
        <v/>
      </c>
      <c r="T80" s="228" t="str">
        <f>IF(L80="","",VLOOKUP(L80,classifications!C:K,9,FALSE))</f>
        <v>Sparse</v>
      </c>
      <c r="U80" s="235">
        <f t="shared" si="31"/>
        <v>430</v>
      </c>
      <c r="V80" s="236">
        <f>IF(U80="","",IF($I$8="A",(RANK(U80,U$11:U$355)+COUNTIF(U$11:U80,U80)-1),(RANK(U80,U$11:U$355,1)+COUNTIF(U$11:U80,U80)-1)))</f>
        <v>40</v>
      </c>
      <c r="W80" s="237"/>
      <c r="X80" s="61" t="str">
        <f>IF(L80="","",VLOOKUP($L80,classifications!$C:$J,6,FALSE))</f>
        <v>Urban with Significant Rural (rural including hub towns 26-49%)</v>
      </c>
      <c r="Y80" s="49" t="str">
        <f t="shared" si="32"/>
        <v/>
      </c>
      <c r="Z80" s="57" t="str">
        <f>IF(Y80="","",IF(I$8="A",(RANK(Y80,Y$11:Y$355,1)+COUNTIF(Y$11:Y80,Y80)-1),(RANK(Y80,Y$11:Y$355)+COUNTIF(Y$11:Y80,Y80)-1)))</f>
        <v/>
      </c>
      <c r="AA80" s="242" t="str">
        <f>IF(L80="","",VLOOKUP($L80,classifications!C:I,7,FALSE))</f>
        <v>Significant Rural</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Kent</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South East</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508.2</v>
      </c>
      <c r="AY80" s="156"/>
      <c r="AZ80" s="44"/>
    </row>
    <row r="81" spans="1:52">
      <c r="A81" s="84" t="str">
        <f>$D$1&amp;71</f>
        <v>SD71</v>
      </c>
      <c r="B81" s="85" t="str">
        <f>IF(ISERROR(VLOOKUP(A81,classifications!A:C,3,FALSE)),0,VLOOKUP(A81,classifications!A:C,3,FALSE))</f>
        <v>Vale of White Horse</v>
      </c>
      <c r="C81" s="31" t="s">
        <v>201</v>
      </c>
      <c r="D81" s="49" t="str">
        <f>VLOOKUP($C81,classifications!$C:$J,4,FALSE)</f>
        <v>L</v>
      </c>
      <c r="E81" s="49">
        <f>VLOOKUP(C81,classifications!C:K,9,FALSE)</f>
        <v>0</v>
      </c>
      <c r="F81" s="59">
        <f t="shared" si="26"/>
        <v>381</v>
      </c>
      <c r="G81" s="105"/>
      <c r="H81" s="60" t="str">
        <f t="shared" si="27"/>
        <v/>
      </c>
      <c r="I81" s="112" t="str">
        <f>IF(H81="","",IF($I$8="A",(RANK(H81,H$11:H$355,1)+COUNTIF(H$11:H81,H81)-1),(RANK(H81,H$11:H$355)+COUNTIF(H$11:H81,H81)-1)))</f>
        <v/>
      </c>
      <c r="J81" s="58"/>
      <c r="K81" s="51">
        <f t="shared" si="38"/>
        <v>71</v>
      </c>
      <c r="L81" s="59" t="str">
        <f t="shared" si="28"/>
        <v>Worcester</v>
      </c>
      <c r="M81" s="153">
        <f t="shared" si="29"/>
        <v>430.6</v>
      </c>
      <c r="N81" s="148">
        <f t="shared" si="39"/>
        <v>430.6</v>
      </c>
      <c r="O81" s="131" t="str">
        <f t="shared" si="30"/>
        <v/>
      </c>
      <c r="P81" s="131">
        <f t="shared" si="45"/>
        <v>430.6</v>
      </c>
      <c r="Q81" s="131" t="str">
        <f t="shared" si="46"/>
        <v/>
      </c>
      <c r="R81" s="127" t="str">
        <f t="shared" si="47"/>
        <v/>
      </c>
      <c r="S81" s="60" t="str">
        <f t="shared" si="40"/>
        <v/>
      </c>
      <c r="T81" s="228">
        <f>IF(L81="","",VLOOKUP(L81,classifications!C:K,9,FALSE))</f>
        <v>0</v>
      </c>
      <c r="U81" s="235" t="str">
        <f t="shared" si="31"/>
        <v/>
      </c>
      <c r="V81" s="236" t="str">
        <f>IF(U81="","",IF($I$8="A",(RANK(U81,U$11:U$355)+COUNTIF(U$11:U81,U81)-1),(RANK(U81,U$11:U$355,1)+COUNTIF(U$11:U81,U81)-1)))</f>
        <v/>
      </c>
      <c r="W81" s="237"/>
      <c r="X81" s="61" t="str">
        <f>IF(L81="","",VLOOKUP($L81,classifications!$C:$J,6,FALSE))</f>
        <v>Urban with City and Town</v>
      </c>
      <c r="Y81" s="49" t="str">
        <f t="shared" si="32"/>
        <v/>
      </c>
      <c r="Z81" s="57" t="str">
        <f>IF(Y81="","",IF(I$8="A",(RANK(Y81,Y$11:Y$355,1)+COUNTIF(Y$11:Y81,Y81)-1),(RANK(Y81,Y$11:Y$355)+COUNTIF(Y$11:Y81,Y81)-1)))</f>
        <v/>
      </c>
      <c r="AA81" s="242" t="str">
        <f>IF(L81="","",VLOOKUP($L81,classifications!C:I,7,FALSE))</f>
        <v>Predominantly Urban</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Worcestershire</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West Midlands</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381</v>
      </c>
      <c r="AY81" s="156"/>
      <c r="AZ81" s="44"/>
    </row>
    <row r="82" spans="1:52">
      <c r="A82" s="84" t="str">
        <f>$D$1&amp;72</f>
        <v>SD72</v>
      </c>
      <c r="B82" s="85" t="str">
        <f>IF(ISERROR(VLOOKUP(A82,classifications!A:C,3,FALSE)),0,VLOOKUP(A82,classifications!A:C,3,FALSE))</f>
        <v>Wealden</v>
      </c>
      <c r="C82" s="31" t="s">
        <v>306</v>
      </c>
      <c r="D82" s="49" t="str">
        <f>VLOOKUP($C82,classifications!$C:$J,4,FALSE)</f>
        <v>SC</v>
      </c>
      <c r="E82" s="49" t="str">
        <f>VLOOKUP(C82,classifications!C:K,9,FALSE)</f>
        <v>Sparse</v>
      </c>
      <c r="F82" s="59">
        <f t="shared" si="26"/>
        <v>501.8</v>
      </c>
      <c r="G82" s="105"/>
      <c r="H82" s="60" t="str">
        <f t="shared" si="27"/>
        <v/>
      </c>
      <c r="I82" s="112" t="str">
        <f>IF(H82="","",IF($I$8="A",(RANK(H82,H$11:H$355,1)+COUNTIF(H$11:H82,H82)-1),(RANK(H82,H$11:H$355)+COUNTIF(H$11:H82,H82)-1)))</f>
        <v/>
      </c>
      <c r="J82" s="58"/>
      <c r="K82" s="51">
        <f t="shared" si="38"/>
        <v>72</v>
      </c>
      <c r="L82" s="59" t="str">
        <f t="shared" si="28"/>
        <v>Epsom &amp; Ewell</v>
      </c>
      <c r="M82" s="153">
        <f t="shared" si="29"/>
        <v>430.7</v>
      </c>
      <c r="N82" s="148">
        <f t="shared" si="39"/>
        <v>430.7</v>
      </c>
      <c r="O82" s="131" t="str">
        <f t="shared" si="30"/>
        <v/>
      </c>
      <c r="P82" s="131">
        <f t="shared" si="45"/>
        <v>430.7</v>
      </c>
      <c r="Q82" s="131" t="str">
        <f t="shared" si="46"/>
        <v/>
      </c>
      <c r="R82" s="127" t="str">
        <f t="shared" si="47"/>
        <v/>
      </c>
      <c r="S82" s="60" t="str">
        <f t="shared" si="40"/>
        <v/>
      </c>
      <c r="T82" s="228">
        <f>IF(L82="","",VLOOKUP(L82,classifications!C:K,9,FALSE))</f>
        <v>0</v>
      </c>
      <c r="U82" s="235" t="str">
        <f t="shared" si="31"/>
        <v/>
      </c>
      <c r="V82" s="236" t="str">
        <f>IF(U82="","",IF($I$8="A",(RANK(U82,U$11:U$355)+COUNTIF(U$11:U82,U82)-1),(RANK(U82,U$11:U$355,1)+COUNTIF(U$11:U82,U82)-1)))</f>
        <v/>
      </c>
      <c r="W82" s="237"/>
      <c r="X82" s="61" t="str">
        <f>IF(L82="","",VLOOKUP($L82,classifications!$C:$J,6,FALSE))</f>
        <v>Urban with Major Conurbation</v>
      </c>
      <c r="Y82" s="49" t="str">
        <f t="shared" si="32"/>
        <v/>
      </c>
      <c r="Z82" s="57" t="str">
        <f>IF(Y82="","",IF(I$8="A",(RANK(Y82,Y$11:Y$355,1)+COUNTIF(Y$11:Y82,Y82)-1),(RANK(Y82,Y$11:Y$355)+COUNTIF(Y$11:Y82,Y82)-1)))</f>
        <v/>
      </c>
      <c r="AA82" s="242" t="str">
        <f>IF(L82="","",VLOOKUP($L82,classifications!C:I,7,FALSE))</f>
        <v>Predominantly Urban</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Surrey</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South East</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501.8</v>
      </c>
      <c r="AY82" s="156"/>
      <c r="AZ82" s="44"/>
    </row>
    <row r="83" spans="1:52">
      <c r="A83" s="84" t="str">
        <f>$D$1&amp;73</f>
        <v>SD73</v>
      </c>
      <c r="B83" s="85" t="str">
        <f>IF(ISERROR(VLOOKUP(A83,classifications!A:C,3,FALSE)),0,VLOOKUP(A83,classifications!A:C,3,FALSE))</f>
        <v>West Devon</v>
      </c>
      <c r="C83" s="31" t="s">
        <v>47</v>
      </c>
      <c r="D83" s="49" t="str">
        <f>VLOOKUP($C83,classifications!$C:$J,4,FALSE)</f>
        <v>SD</v>
      </c>
      <c r="E83" s="49">
        <f>VLOOKUP(C83,classifications!C:K,9,FALSE)</f>
        <v>0</v>
      </c>
      <c r="F83" s="59">
        <f t="shared" si="26"/>
        <v>395.7</v>
      </c>
      <c r="G83" s="105"/>
      <c r="H83" s="60">
        <f t="shared" si="27"/>
        <v>395.7</v>
      </c>
      <c r="I83" s="112">
        <f>IF(H83="","",IF($I$8="A",(RANK(H83,H$11:H$355,1)+COUNTIF(H$11:H83,H83)-1),(RANK(H83,H$11:H$355)+COUNTIF(H$11:H83,H83)-1)))</f>
        <v>37</v>
      </c>
      <c r="J83" s="58"/>
      <c r="K83" s="51">
        <f t="shared" si="38"/>
        <v>73</v>
      </c>
      <c r="L83" s="59" t="str">
        <f t="shared" si="28"/>
        <v>Wyre</v>
      </c>
      <c r="M83" s="153">
        <f t="shared" si="29"/>
        <v>431.3</v>
      </c>
      <c r="N83" s="148">
        <f t="shared" si="39"/>
        <v>431.3</v>
      </c>
      <c r="O83" s="131" t="str">
        <f t="shared" si="30"/>
        <v/>
      </c>
      <c r="P83" s="131">
        <f t="shared" si="45"/>
        <v>431.3</v>
      </c>
      <c r="Q83" s="131" t="str">
        <f t="shared" si="46"/>
        <v/>
      </c>
      <c r="R83" s="127" t="str">
        <f t="shared" si="47"/>
        <v/>
      </c>
      <c r="S83" s="60" t="str">
        <f t="shared" si="40"/>
        <v/>
      </c>
      <c r="T83" s="228">
        <f>IF(L83="","",VLOOKUP(L83,classifications!C:K,9,FALSE))</f>
        <v>0</v>
      </c>
      <c r="U83" s="235" t="str">
        <f t="shared" si="31"/>
        <v/>
      </c>
      <c r="V83" s="236" t="str">
        <f>IF(U83="","",IF($I$8="A",(RANK(U83,U$11:U$355)+COUNTIF(U$11:U83,U83)-1),(RANK(U83,U$11:U$355,1)+COUNTIF(U$11:U83,U83)-1)))</f>
        <v/>
      </c>
      <c r="W83" s="237"/>
      <c r="X83" s="61" t="str">
        <f>IF(L83="","",VLOOKUP($L83,classifications!$C:$J,6,FALSE))</f>
        <v xml:space="preserve">Largely Rural (rural including hub towns 50-79%) </v>
      </c>
      <c r="Y83" s="49" t="str">
        <f t="shared" si="32"/>
        <v/>
      </c>
      <c r="Z83" s="57" t="str">
        <f>IF(Y83="","",IF(I$8="A",(RANK(Y83,Y$11:Y$355,1)+COUNTIF(Y$11:Y83,Y83)-1),(RANK(Y83,Y$11:Y$355)+COUNTIF(Y$11:Y83,Y83)-1)))</f>
        <v/>
      </c>
      <c r="AA83" s="242" t="str">
        <f>IF(L83="","",VLOOKUP($L83,classifications!C:I,7,FALSE))</f>
        <v>Predominantly Rural</v>
      </c>
      <c r="AB83" s="236">
        <f t="shared" si="41"/>
        <v>431.3</v>
      </c>
      <c r="AC83" s="236">
        <f>IF(AB83="","",IF($I$8="A",(RANK(AB83,AB$11:AB$355)+COUNTIF(AB$11:AB83,AB83)-1),(RANK(AB83,AB$11:AB$355,1)+COUNTIF(AB$11:AB83,AB83)-1)))</f>
        <v>38</v>
      </c>
      <c r="AD83" s="236"/>
      <c r="AE83" s="51" t="str">
        <f t="shared" si="24"/>
        <v/>
      </c>
      <c r="AG83" s="143"/>
      <c r="AH83" s="52"/>
      <c r="AI83" s="61" t="str">
        <f>IF(L83="","",VLOOKUP($L83,classifications!$C:$J,8,FALSE))</f>
        <v>Lancashire</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North West</v>
      </c>
      <c r="AQ83" s="62">
        <f t="shared" si="43"/>
        <v>431.3</v>
      </c>
      <c r="AR83" s="57">
        <f>IF(AQ83="","",IF(I$8="A",(RANK(AQ83,AQ$11:AQ$355,1)+COUNTIF(AQ$11:AQ83,AQ83)-1),(RANK(AQ83,AQ$11:AQ$355)+COUNTIF(AQ$11:AQ83,AQ83)-1)))</f>
        <v>2</v>
      </c>
      <c r="AS83" s="52" t="str">
        <f t="shared" si="44"/>
        <v/>
      </c>
      <c r="AT83" s="57" t="str">
        <f t="shared" si="36"/>
        <v/>
      </c>
      <c r="AU83" s="62" t="str">
        <f t="shared" si="37"/>
        <v/>
      </c>
      <c r="AX83" s="44">
        <f>HLOOKUP($AX$9&amp;$AX$10,Data!$A$1:$ZZ$2000,(MATCH($C83,Data!$A$1:$A$2000,0)),FALSE)</f>
        <v>395.7</v>
      </c>
      <c r="AY83" s="156"/>
      <c r="AZ83" s="44"/>
    </row>
    <row r="84" spans="1:52">
      <c r="A84" s="84" t="str">
        <f>$D$1&amp;74</f>
        <v>SD74</v>
      </c>
      <c r="B84" s="85" t="str">
        <f>IF(ISERROR(VLOOKUP(A84,classifications!A:C,3,FALSE)),0,VLOOKUP(A84,classifications!A:C,3,FALSE))</f>
        <v>West Lindsey</v>
      </c>
      <c r="C84" s="31" t="s">
        <v>264</v>
      </c>
      <c r="D84" s="49" t="str">
        <f>VLOOKUP($C84,classifications!$C:$J,4,FALSE)</f>
        <v>UA</v>
      </c>
      <c r="E84" s="49">
        <f>VLOOKUP(C84,classifications!C:K,9,FALSE)</f>
        <v>0</v>
      </c>
      <c r="F84" s="59">
        <f t="shared" si="26"/>
        <v>507.6</v>
      </c>
      <c r="G84" s="105"/>
      <c r="H84" s="60" t="str">
        <f t="shared" si="27"/>
        <v/>
      </c>
      <c r="I84" s="112" t="str">
        <f>IF(H84="","",IF($I$8="A",(RANK(H84,H$11:H$355,1)+COUNTIF(H$11:H84,H84)-1),(RANK(H84,H$11:H$355)+COUNTIF(H$11:H84,H84)-1)))</f>
        <v/>
      </c>
      <c r="J84" s="58"/>
      <c r="K84" s="51">
        <f t="shared" si="38"/>
        <v>74</v>
      </c>
      <c r="L84" s="59" t="str">
        <f t="shared" si="28"/>
        <v>Spelthorne</v>
      </c>
      <c r="M84" s="153">
        <f t="shared" si="29"/>
        <v>431.8</v>
      </c>
      <c r="N84" s="148">
        <f t="shared" si="39"/>
        <v>431.8</v>
      </c>
      <c r="O84" s="131" t="str">
        <f t="shared" si="30"/>
        <v/>
      </c>
      <c r="P84" s="131">
        <f t="shared" si="45"/>
        <v>431.8</v>
      </c>
      <c r="Q84" s="131" t="str">
        <f t="shared" si="46"/>
        <v/>
      </c>
      <c r="R84" s="127" t="str">
        <f t="shared" si="47"/>
        <v/>
      </c>
      <c r="S84" s="60" t="str">
        <f t="shared" si="40"/>
        <v/>
      </c>
      <c r="T84" s="228">
        <f>IF(L84="","",VLOOKUP(L84,classifications!C:K,9,FALSE))</f>
        <v>0</v>
      </c>
      <c r="U84" s="235" t="str">
        <f t="shared" si="31"/>
        <v/>
      </c>
      <c r="V84" s="236" t="str">
        <f>IF(U84="","",IF($I$8="A",(RANK(U84,U$11:U$355)+COUNTIF(U$11:U84,U84)-1),(RANK(U84,U$11:U$355,1)+COUNTIF(U$11:U84,U84)-1)))</f>
        <v/>
      </c>
      <c r="W84" s="237"/>
      <c r="X84" s="61" t="str">
        <f>IF(L84="","",VLOOKUP($L84,classifications!$C:$J,6,FALSE))</f>
        <v>Urban with Major Conurbation</v>
      </c>
      <c r="Y84" s="49" t="str">
        <f t="shared" si="32"/>
        <v/>
      </c>
      <c r="Z84" s="57" t="str">
        <f>IF(Y84="","",IF(I$8="A",(RANK(Y84,Y$11:Y$355,1)+COUNTIF(Y$11:Y84,Y84)-1),(RANK(Y84,Y$11:Y$355)+COUNTIF(Y$11:Y84,Y84)-1)))</f>
        <v/>
      </c>
      <c r="AA84" s="242" t="str">
        <f>IF(L84="","",VLOOKUP($L84,classifications!C:I,7,FALSE))</f>
        <v>Predominantly Urban</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Surrey</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South East</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507.6</v>
      </c>
      <c r="AY84" s="156"/>
      <c r="AZ84" s="44"/>
    </row>
    <row r="85" spans="1:52">
      <c r="A85" s="84" t="str">
        <f>$D$1&amp;75</f>
        <v>SD75</v>
      </c>
      <c r="B85" s="85" t="str">
        <f>IF(ISERROR(VLOOKUP(A85,classifications!A:C,3,FALSE)),0,VLOOKUP(A85,classifications!A:C,3,FALSE))</f>
        <v>West Oxfordshire</v>
      </c>
      <c r="C85" s="31" t="s">
        <v>48</v>
      </c>
      <c r="D85" s="49" t="str">
        <f>VLOOKUP($C85,classifications!$C:$J,4,FALSE)</f>
        <v>SD</v>
      </c>
      <c r="E85" s="49">
        <f>VLOOKUP(C85,classifications!C:K,9,FALSE)</f>
        <v>0</v>
      </c>
      <c r="F85" s="59">
        <f t="shared" si="26"/>
        <v>607.9</v>
      </c>
      <c r="G85" s="105"/>
      <c r="H85" s="60">
        <f t="shared" si="27"/>
        <v>607.9</v>
      </c>
      <c r="I85" s="112">
        <f>IF(H85="","",IF($I$8="A",(RANK(H85,H$11:H$355,1)+COUNTIF(H$11:H85,H85)-1),(RANK(H85,H$11:H$355)+COUNTIF(H$11:H85,H85)-1)))</f>
        <v>181</v>
      </c>
      <c r="J85" s="58"/>
      <c r="K85" s="51">
        <f t="shared" si="38"/>
        <v>75</v>
      </c>
      <c r="L85" s="59" t="str">
        <f t="shared" si="28"/>
        <v>East Hertfordshire</v>
      </c>
      <c r="M85" s="153">
        <f t="shared" si="29"/>
        <v>432.8</v>
      </c>
      <c r="N85" s="148">
        <f t="shared" si="39"/>
        <v>432.8</v>
      </c>
      <c r="O85" s="131" t="str">
        <f t="shared" si="30"/>
        <v/>
      </c>
      <c r="P85" s="131">
        <f t="shared" si="45"/>
        <v>432.8</v>
      </c>
      <c r="Q85" s="131" t="str">
        <f t="shared" si="46"/>
        <v/>
      </c>
      <c r="R85" s="127" t="str">
        <f t="shared" si="47"/>
        <v/>
      </c>
      <c r="S85" s="60" t="str">
        <f t="shared" si="40"/>
        <v/>
      </c>
      <c r="T85" s="228" t="str">
        <f>IF(L85="","",VLOOKUP(L85,classifications!C:K,9,FALSE))</f>
        <v>Sparse</v>
      </c>
      <c r="U85" s="235">
        <f t="shared" si="31"/>
        <v>432.8</v>
      </c>
      <c r="V85" s="236">
        <f>IF(U85="","",IF($I$8="A",(RANK(U85,U$11:U$355)+COUNTIF(U$11:U85,U85)-1),(RANK(U85,U$11:U$355,1)+COUNTIF(U$11:U85,U85)-1)))</f>
        <v>38</v>
      </c>
      <c r="W85" s="237"/>
      <c r="X85" s="61" t="str">
        <f>IF(L85="","",VLOOKUP($L85,classifications!$C:$J,6,FALSE))</f>
        <v>Urban with Significant Rural (rural including hub towns 26-49%)</v>
      </c>
      <c r="Y85" s="49" t="str">
        <f t="shared" si="32"/>
        <v/>
      </c>
      <c r="Z85" s="57" t="str">
        <f>IF(Y85="","",IF(I$8="A",(RANK(Y85,Y$11:Y$355,1)+COUNTIF(Y$11:Y85,Y85)-1),(RANK(Y85,Y$11:Y$355)+COUNTIF(Y$11:Y85,Y85)-1)))</f>
        <v/>
      </c>
      <c r="AA85" s="242" t="str">
        <f>IF(L85="","",VLOOKUP($L85,classifications!C:I,7,FALSE))</f>
        <v>Significant Rural</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Hertfordshire</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East of England</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607.9</v>
      </c>
      <c r="AY85" s="156"/>
      <c r="AZ85" s="44"/>
    </row>
    <row r="86" spans="1:52">
      <c r="A86" s="84" t="str">
        <f>$D$1&amp;76</f>
        <v>SD76</v>
      </c>
      <c r="B86" s="85" t="str">
        <f>IF(ISERROR(VLOOKUP(A86,classifications!A:C,3,FALSE)),0,VLOOKUP(A86,classifications!A:C,3,FALSE))</f>
        <v>Wychavon</v>
      </c>
      <c r="C86" s="31" t="s">
        <v>49</v>
      </c>
      <c r="D86" s="49" t="str">
        <f>VLOOKUP($C86,classifications!$C:$J,4,FALSE)</f>
        <v>SD</v>
      </c>
      <c r="E86" s="49" t="str">
        <f>VLOOKUP(C86,classifications!C:K,9,FALSE)</f>
        <v>Sparse</v>
      </c>
      <c r="F86" s="59">
        <f t="shared" si="26"/>
        <v>421.2</v>
      </c>
      <c r="G86" s="105"/>
      <c r="H86" s="60">
        <f t="shared" si="27"/>
        <v>421.2</v>
      </c>
      <c r="I86" s="112">
        <f>IF(H86="","",IF($I$8="A",(RANK(H86,H$11:H$355,1)+COUNTIF(H$11:H86,H86)-1),(RANK(H86,H$11:H$355)+COUNTIF(H$11:H86,H86)-1)))</f>
        <v>58</v>
      </c>
      <c r="J86" s="58"/>
      <c r="K86" s="51">
        <f t="shared" si="38"/>
        <v>76</v>
      </c>
      <c r="L86" s="59" t="str">
        <f t="shared" si="28"/>
        <v>Epping Forest</v>
      </c>
      <c r="M86" s="153">
        <f t="shared" si="29"/>
        <v>433</v>
      </c>
      <c r="N86" s="148">
        <f t="shared" si="39"/>
        <v>433</v>
      </c>
      <c r="O86" s="131" t="str">
        <f t="shared" si="30"/>
        <v/>
      </c>
      <c r="P86" s="131">
        <f t="shared" si="45"/>
        <v>433</v>
      </c>
      <c r="Q86" s="131" t="str">
        <f t="shared" si="46"/>
        <v/>
      </c>
      <c r="R86" s="127" t="str">
        <f t="shared" si="47"/>
        <v/>
      </c>
      <c r="S86" s="60" t="str">
        <f t="shared" si="40"/>
        <v/>
      </c>
      <c r="T86" s="228">
        <f>IF(L86="","",VLOOKUP(L86,classifications!C:K,9,FALSE))</f>
        <v>0</v>
      </c>
      <c r="U86" s="235" t="str">
        <f t="shared" si="31"/>
        <v/>
      </c>
      <c r="V86" s="236" t="str">
        <f>IF(U86="","",IF($I$8="A",(RANK(U86,U$11:U$355)+COUNTIF(U$11:U86,U86)-1),(RANK(U86,U$11:U$355,1)+COUNTIF(U$11:U86,U86)-1)))</f>
        <v/>
      </c>
      <c r="W86" s="237"/>
      <c r="X86" s="61" t="str">
        <f>IF(L86="","",VLOOKUP($L86,classifications!$C:$J,6,FALSE))</f>
        <v>Urban with Significant Rural (rural including hub towns 26-49%)</v>
      </c>
      <c r="Y86" s="49" t="str">
        <f t="shared" si="32"/>
        <v/>
      </c>
      <c r="Z86" s="57" t="str">
        <f>IF(Y86="","",IF(I$8="A",(RANK(Y86,Y$11:Y$355,1)+COUNTIF(Y$11:Y86,Y86)-1),(RANK(Y86,Y$11:Y$355)+COUNTIF(Y$11:Y86,Y86)-1)))</f>
        <v/>
      </c>
      <c r="AA86" s="242" t="str">
        <f>IF(L86="","",VLOOKUP($L86,classifications!C:I,7,FALSE))</f>
        <v>Significant Rural</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Essex</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East of England</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421.2</v>
      </c>
      <c r="AY86" s="156"/>
      <c r="AZ86" s="44"/>
    </row>
    <row r="87" spans="1:52">
      <c r="A87" s="84" t="str">
        <f>$D$1&amp;77</f>
        <v>SD77</v>
      </c>
      <c r="B87" s="85">
        <f>IF(ISERROR(VLOOKUP(A87,classifications!A:C,3,FALSE)),0,VLOOKUP(A87,classifications!A:C,3,FALSE))</f>
        <v>0</v>
      </c>
      <c r="C87" s="31" t="s">
        <v>265</v>
      </c>
      <c r="D87" s="49" t="str">
        <f>VLOOKUP($C87,classifications!$C:$J,4,FALSE)</f>
        <v>UA</v>
      </c>
      <c r="E87" s="49">
        <f>VLOOKUP(C87,classifications!C:K,9,FALSE)</f>
        <v>0</v>
      </c>
      <c r="F87" s="59">
        <f t="shared" si="26"/>
        <v>578.79999999999995</v>
      </c>
      <c r="G87" s="105"/>
      <c r="H87" s="60" t="str">
        <f t="shared" si="27"/>
        <v/>
      </c>
      <c r="I87" s="112" t="str">
        <f>IF(H87="","",IF($I$8="A",(RANK(H87,H$11:H$355,1)+COUNTIF(H$11:H87,H87)-1),(RANK(H87,H$11:H$355)+COUNTIF(H$11:H87,H87)-1)))</f>
        <v/>
      </c>
      <c r="J87" s="58"/>
      <c r="K87" s="51">
        <f t="shared" si="38"/>
        <v>77</v>
      </c>
      <c r="L87" s="59" t="str">
        <f t="shared" si="28"/>
        <v>Cheltenham</v>
      </c>
      <c r="M87" s="153">
        <f t="shared" si="29"/>
        <v>433.8</v>
      </c>
      <c r="N87" s="148">
        <f t="shared" si="39"/>
        <v>433.8</v>
      </c>
      <c r="O87" s="131" t="str">
        <f t="shared" si="30"/>
        <v/>
      </c>
      <c r="P87" s="131">
        <f t="shared" si="45"/>
        <v>433.8</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Urban with City and Town</v>
      </c>
      <c r="Y87" s="49" t="str">
        <f t="shared" si="32"/>
        <v/>
      </c>
      <c r="Z87" s="57" t="str">
        <f>IF(Y87="","",IF(I$8="A",(RANK(Y87,Y$11:Y$355,1)+COUNTIF(Y$11:Y87,Y87)-1),(RANK(Y87,Y$11:Y$355)+COUNTIF(Y$11:Y87,Y87)-1)))</f>
        <v/>
      </c>
      <c r="AA87" s="242" t="str">
        <f>IF(L87="","",VLOOKUP($L87,classifications!C:I,7,FALSE))</f>
        <v>Predominantly Urban</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Gloucestershire</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South West</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578.79999999999995</v>
      </c>
      <c r="AY87" s="156"/>
      <c r="AZ87" s="44"/>
    </row>
    <row r="88" spans="1:52">
      <c r="A88" s="84" t="str">
        <f>$D$1&amp;78</f>
        <v>SD78</v>
      </c>
      <c r="B88" s="85">
        <f>IF(ISERROR(VLOOKUP(A88,classifications!A:C,3,FALSE)),0,VLOOKUP(A88,classifications!A:C,3,FALSE))</f>
        <v>0</v>
      </c>
      <c r="C88" s="31" t="s">
        <v>307</v>
      </c>
      <c r="D88" s="49" t="str">
        <f>VLOOKUP($C88,classifications!$C:$J,4,FALSE)</f>
        <v>SC</v>
      </c>
      <c r="E88" s="49" t="str">
        <f>VLOOKUP(C88,classifications!C:K,9,FALSE)</f>
        <v>Sparse</v>
      </c>
      <c r="F88" s="59">
        <f t="shared" si="26"/>
        <v>537</v>
      </c>
      <c r="G88" s="105"/>
      <c r="H88" s="60" t="str">
        <f t="shared" si="27"/>
        <v/>
      </c>
      <c r="I88" s="112" t="str">
        <f>IF(H88="","",IF($I$8="A",(RANK(H88,H$11:H$355,1)+COUNTIF(H$11:H88,H88)-1),(RANK(H88,H$11:H$355)+COUNTIF(H$11:H88,H88)-1)))</f>
        <v/>
      </c>
      <c r="J88" s="58"/>
      <c r="K88" s="51">
        <f t="shared" si="38"/>
        <v>78</v>
      </c>
      <c r="L88" s="59" t="str">
        <f t="shared" si="28"/>
        <v>Elmbridge</v>
      </c>
      <c r="M88" s="153">
        <f t="shared" si="29"/>
        <v>437.8</v>
      </c>
      <c r="N88" s="148">
        <f t="shared" si="39"/>
        <v>437.8</v>
      </c>
      <c r="O88" s="131" t="str">
        <f t="shared" si="30"/>
        <v/>
      </c>
      <c r="P88" s="131">
        <f t="shared" si="45"/>
        <v>437.8</v>
      </c>
      <c r="Q88" s="131" t="str">
        <f t="shared" si="46"/>
        <v/>
      </c>
      <c r="R88" s="127" t="str">
        <f t="shared" si="47"/>
        <v/>
      </c>
      <c r="S88" s="60" t="str">
        <f t="shared" si="40"/>
        <v/>
      </c>
      <c r="T88" s="228">
        <f>IF(L88="","",VLOOKUP(L88,classifications!C:K,9,FALSE))</f>
        <v>0</v>
      </c>
      <c r="U88" s="235" t="str">
        <f t="shared" si="31"/>
        <v/>
      </c>
      <c r="V88" s="236" t="str">
        <f>IF(U88="","",IF($I$8="A",(RANK(U88,U$11:U$355)+COUNTIF(U$11:U88,U88)-1),(RANK(U88,U$11:U$355,1)+COUNTIF(U$11:U88,U88)-1)))</f>
        <v/>
      </c>
      <c r="W88" s="237"/>
      <c r="X88" s="61" t="str">
        <f>IF(L88="","",VLOOKUP($L88,classifications!$C:$J,6,FALSE))</f>
        <v>Urban with Major Conurbation</v>
      </c>
      <c r="Y88" s="49" t="str">
        <f t="shared" si="32"/>
        <v/>
      </c>
      <c r="Z88" s="57" t="str">
        <f>IF(Y88="","",IF(I$8="A",(RANK(Y88,Y$11:Y$355,1)+COUNTIF(Y$11:Y88,Y88)-1),(RANK(Y88,Y$11:Y$355)+COUNTIF(Y$11:Y88,Y88)-1)))</f>
        <v/>
      </c>
      <c r="AA88" s="242" t="str">
        <f>IF(L88="","",VLOOKUP($L88,classifications!C:I,7,FALSE))</f>
        <v>Predominantly Urban</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Surrey</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South East</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537</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306</v>
      </c>
      <c r="G89" s="105"/>
      <c r="H89" s="60">
        <f t="shared" si="27"/>
        <v>306</v>
      </c>
      <c r="I89" s="112">
        <f>IF(H89="","",IF($I$8="A",(RANK(H89,H$11:H$355,1)+COUNTIF(H$11:H89,H89)-1),(RANK(H89,H$11:H$355)+COUNTIF(H$11:H89,H89)-1)))</f>
        <v>6</v>
      </c>
      <c r="J89" s="58"/>
      <c r="K89" s="51">
        <f t="shared" si="38"/>
        <v>79</v>
      </c>
      <c r="L89" s="59" t="str">
        <f t="shared" si="28"/>
        <v>Eden</v>
      </c>
      <c r="M89" s="153">
        <f t="shared" si="29"/>
        <v>438.1</v>
      </c>
      <c r="N89" s="148">
        <f t="shared" si="39"/>
        <v>438.1</v>
      </c>
      <c r="O89" s="131" t="str">
        <f t="shared" si="30"/>
        <v/>
      </c>
      <c r="P89" s="131">
        <f t="shared" si="45"/>
        <v>438.1</v>
      </c>
      <c r="Q89" s="131" t="str">
        <f t="shared" si="46"/>
        <v/>
      </c>
      <c r="R89" s="127" t="str">
        <f t="shared" si="47"/>
        <v/>
      </c>
      <c r="S89" s="60" t="str">
        <f t="shared" si="40"/>
        <v/>
      </c>
      <c r="T89" s="228" t="str">
        <f>IF(L89="","",VLOOKUP(L89,classifications!C:K,9,FALSE))</f>
        <v>Sparse</v>
      </c>
      <c r="U89" s="235">
        <f t="shared" si="31"/>
        <v>438.1</v>
      </c>
      <c r="V89" s="236">
        <f>IF(U89="","",IF($I$8="A",(RANK(U89,U$11:U$355)+COUNTIF(U$11:U89,U89)-1),(RANK(U89,U$11:U$355,1)+COUNTIF(U$11:U89,U89)-1)))</f>
        <v>37</v>
      </c>
      <c r="W89" s="237"/>
      <c r="X89" s="61" t="str">
        <f>IF(L89="","",VLOOKUP($L89,classifications!$C:$J,6,FALSE))</f>
        <v xml:space="preserve">Mainly Rural (rural including hub towns &gt;=80%) </v>
      </c>
      <c r="Y89" s="49">
        <f t="shared" si="32"/>
        <v>438.1</v>
      </c>
      <c r="Z89" s="57">
        <f>IF(Y89="","",IF(I$8="A",(RANK(Y89,Y$11:Y$355,1)+COUNTIF(Y$11:Y89,Y89)-1),(RANK(Y89,Y$11:Y$355)+COUNTIF(Y$11:Y89,Y89)-1)))</f>
        <v>20</v>
      </c>
      <c r="AA89" s="242" t="str">
        <f>IF(L89="","",VLOOKUP($L89,classifications!C:I,7,FALSE))</f>
        <v>Predominantly Rural</v>
      </c>
      <c r="AB89" s="236">
        <f t="shared" si="41"/>
        <v>438.1</v>
      </c>
      <c r="AC89" s="236">
        <f>IF(AB89="","",IF($I$8="A",(RANK(AB89,AB$11:AB$355)+COUNTIF(AB$11:AB89,AB89)-1),(RANK(AB89,AB$11:AB$355,1)+COUNTIF(AB$11:AB89,AB89)-1)))</f>
        <v>37</v>
      </c>
      <c r="AD89" s="236"/>
      <c r="AE89" s="51" t="str">
        <f t="shared" si="24"/>
        <v/>
      </c>
      <c r="AG89" s="143"/>
      <c r="AH89" s="52"/>
      <c r="AI89" s="61" t="str">
        <f>IF(L89="","",VLOOKUP($L89,classifications!$C:$J,8,FALSE))</f>
        <v>Cumbria</v>
      </c>
      <c r="AJ89" s="62">
        <f t="shared" si="33"/>
        <v>438.1</v>
      </c>
      <c r="AK89" s="57">
        <f>IF(AJ89="","",IF(I$8="A",(RANK(AJ89,AJ$11:AJ$355,1)+COUNTIF(AJ$11:AJ89,AJ89)-1),(RANK(AJ89,AJ$11:AJ$355)+COUNTIF(AJ$11:AJ89,AJ89)-1)))</f>
        <v>1</v>
      </c>
      <c r="AL89" s="52" t="str">
        <f t="shared" si="42"/>
        <v/>
      </c>
      <c r="AM89" s="31" t="str">
        <f t="shared" si="34"/>
        <v/>
      </c>
      <c r="AN89" s="31" t="str">
        <f t="shared" si="35"/>
        <v/>
      </c>
      <c r="AP89" s="61" t="str">
        <f>IF(L89="","",VLOOKUP($L89,classifications!$C:$E,3,FALSE))</f>
        <v>North West</v>
      </c>
      <c r="AQ89" s="62">
        <f t="shared" si="43"/>
        <v>438.1</v>
      </c>
      <c r="AR89" s="57">
        <f>IF(AQ89="","",IF(I$8="A",(RANK(AQ89,AQ$11:AQ$355,1)+COUNTIF(AQ$11:AQ89,AQ89)-1),(RANK(AQ89,AQ$11:AQ$355)+COUNTIF(AQ$11:AQ89,AQ89)-1)))</f>
        <v>3</v>
      </c>
      <c r="AS89" s="52" t="str">
        <f t="shared" si="44"/>
        <v/>
      </c>
      <c r="AT89" s="57" t="str">
        <f t="shared" si="36"/>
        <v/>
      </c>
      <c r="AU89" s="62" t="str">
        <f t="shared" si="37"/>
        <v/>
      </c>
      <c r="AX89" s="44">
        <f>HLOOKUP($AX$9&amp;$AX$10,Data!$A$1:$ZZ$2000,(MATCH($C89,Data!$A$1:$A$2000,0)),FALSE)</f>
        <v>306</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409.7</v>
      </c>
      <c r="G90" s="105"/>
      <c r="H90" s="60" t="str">
        <f t="shared" si="27"/>
        <v/>
      </c>
      <c r="I90" s="112" t="str">
        <f>IF(H90="","",IF($I$8="A",(RANK(H90,H$11:H$355,1)+COUNTIF(H$11:H90,H90)-1),(RANK(H90,H$11:H$355)+COUNTIF(H$11:H90,H90)-1)))</f>
        <v/>
      </c>
      <c r="J90" s="58"/>
      <c r="K90" s="51">
        <f t="shared" si="38"/>
        <v>80</v>
      </c>
      <c r="L90" s="59" t="str">
        <f t="shared" si="28"/>
        <v>Watford</v>
      </c>
      <c r="M90" s="153">
        <f t="shared" si="29"/>
        <v>438.3</v>
      </c>
      <c r="N90" s="148">
        <f t="shared" si="39"/>
        <v>438.3</v>
      </c>
      <c r="O90" s="131" t="str">
        <f t="shared" si="30"/>
        <v/>
      </c>
      <c r="P90" s="131">
        <f t="shared" si="45"/>
        <v>438.3</v>
      </c>
      <c r="Q90" s="131" t="str">
        <f t="shared" si="46"/>
        <v/>
      </c>
      <c r="R90" s="127" t="str">
        <f t="shared" si="47"/>
        <v/>
      </c>
      <c r="S90" s="60" t="str">
        <f t="shared" si="40"/>
        <v/>
      </c>
      <c r="T90" s="228">
        <f>IF(L90="","",VLOOKUP(L90,classifications!C:K,9,FALSE))</f>
        <v>0</v>
      </c>
      <c r="U90" s="235" t="str">
        <f t="shared" si="31"/>
        <v/>
      </c>
      <c r="V90" s="236" t="str">
        <f>IF(U90="","",IF($I$8="A",(RANK(U90,U$11:U$355)+COUNTIF(U$11:U90,U90)-1),(RANK(U90,U$11:U$355,1)+COUNTIF(U$11:U90,U90)-1)))</f>
        <v/>
      </c>
      <c r="W90" s="237"/>
      <c r="X90" s="61" t="str">
        <f>IF(L90="","",VLOOKUP($L90,classifications!$C:$J,6,FALSE))</f>
        <v>Urban with Major Conurbation</v>
      </c>
      <c r="Y90" s="49" t="str">
        <f t="shared" si="32"/>
        <v/>
      </c>
      <c r="Z90" s="57" t="str">
        <f>IF(Y90="","",IF(I$8="A",(RANK(Y90,Y$11:Y$355,1)+COUNTIF(Y$11:Y90,Y90)-1),(RANK(Y90,Y$11:Y$355)+COUNTIF(Y$11:Y90,Y90)-1)))</f>
        <v/>
      </c>
      <c r="AA90" s="242" t="str">
        <f>IF(L90="","",VLOOKUP($L90,classifications!C:I,7,FALSE))</f>
        <v>Predominantly Urban</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Hertfordshire</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East of England</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409.7</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525.79999999999995</v>
      </c>
      <c r="G91" s="105"/>
      <c r="H91" s="60" t="str">
        <f t="shared" si="27"/>
        <v/>
      </c>
      <c r="I91" s="112" t="str">
        <f>IF(H91="","",IF($I$8="A",(RANK(H91,H$11:H$355,1)+COUNTIF(H$11:H91,H91)-1),(RANK(H91,H$11:H$355)+COUNTIF(H$11:H91,H91)-1)))</f>
        <v/>
      </c>
      <c r="J91" s="58"/>
      <c r="K91" s="51">
        <f t="shared" si="38"/>
        <v>81</v>
      </c>
      <c r="L91" s="59" t="str">
        <f t="shared" si="28"/>
        <v>Uttlesford</v>
      </c>
      <c r="M91" s="153">
        <f t="shared" si="29"/>
        <v>440</v>
      </c>
      <c r="N91" s="148">
        <f t="shared" si="39"/>
        <v>440</v>
      </c>
      <c r="O91" s="131" t="str">
        <f t="shared" si="30"/>
        <v/>
      </c>
      <c r="P91" s="131">
        <f t="shared" si="45"/>
        <v>440</v>
      </c>
      <c r="Q91" s="131" t="str">
        <f t="shared" si="46"/>
        <v/>
      </c>
      <c r="R91" s="127" t="str">
        <f t="shared" si="47"/>
        <v/>
      </c>
      <c r="S91" s="60" t="str">
        <f t="shared" si="40"/>
        <v/>
      </c>
      <c r="T91" s="228" t="str">
        <f>IF(L91="","",VLOOKUP(L91,classifications!C:K,9,FALSE))</f>
        <v>Sparse</v>
      </c>
      <c r="U91" s="235">
        <f t="shared" si="31"/>
        <v>440</v>
      </c>
      <c r="V91" s="236">
        <f>IF(U91="","",IF($I$8="A",(RANK(U91,U$11:U$355)+COUNTIF(U$11:U91,U91)-1),(RANK(U91,U$11:U$355,1)+COUNTIF(U$11:U91,U91)-1)))</f>
        <v>36</v>
      </c>
      <c r="W91" s="237"/>
      <c r="X91" s="61" t="str">
        <f>IF(L91="","",VLOOKUP($L91,classifications!$C:$J,6,FALSE))</f>
        <v xml:space="preserve">Mainly Rural (rural including hub towns &gt;=80%) </v>
      </c>
      <c r="Y91" s="49">
        <f t="shared" si="32"/>
        <v>440</v>
      </c>
      <c r="Z91" s="57">
        <f>IF(Y91="","",IF(I$8="A",(RANK(Y91,Y$11:Y$355,1)+COUNTIF(Y$11:Y91,Y91)-1),(RANK(Y91,Y$11:Y$355)+COUNTIF(Y$11:Y91,Y91)-1)))</f>
        <v>21</v>
      </c>
      <c r="AA91" s="242" t="str">
        <f>IF(L91="","",VLOOKUP($L91,classifications!C:I,7,FALSE))</f>
        <v>Predominantly Rural</v>
      </c>
      <c r="AB91" s="236">
        <f t="shared" si="41"/>
        <v>440</v>
      </c>
      <c r="AC91" s="236">
        <f>IF(AB91="","",IF($I$8="A",(RANK(AB91,AB$11:AB$355)+COUNTIF(AB$11:AB91,AB91)-1),(RANK(AB91,AB$11:AB$355,1)+COUNTIF(AB$11:AB91,AB91)-1)))</f>
        <v>36</v>
      </c>
      <c r="AD91" s="236"/>
      <c r="AE91" s="51" t="str">
        <f t="shared" si="24"/>
        <v/>
      </c>
      <c r="AG91" s="143"/>
      <c r="AH91" s="52"/>
      <c r="AI91" s="61" t="str">
        <f>IF(L91="","",VLOOKUP($L91,classifications!$C:$J,8,FALSE))</f>
        <v>Essex</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East of England</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525.79999999999995</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397.8</v>
      </c>
      <c r="G92" s="105"/>
      <c r="H92" s="60" t="str">
        <f t="shared" si="27"/>
        <v/>
      </c>
      <c r="I92" s="112" t="str">
        <f>IF(H92="","",IF($I$8="A",(RANK(H92,H$11:H$355,1)+COUNTIF(H$11:H92,H92)-1),(RANK(H92,H$11:H$355)+COUNTIF(H$11:H92,H92)-1)))</f>
        <v/>
      </c>
      <c r="J92" s="58"/>
      <c r="K92" s="51">
        <f t="shared" si="38"/>
        <v>82</v>
      </c>
      <c r="L92" s="59" t="str">
        <f t="shared" si="28"/>
        <v>Fylde</v>
      </c>
      <c r="M92" s="153">
        <f t="shared" si="29"/>
        <v>441.1</v>
      </c>
      <c r="N92" s="148">
        <f t="shared" si="39"/>
        <v>441.1</v>
      </c>
      <c r="O92" s="131" t="str">
        <f t="shared" si="30"/>
        <v/>
      </c>
      <c r="P92" s="131">
        <f t="shared" si="45"/>
        <v>441.1</v>
      </c>
      <c r="Q92" s="131" t="str">
        <f t="shared" si="46"/>
        <v/>
      </c>
      <c r="R92" s="127" t="str">
        <f t="shared" si="47"/>
        <v/>
      </c>
      <c r="S92" s="60" t="str">
        <f t="shared" si="40"/>
        <v/>
      </c>
      <c r="T92" s="228">
        <f>IF(L92="","",VLOOKUP(L92,classifications!C:K,9,FALSE))</f>
        <v>0</v>
      </c>
      <c r="U92" s="235" t="str">
        <f t="shared" si="31"/>
        <v/>
      </c>
      <c r="V92" s="236" t="str">
        <f>IF(U92="","",IF($I$8="A",(RANK(U92,U$11:U$355)+COUNTIF(U$11:U92,U92)-1),(RANK(U92,U$11:U$355,1)+COUNTIF(U$11:U92,U92)-1)))</f>
        <v/>
      </c>
      <c r="W92" s="237"/>
      <c r="X92" s="61" t="str">
        <f>IF(L92="","",VLOOKUP($L92,classifications!$C:$J,6,FALSE))</f>
        <v>Urban with City and Town</v>
      </c>
      <c r="Y92" s="49" t="str">
        <f t="shared" si="32"/>
        <v/>
      </c>
      <c r="Z92" s="57" t="str">
        <f>IF(Y92="","",IF(I$8="A",(RANK(Y92,Y$11:Y$355,1)+COUNTIF(Y$11:Y92,Y92)-1),(RANK(Y92,Y$11:Y$355)+COUNTIF(Y$11:Y92,Y92)-1)))</f>
        <v/>
      </c>
      <c r="AA92" s="242" t="str">
        <f>IF(L92="","",VLOOKUP($L92,classifications!C:I,7,FALSE))</f>
        <v>Predominantly Urban</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Lancashire</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North West</v>
      </c>
      <c r="AQ92" s="62">
        <f t="shared" si="43"/>
        <v>441.1</v>
      </c>
      <c r="AR92" s="57">
        <f>IF(AQ92="","",IF(I$8="A",(RANK(AQ92,AQ$11:AQ$355,1)+COUNTIF(AQ$11:AQ92,AQ92)-1),(RANK(AQ92,AQ$11:AQ$355)+COUNTIF(AQ$11:AQ92,AQ92)-1)))</f>
        <v>4</v>
      </c>
      <c r="AS92" s="52" t="str">
        <f t="shared" si="44"/>
        <v/>
      </c>
      <c r="AT92" s="57" t="str">
        <f t="shared" si="36"/>
        <v/>
      </c>
      <c r="AU92" s="62" t="str">
        <f t="shared" si="37"/>
        <v/>
      </c>
      <c r="AX92" s="44">
        <f>HLOOKUP($AX$9&amp;$AX$10,Data!$A$1:$ZZ$2000,(MATCH($C92,Data!$A$1:$A$2000,0)),FALSE)</f>
        <v>397.8</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356.5</v>
      </c>
      <c r="G93" s="105"/>
      <c r="H93" s="60">
        <f t="shared" si="27"/>
        <v>356.5</v>
      </c>
      <c r="I93" s="112">
        <f>IF(H93="","",IF($I$8="A",(RANK(H93,H$11:H$355,1)+COUNTIF(H$11:H93,H93)-1),(RANK(H93,H$11:H$355)+COUNTIF(H$11:H93,H93)-1)))</f>
        <v>20</v>
      </c>
      <c r="J93" s="58"/>
      <c r="K93" s="51">
        <f t="shared" si="38"/>
        <v>83</v>
      </c>
      <c r="L93" s="59" t="str">
        <f t="shared" si="28"/>
        <v>Worthing</v>
      </c>
      <c r="M93" s="153">
        <f t="shared" si="29"/>
        <v>442.3</v>
      </c>
      <c r="N93" s="148">
        <f t="shared" si="39"/>
        <v>442.3</v>
      </c>
      <c r="O93" s="131" t="str">
        <f t="shared" si="30"/>
        <v/>
      </c>
      <c r="P93" s="131">
        <f t="shared" si="45"/>
        <v>442.3</v>
      </c>
      <c r="Q93" s="131" t="str">
        <f t="shared" si="46"/>
        <v/>
      </c>
      <c r="R93" s="127" t="str">
        <f t="shared" si="47"/>
        <v/>
      </c>
      <c r="S93" s="60" t="str">
        <f t="shared" si="40"/>
        <v/>
      </c>
      <c r="T93" s="228">
        <f>IF(L93="","",VLOOKUP(L93,classifications!C:K,9,FALSE))</f>
        <v>0</v>
      </c>
      <c r="U93" s="235" t="str">
        <f t="shared" si="31"/>
        <v/>
      </c>
      <c r="V93" s="236" t="str">
        <f>IF(U93="","",IF($I$8="A",(RANK(U93,U$11:U$355)+COUNTIF(U$11:U93,U93)-1),(RANK(U93,U$11:U$355,1)+COUNTIF(U$11:U93,U93)-1)))</f>
        <v/>
      </c>
      <c r="W93" s="237"/>
      <c r="X93" s="61" t="str">
        <f>IF(L93="","",VLOOKUP($L93,classifications!$C:$J,6,FALSE))</f>
        <v>Urban with City and Town</v>
      </c>
      <c r="Y93" s="49" t="str">
        <f t="shared" si="32"/>
        <v/>
      </c>
      <c r="Z93" s="57" t="str">
        <f>IF(Y93="","",IF(I$8="A",(RANK(Y93,Y$11:Y$355,1)+COUNTIF(Y$11:Y93,Y93)-1),(RANK(Y93,Y$11:Y$355)+COUNTIF(Y$11:Y93,Y93)-1)))</f>
        <v/>
      </c>
      <c r="AA93" s="242" t="str">
        <f>IF(L93="","",VLOOKUP($L93,classifications!C:I,7,FALSE))</f>
        <v>Predominantly Urban</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West Sussex</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South East</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356.5</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552.20000000000005</v>
      </c>
      <c r="G94" s="105"/>
      <c r="H94" s="60" t="str">
        <f t="shared" si="27"/>
        <v/>
      </c>
      <c r="I94" s="112" t="str">
        <f>IF(H94="","",IF($I$8="A",(RANK(H94,H$11:H$355,1)+COUNTIF(H$11:H94,H94)-1),(RANK(H94,H$11:H$355)+COUNTIF(H$11:H94,H94)-1)))</f>
        <v/>
      </c>
      <c r="J94" s="58"/>
      <c r="K94" s="51">
        <f t="shared" si="38"/>
        <v>84</v>
      </c>
      <c r="L94" s="59" t="str">
        <f t="shared" si="28"/>
        <v>Rother</v>
      </c>
      <c r="M94" s="153">
        <f t="shared" si="29"/>
        <v>445.3</v>
      </c>
      <c r="N94" s="148">
        <f t="shared" si="39"/>
        <v>445.3</v>
      </c>
      <c r="O94" s="131" t="str">
        <f t="shared" si="30"/>
        <v/>
      </c>
      <c r="P94" s="131">
        <f t="shared" si="45"/>
        <v>445.3</v>
      </c>
      <c r="Q94" s="131" t="str">
        <f t="shared" si="46"/>
        <v/>
      </c>
      <c r="R94" s="127" t="str">
        <f t="shared" si="47"/>
        <v/>
      </c>
      <c r="S94" s="60" t="str">
        <f t="shared" si="40"/>
        <v/>
      </c>
      <c r="T94" s="228" t="str">
        <f>IF(L94="","",VLOOKUP(L94,classifications!C:K,9,FALSE))</f>
        <v>Sparse</v>
      </c>
      <c r="U94" s="235">
        <f t="shared" si="31"/>
        <v>445.3</v>
      </c>
      <c r="V94" s="236">
        <f>IF(U94="","",IF($I$8="A",(RANK(U94,U$11:U$355)+COUNTIF(U$11:U94,U94)-1),(RANK(U94,U$11:U$355,1)+COUNTIF(U$11:U94,U94)-1)))</f>
        <v>35</v>
      </c>
      <c r="W94" s="237"/>
      <c r="X94" s="61" t="str">
        <f>IF(L94="","",VLOOKUP($L94,classifications!$C:$J,6,FALSE))</f>
        <v xml:space="preserve">Largely Rural (rural including hub towns 50-79%) </v>
      </c>
      <c r="Y94" s="49" t="str">
        <f t="shared" si="32"/>
        <v/>
      </c>
      <c r="Z94" s="57" t="str">
        <f>IF(Y94="","",IF(I$8="A",(RANK(Y94,Y$11:Y$355,1)+COUNTIF(Y$11:Y94,Y94)-1),(RANK(Y94,Y$11:Y$355)+COUNTIF(Y$11:Y94,Y94)-1)))</f>
        <v/>
      </c>
      <c r="AA94" s="242" t="str">
        <f>IF(L94="","",VLOOKUP($L94,classifications!C:I,7,FALSE))</f>
        <v>Predominantly Rural</v>
      </c>
      <c r="AB94" s="236">
        <f t="shared" si="41"/>
        <v>445.3</v>
      </c>
      <c r="AC94" s="236">
        <f>IF(AB94="","",IF($I$8="A",(RANK(AB94,AB$11:AB$355)+COUNTIF(AB$11:AB94,AB94)-1),(RANK(AB94,AB$11:AB$355,1)+COUNTIF(AB$11:AB94,AB94)-1)))</f>
        <v>35</v>
      </c>
      <c r="AD94" s="236"/>
      <c r="AE94" s="51" t="str">
        <f t="shared" si="24"/>
        <v/>
      </c>
      <c r="AG94" s="143"/>
      <c r="AH94" s="52"/>
      <c r="AI94" s="61" t="str">
        <f>IF(L94="","",VLOOKUP($L94,classifications!$C:$J,8,FALSE))</f>
        <v>East Sussex</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South East</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552.20000000000005</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547</v>
      </c>
      <c r="G95" s="105"/>
      <c r="H95" s="60" t="str">
        <f t="shared" si="27"/>
        <v/>
      </c>
      <c r="I95" s="112" t="str">
        <f>IF(H95="","",IF($I$8="A",(RANK(H95,H$11:H$355,1)+COUNTIF(H$11:H95,H95)-1),(RANK(H95,H$11:H$355)+COUNTIF(H$11:H95,H95)-1)))</f>
        <v/>
      </c>
      <c r="J95" s="58"/>
      <c r="K95" s="51">
        <f t="shared" si="38"/>
        <v>85</v>
      </c>
      <c r="L95" s="59" t="str">
        <f t="shared" si="28"/>
        <v>South Ribble</v>
      </c>
      <c r="M95" s="153">
        <f t="shared" si="29"/>
        <v>445.3</v>
      </c>
      <c r="N95" s="148">
        <f t="shared" si="39"/>
        <v>445.3</v>
      </c>
      <c r="O95" s="131" t="str">
        <f t="shared" si="30"/>
        <v/>
      </c>
      <c r="P95" s="131">
        <f t="shared" si="45"/>
        <v>445.3</v>
      </c>
      <c r="Q95" s="131" t="str">
        <f t="shared" si="46"/>
        <v/>
      </c>
      <c r="R95" s="127" t="str">
        <f t="shared" si="47"/>
        <v/>
      </c>
      <c r="S95" s="60" t="str">
        <f t="shared" si="40"/>
        <v/>
      </c>
      <c r="T95" s="228">
        <f>IF(L95="","",VLOOKUP(L95,classifications!C:K,9,FALSE))</f>
        <v>0</v>
      </c>
      <c r="U95" s="235" t="str">
        <f t="shared" si="31"/>
        <v/>
      </c>
      <c r="V95" s="236" t="str">
        <f>IF(U95="","",IF($I$8="A",(RANK(U95,U$11:U$355)+COUNTIF(U$11:U95,U95)-1),(RANK(U95,U$11:U$355,1)+COUNTIF(U$11:U95,U95)-1)))</f>
        <v/>
      </c>
      <c r="W95" s="237"/>
      <c r="X95" s="61" t="str">
        <f>IF(L95="","",VLOOKUP($L95,classifications!$C:$J,6,FALSE))</f>
        <v>Urban with City and Town</v>
      </c>
      <c r="Y95" s="49" t="str">
        <f t="shared" si="32"/>
        <v/>
      </c>
      <c r="Z95" s="57" t="str">
        <f>IF(Y95="","",IF(I$8="A",(RANK(Y95,Y$11:Y$355,1)+COUNTIF(Y$11:Y95,Y95)-1),(RANK(Y95,Y$11:Y$355)+COUNTIF(Y$11:Y95,Y95)-1)))</f>
        <v/>
      </c>
      <c r="AA95" s="242" t="str">
        <f>IF(L95="","",VLOOKUP($L95,classifications!C:I,7,FALSE))</f>
        <v>Predominantly Urban</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Lancashire</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North West</v>
      </c>
      <c r="AQ95" s="62">
        <f t="shared" si="43"/>
        <v>445.3</v>
      </c>
      <c r="AR95" s="57">
        <f>IF(AQ95="","",IF(I$8="A",(RANK(AQ95,AQ$11:AQ$355,1)+COUNTIF(AQ$11:AQ95,AQ95)-1),(RANK(AQ95,AQ$11:AQ$355)+COUNTIF(AQ$11:AQ95,AQ95)-1)))</f>
        <v>5</v>
      </c>
      <c r="AS95" s="52" t="str">
        <f t="shared" si="44"/>
        <v/>
      </c>
      <c r="AT95" s="57" t="str">
        <f t="shared" si="36"/>
        <v/>
      </c>
      <c r="AU95" s="62" t="str">
        <f t="shared" si="37"/>
        <v/>
      </c>
      <c r="AX95" s="44">
        <f>HLOOKUP($AX$9&amp;$AX$10,Data!$A$1:$ZZ$2000,(MATCH($C95,Data!$A$1:$A$2000,0)),FALSE)</f>
        <v>547</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315.39999999999998</v>
      </c>
      <c r="G96" s="105"/>
      <c r="H96" s="60" t="str">
        <f t="shared" si="27"/>
        <v/>
      </c>
      <c r="I96" s="112" t="str">
        <f>IF(H96="","",IF($I$8="A",(RANK(H96,H$11:H$355,1)+COUNTIF(H$11:H96,H96)-1),(RANK(H96,H$11:H$355)+COUNTIF(H$11:H96,H96)-1)))</f>
        <v/>
      </c>
      <c r="J96" s="58"/>
      <c r="K96" s="51">
        <f t="shared" si="38"/>
        <v>86</v>
      </c>
      <c r="L96" s="59" t="str">
        <f t="shared" si="28"/>
        <v>Winchester</v>
      </c>
      <c r="M96" s="153">
        <f t="shared" si="29"/>
        <v>449.2</v>
      </c>
      <c r="N96" s="148">
        <f t="shared" si="39"/>
        <v>449.2</v>
      </c>
      <c r="O96" s="131" t="str">
        <f t="shared" si="30"/>
        <v/>
      </c>
      <c r="P96" s="131">
        <f t="shared" si="45"/>
        <v>449.2</v>
      </c>
      <c r="Q96" s="131" t="str">
        <f t="shared" si="46"/>
        <v/>
      </c>
      <c r="R96" s="127" t="str">
        <f t="shared" si="47"/>
        <v/>
      </c>
      <c r="S96" s="60" t="str">
        <f t="shared" si="40"/>
        <v/>
      </c>
      <c r="T96" s="228">
        <f>IF(L96="","",VLOOKUP(L96,classifications!C:K,9,FALSE))</f>
        <v>0</v>
      </c>
      <c r="U96" s="235" t="str">
        <f t="shared" si="31"/>
        <v/>
      </c>
      <c r="V96" s="236" t="str">
        <f>IF(U96="","",IF($I$8="A",(RANK(U96,U$11:U$355)+COUNTIF(U$11:U96,U96)-1),(RANK(U96,U$11:U$355,1)+COUNTIF(U$11:U96,U96)-1)))</f>
        <v/>
      </c>
      <c r="W96" s="237"/>
      <c r="X96" s="61" t="str">
        <f>IF(L96="","",VLOOKUP($L96,classifications!$C:$J,6,FALSE))</f>
        <v xml:space="preserve">Largely Rural (rural including hub towns 50-79%) </v>
      </c>
      <c r="Y96" s="49" t="str">
        <f t="shared" si="32"/>
        <v/>
      </c>
      <c r="Z96" s="57" t="str">
        <f>IF(Y96="","",IF(I$8="A",(RANK(Y96,Y$11:Y$355,1)+COUNTIF(Y$11:Y96,Y96)-1),(RANK(Y96,Y$11:Y$355)+COUNTIF(Y$11:Y96,Y96)-1)))</f>
        <v/>
      </c>
      <c r="AA96" s="242" t="str">
        <f>IF(L96="","",VLOOKUP($L96,classifications!C:I,7,FALSE))</f>
        <v>Predominantly Rural</v>
      </c>
      <c r="AB96" s="236">
        <f t="shared" si="41"/>
        <v>449.2</v>
      </c>
      <c r="AC96" s="236">
        <f>IF(AB96="","",IF($I$8="A",(RANK(AB96,AB$11:AB$355)+COUNTIF(AB$11:AB96,AB96)-1),(RANK(AB96,AB$11:AB$355,1)+COUNTIF(AB$11:AB96,AB96)-1)))</f>
        <v>34</v>
      </c>
      <c r="AD96" s="236"/>
      <c r="AE96" s="51" t="str">
        <f t="shared" si="24"/>
        <v/>
      </c>
      <c r="AG96" s="143"/>
      <c r="AH96" s="52"/>
      <c r="AI96" s="61" t="str">
        <f>IF(L96="","",VLOOKUP($L96,classifications!$C:$J,8,FALSE))</f>
        <v>Hampshire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South East</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315.39999999999998</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368.2</v>
      </c>
      <c r="G97" s="105"/>
      <c r="H97" s="60">
        <f t="shared" si="27"/>
        <v>368.2</v>
      </c>
      <c r="I97" s="112">
        <f>IF(H97="","",IF($I$8="A",(RANK(H97,H$11:H$355,1)+COUNTIF(H$11:H97,H97)-1),(RANK(H97,H$11:H$355)+COUNTIF(H$11:H97,H97)-1)))</f>
        <v>23</v>
      </c>
      <c r="J97" s="58"/>
      <c r="K97" s="51">
        <f t="shared" si="38"/>
        <v>87</v>
      </c>
      <c r="L97" s="59" t="str">
        <f t="shared" si="28"/>
        <v>Stafford</v>
      </c>
      <c r="M97" s="153">
        <f t="shared" si="29"/>
        <v>451.5</v>
      </c>
      <c r="N97" s="148">
        <f t="shared" si="39"/>
        <v>451.5</v>
      </c>
      <c r="O97" s="131" t="str">
        <f t="shared" si="30"/>
        <v/>
      </c>
      <c r="P97" s="131">
        <f t="shared" si="45"/>
        <v>451.5</v>
      </c>
      <c r="Q97" s="131" t="str">
        <f t="shared" si="46"/>
        <v/>
      </c>
      <c r="R97" s="127" t="str">
        <f t="shared" si="47"/>
        <v/>
      </c>
      <c r="S97" s="60" t="str">
        <f t="shared" si="40"/>
        <v/>
      </c>
      <c r="T97" s="228" t="str">
        <f>IF(L97="","",VLOOKUP(L97,classifications!C:K,9,FALSE))</f>
        <v>Sparse</v>
      </c>
      <c r="U97" s="235">
        <f t="shared" si="31"/>
        <v>451.5</v>
      </c>
      <c r="V97" s="236">
        <f>IF(U97="","",IF($I$8="A",(RANK(U97,U$11:U$355)+COUNTIF(U$11:U97,U97)-1),(RANK(U97,U$11:U$355,1)+COUNTIF(U$11:U97,U97)-1)))</f>
        <v>34</v>
      </c>
      <c r="W97" s="237"/>
      <c r="X97" s="61" t="str">
        <f>IF(L97="","",VLOOKUP($L97,classifications!$C:$J,6,FALSE))</f>
        <v>Urban with Significant Rural (rural including hub towns 26-49%)</v>
      </c>
      <c r="Y97" s="49" t="str">
        <f t="shared" si="32"/>
        <v/>
      </c>
      <c r="Z97" s="57" t="str">
        <f>IF(Y97="","",IF(I$8="A",(RANK(Y97,Y$11:Y$355,1)+COUNTIF(Y$11:Y97,Y97)-1),(RANK(Y97,Y$11:Y$355)+COUNTIF(Y$11:Y97,Y97)-1)))</f>
        <v/>
      </c>
      <c r="AA97" s="242" t="str">
        <f>IF(L97="","",VLOOKUP($L97,classifications!C:I,7,FALSE))</f>
        <v>Significant Rural</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Staffordshire</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West Midlands</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368.2</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251.7</v>
      </c>
      <c r="G98" s="105"/>
      <c r="H98" s="60">
        <f t="shared" si="27"/>
        <v>251.7</v>
      </c>
      <c r="I98" s="112">
        <f>IF(H98="","",IF($I$8="A",(RANK(H98,H$11:H$355,1)+COUNTIF(H$11:H98,H98)-1),(RANK(H98,H$11:H$355)+COUNTIF(H$11:H98,H98)-1)))</f>
        <v>2</v>
      </c>
      <c r="J98" s="58"/>
      <c r="K98" s="51">
        <f t="shared" si="38"/>
        <v>88</v>
      </c>
      <c r="L98" s="59" t="str">
        <f t="shared" si="28"/>
        <v>East Hampshire</v>
      </c>
      <c r="M98" s="153">
        <f t="shared" si="29"/>
        <v>453.4</v>
      </c>
      <c r="N98" s="148">
        <f t="shared" si="39"/>
        <v>453.4</v>
      </c>
      <c r="O98" s="131" t="str">
        <f t="shared" si="30"/>
        <v/>
      </c>
      <c r="P98" s="131">
        <f t="shared" si="45"/>
        <v>453.4</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 xml:space="preserve">Mainly Rural (rural including hub towns &gt;=80%) </v>
      </c>
      <c r="Y98" s="49">
        <f t="shared" si="32"/>
        <v>453.4</v>
      </c>
      <c r="Z98" s="57">
        <f>IF(Y98="","",IF(I$8="A",(RANK(Y98,Y$11:Y$355,1)+COUNTIF(Y$11:Y98,Y98)-1),(RANK(Y98,Y$11:Y$355)+COUNTIF(Y$11:Y98,Y98)-1)))</f>
        <v>22</v>
      </c>
      <c r="AA98" s="242" t="str">
        <f>IF(L98="","",VLOOKUP($L98,classifications!C:I,7,FALSE))</f>
        <v>Predominantly Rural</v>
      </c>
      <c r="AB98" s="236">
        <f t="shared" si="41"/>
        <v>453.4</v>
      </c>
      <c r="AC98" s="236">
        <f>IF(AB98="","",IF($I$8="A",(RANK(AB98,AB$11:AB$355)+COUNTIF(AB$11:AB98,AB98)-1),(RANK(AB98,AB$11:AB$355,1)+COUNTIF(AB$11:AB98,AB98)-1)))</f>
        <v>33</v>
      </c>
      <c r="AD98" s="236"/>
      <c r="AE98" s="51" t="str">
        <f t="shared" si="24"/>
        <v/>
      </c>
      <c r="AG98" s="143"/>
      <c r="AH98" s="52"/>
      <c r="AI98" s="61" t="str">
        <f>IF(L98="","",VLOOKUP($L98,classifications!$C:$J,8,FALSE))</f>
        <v>Hampshire</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South East</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251.7</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453.4</v>
      </c>
      <c r="G99" s="105"/>
      <c r="H99" s="60">
        <f t="shared" si="27"/>
        <v>453.4</v>
      </c>
      <c r="I99" s="112">
        <f>IF(H99="","",IF($I$8="A",(RANK(H99,H$11:H$355,1)+COUNTIF(H$11:H99,H99)-1),(RANK(H99,H$11:H$355)+COUNTIF(H$11:H99,H99)-1)))</f>
        <v>88</v>
      </c>
      <c r="J99" s="58"/>
      <c r="K99" s="51">
        <f t="shared" si="38"/>
        <v>89</v>
      </c>
      <c r="L99" s="59" t="str">
        <f t="shared" si="28"/>
        <v>East Suffolk</v>
      </c>
      <c r="M99" s="153">
        <f t="shared" si="29"/>
        <v>453.7</v>
      </c>
      <c r="N99" s="148">
        <f t="shared" si="39"/>
        <v>453.7</v>
      </c>
      <c r="O99" s="131" t="str">
        <f t="shared" si="30"/>
        <v/>
      </c>
      <c r="P99" s="131">
        <f t="shared" si="45"/>
        <v>453.7</v>
      </c>
      <c r="Q99" s="131" t="str">
        <f t="shared" si="46"/>
        <v/>
      </c>
      <c r="R99" s="127" t="str">
        <f t="shared" si="47"/>
        <v/>
      </c>
      <c r="S99" s="60" t="str">
        <f t="shared" si="40"/>
        <v/>
      </c>
      <c r="T99" s="228" t="str">
        <f>IF(L99="","",VLOOKUP(L99,classifications!C:K,9,FALSE))</f>
        <v>Sparse</v>
      </c>
      <c r="U99" s="235">
        <f t="shared" si="31"/>
        <v>453.7</v>
      </c>
      <c r="V99" s="236">
        <f>IF(U99="","",IF($I$8="A",(RANK(U99,U$11:U$355)+COUNTIF(U$11:U99,U99)-1),(RANK(U99,U$11:U$355,1)+COUNTIF(U$11:U99,U99)-1)))</f>
        <v>33</v>
      </c>
      <c r="W99" s="237"/>
      <c r="X99" s="61" t="str">
        <f>IF(L99="","",VLOOKUP($L99,classifications!$C:$J,6,FALSE))</f>
        <v xml:space="preserve">Largely Rural (rural including hub towns 50-79%) </v>
      </c>
      <c r="Y99" s="49" t="str">
        <f t="shared" si="32"/>
        <v/>
      </c>
      <c r="Z99" s="57" t="str">
        <f>IF(Y99="","",IF(I$8="A",(RANK(Y99,Y$11:Y$355,1)+COUNTIF(Y$11:Y99,Y99)-1),(RANK(Y99,Y$11:Y$355)+COUNTIF(Y$11:Y99,Y99)-1)))</f>
        <v/>
      </c>
      <c r="AA99" s="242" t="str">
        <f>IF(L99="","",VLOOKUP($L99,classifications!C:I,7,FALSE))</f>
        <v>Predominantly Rural</v>
      </c>
      <c r="AB99" s="236">
        <f t="shared" si="41"/>
        <v>453.7</v>
      </c>
      <c r="AC99" s="236">
        <f>IF(AB99="","",IF($I$8="A",(RANK(AB99,AB$11:AB$355)+COUNTIF(AB$11:AB99,AB99)-1),(RANK(AB99,AB$11:AB$355,1)+COUNTIF(AB$11:AB99,AB99)-1)))</f>
        <v>32</v>
      </c>
      <c r="AD99" s="236"/>
      <c r="AE99" s="51" t="str">
        <f t="shared" ref="AE99:AE162" si="48">IF(AE98="","",IF(AE98+1&gt;(COUNT(AG:AG)),"",AE98+1))</f>
        <v/>
      </c>
      <c r="AG99" s="143"/>
      <c r="AH99" s="52"/>
      <c r="AI99" s="61" t="str">
        <f>IF(L99="","",VLOOKUP($L99,classifications!$C:$J,8,FALSE))</f>
        <v>Suffolk</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East of England</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453.4</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432.8</v>
      </c>
      <c r="G100" s="105"/>
      <c r="H100" s="60">
        <f t="shared" si="27"/>
        <v>432.8</v>
      </c>
      <c r="I100" s="112">
        <f>IF(H100="","",IF($I$8="A",(RANK(H100,H$11:H$355,1)+COUNTIF(H$11:H100,H100)-1),(RANK(H100,H$11:H$355)+COUNTIF(H$11:H100,H100)-1)))</f>
        <v>75</v>
      </c>
      <c r="J100" s="58"/>
      <c r="K100" s="51">
        <f t="shared" si="38"/>
        <v>90</v>
      </c>
      <c r="L100" s="59" t="str">
        <f t="shared" si="28"/>
        <v>Gloucester</v>
      </c>
      <c r="M100" s="153">
        <f t="shared" si="29"/>
        <v>454</v>
      </c>
      <c r="N100" s="148">
        <f t="shared" si="39"/>
        <v>454</v>
      </c>
      <c r="O100" s="131" t="str">
        <f t="shared" si="30"/>
        <v/>
      </c>
      <c r="P100" s="131">
        <f t="shared" si="45"/>
        <v>454</v>
      </c>
      <c r="Q100" s="131" t="str">
        <f t="shared" si="46"/>
        <v/>
      </c>
      <c r="R100" s="127" t="str">
        <f t="shared" si="47"/>
        <v/>
      </c>
      <c r="S100" s="60" t="str">
        <f t="shared" si="40"/>
        <v/>
      </c>
      <c r="T100" s="228">
        <f>IF(L100="","",VLOOKUP(L100,classifications!C:K,9,FALSE))</f>
        <v>0</v>
      </c>
      <c r="U100" s="235" t="str">
        <f t="shared" si="31"/>
        <v/>
      </c>
      <c r="V100" s="236" t="str">
        <f>IF(U100="","",IF($I$8="A",(RANK(U100,U$11:U$355)+COUNTIF(U$11:U100,U100)-1),(RANK(U100,U$11:U$355,1)+COUNTIF(U$11:U100,U100)-1)))</f>
        <v/>
      </c>
      <c r="W100" s="237"/>
      <c r="X100" s="61" t="str">
        <f>IF(L100="","",VLOOKUP($L100,classifications!$C:$J,6,FALSE))</f>
        <v>Urban with City and Town</v>
      </c>
      <c r="Y100" s="49" t="str">
        <f t="shared" si="32"/>
        <v/>
      </c>
      <c r="Z100" s="57" t="str">
        <f>IF(Y100="","",IF(I$8="A",(RANK(Y100,Y$11:Y$355,1)+COUNTIF(Y$11:Y100,Y100)-1),(RANK(Y100,Y$11:Y$355)+COUNTIF(Y$11:Y100,Y100)-1)))</f>
        <v/>
      </c>
      <c r="AA100" s="242" t="str">
        <f>IF(L100="","",VLOOKUP($L100,classifications!C:I,7,FALSE))</f>
        <v>Predominantly Urban</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Gloucestershire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South West</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432.8</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460.2</v>
      </c>
      <c r="G101" s="105"/>
      <c r="H101" s="60">
        <f t="shared" si="27"/>
        <v>460.2</v>
      </c>
      <c r="I101" s="112">
        <f>IF(H101="","",IF($I$8="A",(RANK(H101,H$11:H$355,1)+COUNTIF(H$11:H101,H101)-1),(RANK(H101,H$11:H$355)+COUNTIF(H$11:H101,H101)-1)))</f>
        <v>98</v>
      </c>
      <c r="J101" s="58"/>
      <c r="K101" s="51">
        <f t="shared" si="38"/>
        <v>91</v>
      </c>
      <c r="L101" s="59" t="str">
        <f t="shared" si="28"/>
        <v>Charnwood</v>
      </c>
      <c r="M101" s="153">
        <f t="shared" si="29"/>
        <v>454.5</v>
      </c>
      <c r="N101" s="148">
        <f t="shared" si="39"/>
        <v>454.5</v>
      </c>
      <c r="O101" s="131" t="str">
        <f t="shared" si="30"/>
        <v/>
      </c>
      <c r="P101" s="131">
        <f t="shared" si="45"/>
        <v>454.5</v>
      </c>
      <c r="Q101" s="131" t="str">
        <f t="shared" si="46"/>
        <v/>
      </c>
      <c r="R101" s="127" t="str">
        <f t="shared" si="47"/>
        <v/>
      </c>
      <c r="S101" s="60" t="str">
        <f t="shared" si="40"/>
        <v/>
      </c>
      <c r="T101" s="228">
        <f>IF(L101="","",VLOOKUP(L101,classifications!C:K,9,FALSE))</f>
        <v>0</v>
      </c>
      <c r="U101" s="235" t="str">
        <f t="shared" si="31"/>
        <v/>
      </c>
      <c r="V101" s="236" t="str">
        <f>IF(U101="","",IF($I$8="A",(RANK(U101,U$11:U$355)+COUNTIF(U$11:U101,U101)-1),(RANK(U101,U$11:U$355,1)+COUNTIF(U$11:U101,U101)-1)))</f>
        <v/>
      </c>
      <c r="W101" s="237"/>
      <c r="X101" s="61" t="str">
        <f>IF(L101="","",VLOOKUP($L101,classifications!$C:$J,6,FALSE))</f>
        <v>Urban with City and Town</v>
      </c>
      <c r="Y101" s="49" t="str">
        <f t="shared" si="32"/>
        <v/>
      </c>
      <c r="Z101" s="57" t="str">
        <f>IF(Y101="","",IF(I$8="A",(RANK(Y101,Y$11:Y$355,1)+COUNTIF(Y$11:Y101,Y101)-1),(RANK(Y101,Y$11:Y$355)+COUNTIF(Y$11:Y101,Y101)-1)))</f>
        <v/>
      </c>
      <c r="AA101" s="242" t="str">
        <f>IF(L101="","",VLOOKUP($L101,classifications!C:I,7,FALSE))</f>
        <v>Predominantly Urban</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Leicestershire</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East Midlands</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460.2</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389.9</v>
      </c>
      <c r="G102" s="105"/>
      <c r="H102" s="60">
        <f t="shared" si="27"/>
        <v>389.9</v>
      </c>
      <c r="I102" s="112">
        <f>IF(H102="","",IF($I$8="A",(RANK(H102,H$11:H$355,1)+COUNTIF(H$11:H102,H102)-1),(RANK(H102,H$11:H$355)+COUNTIF(H$11:H102,H102)-1)))</f>
        <v>34</v>
      </c>
      <c r="J102" s="58"/>
      <c r="K102" s="51">
        <f t="shared" si="38"/>
        <v>92</v>
      </c>
      <c r="L102" s="59" t="str">
        <f t="shared" si="28"/>
        <v>Scarborough</v>
      </c>
      <c r="M102" s="153">
        <f t="shared" si="29"/>
        <v>454.5</v>
      </c>
      <c r="N102" s="148">
        <f t="shared" si="39"/>
        <v>454.5</v>
      </c>
      <c r="O102" s="131" t="str">
        <f t="shared" si="30"/>
        <v/>
      </c>
      <c r="P102" s="131">
        <f t="shared" si="45"/>
        <v>454.5</v>
      </c>
      <c r="Q102" s="131" t="str">
        <f t="shared" si="46"/>
        <v/>
      </c>
      <c r="R102" s="127" t="str">
        <f t="shared" si="47"/>
        <v/>
      </c>
      <c r="S102" s="60" t="str">
        <f t="shared" si="40"/>
        <v/>
      </c>
      <c r="T102" s="228" t="str">
        <f>IF(L102="","",VLOOKUP(L102,classifications!C:K,9,FALSE))</f>
        <v>Sparse</v>
      </c>
      <c r="U102" s="235">
        <f t="shared" si="31"/>
        <v>454.5</v>
      </c>
      <c r="V102" s="236">
        <f>IF(U102="","",IF($I$8="A",(RANK(U102,U$11:U$355)+COUNTIF(U$11:U102,U102)-1),(RANK(U102,U$11:U$355,1)+COUNTIF(U$11:U102,U102)-1)))</f>
        <v>32</v>
      </c>
      <c r="W102" s="237"/>
      <c r="X102" s="61" t="str">
        <f>IF(L102="","",VLOOKUP($L102,classifications!$C:$J,6,FALSE))</f>
        <v>Urban with Significant Rural (rural including hub towns 26-49%)</v>
      </c>
      <c r="Y102" s="49" t="str">
        <f t="shared" si="32"/>
        <v/>
      </c>
      <c r="Z102" s="57" t="str">
        <f>IF(Y102="","",IF(I$8="A",(RANK(Y102,Y$11:Y$355,1)+COUNTIF(Y$11:Y102,Y102)-1),(RANK(Y102,Y$11:Y$355)+COUNTIF(Y$11:Y102,Y102)-1)))</f>
        <v/>
      </c>
      <c r="AA102" s="242" t="str">
        <f>IF(L102="","",VLOOKUP($L102,classifications!C:I,7,FALSE))</f>
        <v>Significant Rural</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North Yorkshire</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Yorkshire &amp; Humberside</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389.9</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400.5</v>
      </c>
      <c r="G103" s="105"/>
      <c r="H103" s="60" t="str">
        <f t="shared" si="27"/>
        <v/>
      </c>
      <c r="I103" s="112" t="str">
        <f>IF(H103="","",IF($I$8="A",(RANK(H103,H$11:H$355,1)+COUNTIF(H$11:H103,H103)-1),(RANK(H103,H$11:H$355)+COUNTIF(H$11:H103,H103)-1)))</f>
        <v/>
      </c>
      <c r="J103" s="58"/>
      <c r="K103" s="51">
        <f t="shared" si="38"/>
        <v>93</v>
      </c>
      <c r="L103" s="59" t="str">
        <f t="shared" si="28"/>
        <v>Chorley</v>
      </c>
      <c r="M103" s="153">
        <f t="shared" si="29"/>
        <v>455</v>
      </c>
      <c r="N103" s="148">
        <f t="shared" si="39"/>
        <v>455</v>
      </c>
      <c r="O103" s="131" t="str">
        <f t="shared" si="30"/>
        <v/>
      </c>
      <c r="P103" s="131" t="str">
        <f t="shared" si="45"/>
        <v/>
      </c>
      <c r="Q103" s="131">
        <f t="shared" si="46"/>
        <v>455</v>
      </c>
      <c r="R103" s="127" t="str">
        <f t="shared" si="47"/>
        <v/>
      </c>
      <c r="S103" s="60" t="str">
        <f t="shared" si="40"/>
        <v/>
      </c>
      <c r="T103" s="228">
        <f>IF(L103="","",VLOOKUP(L103,classifications!C:K,9,FALSE))</f>
        <v>0</v>
      </c>
      <c r="U103" s="235" t="str">
        <f t="shared" si="31"/>
        <v/>
      </c>
      <c r="V103" s="236" t="str">
        <f>IF(U103="","",IF($I$8="A",(RANK(U103,U$11:U$355)+COUNTIF(U$11:U103,U103)-1),(RANK(U103,U$11:U$355,1)+COUNTIF(U$11:U103,U103)-1)))</f>
        <v/>
      </c>
      <c r="W103" s="237"/>
      <c r="X103" s="61" t="str">
        <f>IF(L103="","",VLOOKUP($L103,classifications!$C:$J,6,FALSE))</f>
        <v>Urban with Significant Rural (rural including hub towns 26-49%)</v>
      </c>
      <c r="Y103" s="49" t="str">
        <f t="shared" si="32"/>
        <v/>
      </c>
      <c r="Z103" s="57" t="str">
        <f>IF(Y103="","",IF(I$8="A",(RANK(Y103,Y$11:Y$355,1)+COUNTIF(Y$11:Y103,Y103)-1),(RANK(Y103,Y$11:Y$355)+COUNTIF(Y$11:Y103,Y103)-1)))</f>
        <v/>
      </c>
      <c r="AA103" s="242" t="str">
        <f>IF(L103="","",VLOOKUP($L103,classifications!C:I,7,FALSE))</f>
        <v>Significant Rural</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Lancashire</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North West</v>
      </c>
      <c r="AQ103" s="62">
        <f t="shared" si="43"/>
        <v>455</v>
      </c>
      <c r="AR103" s="57">
        <f>IF(AQ103="","",IF(I$8="A",(RANK(AQ103,AQ$11:AQ$355,1)+COUNTIF(AQ$11:AQ103,AQ103)-1),(RANK(AQ103,AQ$11:AQ$355)+COUNTIF(AQ$11:AQ103,AQ103)-1)))</f>
        <v>6</v>
      </c>
      <c r="AS103" s="52" t="str">
        <f t="shared" si="44"/>
        <v/>
      </c>
      <c r="AT103" s="57" t="str">
        <f t="shared" si="36"/>
        <v/>
      </c>
      <c r="AU103" s="62" t="str">
        <f t="shared" si="37"/>
        <v/>
      </c>
      <c r="AX103" s="44">
        <f>HLOOKUP($AX$9&amp;$AX$10,Data!$A$1:$ZZ$2000,(MATCH($C103,Data!$A$1:$A$2000,0)),FALSE)</f>
        <v>400.5</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515.6</v>
      </c>
      <c r="G104" s="105"/>
      <c r="H104" s="60">
        <f t="shared" si="27"/>
        <v>515.6</v>
      </c>
      <c r="I104" s="112">
        <f>IF(H104="","",IF($I$8="A",(RANK(H104,H$11:H$355,1)+COUNTIF(H$11:H104,H104)-1),(RANK(H104,H$11:H$355)+COUNTIF(H$11:H104,H104)-1)))</f>
        <v>153</v>
      </c>
      <c r="J104" s="58"/>
      <c r="K104" s="51">
        <f t="shared" si="38"/>
        <v>94</v>
      </c>
      <c r="L104" s="59" t="str">
        <f t="shared" si="28"/>
        <v>Newcastle-under-Lyme</v>
      </c>
      <c r="M104" s="153">
        <f t="shared" si="29"/>
        <v>456.8</v>
      </c>
      <c r="N104" s="148">
        <f t="shared" si="39"/>
        <v>456.8</v>
      </c>
      <c r="O104" s="131" t="str">
        <f t="shared" si="30"/>
        <v/>
      </c>
      <c r="P104" s="131" t="str">
        <f t="shared" si="45"/>
        <v/>
      </c>
      <c r="Q104" s="131">
        <f t="shared" si="46"/>
        <v>456.8</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Urban with City and Town</v>
      </c>
      <c r="Y104" s="49" t="str">
        <f t="shared" si="32"/>
        <v/>
      </c>
      <c r="Z104" s="57" t="str">
        <f>IF(Y104="","",IF(I$8="A",(RANK(Y104,Y$11:Y$355,1)+COUNTIF(Y$11:Y104,Y104)-1),(RANK(Y104,Y$11:Y$355)+COUNTIF(Y$11:Y104,Y104)-1)))</f>
        <v/>
      </c>
      <c r="AA104" s="242" t="str">
        <f>IF(L104="","",VLOOKUP($L104,classifications!C:I,7,FALSE))</f>
        <v>Predominantly Urban</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Staffordshire</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West Midlands</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515.6</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545.79999999999995</v>
      </c>
      <c r="G105" s="105"/>
      <c r="H105" s="60" t="str">
        <f t="shared" si="27"/>
        <v/>
      </c>
      <c r="I105" s="112" t="str">
        <f>IF(H105="","",IF($I$8="A",(RANK(H105,H$11:H$355,1)+COUNTIF(H$11:H105,H105)-1),(RANK(H105,H$11:H$355)+COUNTIF(H$11:H105,H105)-1)))</f>
        <v/>
      </c>
      <c r="J105" s="58"/>
      <c r="K105" s="51">
        <f t="shared" si="38"/>
        <v>95</v>
      </c>
      <c r="L105" s="59" t="str">
        <f t="shared" si="28"/>
        <v>Harborough</v>
      </c>
      <c r="M105" s="153">
        <f t="shared" si="29"/>
        <v>457.1</v>
      </c>
      <c r="N105" s="148">
        <f t="shared" si="39"/>
        <v>457.1</v>
      </c>
      <c r="O105" s="131" t="str">
        <f t="shared" si="30"/>
        <v/>
      </c>
      <c r="P105" s="131" t="str">
        <f t="shared" si="45"/>
        <v/>
      </c>
      <c r="Q105" s="131">
        <f t="shared" si="46"/>
        <v>457.1</v>
      </c>
      <c r="R105" s="127" t="str">
        <f t="shared" si="47"/>
        <v/>
      </c>
      <c r="S105" s="60" t="str">
        <f t="shared" si="40"/>
        <v/>
      </c>
      <c r="T105" s="228" t="str">
        <f>IF(L105="","",VLOOKUP(L105,classifications!C:K,9,FALSE))</f>
        <v>Sparse</v>
      </c>
      <c r="U105" s="235">
        <f t="shared" si="31"/>
        <v>457.1</v>
      </c>
      <c r="V105" s="236">
        <f>IF(U105="","",IF($I$8="A",(RANK(U105,U$11:U$355)+COUNTIF(U$11:U105,U105)-1),(RANK(U105,U$11:U$355,1)+COUNTIF(U$11:U105,U105)-1)))</f>
        <v>31</v>
      </c>
      <c r="W105" s="237"/>
      <c r="X105" s="61" t="str">
        <f>IF(L105="","",VLOOKUP($L105,classifications!$C:$J,6,FALSE))</f>
        <v xml:space="preserve">Mainly Rural (rural including hub towns &gt;=80%) </v>
      </c>
      <c r="Y105" s="49">
        <f t="shared" si="32"/>
        <v>457.1</v>
      </c>
      <c r="Z105" s="57">
        <f>IF(Y105="","",IF(I$8="A",(RANK(Y105,Y$11:Y$355,1)+COUNTIF(Y$11:Y105,Y105)-1),(RANK(Y105,Y$11:Y$355)+COUNTIF(Y$11:Y105,Y105)-1)))</f>
        <v>23</v>
      </c>
      <c r="AA105" s="242" t="str">
        <f>IF(L105="","",VLOOKUP($L105,classifications!C:I,7,FALSE))</f>
        <v>Predominantly Rural</v>
      </c>
      <c r="AB105" s="236">
        <f t="shared" si="41"/>
        <v>457.1</v>
      </c>
      <c r="AC105" s="236">
        <f>IF(AB105="","",IF($I$8="A",(RANK(AB105,AB$11:AB$355)+COUNTIF(AB$11:AB105,AB105)-1),(RANK(AB105,AB$11:AB$355,1)+COUNTIF(AB$11:AB105,AB105)-1)))</f>
        <v>31</v>
      </c>
      <c r="AD105" s="236"/>
      <c r="AE105" s="51" t="str">
        <f t="shared" si="48"/>
        <v/>
      </c>
      <c r="AG105" s="143"/>
      <c r="AH105" s="52"/>
      <c r="AI105" s="61" t="str">
        <f>IF(L105="","",VLOOKUP($L105,classifications!$C:$J,8,FALSE))</f>
        <v>Leicestershire</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East Midlands</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545.79999999999995</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479.5</v>
      </c>
      <c r="G106" s="105"/>
      <c r="H106" s="60">
        <f t="shared" si="27"/>
        <v>479.5</v>
      </c>
      <c r="I106" s="112">
        <f>IF(H106="","",IF($I$8="A",(RANK(H106,H$11:H$355,1)+COUNTIF(H$11:H106,H106)-1),(RANK(H106,H$11:H$355)+COUNTIF(H$11:H106,H106)-1)))</f>
        <v>123</v>
      </c>
      <c r="J106" s="58"/>
      <c r="K106" s="51">
        <f t="shared" si="38"/>
        <v>96</v>
      </c>
      <c r="L106" s="59" t="str">
        <f t="shared" si="28"/>
        <v>Adur</v>
      </c>
      <c r="M106" s="153">
        <f t="shared" si="29"/>
        <v>459</v>
      </c>
      <c r="N106" s="148">
        <f t="shared" si="39"/>
        <v>459</v>
      </c>
      <c r="O106" s="131" t="str">
        <f t="shared" si="30"/>
        <v/>
      </c>
      <c r="P106" s="131" t="str">
        <f t="shared" si="45"/>
        <v/>
      </c>
      <c r="Q106" s="131">
        <f t="shared" si="46"/>
        <v>459</v>
      </c>
      <c r="R106" s="127" t="str">
        <f t="shared" si="47"/>
        <v/>
      </c>
      <c r="S106" s="60" t="str">
        <f t="shared" si="40"/>
        <v/>
      </c>
      <c r="T106" s="228">
        <f>IF(L106="","",VLOOKUP(L106,classifications!C:K,9,FALSE))</f>
        <v>0</v>
      </c>
      <c r="U106" s="235" t="str">
        <f t="shared" si="31"/>
        <v/>
      </c>
      <c r="V106" s="236" t="str">
        <f>IF(U106="","",IF($I$8="A",(RANK(U106,U$11:U$355)+COUNTIF(U$11:U106,U106)-1),(RANK(U106,U$11:U$355,1)+COUNTIF(U$11:U106,U106)-1)))</f>
        <v/>
      </c>
      <c r="W106" s="237"/>
      <c r="X106" s="61" t="str">
        <f>IF(L106="","",VLOOKUP($L106,classifications!$C:$J,6,FALSE))</f>
        <v>Urban with City and Town</v>
      </c>
      <c r="Y106" s="49" t="str">
        <f t="shared" si="32"/>
        <v/>
      </c>
      <c r="Z106" s="57" t="str">
        <f>IF(Y106="","",IF(I$8="A",(RANK(Y106,Y$11:Y$355,1)+COUNTIF(Y$11:Y106,Y106)-1),(RANK(Y106,Y$11:Y$355)+COUNTIF(Y$11:Y106,Y106)-1)))</f>
        <v/>
      </c>
      <c r="AA106" s="242" t="str">
        <f>IF(L106="","",VLOOKUP($L106,classifications!C:I,7,FALSE))</f>
        <v>Predominantly Urban</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West Sussex</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South East</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479.5</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429.3</v>
      </c>
      <c r="G107" s="105"/>
      <c r="H107" s="60">
        <f t="shared" si="27"/>
        <v>429.3</v>
      </c>
      <c r="I107" s="112">
        <f>IF(H107="","",IF($I$8="A",(RANK(H107,H$11:H$355,1)+COUNTIF(H$11:H107,H107)-1),(RANK(H107,H$11:H$355)+COUNTIF(H$11:H107,H107)-1)))</f>
        <v>66</v>
      </c>
      <c r="J107" s="58"/>
      <c r="K107" s="51">
        <f t="shared" si="38"/>
        <v>97</v>
      </c>
      <c r="L107" s="59" t="str">
        <f t="shared" si="28"/>
        <v>Thanet</v>
      </c>
      <c r="M107" s="153">
        <f t="shared" si="29"/>
        <v>459.4</v>
      </c>
      <c r="N107" s="148">
        <f t="shared" si="39"/>
        <v>459.4</v>
      </c>
      <c r="O107" s="131" t="str">
        <f t="shared" si="30"/>
        <v/>
      </c>
      <c r="P107" s="131" t="str">
        <f t="shared" si="45"/>
        <v/>
      </c>
      <c r="Q107" s="131">
        <f t="shared" si="46"/>
        <v>459.4</v>
      </c>
      <c r="R107" s="127" t="str">
        <f t="shared" si="47"/>
        <v/>
      </c>
      <c r="S107" s="60" t="str">
        <f t="shared" si="40"/>
        <v/>
      </c>
      <c r="T107" s="228">
        <f>IF(L107="","",VLOOKUP(L107,classifications!C:K,9,FALSE))</f>
        <v>0</v>
      </c>
      <c r="U107" s="235" t="str">
        <f t="shared" si="31"/>
        <v/>
      </c>
      <c r="V107" s="236" t="str">
        <f>IF(U107="","",IF($I$8="A",(RANK(U107,U$11:U$355)+COUNTIF(U$11:U107,U107)-1),(RANK(U107,U$11:U$355,1)+COUNTIF(U$11:U107,U107)-1)))</f>
        <v/>
      </c>
      <c r="W107" s="237"/>
      <c r="X107" s="61" t="str">
        <f>IF(L107="","",VLOOKUP($L107,classifications!$C:$J,6,FALSE))</f>
        <v>Urban with City and Town</v>
      </c>
      <c r="Y107" s="49" t="str">
        <f t="shared" si="32"/>
        <v/>
      </c>
      <c r="Z107" s="57" t="str">
        <f>IF(Y107="","",IF(I$8="A",(RANK(Y107,Y$11:Y$355,1)+COUNTIF(Y$11:Y107,Y107)-1),(RANK(Y107,Y$11:Y$355)+COUNTIF(Y$11:Y107,Y107)-1)))</f>
        <v/>
      </c>
      <c r="AA107" s="242" t="str">
        <f>IF(L107="","",VLOOKUP($L107,classifications!C:I,7,FALSE))</f>
        <v>Predominantly Urban</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Kent</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South East</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429.3</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438.1</v>
      </c>
      <c r="G108" s="105"/>
      <c r="H108" s="60">
        <f t="shared" si="27"/>
        <v>438.1</v>
      </c>
      <c r="I108" s="112">
        <f>IF(H108="","",IF($I$8="A",(RANK(H108,H$11:H$355,1)+COUNTIF(H$11:H108,H108)-1),(RANK(H108,H$11:H$355)+COUNTIF(H$11:H108,H108)-1)))</f>
        <v>79</v>
      </c>
      <c r="J108" s="58"/>
      <c r="K108" s="51">
        <f t="shared" si="38"/>
        <v>98</v>
      </c>
      <c r="L108" s="59" t="str">
        <f t="shared" si="28"/>
        <v>East Lindsey</v>
      </c>
      <c r="M108" s="153">
        <f t="shared" si="29"/>
        <v>460.2</v>
      </c>
      <c r="N108" s="148">
        <f t="shared" si="39"/>
        <v>460.2</v>
      </c>
      <c r="O108" s="131" t="str">
        <f t="shared" si="30"/>
        <v/>
      </c>
      <c r="P108" s="131" t="str">
        <f t="shared" si="45"/>
        <v/>
      </c>
      <c r="Q108" s="131">
        <f t="shared" si="46"/>
        <v>460.2</v>
      </c>
      <c r="R108" s="127" t="str">
        <f t="shared" si="47"/>
        <v/>
      </c>
      <c r="S108" s="60" t="str">
        <f t="shared" si="40"/>
        <v/>
      </c>
      <c r="T108" s="228" t="str">
        <f>IF(L108="","",VLOOKUP(L108,classifications!C:K,9,FALSE))</f>
        <v>Sparse</v>
      </c>
      <c r="U108" s="235">
        <f t="shared" si="31"/>
        <v>460.2</v>
      </c>
      <c r="V108" s="236">
        <f>IF(U108="","",IF($I$8="A",(RANK(U108,U$11:U$355)+COUNTIF(U$11:U108,U108)-1),(RANK(U108,U$11:U$355,1)+COUNTIF(U$11:U108,U108)-1)))</f>
        <v>30</v>
      </c>
      <c r="W108" s="237"/>
      <c r="X108" s="61" t="str">
        <f>IF(L108="","",VLOOKUP($L108,classifications!$C:$J,6,FALSE))</f>
        <v xml:space="preserve">Mainly Rural (rural including hub towns &gt;=80%) </v>
      </c>
      <c r="Y108" s="49">
        <f t="shared" si="32"/>
        <v>460.2</v>
      </c>
      <c r="Z108" s="57">
        <f>IF(Y108="","",IF(I$8="A",(RANK(Y108,Y$11:Y$355,1)+COUNTIF(Y$11:Y108,Y108)-1),(RANK(Y108,Y$11:Y$355)+COUNTIF(Y$11:Y108,Y108)-1)))</f>
        <v>24</v>
      </c>
      <c r="AA108" s="242" t="str">
        <f>IF(L108="","",VLOOKUP($L108,classifications!C:I,7,FALSE))</f>
        <v>Predominantly Rural</v>
      </c>
      <c r="AB108" s="236">
        <f t="shared" si="41"/>
        <v>460.2</v>
      </c>
      <c r="AC108" s="236">
        <f>IF(AB108="","",IF($I$8="A",(RANK(AB108,AB$11:AB$355)+COUNTIF(AB$11:AB108,AB108)-1),(RANK(AB108,AB$11:AB$355,1)+COUNTIF(AB$11:AB108,AB108)-1)))</f>
        <v>30</v>
      </c>
      <c r="AD108" s="236"/>
      <c r="AE108" s="51" t="str">
        <f t="shared" si="48"/>
        <v/>
      </c>
      <c r="AG108" s="143"/>
      <c r="AH108" s="52"/>
      <c r="AI108" s="61" t="str">
        <f>IF(L108="","",VLOOKUP($L108,classifications!$C:$J,8,FALSE))</f>
        <v>Lincolnshire</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East Midlands</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438.1</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437.8</v>
      </c>
      <c r="G109" s="105"/>
      <c r="H109" s="60">
        <f t="shared" si="27"/>
        <v>437.8</v>
      </c>
      <c r="I109" s="112">
        <f>IF(H109="","",IF($I$8="A",(RANK(H109,H$11:H$355,1)+COUNTIF(H$11:H109,H109)-1),(RANK(H109,H$11:H$355)+COUNTIF(H$11:H109,H109)-1)))</f>
        <v>78</v>
      </c>
      <c r="J109" s="58"/>
      <c r="K109" s="51">
        <f t="shared" si="38"/>
        <v>99</v>
      </c>
      <c r="L109" s="59" t="str">
        <f t="shared" si="28"/>
        <v>Exeter</v>
      </c>
      <c r="M109" s="153">
        <f t="shared" si="29"/>
        <v>460.3</v>
      </c>
      <c r="N109" s="148">
        <f t="shared" si="39"/>
        <v>460.3</v>
      </c>
      <c r="O109" s="131" t="str">
        <f t="shared" si="30"/>
        <v/>
      </c>
      <c r="P109" s="131" t="str">
        <f t="shared" si="45"/>
        <v/>
      </c>
      <c r="Q109" s="131">
        <f t="shared" si="46"/>
        <v>460.3</v>
      </c>
      <c r="R109" s="127" t="str">
        <f t="shared" si="47"/>
        <v/>
      </c>
      <c r="S109" s="60" t="str">
        <f t="shared" si="40"/>
        <v/>
      </c>
      <c r="T109" s="228">
        <f>IF(L109="","",VLOOKUP(L109,classifications!C:K,9,FALSE))</f>
        <v>0</v>
      </c>
      <c r="U109" s="235" t="str">
        <f t="shared" si="31"/>
        <v/>
      </c>
      <c r="V109" s="236" t="str">
        <f>IF(U109="","",IF($I$8="A",(RANK(U109,U$11:U$355)+COUNTIF(U$11:U109,U109)-1),(RANK(U109,U$11:U$355,1)+COUNTIF(U$11:U109,U109)-1)))</f>
        <v/>
      </c>
      <c r="W109" s="237"/>
      <c r="X109" s="61" t="str">
        <f>IF(L109="","",VLOOKUP($L109,classifications!$C:$J,6,FALSE))</f>
        <v>Urban with City and Town</v>
      </c>
      <c r="Y109" s="49" t="str">
        <f t="shared" si="32"/>
        <v/>
      </c>
      <c r="Z109" s="57" t="str">
        <f>IF(Y109="","",IF(I$8="A",(RANK(Y109,Y$11:Y$355,1)+COUNTIF(Y$11:Y109,Y109)-1),(RANK(Y109,Y$11:Y$355)+COUNTIF(Y$11:Y109,Y109)-1)))</f>
        <v/>
      </c>
      <c r="AA109" s="242" t="str">
        <f>IF(L109="","",VLOOKUP($L109,classifications!C:I,7,FALSE))</f>
        <v>Predominantly Urban</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Devon</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South West</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437.8</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631.6</v>
      </c>
      <c r="G110" s="105"/>
      <c r="H110" s="60" t="str">
        <f t="shared" si="27"/>
        <v/>
      </c>
      <c r="I110" s="112" t="str">
        <f>IF(H110="","",IF($I$8="A",(RANK(H110,H$11:H$355,1)+COUNTIF(H$11:H110,H110)-1),(RANK(H110,H$11:H$355)+COUNTIF(H$11:H110,H110)-1)))</f>
        <v/>
      </c>
      <c r="J110" s="58"/>
      <c r="K110" s="51">
        <f t="shared" si="38"/>
        <v>100</v>
      </c>
      <c r="L110" s="59" t="str">
        <f t="shared" si="28"/>
        <v>King's Lynn &amp; West Norfolk</v>
      </c>
      <c r="M110" s="153">
        <f t="shared" si="29"/>
        <v>460.5</v>
      </c>
      <c r="N110" s="148">
        <f t="shared" si="39"/>
        <v>460.5</v>
      </c>
      <c r="O110" s="131" t="str">
        <f t="shared" si="30"/>
        <v/>
      </c>
      <c r="P110" s="131" t="str">
        <f t="shared" si="45"/>
        <v/>
      </c>
      <c r="Q110" s="131">
        <f t="shared" si="46"/>
        <v>460.5</v>
      </c>
      <c r="R110" s="127" t="str">
        <f t="shared" si="47"/>
        <v/>
      </c>
      <c r="S110" s="60" t="str">
        <f t="shared" si="40"/>
        <v/>
      </c>
      <c r="T110" s="228" t="str">
        <f>IF(L110="","",VLOOKUP(L110,classifications!C:K,9,FALSE))</f>
        <v>Sparse</v>
      </c>
      <c r="U110" s="235">
        <f t="shared" si="31"/>
        <v>460.5</v>
      </c>
      <c r="V110" s="236">
        <f>IF(U110="","",IF($I$8="A",(RANK(U110,U$11:U$355)+COUNTIF(U$11:U110,U110)-1),(RANK(U110,U$11:U$355,1)+COUNTIF(U$11:U110,U110)-1)))</f>
        <v>29</v>
      </c>
      <c r="W110" s="237"/>
      <c r="X110" s="61" t="str">
        <f>IF(L110="","",VLOOKUP($L110,classifications!$C:$J,6,FALSE))</f>
        <v xml:space="preserve">Largely Rural (rural including hub towns 50-79%) </v>
      </c>
      <c r="Y110" s="49" t="str">
        <f t="shared" si="32"/>
        <v/>
      </c>
      <c r="Z110" s="57" t="str">
        <f>IF(Y110="","",IF(I$8="A",(RANK(Y110,Y$11:Y$355,1)+COUNTIF(Y$11:Y110,Y110)-1),(RANK(Y110,Y$11:Y$355)+COUNTIF(Y$11:Y110,Y110)-1)))</f>
        <v/>
      </c>
      <c r="AA110" s="242" t="str">
        <f>IF(L110="","",VLOOKUP($L110,classifications!C:I,7,FALSE))</f>
        <v>Predominantly Rural</v>
      </c>
      <c r="AB110" s="236">
        <f t="shared" si="41"/>
        <v>460.5</v>
      </c>
      <c r="AC110" s="236">
        <f>IF(AB110="","",IF($I$8="A",(RANK(AB110,AB$11:AB$355)+COUNTIF(AB$11:AB110,AB110)-1),(RANK(AB110,AB$11:AB$355,1)+COUNTIF(AB$11:AB110,AB110)-1)))</f>
        <v>29</v>
      </c>
      <c r="AD110" s="236"/>
      <c r="AE110" s="51" t="str">
        <f t="shared" si="48"/>
        <v/>
      </c>
      <c r="AG110" s="143"/>
      <c r="AH110" s="52"/>
      <c r="AI110" s="61" t="str">
        <f>IF(L110="","",VLOOKUP($L110,classifications!$C:$J,8,FALSE))</f>
        <v>Norfolk</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East of England</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631.6</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433</v>
      </c>
      <c r="G111" s="105"/>
      <c r="H111" s="60">
        <f t="shared" si="27"/>
        <v>433</v>
      </c>
      <c r="I111" s="112">
        <f>IF(H111="","",IF($I$8="A",(RANK(H111,H$11:H$355,1)+COUNTIF(H$11:H111,H111)-1),(RANK(H111,H$11:H$355)+COUNTIF(H$11:H111,H111)-1)))</f>
        <v>76</v>
      </c>
      <c r="J111" s="58"/>
      <c r="K111" s="51">
        <f t="shared" si="38"/>
        <v>101</v>
      </c>
      <c r="L111" s="59" t="str">
        <f t="shared" si="28"/>
        <v>South Lakeland</v>
      </c>
      <c r="M111" s="153">
        <f t="shared" si="29"/>
        <v>460.6</v>
      </c>
      <c r="N111" s="148">
        <f t="shared" si="39"/>
        <v>460.6</v>
      </c>
      <c r="O111" s="131" t="str">
        <f t="shared" si="30"/>
        <v/>
      </c>
      <c r="P111" s="131" t="str">
        <f t="shared" si="45"/>
        <v/>
      </c>
      <c r="Q111" s="131">
        <f t="shared" si="46"/>
        <v>460.6</v>
      </c>
      <c r="R111" s="127" t="str">
        <f t="shared" si="47"/>
        <v/>
      </c>
      <c r="S111" s="60" t="str">
        <f t="shared" si="40"/>
        <v/>
      </c>
      <c r="T111" s="228" t="str">
        <f>IF(L111="","",VLOOKUP(L111,classifications!C:K,9,FALSE))</f>
        <v>Sparse</v>
      </c>
      <c r="U111" s="235">
        <f t="shared" si="31"/>
        <v>460.6</v>
      </c>
      <c r="V111" s="236">
        <f>IF(U111="","",IF($I$8="A",(RANK(U111,U$11:U$355)+COUNTIF(U$11:U111,U111)-1),(RANK(U111,U$11:U$355,1)+COUNTIF(U$11:U111,U111)-1)))</f>
        <v>28</v>
      </c>
      <c r="W111" s="237"/>
      <c r="X111" s="61" t="str">
        <f>IF(L111="","",VLOOKUP($L111,classifications!$C:$J,6,FALSE))</f>
        <v xml:space="preserve">Mainly Rural (rural including hub towns &gt;=80%) </v>
      </c>
      <c r="Y111" s="49">
        <f t="shared" si="32"/>
        <v>460.6</v>
      </c>
      <c r="Z111" s="57">
        <f>IF(Y111="","",IF(I$8="A",(RANK(Y111,Y$11:Y$355,1)+COUNTIF(Y$11:Y111,Y111)-1),(RANK(Y111,Y$11:Y$355)+COUNTIF(Y$11:Y111,Y111)-1)))</f>
        <v>25</v>
      </c>
      <c r="AA111" s="242" t="str">
        <f>IF(L111="","",VLOOKUP($L111,classifications!C:I,7,FALSE))</f>
        <v>Predominantly Rural</v>
      </c>
      <c r="AB111" s="236">
        <f t="shared" si="41"/>
        <v>460.6</v>
      </c>
      <c r="AC111" s="236">
        <f>IF(AB111="","",IF($I$8="A",(RANK(AB111,AB$11:AB$355)+COUNTIF(AB$11:AB111,AB111)-1),(RANK(AB111,AB$11:AB$355,1)+COUNTIF(AB$11:AB111,AB111)-1)))</f>
        <v>28</v>
      </c>
      <c r="AD111" s="236"/>
      <c r="AE111" s="51" t="str">
        <f t="shared" si="48"/>
        <v/>
      </c>
      <c r="AG111" s="143"/>
      <c r="AH111" s="52"/>
      <c r="AI111" s="61" t="str">
        <f>IF(L111="","",VLOOKUP($L111,classifications!$C:$J,8,FALSE))</f>
        <v>Cumbria</v>
      </c>
      <c r="AJ111" s="62">
        <f t="shared" si="33"/>
        <v>460.6</v>
      </c>
      <c r="AK111" s="57">
        <f>IF(AJ111="","",IF(I$8="A",(RANK(AJ111,AJ$11:AJ$355,1)+COUNTIF(AJ$11:AJ111,AJ111)-1),(RANK(AJ111,AJ$11:AJ$355)+COUNTIF(AJ$11:AJ111,AJ111)-1)))</f>
        <v>2</v>
      </c>
      <c r="AL111" s="52" t="str">
        <f t="shared" si="42"/>
        <v/>
      </c>
      <c r="AM111" s="31" t="str">
        <f t="shared" si="34"/>
        <v/>
      </c>
      <c r="AN111" s="31" t="str">
        <f t="shared" si="35"/>
        <v/>
      </c>
      <c r="AP111" s="61" t="str">
        <f>IF(L111="","",VLOOKUP($L111,classifications!$C:$E,3,FALSE))</f>
        <v>North West</v>
      </c>
      <c r="AQ111" s="62">
        <f t="shared" si="43"/>
        <v>460.6</v>
      </c>
      <c r="AR111" s="57">
        <f>IF(AQ111="","",IF(I$8="A",(RANK(AQ111,AQ$11:AQ$355,1)+COUNTIF(AQ$11:AQ111,AQ111)-1),(RANK(AQ111,AQ$11:AQ$355)+COUNTIF(AQ$11:AQ111,AQ111)-1)))</f>
        <v>7</v>
      </c>
      <c r="AS111" s="52" t="str">
        <f t="shared" si="44"/>
        <v/>
      </c>
      <c r="AT111" s="57" t="str">
        <f t="shared" si="36"/>
        <v/>
      </c>
      <c r="AU111" s="62" t="str">
        <f t="shared" si="37"/>
        <v/>
      </c>
      <c r="AX111" s="44">
        <f>HLOOKUP($AX$9&amp;$AX$10,Data!$A$1:$ZZ$2000,(MATCH($C111,Data!$A$1:$A$2000,0)),FALSE)</f>
        <v>433</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430.7</v>
      </c>
      <c r="G112" s="105"/>
      <c r="H112" s="60">
        <f t="shared" si="27"/>
        <v>430.7</v>
      </c>
      <c r="I112" s="112">
        <f>IF(H112="","",IF($I$8="A",(RANK(H112,H$11:H$355,1)+COUNTIF(H$11:H112,H112)-1),(RANK(H112,H$11:H$355)+COUNTIF(H$11:H112,H112)-1)))</f>
        <v>72</v>
      </c>
      <c r="J112" s="58"/>
      <c r="K112" s="51">
        <f t="shared" si="38"/>
        <v>102</v>
      </c>
      <c r="L112" s="59" t="str">
        <f t="shared" si="28"/>
        <v>North Norfolk</v>
      </c>
      <c r="M112" s="153">
        <f t="shared" si="29"/>
        <v>461</v>
      </c>
      <c r="N112" s="148">
        <f t="shared" si="39"/>
        <v>461</v>
      </c>
      <c r="O112" s="131" t="str">
        <f t="shared" si="30"/>
        <v/>
      </c>
      <c r="P112" s="131" t="str">
        <f t="shared" si="45"/>
        <v/>
      </c>
      <c r="Q112" s="131">
        <f t="shared" si="46"/>
        <v>461</v>
      </c>
      <c r="R112" s="127" t="str">
        <f t="shared" si="47"/>
        <v/>
      </c>
      <c r="S112" s="60" t="str">
        <f t="shared" si="40"/>
        <v/>
      </c>
      <c r="T112" s="228" t="str">
        <f>IF(L112="","",VLOOKUP(L112,classifications!C:K,9,FALSE))</f>
        <v>Sparse</v>
      </c>
      <c r="U112" s="235">
        <f t="shared" si="31"/>
        <v>461</v>
      </c>
      <c r="V112" s="236">
        <f>IF(U112="","",IF($I$8="A",(RANK(U112,U$11:U$355)+COUNTIF(U$11:U112,U112)-1),(RANK(U112,U$11:U$355,1)+COUNTIF(U$11:U112,U112)-1)))</f>
        <v>27</v>
      </c>
      <c r="W112" s="237"/>
      <c r="X112" s="61" t="str">
        <f>IF(L112="","",VLOOKUP($L112,classifications!$C:$J,6,FALSE))</f>
        <v xml:space="preserve">Mainly Rural (rural including hub towns &gt;=80%) </v>
      </c>
      <c r="Y112" s="49">
        <f t="shared" si="32"/>
        <v>461</v>
      </c>
      <c r="Z112" s="57">
        <f>IF(Y112="","",IF(I$8="A",(RANK(Y112,Y$11:Y$355,1)+COUNTIF(Y$11:Y112,Y112)-1),(RANK(Y112,Y$11:Y$355)+COUNTIF(Y$11:Y112,Y112)-1)))</f>
        <v>26</v>
      </c>
      <c r="AA112" s="242" t="str">
        <f>IF(L112="","",VLOOKUP($L112,classifications!C:I,7,FALSE))</f>
        <v>Predominantly Rural</v>
      </c>
      <c r="AB112" s="236">
        <f t="shared" si="41"/>
        <v>461</v>
      </c>
      <c r="AC112" s="236">
        <f>IF(AB112="","",IF($I$8="A",(RANK(AB112,AB$11:AB$355)+COUNTIF(AB$11:AB112,AB112)-1),(RANK(AB112,AB$11:AB$355,1)+COUNTIF(AB$11:AB112,AB112)-1)))</f>
        <v>27</v>
      </c>
      <c r="AD112" s="236"/>
      <c r="AE112" s="51" t="str">
        <f t="shared" si="48"/>
        <v/>
      </c>
      <c r="AG112" s="143"/>
      <c r="AH112" s="52"/>
      <c r="AI112" s="61" t="str">
        <f>IF(L112="","",VLOOKUP($L112,classifications!$C:$J,8,FALSE))</f>
        <v>Norfolk</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East of England</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430.7</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536.5</v>
      </c>
      <c r="G113" s="105"/>
      <c r="H113" s="60">
        <f t="shared" si="27"/>
        <v>536.5</v>
      </c>
      <c r="I113" s="112">
        <f>IF(H113="","",IF($I$8="A",(RANK(H113,H$11:H$355,1)+COUNTIF(H$11:H113,H113)-1),(RANK(H113,H$11:H$355)+COUNTIF(H$11:H113,H113)-1)))</f>
        <v>160</v>
      </c>
      <c r="J113" s="58"/>
      <c r="K113" s="51">
        <f t="shared" si="38"/>
        <v>103</v>
      </c>
      <c r="L113" s="59" t="str">
        <f t="shared" si="28"/>
        <v>South Staffordshire</v>
      </c>
      <c r="M113" s="153">
        <f t="shared" si="29"/>
        <v>461.1</v>
      </c>
      <c r="N113" s="148">
        <f t="shared" si="39"/>
        <v>461.1</v>
      </c>
      <c r="O113" s="131" t="str">
        <f t="shared" si="30"/>
        <v/>
      </c>
      <c r="P113" s="131" t="str">
        <f t="shared" si="45"/>
        <v/>
      </c>
      <c r="Q113" s="131">
        <f t="shared" si="46"/>
        <v>461.1</v>
      </c>
      <c r="R113" s="127" t="str">
        <f t="shared" si="47"/>
        <v/>
      </c>
      <c r="S113" s="60" t="str">
        <f t="shared" si="40"/>
        <v/>
      </c>
      <c r="T113" s="228" t="str">
        <f>IF(L113="","",VLOOKUP(L113,classifications!C:K,9,FALSE))</f>
        <v>Sparse</v>
      </c>
      <c r="U113" s="235">
        <f t="shared" si="31"/>
        <v>461.1</v>
      </c>
      <c r="V113" s="236">
        <f>IF(U113="","",IF($I$8="A",(RANK(U113,U$11:U$355)+COUNTIF(U$11:U113,U113)-1),(RANK(U113,U$11:U$355,1)+COUNTIF(U$11:U113,U113)-1)))</f>
        <v>26</v>
      </c>
      <c r="W113" s="237"/>
      <c r="X113" s="61" t="str">
        <f>IF(L113="","",VLOOKUP($L113,classifications!$C:$J,6,FALSE))</f>
        <v>Urban with Significant Rural (rural including hub towns 26-49%)</v>
      </c>
      <c r="Y113" s="49" t="str">
        <f t="shared" si="32"/>
        <v/>
      </c>
      <c r="Z113" s="57" t="str">
        <f>IF(Y113="","",IF(I$8="A",(RANK(Y113,Y$11:Y$355,1)+COUNTIF(Y$11:Y113,Y113)-1),(RANK(Y113,Y$11:Y$355)+COUNTIF(Y$11:Y113,Y113)-1)))</f>
        <v/>
      </c>
      <c r="AA113" s="242" t="str">
        <f>IF(L113="","",VLOOKUP($L113,classifications!C:I,7,FALSE))</f>
        <v>Significant Rural</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Staffordshire</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West Midlands</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536.5</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476.7</v>
      </c>
      <c r="G114" s="105"/>
      <c r="H114" s="60" t="str">
        <f t="shared" si="27"/>
        <v/>
      </c>
      <c r="I114" s="112" t="str">
        <f>IF(H114="","",IF($I$8="A",(RANK(H114,H$11:H$355,1)+COUNTIF(H$11:H114,H114)-1),(RANK(H114,H$11:H$355)+COUNTIF(H$11:H114,H114)-1)))</f>
        <v/>
      </c>
      <c r="J114" s="58"/>
      <c r="K114" s="51">
        <f t="shared" si="38"/>
        <v>104</v>
      </c>
      <c r="L114" s="59" t="str">
        <f t="shared" si="28"/>
        <v>Craven</v>
      </c>
      <c r="M114" s="153">
        <f t="shared" si="29"/>
        <v>461.2</v>
      </c>
      <c r="N114" s="148">
        <f t="shared" si="39"/>
        <v>461.2</v>
      </c>
      <c r="O114" s="131" t="str">
        <f t="shared" si="30"/>
        <v/>
      </c>
      <c r="P114" s="131" t="str">
        <f t="shared" si="45"/>
        <v/>
      </c>
      <c r="Q114" s="131">
        <f t="shared" si="46"/>
        <v>461.2</v>
      </c>
      <c r="R114" s="127" t="str">
        <f t="shared" si="47"/>
        <v/>
      </c>
      <c r="S114" s="60" t="str">
        <f t="shared" si="40"/>
        <v/>
      </c>
      <c r="T114" s="228" t="str">
        <f>IF(L114="","",VLOOKUP(L114,classifications!C:K,9,FALSE))</f>
        <v>Sparse</v>
      </c>
      <c r="U114" s="235">
        <f t="shared" si="31"/>
        <v>461.2</v>
      </c>
      <c r="V114" s="236">
        <f>IF(U114="","",IF($I$8="A",(RANK(U114,U$11:U$355)+COUNTIF(U$11:U114,U114)-1),(RANK(U114,U$11:U$355,1)+COUNTIF(U$11:U114,U114)-1)))</f>
        <v>25</v>
      </c>
      <c r="W114" s="237"/>
      <c r="X114" s="61" t="str">
        <f>IF(L114="","",VLOOKUP($L114,classifications!$C:$J,6,FALSE))</f>
        <v xml:space="preserve">Mainly Rural (rural including hub towns &gt;=80%) </v>
      </c>
      <c r="Y114" s="49">
        <f t="shared" si="32"/>
        <v>461.2</v>
      </c>
      <c r="Z114" s="57">
        <f>IF(Y114="","",IF(I$8="A",(RANK(Y114,Y$11:Y$355,1)+COUNTIF(Y$11:Y114,Y114)-1),(RANK(Y114,Y$11:Y$355)+COUNTIF(Y$11:Y114,Y114)-1)))</f>
        <v>27</v>
      </c>
      <c r="AA114" s="242" t="str">
        <f>IF(L114="","",VLOOKUP($L114,classifications!C:I,7,FALSE))</f>
        <v>Predominantly Rural</v>
      </c>
      <c r="AB114" s="236">
        <f t="shared" si="41"/>
        <v>461.2</v>
      </c>
      <c r="AC114" s="236">
        <f>IF(AB114="","",IF($I$8="A",(RANK(AB114,AB$11:AB$355)+COUNTIF(AB$11:AB114,AB114)-1),(RANK(AB114,AB$11:AB$355,1)+COUNTIF(AB$11:AB114,AB114)-1)))</f>
        <v>26</v>
      </c>
      <c r="AD114" s="236"/>
      <c r="AE114" s="51" t="str">
        <f t="shared" si="48"/>
        <v/>
      </c>
      <c r="AG114" s="143"/>
      <c r="AH114" s="52"/>
      <c r="AI114" s="61" t="str">
        <f>IF(L114="","",VLOOKUP($L114,classifications!$C:$J,8,FALSE))</f>
        <v>North Yorkshire</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Yorkshire &amp; Humberside</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476.7</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460.3</v>
      </c>
      <c r="G115" s="105"/>
      <c r="H115" s="60">
        <f t="shared" si="27"/>
        <v>460.3</v>
      </c>
      <c r="I115" s="112">
        <f>IF(H115="","",IF($I$8="A",(RANK(H115,H$11:H$355,1)+COUNTIF(H$11:H115,H115)-1),(RANK(H115,H$11:H$355)+COUNTIF(H$11:H115,H115)-1)))</f>
        <v>99</v>
      </c>
      <c r="J115" s="58"/>
      <c r="K115" s="51">
        <f t="shared" si="38"/>
        <v>105</v>
      </c>
      <c r="L115" s="59" t="str">
        <f t="shared" si="28"/>
        <v>Rugby</v>
      </c>
      <c r="M115" s="153">
        <f t="shared" si="29"/>
        <v>461.8</v>
      </c>
      <c r="N115" s="148">
        <f t="shared" si="39"/>
        <v>461.8</v>
      </c>
      <c r="O115" s="131" t="str">
        <f t="shared" si="30"/>
        <v/>
      </c>
      <c r="P115" s="131" t="str">
        <f t="shared" si="45"/>
        <v/>
      </c>
      <c r="Q115" s="131">
        <f t="shared" si="46"/>
        <v>461.8</v>
      </c>
      <c r="R115" s="127" t="str">
        <f t="shared" si="47"/>
        <v/>
      </c>
      <c r="S115" s="60" t="str">
        <f t="shared" si="40"/>
        <v/>
      </c>
      <c r="T115" s="228" t="str">
        <f>IF(L115="","",VLOOKUP(L115,classifications!C:K,9,FALSE))</f>
        <v>Sparse</v>
      </c>
      <c r="U115" s="235">
        <f t="shared" si="31"/>
        <v>461.8</v>
      </c>
      <c r="V115" s="236">
        <f>IF(U115="","",IF($I$8="A",(RANK(U115,U$11:U$355)+COUNTIF(U$11:U115,U115)-1),(RANK(U115,U$11:U$355,1)+COUNTIF(U$11:U115,U115)-1)))</f>
        <v>24</v>
      </c>
      <c r="W115" s="237"/>
      <c r="X115" s="61" t="str">
        <f>IF(L115="","",VLOOKUP($L115,classifications!$C:$J,6,FALSE))</f>
        <v>Urban with City and Town</v>
      </c>
      <c r="Y115" s="49" t="str">
        <f t="shared" si="32"/>
        <v/>
      </c>
      <c r="Z115" s="57" t="str">
        <f>IF(Y115="","",IF(I$8="A",(RANK(Y115,Y$11:Y$355,1)+COUNTIF(Y$11:Y115,Y115)-1),(RANK(Y115,Y$11:Y$355)+COUNTIF(Y$11:Y115,Y115)-1)))</f>
        <v/>
      </c>
      <c r="AA115" s="242" t="str">
        <f>IF(L115="","",VLOOKUP($L115,classifications!C:I,7,FALSE))</f>
        <v>Predominantly Urban</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Warwickshire</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West Midlands</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460.3</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467.9</v>
      </c>
      <c r="G116" s="105"/>
      <c r="H116" s="60">
        <f t="shared" si="27"/>
        <v>467.9</v>
      </c>
      <c r="I116" s="112">
        <f>IF(H116="","",IF($I$8="A",(RANK(H116,H$11:H$355,1)+COUNTIF(H$11:H116,H116)-1),(RANK(H116,H$11:H$355)+COUNTIF(H$11:H116,H116)-1)))</f>
        <v>113</v>
      </c>
      <c r="J116" s="58"/>
      <c r="K116" s="51">
        <f t="shared" si="38"/>
        <v>106</v>
      </c>
      <c r="L116" s="59" t="str">
        <f t="shared" si="28"/>
        <v>Chesterfield</v>
      </c>
      <c r="M116" s="153">
        <f t="shared" si="29"/>
        <v>463.1</v>
      </c>
      <c r="N116" s="148">
        <f t="shared" si="39"/>
        <v>463.1</v>
      </c>
      <c r="O116" s="131" t="str">
        <f t="shared" si="30"/>
        <v/>
      </c>
      <c r="P116" s="131" t="str">
        <f t="shared" si="45"/>
        <v/>
      </c>
      <c r="Q116" s="131">
        <f t="shared" si="46"/>
        <v>463.1</v>
      </c>
      <c r="R116" s="127" t="str">
        <f t="shared" si="47"/>
        <v/>
      </c>
      <c r="S116" s="60" t="str">
        <f t="shared" si="40"/>
        <v/>
      </c>
      <c r="T116" s="228">
        <f>IF(L116="","",VLOOKUP(L116,classifications!C:K,9,FALSE))</f>
        <v>0</v>
      </c>
      <c r="U116" s="235" t="str">
        <f t="shared" si="31"/>
        <v/>
      </c>
      <c r="V116" s="236" t="str">
        <f>IF(U116="","",IF($I$8="A",(RANK(U116,U$11:U$355)+COUNTIF(U$11:U116,U116)-1),(RANK(U116,U$11:U$355,1)+COUNTIF(U$11:U116,U116)-1)))</f>
        <v/>
      </c>
      <c r="W116" s="237"/>
      <c r="X116" s="61" t="str">
        <f>IF(L116="","",VLOOKUP($L116,classifications!$C:$J,6,FALSE))</f>
        <v>Urban with City and Town</v>
      </c>
      <c r="Y116" s="49" t="str">
        <f t="shared" si="32"/>
        <v/>
      </c>
      <c r="Z116" s="57" t="str">
        <f>IF(Y116="","",IF(I$8="A",(RANK(Y116,Y$11:Y$355,1)+COUNTIF(Y$11:Y116,Y116)-1),(RANK(Y116,Y$11:Y$355)+COUNTIF(Y$11:Y116,Y116)-1)))</f>
        <v/>
      </c>
      <c r="AA116" s="242" t="str">
        <f>IF(L116="","",VLOOKUP($L116,classifications!C:I,7,FALSE))</f>
        <v>Predominantly Urban</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Derbyshire</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East Midlands</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467.9</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536.20000000000005</v>
      </c>
      <c r="G117" s="105"/>
      <c r="H117" s="60">
        <f t="shared" si="27"/>
        <v>536.20000000000005</v>
      </c>
      <c r="I117" s="112">
        <f>IF(H117="","",IF($I$8="A",(RANK(H117,H$11:H$355,1)+COUNTIF(H$11:H117,H117)-1),(RANK(H117,H$11:H$355)+COUNTIF(H$11:H117,H117)-1)))</f>
        <v>159</v>
      </c>
      <c r="J117" s="58"/>
      <c r="K117" s="51">
        <f t="shared" si="38"/>
        <v>107</v>
      </c>
      <c r="L117" s="59" t="str">
        <f t="shared" si="28"/>
        <v>Rushcliffe</v>
      </c>
      <c r="M117" s="153">
        <f t="shared" si="29"/>
        <v>464.4</v>
      </c>
      <c r="N117" s="148">
        <f t="shared" si="39"/>
        <v>464.4</v>
      </c>
      <c r="O117" s="131" t="str">
        <f t="shared" si="30"/>
        <v/>
      </c>
      <c r="P117" s="131" t="str">
        <f t="shared" si="45"/>
        <v/>
      </c>
      <c r="Q117" s="131">
        <f t="shared" si="46"/>
        <v>464.4</v>
      </c>
      <c r="R117" s="127" t="str">
        <f t="shared" si="47"/>
        <v/>
      </c>
      <c r="S117" s="60" t="str">
        <f t="shared" si="40"/>
        <v/>
      </c>
      <c r="T117" s="228">
        <f>IF(L117="","",VLOOKUP(L117,classifications!C:K,9,FALSE))</f>
        <v>0</v>
      </c>
      <c r="U117" s="235" t="str">
        <f t="shared" si="31"/>
        <v/>
      </c>
      <c r="V117" s="236" t="str">
        <f>IF(U117="","",IF($I$8="A",(RANK(U117,U$11:U$355)+COUNTIF(U$11:U117,U117)-1),(RANK(U117,U$11:U$355,1)+COUNTIF(U$11:U117,U117)-1)))</f>
        <v/>
      </c>
      <c r="W117" s="237"/>
      <c r="X117" s="61" t="str">
        <f>IF(L117="","",VLOOKUP($L117,classifications!$C:$J,6,FALSE))</f>
        <v xml:space="preserve">Largely Rural (rural including hub towns 50-79%) </v>
      </c>
      <c r="Y117" s="49" t="str">
        <f t="shared" si="32"/>
        <v/>
      </c>
      <c r="Z117" s="57" t="str">
        <f>IF(Y117="","",IF(I$8="A",(RANK(Y117,Y$11:Y$355,1)+COUNTIF(Y$11:Y117,Y117)-1),(RANK(Y117,Y$11:Y$355)+COUNTIF(Y$11:Y117,Y117)-1)))</f>
        <v/>
      </c>
      <c r="AA117" s="242" t="str">
        <f>IF(L117="","",VLOOKUP($L117,classifications!C:I,7,FALSE))</f>
        <v>Predominantly Rural</v>
      </c>
      <c r="AB117" s="236">
        <f t="shared" si="41"/>
        <v>464.4</v>
      </c>
      <c r="AC117" s="236">
        <f>IF(AB117="","",IF($I$8="A",(RANK(AB117,AB$11:AB$355)+COUNTIF(AB$11:AB117,AB117)-1),(RANK(AB117,AB$11:AB$355,1)+COUNTIF(AB$11:AB117,AB117)-1)))</f>
        <v>25</v>
      </c>
      <c r="AD117" s="236"/>
      <c r="AE117" s="51" t="str">
        <f t="shared" si="48"/>
        <v/>
      </c>
      <c r="AG117" s="143"/>
      <c r="AH117" s="52"/>
      <c r="AI117" s="61" t="str">
        <f>IF(L117="","",VLOOKUP($L117,classifications!$C:$J,8,FALSE))</f>
        <v>Nottinghamshire</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East Midlands</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536.20000000000005</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410.8</v>
      </c>
      <c r="G118" s="105"/>
      <c r="H118" s="60">
        <f t="shared" si="27"/>
        <v>410.8</v>
      </c>
      <c r="I118" s="112">
        <f>IF(H118="","",IF($I$8="A",(RANK(H118,H$11:H$355,1)+COUNTIF(H$11:H118,H118)-1),(RANK(H118,H$11:H$355)+COUNTIF(H$11:H118,H118)-1)))</f>
        <v>52</v>
      </c>
      <c r="J118" s="58"/>
      <c r="K118" s="51">
        <f t="shared" si="38"/>
        <v>108</v>
      </c>
      <c r="L118" s="59" t="str">
        <f t="shared" si="28"/>
        <v>New Forest</v>
      </c>
      <c r="M118" s="153">
        <f t="shared" si="29"/>
        <v>464.5</v>
      </c>
      <c r="N118" s="148">
        <f t="shared" si="39"/>
        <v>464.5</v>
      </c>
      <c r="O118" s="131" t="str">
        <f t="shared" si="30"/>
        <v/>
      </c>
      <c r="P118" s="131" t="str">
        <f t="shared" si="45"/>
        <v/>
      </c>
      <c r="Q118" s="131">
        <f t="shared" si="46"/>
        <v>464.5</v>
      </c>
      <c r="R118" s="127" t="str">
        <f t="shared" si="47"/>
        <v/>
      </c>
      <c r="S118" s="60" t="str">
        <f t="shared" si="40"/>
        <v/>
      </c>
      <c r="T118" s="228" t="str">
        <f>IF(L118="","",VLOOKUP(L118,classifications!C:K,9,FALSE))</f>
        <v>Sparse</v>
      </c>
      <c r="U118" s="235">
        <f t="shared" si="31"/>
        <v>464.5</v>
      </c>
      <c r="V118" s="236">
        <f>IF(U118="","",IF($I$8="A",(RANK(U118,U$11:U$355)+COUNTIF(U$11:U118,U118)-1),(RANK(U118,U$11:U$355,1)+COUNTIF(U$11:U118,U118)-1)))</f>
        <v>23</v>
      </c>
      <c r="W118" s="237"/>
      <c r="X118" s="61" t="str">
        <f>IF(L118="","",VLOOKUP($L118,classifications!$C:$J,6,FALSE))</f>
        <v>Urban with Significant Rural (rural including hub towns 26-49%)</v>
      </c>
      <c r="Y118" s="49" t="str">
        <f t="shared" si="32"/>
        <v/>
      </c>
      <c r="Z118" s="57" t="str">
        <f>IF(Y118="","",IF(I$8="A",(RANK(Y118,Y$11:Y$355,1)+COUNTIF(Y$11:Y118,Y118)-1),(RANK(Y118,Y$11:Y$355)+COUNTIF(Y$11:Y118,Y118)-1)))</f>
        <v/>
      </c>
      <c r="AA118" s="242" t="str">
        <f>IF(L118="","",VLOOKUP($L118,classifications!C:I,7,FALSE))</f>
        <v>Significant Rural</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Hampshire</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South East</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410.8</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441.1</v>
      </c>
      <c r="G119" s="105"/>
      <c r="H119" s="60">
        <f t="shared" si="27"/>
        <v>441.1</v>
      </c>
      <c r="I119" s="112">
        <f>IF(H119="","",IF($I$8="A",(RANK(H119,H$11:H$355,1)+COUNTIF(H$11:H119,H119)-1),(RANK(H119,H$11:H$355)+COUNTIF(H$11:H119,H119)-1)))</f>
        <v>82</v>
      </c>
      <c r="J119" s="58"/>
      <c r="K119" s="51">
        <f t="shared" si="38"/>
        <v>109</v>
      </c>
      <c r="L119" s="59" t="str">
        <f t="shared" si="28"/>
        <v>Mid Suffolk</v>
      </c>
      <c r="M119" s="153">
        <f t="shared" si="29"/>
        <v>465</v>
      </c>
      <c r="N119" s="148">
        <f t="shared" si="39"/>
        <v>465</v>
      </c>
      <c r="O119" s="131" t="str">
        <f t="shared" si="30"/>
        <v/>
      </c>
      <c r="P119" s="131" t="str">
        <f t="shared" si="45"/>
        <v/>
      </c>
      <c r="Q119" s="131">
        <f t="shared" si="46"/>
        <v>465</v>
      </c>
      <c r="R119" s="127" t="str">
        <f t="shared" si="47"/>
        <v/>
      </c>
      <c r="S119" s="60" t="str">
        <f t="shared" si="40"/>
        <v/>
      </c>
      <c r="T119" s="228" t="str">
        <f>IF(L119="","",VLOOKUP(L119,classifications!C:K,9,FALSE))</f>
        <v>Sparse</v>
      </c>
      <c r="U119" s="235">
        <f t="shared" si="31"/>
        <v>465</v>
      </c>
      <c r="V119" s="236">
        <f>IF(U119="","",IF($I$8="A",(RANK(U119,U$11:U$355)+COUNTIF(U$11:U119,U119)-1),(RANK(U119,U$11:U$355,1)+COUNTIF(U$11:U119,U119)-1)))</f>
        <v>22</v>
      </c>
      <c r="W119" s="237"/>
      <c r="X119" s="61" t="str">
        <f>IF(L119="","",VLOOKUP($L119,classifications!$C:$J,6,FALSE))</f>
        <v xml:space="preserve">Mainly Rural (rural including hub towns &gt;=80%) </v>
      </c>
      <c r="Y119" s="49">
        <f t="shared" si="32"/>
        <v>465</v>
      </c>
      <c r="Z119" s="57">
        <f>IF(Y119="","",IF(I$8="A",(RANK(Y119,Y$11:Y$355,1)+COUNTIF(Y$11:Y119,Y119)-1),(RANK(Y119,Y$11:Y$355)+COUNTIF(Y$11:Y119,Y119)-1)))</f>
        <v>28</v>
      </c>
      <c r="AA119" s="242" t="str">
        <f>IF(L119="","",VLOOKUP($L119,classifications!C:I,7,FALSE))</f>
        <v>Predominantly Rural</v>
      </c>
      <c r="AB119" s="236">
        <f t="shared" si="41"/>
        <v>465</v>
      </c>
      <c r="AC119" s="236">
        <f>IF(AB119="","",IF($I$8="A",(RANK(AB119,AB$11:AB$355)+COUNTIF(AB$11:AB119,AB119)-1),(RANK(AB119,AB$11:AB$355,1)+COUNTIF(AB$11:AB119,AB119)-1)))</f>
        <v>24</v>
      </c>
      <c r="AD119" s="236"/>
      <c r="AE119" s="51" t="str">
        <f t="shared" si="48"/>
        <v/>
      </c>
      <c r="AG119" s="143"/>
      <c r="AH119" s="52"/>
      <c r="AI119" s="61" t="str">
        <f>IF(L119="","",VLOOKUP($L119,classifications!$C:$J,8,FALSE))</f>
        <v>Suffolk</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East of England</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441.1</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629.79999999999995</v>
      </c>
      <c r="G120" s="105"/>
      <c r="H120" s="60" t="str">
        <f t="shared" si="27"/>
        <v/>
      </c>
      <c r="I120" s="112" t="str">
        <f>IF(H120="","",IF($I$8="A",(RANK(H120,H$11:H$355,1)+COUNTIF(H$11:H120,H120)-1),(RANK(H120,H$11:H$355)+COUNTIF(H$11:H120,H120)-1)))</f>
        <v/>
      </c>
      <c r="J120" s="58"/>
      <c r="K120" s="51">
        <f t="shared" si="38"/>
        <v>110</v>
      </c>
      <c r="L120" s="59" t="str">
        <f t="shared" si="28"/>
        <v>North East Derbyshire</v>
      </c>
      <c r="M120" s="153">
        <f t="shared" si="29"/>
        <v>465.5</v>
      </c>
      <c r="N120" s="148">
        <f t="shared" si="39"/>
        <v>465.5</v>
      </c>
      <c r="O120" s="131" t="str">
        <f t="shared" si="30"/>
        <v/>
      </c>
      <c r="P120" s="131" t="str">
        <f t="shared" si="45"/>
        <v/>
      </c>
      <c r="Q120" s="131">
        <f t="shared" si="46"/>
        <v>465.5</v>
      </c>
      <c r="R120" s="127" t="str">
        <f t="shared" si="47"/>
        <v/>
      </c>
      <c r="S120" s="60" t="str">
        <f t="shared" si="40"/>
        <v/>
      </c>
      <c r="T120" s="228">
        <f>IF(L120="","",VLOOKUP(L120,classifications!C:K,9,FALSE))</f>
        <v>0</v>
      </c>
      <c r="U120" s="235" t="str">
        <f t="shared" si="31"/>
        <v/>
      </c>
      <c r="V120" s="236" t="str">
        <f>IF(U120="","",IF($I$8="A",(RANK(U120,U$11:U$355)+COUNTIF(U$11:U120,U120)-1),(RANK(U120,U$11:U$355,1)+COUNTIF(U$11:U120,U120)-1)))</f>
        <v/>
      </c>
      <c r="W120" s="237"/>
      <c r="X120" s="61" t="str">
        <f>IF(L120="","",VLOOKUP($L120,classifications!$C:$J,6,FALSE))</f>
        <v>Urban with City and Town</v>
      </c>
      <c r="Y120" s="49" t="str">
        <f t="shared" si="32"/>
        <v/>
      </c>
      <c r="Z120" s="57" t="str">
        <f>IF(Y120="","",IF(I$8="A",(RANK(Y120,Y$11:Y$355,1)+COUNTIF(Y$11:Y120,Y120)-1),(RANK(Y120,Y$11:Y$355)+COUNTIF(Y$11:Y120,Y120)-1)))</f>
        <v/>
      </c>
      <c r="AA120" s="242" t="str">
        <f>IF(L120="","",VLOOKUP($L120,classifications!C:I,7,FALSE))</f>
        <v>Predominantly Urban</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Derbyshire</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East Midlands</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629.79999999999995</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565.29999999999995</v>
      </c>
      <c r="G121" s="105"/>
      <c r="H121" s="60">
        <f t="shared" si="27"/>
        <v>565.29999999999995</v>
      </c>
      <c r="I121" s="112">
        <f>IF(H121="","",IF($I$8="A",(RANK(H121,H$11:H$355,1)+COUNTIF(H$11:H121,H121)-1),(RANK(H121,H$11:H$355)+COUNTIF(H$11:H121,H121)-1)))</f>
        <v>175</v>
      </c>
      <c r="J121" s="58"/>
      <c r="K121" s="51">
        <f t="shared" si="38"/>
        <v>111</v>
      </c>
      <c r="L121" s="59" t="str">
        <f t="shared" si="28"/>
        <v>Lancaster</v>
      </c>
      <c r="M121" s="153">
        <f t="shared" si="29"/>
        <v>465.9</v>
      </c>
      <c r="N121" s="148">
        <f t="shared" si="39"/>
        <v>465.9</v>
      </c>
      <c r="O121" s="131" t="str">
        <f t="shared" si="30"/>
        <v/>
      </c>
      <c r="P121" s="131" t="str">
        <f t="shared" si="45"/>
        <v/>
      </c>
      <c r="Q121" s="131">
        <f t="shared" si="46"/>
        <v>465.9</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Urban with Significant Rural (rural including hub towns 26-49%)</v>
      </c>
      <c r="Y121" s="49" t="str">
        <f t="shared" si="32"/>
        <v/>
      </c>
      <c r="Z121" s="57" t="str">
        <f>IF(Y121="","",IF(I$8="A",(RANK(Y121,Y$11:Y$355,1)+COUNTIF(Y$11:Y121,Y121)-1),(RANK(Y121,Y$11:Y$355)+COUNTIF(Y$11:Y121,Y121)-1)))</f>
        <v/>
      </c>
      <c r="AA121" s="242" t="str">
        <f>IF(L121="","",VLOOKUP($L121,classifications!C:I,7,FALSE))</f>
        <v>Significant Rural</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Lancashire</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North West</v>
      </c>
      <c r="AQ121" s="62">
        <f t="shared" si="43"/>
        <v>465.9</v>
      </c>
      <c r="AR121" s="57">
        <f>IF(AQ121="","",IF(I$8="A",(RANK(AQ121,AQ$11:AQ$355,1)+COUNTIF(AQ$11:AQ121,AQ121)-1),(RANK(AQ121,AQ$11:AQ$355)+COUNTIF(AQ$11:AQ121,AQ121)-1)))</f>
        <v>8</v>
      </c>
      <c r="AS121" s="52" t="str">
        <f t="shared" si="44"/>
        <v/>
      </c>
      <c r="AT121" s="57" t="str">
        <f t="shared" si="36"/>
        <v/>
      </c>
      <c r="AU121" s="62" t="str">
        <f t="shared" si="37"/>
        <v/>
      </c>
      <c r="AX121" s="44">
        <f>HLOOKUP($AX$9&amp;$AX$10,Data!$A$1:$ZZ$2000,(MATCH($C121,Data!$A$1:$A$2000,0)),FALSE)</f>
        <v>565.29999999999995</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454</v>
      </c>
      <c r="G122" s="105"/>
      <c r="H122" s="60">
        <f t="shared" si="27"/>
        <v>454</v>
      </c>
      <c r="I122" s="112">
        <f>IF(H122="","",IF($I$8="A",(RANK(H122,H$11:H$355,1)+COUNTIF(H$11:H122,H122)-1),(RANK(H122,H$11:H$355)+COUNTIF(H$11:H122,H122)-1)))</f>
        <v>90</v>
      </c>
      <c r="J122" s="58"/>
      <c r="K122" s="51">
        <f t="shared" si="38"/>
        <v>112</v>
      </c>
      <c r="L122" s="59" t="str">
        <f t="shared" si="28"/>
        <v>Wychavon</v>
      </c>
      <c r="M122" s="153">
        <f t="shared" si="29"/>
        <v>466.4</v>
      </c>
      <c r="N122" s="148">
        <f t="shared" si="39"/>
        <v>466.4</v>
      </c>
      <c r="O122" s="131" t="str">
        <f t="shared" si="30"/>
        <v/>
      </c>
      <c r="P122" s="131" t="str">
        <f t="shared" si="45"/>
        <v/>
      </c>
      <c r="Q122" s="131">
        <f t="shared" si="46"/>
        <v>466.4</v>
      </c>
      <c r="R122" s="127" t="str">
        <f t="shared" si="47"/>
        <v/>
      </c>
      <c r="S122" s="60" t="str">
        <f t="shared" si="40"/>
        <v/>
      </c>
      <c r="T122" s="228" t="str">
        <f>IF(L122="","",VLOOKUP(L122,classifications!C:K,9,FALSE))</f>
        <v>Sparse</v>
      </c>
      <c r="U122" s="235">
        <f t="shared" si="31"/>
        <v>466.4</v>
      </c>
      <c r="V122" s="236">
        <f>IF(U122="","",IF($I$8="A",(RANK(U122,U$11:U$355)+COUNTIF(U$11:U122,U122)-1),(RANK(U122,U$11:U$355,1)+COUNTIF(U$11:U122,U122)-1)))</f>
        <v>21</v>
      </c>
      <c r="W122" s="237"/>
      <c r="X122" s="61" t="str">
        <f>IF(L122="","",VLOOKUP($L122,classifications!$C:$J,6,FALSE))</f>
        <v xml:space="preserve">Mainly Rural (rural including hub towns &gt;=80%) </v>
      </c>
      <c r="Y122" s="49">
        <f t="shared" si="32"/>
        <v>466.4</v>
      </c>
      <c r="Z122" s="57">
        <f>IF(Y122="","",IF(I$8="A",(RANK(Y122,Y$11:Y$355,1)+COUNTIF(Y$11:Y122,Y122)-1),(RANK(Y122,Y$11:Y$355)+COUNTIF(Y$11:Y122,Y122)-1)))</f>
        <v>29</v>
      </c>
      <c r="AA122" s="242" t="str">
        <f>IF(L122="","",VLOOKUP($L122,classifications!C:I,7,FALSE))</f>
        <v>Predominantly Rural</v>
      </c>
      <c r="AB122" s="236">
        <f t="shared" si="41"/>
        <v>466.4</v>
      </c>
      <c r="AC122" s="236">
        <f>IF(AB122="","",IF($I$8="A",(RANK(AB122,AB$11:AB$355)+COUNTIF(AB$11:AB122,AB122)-1),(RANK(AB122,AB$11:AB$355,1)+COUNTIF(AB$11:AB122,AB122)-1)))</f>
        <v>23</v>
      </c>
      <c r="AD122" s="236"/>
      <c r="AE122" s="51" t="str">
        <f t="shared" si="48"/>
        <v/>
      </c>
      <c r="AG122" s="143"/>
      <c r="AH122" s="52"/>
      <c r="AI122" s="61" t="str">
        <f>IF(L122="","",VLOOKUP($L122,classifications!$C:$J,8,FALSE))</f>
        <v>Worcestershire</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West Midlands</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454</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483.9</v>
      </c>
      <c r="G123" s="105"/>
      <c r="H123" s="60" t="str">
        <f t="shared" si="27"/>
        <v/>
      </c>
      <c r="I123" s="112" t="str">
        <f>IF(H123="","",IF($I$8="A",(RANK(H123,H$11:H$355,1)+COUNTIF(H$11:H123,H123)-1),(RANK(H123,H$11:H$355)+COUNTIF(H$11:H123,H123)-1)))</f>
        <v/>
      </c>
      <c r="J123" s="58"/>
      <c r="K123" s="51">
        <f t="shared" si="38"/>
        <v>113</v>
      </c>
      <c r="L123" s="59" t="str">
        <f t="shared" si="28"/>
        <v>Fareham</v>
      </c>
      <c r="M123" s="153">
        <f t="shared" si="29"/>
        <v>467.9</v>
      </c>
      <c r="N123" s="148">
        <f t="shared" si="39"/>
        <v>467.9</v>
      </c>
      <c r="O123" s="131" t="str">
        <f t="shared" si="30"/>
        <v/>
      </c>
      <c r="P123" s="131" t="str">
        <f t="shared" si="45"/>
        <v/>
      </c>
      <c r="Q123" s="131">
        <f t="shared" si="46"/>
        <v>467.9</v>
      </c>
      <c r="R123" s="127" t="str">
        <f t="shared" si="47"/>
        <v/>
      </c>
      <c r="S123" s="60" t="str">
        <f t="shared" si="40"/>
        <v/>
      </c>
      <c r="T123" s="228">
        <f>IF(L123="","",VLOOKUP(L123,classifications!C:K,9,FALSE))</f>
        <v>0</v>
      </c>
      <c r="U123" s="235" t="str">
        <f t="shared" si="31"/>
        <v/>
      </c>
      <c r="V123" s="236" t="str">
        <f>IF(U123="","",IF($I$8="A",(RANK(U123,U$11:U$355)+COUNTIF(U$11:U123,U123)-1),(RANK(U123,U$11:U$355,1)+COUNTIF(U$11:U123,U123)-1)))</f>
        <v/>
      </c>
      <c r="W123" s="237"/>
      <c r="X123" s="61" t="str">
        <f>IF(L123="","",VLOOKUP($L123,classifications!$C:$J,6,FALSE))</f>
        <v>Urban with City and Town</v>
      </c>
      <c r="Y123" s="49" t="str">
        <f t="shared" si="32"/>
        <v/>
      </c>
      <c r="Z123" s="57" t="str">
        <f>IF(Y123="","",IF(I$8="A",(RANK(Y123,Y$11:Y$355,1)+COUNTIF(Y$11:Y123,Y123)-1),(RANK(Y123,Y$11:Y$355)+COUNTIF(Y$11:Y123,Y123)-1)))</f>
        <v/>
      </c>
      <c r="AA123" s="242" t="str">
        <f>IF(L123="","",VLOOKUP($L123,classifications!C:I,7,FALSE))</f>
        <v>Predominantly Urban</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Hampshire</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South East</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483.9</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486.8</v>
      </c>
      <c r="G124" s="105"/>
      <c r="H124" s="60">
        <f t="shared" si="27"/>
        <v>486.8</v>
      </c>
      <c r="I124" s="112">
        <f>IF(H124="","",IF($I$8="A",(RANK(H124,H$11:H$355,1)+COUNTIF(H$11:H124,H124)-1),(RANK(H124,H$11:H$355)+COUNTIF(H$11:H124,H124)-1)))</f>
        <v>129</v>
      </c>
      <c r="J124" s="58"/>
      <c r="K124" s="51">
        <f t="shared" si="38"/>
        <v>114</v>
      </c>
      <c r="L124" s="59" t="str">
        <f t="shared" si="28"/>
        <v>Braintree</v>
      </c>
      <c r="M124" s="153">
        <f t="shared" si="29"/>
        <v>471.6</v>
      </c>
      <c r="N124" s="148">
        <f t="shared" si="39"/>
        <v>471.6</v>
      </c>
      <c r="O124" s="131" t="str">
        <f t="shared" si="30"/>
        <v/>
      </c>
      <c r="P124" s="131" t="str">
        <f t="shared" si="45"/>
        <v/>
      </c>
      <c r="Q124" s="131">
        <f t="shared" si="46"/>
        <v>471.6</v>
      </c>
      <c r="R124" s="127" t="str">
        <f t="shared" si="47"/>
        <v/>
      </c>
      <c r="S124" s="60" t="str">
        <f t="shared" si="40"/>
        <v/>
      </c>
      <c r="T124" s="228" t="str">
        <f>IF(L124="","",VLOOKUP(L124,classifications!C:K,9,FALSE))</f>
        <v>Sparse</v>
      </c>
      <c r="U124" s="235">
        <f t="shared" si="31"/>
        <v>471.6</v>
      </c>
      <c r="V124" s="236">
        <f>IF(U124="","",IF($I$8="A",(RANK(U124,U$11:U$355)+COUNTIF(U$11:U124,U124)-1),(RANK(U124,U$11:U$355,1)+COUNTIF(U$11:U124,U124)-1)))</f>
        <v>20</v>
      </c>
      <c r="W124" s="237"/>
      <c r="X124" s="61" t="str">
        <f>IF(L124="","",VLOOKUP($L124,classifications!$C:$J,6,FALSE))</f>
        <v xml:space="preserve">Largely Rural (rural including hub towns 50-79%) </v>
      </c>
      <c r="Y124" s="49" t="str">
        <f t="shared" si="32"/>
        <v/>
      </c>
      <c r="Z124" s="57" t="str">
        <f>IF(Y124="","",IF(I$8="A",(RANK(Y124,Y$11:Y$355,1)+COUNTIF(Y$11:Y124,Y124)-1),(RANK(Y124,Y$11:Y$355)+COUNTIF(Y$11:Y124,Y124)-1)))</f>
        <v/>
      </c>
      <c r="AA124" s="242" t="str">
        <f>IF(L124="","",VLOOKUP($L124,classifications!C:I,7,FALSE))</f>
        <v>Predominantly Rural</v>
      </c>
      <c r="AB124" s="236">
        <f t="shared" si="41"/>
        <v>471.6</v>
      </c>
      <c r="AC124" s="236">
        <f>IF(AB124="","",IF($I$8="A",(RANK(AB124,AB$11:AB$355)+COUNTIF(AB$11:AB124,AB124)-1),(RANK(AB124,AB$11:AB$355,1)+COUNTIF(AB$11:AB124,AB124)-1)))</f>
        <v>22</v>
      </c>
      <c r="AD124" s="236"/>
      <c r="AE124" s="51" t="str">
        <f t="shared" si="48"/>
        <v/>
      </c>
      <c r="AG124" s="143"/>
      <c r="AH124" s="52"/>
      <c r="AI124" s="61" t="str">
        <f>IF(L124="","",VLOOKUP($L124,classifications!$C:$J,8,FALSE))</f>
        <v>Essex</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East of England</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486.8</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427.5</v>
      </c>
      <c r="G125" s="105"/>
      <c r="H125" s="60">
        <f t="shared" si="27"/>
        <v>427.5</v>
      </c>
      <c r="I125" s="112">
        <f>IF(H125="","",IF($I$8="A",(RANK(H125,H$11:H$355,1)+COUNTIF(H$11:H125,H125)-1),(RANK(H125,H$11:H$355)+COUNTIF(H$11:H125,H125)-1)))</f>
        <v>64</v>
      </c>
      <c r="J125" s="58"/>
      <c r="K125" s="51">
        <f t="shared" si="38"/>
        <v>115</v>
      </c>
      <c r="L125" s="59" t="str">
        <f t="shared" si="28"/>
        <v>Burnley</v>
      </c>
      <c r="M125" s="153">
        <f t="shared" si="29"/>
        <v>471.7</v>
      </c>
      <c r="N125" s="148">
        <f t="shared" si="39"/>
        <v>471.7</v>
      </c>
      <c r="O125" s="131" t="str">
        <f t="shared" si="30"/>
        <v/>
      </c>
      <c r="P125" s="131" t="str">
        <f t="shared" si="45"/>
        <v/>
      </c>
      <c r="Q125" s="131">
        <f t="shared" si="46"/>
        <v>471.7</v>
      </c>
      <c r="R125" s="127" t="str">
        <f t="shared" si="47"/>
        <v/>
      </c>
      <c r="S125" s="60" t="str">
        <f t="shared" si="40"/>
        <v/>
      </c>
      <c r="T125" s="228">
        <f>IF(L125="","",VLOOKUP(L125,classifications!C:K,9,FALSE))</f>
        <v>0</v>
      </c>
      <c r="U125" s="235" t="str">
        <f t="shared" si="31"/>
        <v/>
      </c>
      <c r="V125" s="236" t="str">
        <f>IF(U125="","",IF($I$8="A",(RANK(U125,U$11:U$355)+COUNTIF(U$11:U125,U125)-1),(RANK(U125,U$11:U$355,1)+COUNTIF(U$11:U125,U125)-1)))</f>
        <v/>
      </c>
      <c r="W125" s="237"/>
      <c r="X125" s="61" t="str">
        <f>IF(L125="","",VLOOKUP($L125,classifications!$C:$J,6,FALSE))</f>
        <v>Urban with City and Town</v>
      </c>
      <c r="Y125" s="49" t="str">
        <f t="shared" si="32"/>
        <v/>
      </c>
      <c r="Z125" s="57" t="str">
        <f>IF(Y125="","",IF(I$8="A",(RANK(Y125,Y$11:Y$355,1)+COUNTIF(Y$11:Y125,Y125)-1),(RANK(Y125,Y$11:Y$355)+COUNTIF(Y$11:Y125,Y125)-1)))</f>
        <v/>
      </c>
      <c r="AA125" s="242" t="str">
        <f>IF(L125="","",VLOOKUP($L125,classifications!C:I,7,FALSE))</f>
        <v>Predominantly Urban</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Lancashire</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North West</v>
      </c>
      <c r="AQ125" s="62">
        <f t="shared" si="43"/>
        <v>471.7</v>
      </c>
      <c r="AR125" s="57">
        <f>IF(AQ125="","",IF(I$8="A",(RANK(AQ125,AQ$11:AQ$355,1)+COUNTIF(AQ$11:AQ125,AQ125)-1),(RANK(AQ125,AQ$11:AQ$355)+COUNTIF(AQ$11:AQ125,AQ125)-1)))</f>
        <v>9</v>
      </c>
      <c r="AS125" s="52" t="str">
        <f t="shared" si="44"/>
        <v/>
      </c>
      <c r="AT125" s="57" t="str">
        <f t="shared" si="36"/>
        <v/>
      </c>
      <c r="AU125" s="62" t="str">
        <f t="shared" si="37"/>
        <v/>
      </c>
      <c r="AX125" s="44">
        <f>HLOOKUP($AX$9&amp;$AX$10,Data!$A$1:$ZZ$2000,(MATCH($C125,Data!$A$1:$A$2000,0)),FALSE)</f>
        <v>427.5</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552.70000000000005</v>
      </c>
      <c r="G126" s="105"/>
      <c r="H126" s="60">
        <f t="shared" si="27"/>
        <v>552.70000000000005</v>
      </c>
      <c r="I126" s="112">
        <f>IF(H126="","",IF($I$8="A",(RANK(H126,H$11:H$355,1)+COUNTIF(H$11:H126,H126)-1),(RANK(H126,H$11:H$355)+COUNTIF(H$11:H126,H126)-1)))</f>
        <v>168</v>
      </c>
      <c r="J126" s="58"/>
      <c r="K126" s="51">
        <f t="shared" si="38"/>
        <v>116</v>
      </c>
      <c r="L126" s="59" t="str">
        <f t="shared" si="28"/>
        <v>Hart</v>
      </c>
      <c r="M126" s="153">
        <f t="shared" si="29"/>
        <v>471.7</v>
      </c>
      <c r="N126" s="148">
        <f t="shared" si="39"/>
        <v>471.7</v>
      </c>
      <c r="O126" s="131" t="str">
        <f t="shared" si="30"/>
        <v/>
      </c>
      <c r="P126" s="131" t="str">
        <f t="shared" si="45"/>
        <v/>
      </c>
      <c r="Q126" s="131">
        <f t="shared" si="46"/>
        <v>471.7</v>
      </c>
      <c r="R126" s="127" t="str">
        <f t="shared" si="47"/>
        <v/>
      </c>
      <c r="S126" s="60" t="str">
        <f t="shared" si="40"/>
        <v/>
      </c>
      <c r="T126" s="228">
        <f>IF(L126="","",VLOOKUP(L126,classifications!C:K,9,FALSE))</f>
        <v>0</v>
      </c>
      <c r="U126" s="235" t="str">
        <f t="shared" si="31"/>
        <v/>
      </c>
      <c r="V126" s="236" t="str">
        <f>IF(U126="","",IF($I$8="A",(RANK(U126,U$11:U$355)+COUNTIF(U$11:U126,U126)-1),(RANK(U126,U$11:U$355,1)+COUNTIF(U$11:U126,U126)-1)))</f>
        <v/>
      </c>
      <c r="W126" s="237"/>
      <c r="X126" s="61" t="str">
        <f>IF(L126="","",VLOOKUP($L126,classifications!$C:$J,6,FALSE))</f>
        <v>Urban with Significant Rural (rural including hub towns 26-49%)</v>
      </c>
      <c r="Y126" s="49" t="str">
        <f t="shared" si="32"/>
        <v/>
      </c>
      <c r="Z126" s="57" t="str">
        <f>IF(Y126="","",IF(I$8="A",(RANK(Y126,Y$11:Y$355,1)+COUNTIF(Y$11:Y126,Y126)-1),(RANK(Y126,Y$11:Y$355)+COUNTIF(Y$11:Y126,Y126)-1)))</f>
        <v/>
      </c>
      <c r="AA126" s="242" t="str">
        <f>IF(L126="","",VLOOKUP($L126,classifications!C:I,7,FALSE))</f>
        <v>Significant Rural</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Hampshire</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South East</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552.70000000000005</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580.1</v>
      </c>
      <c r="G127" s="105"/>
      <c r="H127" s="60" t="str">
        <f t="shared" si="27"/>
        <v/>
      </c>
      <c r="I127" s="112" t="str">
        <f>IF(H127="","",IF($I$8="A",(RANK(H127,H$11:H$355,1)+COUNTIF(H$11:H127,H127)-1),(RANK(H127,H$11:H$355)+COUNTIF(H$11:H127,H127)-1)))</f>
        <v/>
      </c>
      <c r="J127" s="58"/>
      <c r="K127" s="51">
        <f t="shared" si="38"/>
        <v>117</v>
      </c>
      <c r="L127" s="59" t="str">
        <f t="shared" si="28"/>
        <v>Lichfield</v>
      </c>
      <c r="M127" s="153">
        <f t="shared" si="29"/>
        <v>471.8</v>
      </c>
      <c r="N127" s="148">
        <f t="shared" si="39"/>
        <v>471.8</v>
      </c>
      <c r="O127" s="131" t="str">
        <f t="shared" si="30"/>
        <v/>
      </c>
      <c r="P127" s="131" t="str">
        <f t="shared" si="45"/>
        <v/>
      </c>
      <c r="Q127" s="131">
        <f t="shared" si="46"/>
        <v>471.8</v>
      </c>
      <c r="R127" s="127" t="str">
        <f t="shared" si="47"/>
        <v/>
      </c>
      <c r="S127" s="60" t="str">
        <f t="shared" si="40"/>
        <v/>
      </c>
      <c r="T127" s="228" t="str">
        <f>IF(L127="","",VLOOKUP(L127,classifications!C:K,9,FALSE))</f>
        <v>Sparse</v>
      </c>
      <c r="U127" s="235">
        <f t="shared" si="31"/>
        <v>471.8</v>
      </c>
      <c r="V127" s="236">
        <f>IF(U127="","",IF($I$8="A",(RANK(U127,U$11:U$355)+COUNTIF(U$11:U127,U127)-1),(RANK(U127,U$11:U$355,1)+COUNTIF(U$11:U127,U127)-1)))</f>
        <v>19</v>
      </c>
      <c r="W127" s="237"/>
      <c r="X127" s="61" t="str">
        <f>IF(L127="","",VLOOKUP($L127,classifications!$C:$J,6,FALSE))</f>
        <v>Urban with Significant Rural (rural including hub towns 26-49%)</v>
      </c>
      <c r="Y127" s="49" t="str">
        <f t="shared" si="32"/>
        <v/>
      </c>
      <c r="Z127" s="57" t="str">
        <f>IF(Y127="","",IF(I$8="A",(RANK(Y127,Y$11:Y$355,1)+COUNTIF(Y$11:Y127,Y127)-1),(RANK(Y127,Y$11:Y$355)+COUNTIF(Y$11:Y127,Y127)-1)))</f>
        <v/>
      </c>
      <c r="AA127" s="242" t="str">
        <f>IF(L127="","",VLOOKUP($L127,classifications!C:I,7,FALSE))</f>
        <v>Significant Rural</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Staffordshire</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West Midlands</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580.1</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355.6</v>
      </c>
      <c r="G128" s="105"/>
      <c r="H128" s="60">
        <f t="shared" si="27"/>
        <v>355.6</v>
      </c>
      <c r="I128" s="112">
        <f>IF(H128="","",IF($I$8="A",(RANK(H128,H$11:H$355,1)+COUNTIF(H$11:H128,H128)-1),(RANK(H128,H$11:H$355)+COUNTIF(H$11:H128,H128)-1)))</f>
        <v>19</v>
      </c>
      <c r="J128" s="58"/>
      <c r="K128" s="51">
        <f t="shared" si="38"/>
        <v>118</v>
      </c>
      <c r="L128" s="59" t="str">
        <f t="shared" si="28"/>
        <v>Carlisle</v>
      </c>
      <c r="M128" s="153">
        <f t="shared" si="29"/>
        <v>474.4</v>
      </c>
      <c r="N128" s="148">
        <f t="shared" si="39"/>
        <v>474.4</v>
      </c>
      <c r="O128" s="131" t="str">
        <f t="shared" si="30"/>
        <v/>
      </c>
      <c r="P128" s="131" t="str">
        <f t="shared" si="45"/>
        <v/>
      </c>
      <c r="Q128" s="131">
        <f t="shared" si="46"/>
        <v>474.4</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Urban with Significant Rural (rural including hub towns 26-49%)</v>
      </c>
      <c r="Y128" s="49" t="str">
        <f t="shared" si="32"/>
        <v/>
      </c>
      <c r="Z128" s="57" t="str">
        <f>IF(Y128="","",IF(I$8="A",(RANK(Y128,Y$11:Y$355,1)+COUNTIF(Y$11:Y128,Y128)-1),(RANK(Y128,Y$11:Y$355)+COUNTIF(Y$11:Y128,Y128)-1)))</f>
        <v/>
      </c>
      <c r="AA128" s="242" t="str">
        <f>IF(L128="","",VLOOKUP($L128,classifications!C:I,7,FALSE))</f>
        <v>Significant Rural</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Cumbria</v>
      </c>
      <c r="AJ128" s="62">
        <f t="shared" si="33"/>
        <v>474.4</v>
      </c>
      <c r="AK128" s="57">
        <f>IF(AJ128="","",IF(I$8="A",(RANK(AJ128,AJ$11:AJ$355,1)+COUNTIF(AJ$11:AJ128,AJ128)-1),(RANK(AJ128,AJ$11:AJ$355)+COUNTIF(AJ$11:AJ128,AJ128)-1)))</f>
        <v>3</v>
      </c>
      <c r="AL128" s="52" t="str">
        <f t="shared" si="42"/>
        <v/>
      </c>
      <c r="AM128" s="31" t="str">
        <f t="shared" si="34"/>
        <v/>
      </c>
      <c r="AN128" s="31" t="str">
        <f t="shared" si="35"/>
        <v/>
      </c>
      <c r="AP128" s="61" t="str">
        <f>IF(L128="","",VLOOKUP($L128,classifications!$C:$E,3,FALSE))</f>
        <v>North West</v>
      </c>
      <c r="AQ128" s="62">
        <f t="shared" si="43"/>
        <v>474.4</v>
      </c>
      <c r="AR128" s="57">
        <f>IF(AQ128="","",IF(I$8="A",(RANK(AQ128,AQ$11:AQ$355,1)+COUNTIF(AQ$11:AQ128,AQ128)-1),(RANK(AQ128,AQ$11:AQ$355)+COUNTIF(AQ$11:AQ128,AQ128)-1)))</f>
        <v>10</v>
      </c>
      <c r="AS128" s="52" t="str">
        <f t="shared" si="44"/>
        <v/>
      </c>
      <c r="AT128" s="57" t="str">
        <f t="shared" si="36"/>
        <v/>
      </c>
      <c r="AU128" s="62" t="str">
        <f t="shared" si="37"/>
        <v/>
      </c>
      <c r="AX128" s="44">
        <f>HLOOKUP($AX$9&amp;$AX$10,Data!$A$1:$ZZ$2000,(MATCH($C128,Data!$A$1:$A$2000,0)),FALSE)</f>
        <v>355.6</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528.79999999999995</v>
      </c>
      <c r="G129" s="105"/>
      <c r="H129" s="60" t="str">
        <f t="shared" si="27"/>
        <v/>
      </c>
      <c r="I129" s="112" t="str">
        <f>IF(H129="","",IF($I$8="A",(RANK(H129,H$11:H$355,1)+COUNTIF(H$11:H129,H129)-1),(RANK(H129,H$11:H$355)+COUNTIF(H$11:H129,H129)-1)))</f>
        <v/>
      </c>
      <c r="J129" s="58"/>
      <c r="K129" s="51">
        <f t="shared" si="38"/>
        <v>119</v>
      </c>
      <c r="L129" s="59" t="str">
        <f t="shared" si="28"/>
        <v>Hertsmere</v>
      </c>
      <c r="M129" s="153">
        <f t="shared" si="29"/>
        <v>474.8</v>
      </c>
      <c r="N129" s="148">
        <f t="shared" si="39"/>
        <v>474.8</v>
      </c>
      <c r="O129" s="131" t="str">
        <f t="shared" si="30"/>
        <v/>
      </c>
      <c r="P129" s="131" t="str">
        <f t="shared" si="45"/>
        <v/>
      </c>
      <c r="Q129" s="131">
        <f t="shared" si="46"/>
        <v>474.8</v>
      </c>
      <c r="R129" s="127" t="str">
        <f t="shared" si="47"/>
        <v/>
      </c>
      <c r="S129" s="60" t="str">
        <f t="shared" si="40"/>
        <v/>
      </c>
      <c r="T129" s="228">
        <f>IF(L129="","",VLOOKUP(L129,classifications!C:K,9,FALSE))</f>
        <v>0</v>
      </c>
      <c r="U129" s="235" t="str">
        <f t="shared" si="31"/>
        <v/>
      </c>
      <c r="V129" s="236" t="str">
        <f>IF(U129="","",IF($I$8="A",(RANK(U129,U$11:U$355)+COUNTIF(U$11:U129,U129)-1),(RANK(U129,U$11:U$355,1)+COUNTIF(U$11:U129,U129)-1)))</f>
        <v/>
      </c>
      <c r="W129" s="237"/>
      <c r="X129" s="61" t="str">
        <f>IF(L129="","",VLOOKUP($L129,classifications!$C:$J,6,FALSE))</f>
        <v>Urban with Major Conurbation</v>
      </c>
      <c r="Y129" s="49" t="str">
        <f t="shared" si="32"/>
        <v/>
      </c>
      <c r="Z129" s="57" t="str">
        <f>IF(Y129="","",IF(I$8="A",(RANK(Y129,Y$11:Y$355,1)+COUNTIF(Y$11:Y129,Y129)-1),(RANK(Y129,Y$11:Y$355)+COUNTIF(Y$11:Y129,Y129)-1)))</f>
        <v/>
      </c>
      <c r="AA129" s="242" t="str">
        <f>IF(L129="","",VLOOKUP($L129,classifications!C:I,7,FALSE))</f>
        <v>Predominantly Urban</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Hertfordshire</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East of England</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528.79999999999995</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616.79999999999995</v>
      </c>
      <c r="G130" s="105"/>
      <c r="H130" s="60" t="str">
        <f t="shared" si="27"/>
        <v/>
      </c>
      <c r="I130" s="112" t="str">
        <f>IF(H130="","",IF($I$8="A",(RANK(H130,H$11:H$355,1)+COUNTIF(H$11:H130,H130)-1),(RANK(H130,H$11:H$355)+COUNTIF(H$11:H130,H130)-1)))</f>
        <v/>
      </c>
      <c r="J130" s="58"/>
      <c r="K130" s="51">
        <f t="shared" si="38"/>
        <v>120</v>
      </c>
      <c r="L130" s="59" t="str">
        <f t="shared" si="28"/>
        <v>South Norfolk</v>
      </c>
      <c r="M130" s="153">
        <f t="shared" si="29"/>
        <v>476.5</v>
      </c>
      <c r="N130" s="148">
        <f t="shared" si="39"/>
        <v>476.5</v>
      </c>
      <c r="O130" s="131" t="str">
        <f t="shared" si="30"/>
        <v/>
      </c>
      <c r="P130" s="131" t="str">
        <f t="shared" si="45"/>
        <v/>
      </c>
      <c r="Q130" s="131">
        <f t="shared" si="46"/>
        <v>476.5</v>
      </c>
      <c r="R130" s="127" t="str">
        <f t="shared" si="47"/>
        <v/>
      </c>
      <c r="S130" s="60" t="str">
        <f t="shared" si="40"/>
        <v/>
      </c>
      <c r="T130" s="228" t="str">
        <f>IF(L130="","",VLOOKUP(L130,classifications!C:K,9,FALSE))</f>
        <v>Sparse</v>
      </c>
      <c r="U130" s="235">
        <f t="shared" si="31"/>
        <v>476.5</v>
      </c>
      <c r="V130" s="236">
        <f>IF(U130="","",IF($I$8="A",(RANK(U130,U$11:U$355)+COUNTIF(U$11:U130,U130)-1),(RANK(U130,U$11:U$355,1)+COUNTIF(U$11:U130,U130)-1)))</f>
        <v>18</v>
      </c>
      <c r="W130" s="237"/>
      <c r="X130" s="61" t="str">
        <f>IF(L130="","",VLOOKUP($L130,classifications!$C:$J,6,FALSE))</f>
        <v xml:space="preserve">Mainly Rural (rural including hub towns &gt;=80%) </v>
      </c>
      <c r="Y130" s="49">
        <f t="shared" si="32"/>
        <v>476.5</v>
      </c>
      <c r="Z130" s="57">
        <f>IF(Y130="","",IF(I$8="A",(RANK(Y130,Y$11:Y$355,1)+COUNTIF(Y$11:Y130,Y130)-1),(RANK(Y130,Y$11:Y$355)+COUNTIF(Y$11:Y130,Y130)-1)))</f>
        <v>30</v>
      </c>
      <c r="AA130" s="242" t="str">
        <f>IF(L130="","",VLOOKUP($L130,classifications!C:I,7,FALSE))</f>
        <v>Predominantly Rural</v>
      </c>
      <c r="AB130" s="236">
        <f t="shared" si="41"/>
        <v>476.5</v>
      </c>
      <c r="AC130" s="236">
        <f>IF(AB130="","",IF($I$8="A",(RANK(AB130,AB$11:AB$355)+COUNTIF(AB$11:AB130,AB130)-1),(RANK(AB130,AB$11:AB$355,1)+COUNTIF(AB$11:AB130,AB130)-1)))</f>
        <v>21</v>
      </c>
      <c r="AD130" s="236"/>
      <c r="AE130" s="51" t="str">
        <f t="shared" si="48"/>
        <v/>
      </c>
      <c r="AG130" s="143"/>
      <c r="AH130" s="52"/>
      <c r="AI130" s="61" t="str">
        <f>IF(L130="","",VLOOKUP($L130,classifications!$C:$J,8,FALSE))</f>
        <v>Norfolk</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East of England</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616.79999999999995</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401.4</v>
      </c>
      <c r="G131" s="105"/>
      <c r="H131" s="60">
        <f t="shared" si="27"/>
        <v>401.4</v>
      </c>
      <c r="I131" s="112">
        <f>IF(H131="","",IF($I$8="A",(RANK(H131,H$11:H$355,1)+COUNTIF(H$11:H131,H131)-1),(RANK(H131,H$11:H$355)+COUNTIF(H$11:H131,H131)-1)))</f>
        <v>41</v>
      </c>
      <c r="J131" s="58"/>
      <c r="K131" s="51">
        <f t="shared" si="38"/>
        <v>121</v>
      </c>
      <c r="L131" s="59" t="str">
        <f t="shared" si="28"/>
        <v>West Lancashire</v>
      </c>
      <c r="M131" s="153">
        <f t="shared" si="29"/>
        <v>477.2</v>
      </c>
      <c r="N131" s="148">
        <f t="shared" si="39"/>
        <v>477.2</v>
      </c>
      <c r="O131" s="131" t="str">
        <f t="shared" si="30"/>
        <v/>
      </c>
      <c r="P131" s="131" t="str">
        <f t="shared" si="45"/>
        <v/>
      </c>
      <c r="Q131" s="131">
        <f t="shared" si="46"/>
        <v>477.2</v>
      </c>
      <c r="R131" s="127" t="str">
        <f t="shared" si="47"/>
        <v/>
      </c>
      <c r="S131" s="60" t="str">
        <f t="shared" si="40"/>
        <v/>
      </c>
      <c r="T131" s="228">
        <f>IF(L131="","",VLOOKUP(L131,classifications!C:K,9,FALSE))</f>
        <v>0</v>
      </c>
      <c r="U131" s="235" t="str">
        <f t="shared" si="31"/>
        <v/>
      </c>
      <c r="V131" s="236" t="str">
        <f>IF(U131="","",IF($I$8="A",(RANK(U131,U$11:U$355)+COUNTIF(U$11:U131,U131)-1),(RANK(U131,U$11:U$355,1)+COUNTIF(U$11:U131,U131)-1)))</f>
        <v/>
      </c>
      <c r="W131" s="237"/>
      <c r="X131" s="61" t="str">
        <f>IF(L131="","",VLOOKUP($L131,classifications!$C:$J,6,FALSE))</f>
        <v>Urban with Significant Rural (rural including hub towns 26-49%)</v>
      </c>
      <c r="Y131" s="49" t="str">
        <f t="shared" si="32"/>
        <v/>
      </c>
      <c r="Z131" s="57" t="str">
        <f>IF(Y131="","",IF(I$8="A",(RANK(Y131,Y$11:Y$355,1)+COUNTIF(Y$11:Y131,Y131)-1),(RANK(Y131,Y$11:Y$355)+COUNTIF(Y$11:Y131,Y131)-1)))</f>
        <v/>
      </c>
      <c r="AA131" s="242" t="str">
        <f>IF(L131="","",VLOOKUP($L131,classifications!C:I,7,FALSE))</f>
        <v>Significant Rural</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Lancashire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North West</v>
      </c>
      <c r="AQ131" s="62">
        <f t="shared" si="43"/>
        <v>477.2</v>
      </c>
      <c r="AR131" s="57">
        <f>IF(AQ131="","",IF(I$8="A",(RANK(AQ131,AQ$11:AQ$355,1)+COUNTIF(AQ$11:AQ131,AQ131)-1),(RANK(AQ131,AQ$11:AQ$355)+COUNTIF(AQ$11:AQ131,AQ131)-1)))</f>
        <v>11</v>
      </c>
      <c r="AS131" s="52" t="str">
        <f t="shared" si="44"/>
        <v/>
      </c>
      <c r="AT131" s="57" t="str">
        <f t="shared" si="36"/>
        <v/>
      </c>
      <c r="AU131" s="62" t="str">
        <f t="shared" si="37"/>
        <v/>
      </c>
      <c r="AX131" s="44">
        <f>HLOOKUP($AX$9&amp;$AX$10,Data!$A$1:$ZZ$2000,(MATCH($C131,Data!$A$1:$A$2000,0)),FALSE)</f>
        <v>401.4</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378.2</v>
      </c>
      <c r="G132" s="105"/>
      <c r="H132" s="60" t="str">
        <f t="shared" si="27"/>
        <v/>
      </c>
      <c r="I132" s="112" t="str">
        <f>IF(H132="","",IF($I$8="A",(RANK(H132,H$11:H$355,1)+COUNTIF(H$11:H132,H132)-1),(RANK(H132,H$11:H$355)+COUNTIF(H$11:H132,H132)-1)))</f>
        <v/>
      </c>
      <c r="J132" s="58"/>
      <c r="K132" s="51">
        <f t="shared" si="38"/>
        <v>122</v>
      </c>
      <c r="L132" s="59" t="str">
        <f t="shared" si="28"/>
        <v>Blaby</v>
      </c>
      <c r="M132" s="153">
        <f t="shared" si="29"/>
        <v>477.4</v>
      </c>
      <c r="N132" s="148">
        <f t="shared" si="39"/>
        <v>477.4</v>
      </c>
      <c r="O132" s="131" t="str">
        <f t="shared" si="30"/>
        <v/>
      </c>
      <c r="P132" s="131" t="str">
        <f t="shared" si="45"/>
        <v/>
      </c>
      <c r="Q132" s="131">
        <f t="shared" si="46"/>
        <v>477.4</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Urban with City and Town</v>
      </c>
      <c r="Y132" s="49" t="str">
        <f t="shared" si="32"/>
        <v/>
      </c>
      <c r="Z132" s="57" t="str">
        <f>IF(Y132="","",IF(I$8="A",(RANK(Y132,Y$11:Y$355,1)+COUNTIF(Y$11:Y132,Y132)-1),(RANK(Y132,Y$11:Y$355)+COUNTIF(Y$11:Y132,Y132)-1)))</f>
        <v/>
      </c>
      <c r="AA132" s="242" t="str">
        <f>IF(L132="","",VLOOKUP($L132,classifications!C:I,7,FALSE))</f>
        <v>Predominantly Urban</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Leicestershire</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East Midlands</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378.2</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590</v>
      </c>
      <c r="G133" s="105"/>
      <c r="H133" s="60" t="str">
        <f t="shared" si="27"/>
        <v/>
      </c>
      <c r="I133" s="112" t="str">
        <f>IF(H133="","",IF($I$8="A",(RANK(H133,H$11:H$355,1)+COUNTIF(H$11:H133,H133)-1),(RANK(H133,H$11:H$355)+COUNTIF(H$11:H133,H133)-1)))</f>
        <v/>
      </c>
      <c r="J133" s="58"/>
      <c r="K133" s="51">
        <f t="shared" si="38"/>
        <v>123</v>
      </c>
      <c r="L133" s="59" t="str">
        <f t="shared" si="28"/>
        <v>Eastbourne</v>
      </c>
      <c r="M133" s="153">
        <f t="shared" si="29"/>
        <v>479.5</v>
      </c>
      <c r="N133" s="148">
        <f t="shared" si="39"/>
        <v>479.5</v>
      </c>
      <c r="O133" s="131" t="str">
        <f t="shared" si="30"/>
        <v/>
      </c>
      <c r="P133" s="131" t="str">
        <f t="shared" si="45"/>
        <v/>
      </c>
      <c r="Q133" s="131">
        <f t="shared" si="46"/>
        <v>479.5</v>
      </c>
      <c r="R133" s="127" t="str">
        <f t="shared" si="47"/>
        <v/>
      </c>
      <c r="S133" s="60" t="str">
        <f t="shared" si="40"/>
        <v/>
      </c>
      <c r="T133" s="228">
        <f>IF(L133="","",VLOOKUP(L133,classifications!C:K,9,FALSE))</f>
        <v>0</v>
      </c>
      <c r="U133" s="235" t="str">
        <f t="shared" si="31"/>
        <v/>
      </c>
      <c r="V133" s="236" t="str">
        <f>IF(U133="","",IF($I$8="A",(RANK(U133,U$11:U$355)+COUNTIF(U$11:U133,U133)-1),(RANK(U133,U$11:U$355,1)+COUNTIF(U$11:U133,U133)-1)))</f>
        <v/>
      </c>
      <c r="W133" s="237"/>
      <c r="X133" s="61" t="str">
        <f>IF(L133="","",VLOOKUP($L133,classifications!$C:$J,6,FALSE))</f>
        <v>Urban with City and Town</v>
      </c>
      <c r="Y133" s="49" t="str">
        <f t="shared" si="32"/>
        <v/>
      </c>
      <c r="Z133" s="57" t="str">
        <f>IF(Y133="","",IF(I$8="A",(RANK(Y133,Y$11:Y$355,1)+COUNTIF(Y$11:Y133,Y133)-1),(RANK(Y133,Y$11:Y$355)+COUNTIF(Y$11:Y133,Y133)-1)))</f>
        <v/>
      </c>
      <c r="AA133" s="242" t="str">
        <f>IF(L133="","",VLOOKUP($L133,classifications!C:I,7,FALSE))</f>
        <v>Predominantly Urban</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East Sussex</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South East</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590</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457.1</v>
      </c>
      <c r="G134" s="105"/>
      <c r="H134" s="60">
        <f t="shared" si="27"/>
        <v>457.1</v>
      </c>
      <c r="I134" s="112">
        <f>IF(H134="","",IF($I$8="A",(RANK(H134,H$11:H$355,1)+COUNTIF(H$11:H134,H134)-1),(RANK(H134,H$11:H$355)+COUNTIF(H$11:H134,H134)-1)))</f>
        <v>95</v>
      </c>
      <c r="J134" s="58"/>
      <c r="K134" s="51">
        <f t="shared" si="38"/>
        <v>124</v>
      </c>
      <c r="L134" s="59" t="str">
        <f t="shared" si="28"/>
        <v>Brentwood</v>
      </c>
      <c r="M134" s="153">
        <f t="shared" si="29"/>
        <v>480.4</v>
      </c>
      <c r="N134" s="148">
        <f t="shared" si="39"/>
        <v>480.4</v>
      </c>
      <c r="O134" s="131" t="str">
        <f t="shared" si="30"/>
        <v/>
      </c>
      <c r="P134" s="131" t="str">
        <f t="shared" si="45"/>
        <v/>
      </c>
      <c r="Q134" s="131">
        <f t="shared" si="46"/>
        <v>480.4</v>
      </c>
      <c r="R134" s="127" t="str">
        <f t="shared" si="47"/>
        <v/>
      </c>
      <c r="S134" s="60" t="str">
        <f t="shared" si="40"/>
        <v/>
      </c>
      <c r="T134" s="228">
        <f>IF(L134="","",VLOOKUP(L134,classifications!C:K,9,FALSE))</f>
        <v>0</v>
      </c>
      <c r="U134" s="235" t="str">
        <f t="shared" si="31"/>
        <v/>
      </c>
      <c r="V134" s="236" t="str">
        <f>IF(U134="","",IF($I$8="A",(RANK(U134,U$11:U$355)+COUNTIF(U$11:U134,U134)-1),(RANK(U134,U$11:U$355,1)+COUNTIF(U$11:U134,U134)-1)))</f>
        <v/>
      </c>
      <c r="W134" s="237"/>
      <c r="X134" s="61" t="str">
        <f>IF(L134="","",VLOOKUP($L134,classifications!$C:$J,6,FALSE))</f>
        <v>Urban with Significant Rural (rural including hub towns 26-49%)</v>
      </c>
      <c r="Y134" s="49" t="str">
        <f t="shared" si="32"/>
        <v/>
      </c>
      <c r="Z134" s="57" t="str">
        <f>IF(Y134="","",IF(I$8="A",(RANK(Y134,Y$11:Y$355,1)+COUNTIF(Y$11:Y134,Y134)-1),(RANK(Y134,Y$11:Y$355)+COUNTIF(Y$11:Y134,Y134)-1)))</f>
        <v/>
      </c>
      <c r="AA134" s="242" t="str">
        <f>IF(L134="","",VLOOKUP($L134,classifications!C:I,7,FALSE))</f>
        <v>Significant Rural</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Essex</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East of England</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457.1</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532.70000000000005</v>
      </c>
      <c r="G135" s="105"/>
      <c r="H135" s="60" t="str">
        <f t="shared" si="27"/>
        <v/>
      </c>
      <c r="I135" s="112" t="str">
        <f>IF(H135="","",IF($I$8="A",(RANK(H135,H$11:H$355,1)+COUNTIF(H$11:H135,H135)-1),(RANK(H135,H$11:H$355)+COUNTIF(H$11:H135,H135)-1)))</f>
        <v/>
      </c>
      <c r="J135" s="58"/>
      <c r="K135" s="51">
        <f t="shared" si="38"/>
        <v>125</v>
      </c>
      <c r="L135" s="59" t="str">
        <f t="shared" si="28"/>
        <v>Chelmsford</v>
      </c>
      <c r="M135" s="153">
        <f t="shared" si="29"/>
        <v>482.5</v>
      </c>
      <c r="N135" s="148">
        <f t="shared" si="39"/>
        <v>482.5</v>
      </c>
      <c r="O135" s="131" t="str">
        <f t="shared" si="30"/>
        <v/>
      </c>
      <c r="P135" s="131" t="str">
        <f t="shared" si="45"/>
        <v/>
      </c>
      <c r="Q135" s="131">
        <f t="shared" si="46"/>
        <v>482.5</v>
      </c>
      <c r="R135" s="127" t="str">
        <f t="shared" si="47"/>
        <v/>
      </c>
      <c r="S135" s="60" t="str">
        <f t="shared" si="40"/>
        <v/>
      </c>
      <c r="T135" s="228">
        <f>IF(L135="","",VLOOKUP(L135,classifications!C:K,9,FALSE))</f>
        <v>0</v>
      </c>
      <c r="U135" s="235" t="str">
        <f t="shared" si="31"/>
        <v/>
      </c>
      <c r="V135" s="236" t="str">
        <f>IF(U135="","",IF($I$8="A",(RANK(U135,U$11:U$355)+COUNTIF(U$11:U135,U135)-1),(RANK(U135,U$11:U$355,1)+COUNTIF(U$11:U135,U135)-1)))</f>
        <v/>
      </c>
      <c r="W135" s="237"/>
      <c r="X135" s="61" t="str">
        <f>IF(L135="","",VLOOKUP($L135,classifications!$C:$J,6,FALSE))</f>
        <v>Urban with City and Town</v>
      </c>
      <c r="Y135" s="49" t="str">
        <f t="shared" si="32"/>
        <v/>
      </c>
      <c r="Z135" s="57" t="str">
        <f>IF(Y135="","",IF(I$8="A",(RANK(Y135,Y$11:Y$355,1)+COUNTIF(Y$11:Y135,Y135)-1),(RANK(Y135,Y$11:Y$355)+COUNTIF(Y$11:Y135,Y135)-1)))</f>
        <v/>
      </c>
      <c r="AA135" s="242" t="str">
        <f>IF(L135="","",VLOOKUP($L135,classifications!C:I,7,FALSE))</f>
        <v>Predominantly Urban</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Essex</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East of England</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532.70000000000005</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420.9</v>
      </c>
      <c r="G136" s="105"/>
      <c r="H136" s="60">
        <f t="shared" si="27"/>
        <v>420.9</v>
      </c>
      <c r="I136" s="112">
        <f>IF(H136="","",IF($I$8="A",(RANK(H136,H$11:H$355,1)+COUNTIF(H$11:H136,H136)-1),(RANK(H136,H$11:H$355)+COUNTIF(H$11:H136,H136)-1)))</f>
        <v>57</v>
      </c>
      <c r="J136" s="58"/>
      <c r="K136" s="51">
        <f t="shared" si="38"/>
        <v>126</v>
      </c>
      <c r="L136" s="59" t="str">
        <f t="shared" si="28"/>
        <v>Hastings</v>
      </c>
      <c r="M136" s="153">
        <f t="shared" si="29"/>
        <v>482.7</v>
      </c>
      <c r="N136" s="148">
        <f t="shared" si="39"/>
        <v>482.7</v>
      </c>
      <c r="O136" s="131" t="str">
        <f t="shared" si="30"/>
        <v/>
      </c>
      <c r="P136" s="131" t="str">
        <f t="shared" si="45"/>
        <v/>
      </c>
      <c r="Q136" s="131">
        <f t="shared" si="46"/>
        <v>482.7</v>
      </c>
      <c r="R136" s="127" t="str">
        <f t="shared" si="47"/>
        <v/>
      </c>
      <c r="S136" s="60" t="str">
        <f t="shared" si="40"/>
        <v/>
      </c>
      <c r="T136" s="228">
        <f>IF(L136="","",VLOOKUP(L136,classifications!C:K,9,FALSE))</f>
        <v>0</v>
      </c>
      <c r="U136" s="235" t="str">
        <f t="shared" si="31"/>
        <v/>
      </c>
      <c r="V136" s="236" t="str">
        <f>IF(U136="","",IF($I$8="A",(RANK(U136,U$11:U$355)+COUNTIF(U$11:U136,U136)-1),(RANK(U136,U$11:U$355,1)+COUNTIF(U$11:U136,U136)-1)))</f>
        <v/>
      </c>
      <c r="W136" s="237"/>
      <c r="X136" s="61" t="str">
        <f>IF(L136="","",VLOOKUP($L136,classifications!$C:$J,6,FALSE))</f>
        <v>Urban with City and Town</v>
      </c>
      <c r="Y136" s="49" t="str">
        <f t="shared" si="32"/>
        <v/>
      </c>
      <c r="Z136" s="57" t="str">
        <f>IF(Y136="","",IF(I$8="A",(RANK(Y136,Y$11:Y$355,1)+COUNTIF(Y$11:Y136,Y136)-1),(RANK(Y136,Y$11:Y$355)+COUNTIF(Y$11:Y136,Y136)-1)))</f>
        <v/>
      </c>
      <c r="AA136" s="242" t="str">
        <f>IF(L136="","",VLOOKUP($L136,classifications!C:I,7,FALSE))</f>
        <v>Predominantly Urban</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East Sussex</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South East</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420.9</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418.8</v>
      </c>
      <c r="G137" s="105"/>
      <c r="H137" s="60">
        <f t="shared" si="27"/>
        <v>418.8</v>
      </c>
      <c r="I137" s="112">
        <f>IF(H137="","",IF($I$8="A",(RANK(H137,H$11:H$355,1)+COUNTIF(H$11:H137,H137)-1),(RANK(H137,H$11:H$355)+COUNTIF(H$11:H137,H137)-1)))</f>
        <v>56</v>
      </c>
      <c r="J137" s="58"/>
      <c r="K137" s="51">
        <f t="shared" si="38"/>
        <v>127</v>
      </c>
      <c r="L137" s="59" t="str">
        <f t="shared" si="28"/>
        <v>Copeland</v>
      </c>
      <c r="M137" s="153">
        <f t="shared" si="29"/>
        <v>483.2</v>
      </c>
      <c r="N137" s="148">
        <f t="shared" si="39"/>
        <v>483.2</v>
      </c>
      <c r="O137" s="131" t="str">
        <f t="shared" si="30"/>
        <v/>
      </c>
      <c r="P137" s="131" t="str">
        <f t="shared" si="45"/>
        <v/>
      </c>
      <c r="Q137" s="131">
        <f t="shared" si="46"/>
        <v>483.2</v>
      </c>
      <c r="R137" s="127" t="str">
        <f t="shared" si="47"/>
        <v/>
      </c>
      <c r="S137" s="60" t="str">
        <f t="shared" si="40"/>
        <v/>
      </c>
      <c r="T137" s="228" t="str">
        <f>IF(L137="","",VLOOKUP(L137,classifications!C:K,9,FALSE))</f>
        <v>Sparse</v>
      </c>
      <c r="U137" s="235">
        <f t="shared" si="31"/>
        <v>483.2</v>
      </c>
      <c r="V137" s="236">
        <f>IF(U137="","",IF($I$8="A",(RANK(U137,U$11:U$355)+COUNTIF(U$11:U137,U137)-1),(RANK(U137,U$11:U$355,1)+COUNTIF(U$11:U137,U137)-1)))</f>
        <v>17</v>
      </c>
      <c r="W137" s="237"/>
      <c r="X137" s="61" t="str">
        <f>IF(L137="","",VLOOKUP($L137,classifications!$C:$J,6,FALSE))</f>
        <v xml:space="preserve">Mainly Rural (rural including hub towns &gt;=80%) </v>
      </c>
      <c r="Y137" s="49">
        <f t="shared" si="32"/>
        <v>483.2</v>
      </c>
      <c r="Z137" s="57">
        <f>IF(Y137="","",IF(I$8="A",(RANK(Y137,Y$11:Y$355,1)+COUNTIF(Y$11:Y137,Y137)-1),(RANK(Y137,Y$11:Y$355)+COUNTIF(Y$11:Y137,Y137)-1)))</f>
        <v>31</v>
      </c>
      <c r="AA137" s="242" t="str">
        <f>IF(L137="","",VLOOKUP($L137,classifications!C:I,7,FALSE))</f>
        <v>Predominantly Rural</v>
      </c>
      <c r="AB137" s="236">
        <f t="shared" si="41"/>
        <v>483.2</v>
      </c>
      <c r="AC137" s="236">
        <f>IF(AB137="","",IF($I$8="A",(RANK(AB137,AB$11:AB$355)+COUNTIF(AB$11:AB137,AB137)-1),(RANK(AB137,AB$11:AB$355,1)+COUNTIF(AB$11:AB137,AB137)-1)))</f>
        <v>20</v>
      </c>
      <c r="AD137" s="236"/>
      <c r="AE137" s="51" t="str">
        <f t="shared" si="48"/>
        <v/>
      </c>
      <c r="AG137" s="143"/>
      <c r="AH137" s="52"/>
      <c r="AI137" s="61" t="str">
        <f>IF(L137="","",VLOOKUP($L137,classifications!$C:$J,8,FALSE))</f>
        <v>Cumbria</v>
      </c>
      <c r="AJ137" s="62">
        <f t="shared" si="33"/>
        <v>483.2</v>
      </c>
      <c r="AK137" s="57">
        <f>IF(AJ137="","",IF(I$8="A",(RANK(AJ137,AJ$11:AJ$355,1)+COUNTIF(AJ$11:AJ137,AJ137)-1),(RANK(AJ137,AJ$11:AJ$355)+COUNTIF(AJ$11:AJ137,AJ137)-1)))</f>
        <v>4</v>
      </c>
      <c r="AL137" s="52" t="str">
        <f t="shared" si="42"/>
        <v/>
      </c>
      <c r="AM137" s="31" t="str">
        <f t="shared" si="34"/>
        <v/>
      </c>
      <c r="AN137" s="31" t="str">
        <f t="shared" si="35"/>
        <v/>
      </c>
      <c r="AP137" s="61" t="str">
        <f>IF(L137="","",VLOOKUP($L137,classifications!$C:$E,3,FALSE))</f>
        <v>North West</v>
      </c>
      <c r="AQ137" s="62">
        <f t="shared" si="43"/>
        <v>483.2</v>
      </c>
      <c r="AR137" s="57">
        <f>IF(AQ137="","",IF(I$8="A",(RANK(AQ137,AQ$11:AQ$355,1)+COUNTIF(AQ$11:AQ137,AQ137)-1),(RANK(AQ137,AQ$11:AQ$355)+COUNTIF(AQ$11:AQ137,AQ137)-1)))</f>
        <v>12</v>
      </c>
      <c r="AS137" s="52" t="str">
        <f t="shared" si="44"/>
        <v/>
      </c>
      <c r="AT137" s="57" t="str">
        <f t="shared" si="36"/>
        <v/>
      </c>
      <c r="AU137" s="62" t="str">
        <f t="shared" si="37"/>
        <v/>
      </c>
      <c r="AX137" s="44">
        <f>HLOOKUP($AX$9&amp;$AX$10,Data!$A$1:$ZZ$2000,(MATCH($C137,Data!$A$1:$A$2000,0)),FALSE)</f>
        <v>418.8</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597.5</v>
      </c>
      <c r="G138" s="105"/>
      <c r="H138" s="60" t="str">
        <f t="shared" si="27"/>
        <v/>
      </c>
      <c r="I138" s="112" t="str">
        <f>IF(H138="","",IF($I$8="A",(RANK(H138,H$11:H$355,1)+COUNTIF(H$11:H138,H138)-1),(RANK(H138,H$11:H$355)+COUNTIF(H$11:H138,H138)-1)))</f>
        <v/>
      </c>
      <c r="J138" s="58"/>
      <c r="K138" s="51">
        <f t="shared" si="38"/>
        <v>128</v>
      </c>
      <c r="L138" s="59" t="str">
        <f t="shared" si="28"/>
        <v>Richmondshire</v>
      </c>
      <c r="M138" s="153">
        <f t="shared" si="29"/>
        <v>484.5</v>
      </c>
      <c r="N138" s="148">
        <f t="shared" si="39"/>
        <v>484.5</v>
      </c>
      <c r="O138" s="131" t="str">
        <f t="shared" si="30"/>
        <v/>
      </c>
      <c r="P138" s="131" t="str">
        <f t="shared" si="45"/>
        <v/>
      </c>
      <c r="Q138" s="131">
        <f t="shared" si="46"/>
        <v>484.5</v>
      </c>
      <c r="R138" s="127" t="str">
        <f t="shared" si="47"/>
        <v/>
      </c>
      <c r="S138" s="60" t="str">
        <f t="shared" si="40"/>
        <v/>
      </c>
      <c r="T138" s="228" t="str">
        <f>IF(L138="","",VLOOKUP(L138,classifications!C:K,9,FALSE))</f>
        <v>Sparse</v>
      </c>
      <c r="U138" s="235">
        <f t="shared" si="31"/>
        <v>484.5</v>
      </c>
      <c r="V138" s="236">
        <f>IF(U138="","",IF($I$8="A",(RANK(U138,U$11:U$355)+COUNTIF(U$11:U138,U138)-1),(RANK(U138,U$11:U$355,1)+COUNTIF(U$11:U138,U138)-1)))</f>
        <v>16</v>
      </c>
      <c r="W138" s="237"/>
      <c r="X138" s="61" t="str">
        <f>IF(L138="","",VLOOKUP($L138,classifications!$C:$J,6,FALSE))</f>
        <v xml:space="preserve">Mainly Rural (rural including hub towns &gt;=80%) </v>
      </c>
      <c r="Y138" s="49">
        <f t="shared" si="32"/>
        <v>484.5</v>
      </c>
      <c r="Z138" s="57">
        <f>IF(Y138="","",IF(I$8="A",(RANK(Y138,Y$11:Y$355,1)+COUNTIF(Y$11:Y138,Y138)-1),(RANK(Y138,Y$11:Y$355)+COUNTIF(Y$11:Y138,Y138)-1)))</f>
        <v>32</v>
      </c>
      <c r="AA138" s="242" t="str">
        <f>IF(L138="","",VLOOKUP($L138,classifications!C:I,7,FALSE))</f>
        <v>Predominantly Rural</v>
      </c>
      <c r="AB138" s="236">
        <f t="shared" si="41"/>
        <v>484.5</v>
      </c>
      <c r="AC138" s="236">
        <f>IF(AB138="","",IF($I$8="A",(RANK(AB138,AB$11:AB$355)+COUNTIF(AB$11:AB138,AB138)-1),(RANK(AB138,AB$11:AB$355,1)+COUNTIF(AB$11:AB138,AB138)-1)))</f>
        <v>19</v>
      </c>
      <c r="AD138" s="236"/>
      <c r="AE138" s="51" t="str">
        <f t="shared" si="48"/>
        <v/>
      </c>
      <c r="AG138" s="143"/>
      <c r="AH138" s="52"/>
      <c r="AI138" s="61" t="str">
        <f>IF(L138="","",VLOOKUP($L138,classifications!$C:$J,8,FALSE))</f>
        <v>North Yorkshire</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Yorkshire &amp; Humberside</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597.5</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471.7</v>
      </c>
      <c r="G139" s="105"/>
      <c r="H139" s="60">
        <f t="shared" ref="H139:H202" si="50">IF(D139=$D$1,HLOOKUP($D$6,$AX$10:$ZZ$355,ROW()-9,FALSE),"")</f>
        <v>471.7</v>
      </c>
      <c r="I139" s="112">
        <f>IF(H139="","",IF($I$8="A",(RANK(H139,H$11:H$355,1)+COUNTIF(H$11:H139,H139)-1),(RANK(H139,H$11:H$355)+COUNTIF(H$11:H139,H139)-1)))</f>
        <v>116</v>
      </c>
      <c r="J139" s="58"/>
      <c r="K139" s="51">
        <f t="shared" si="38"/>
        <v>129</v>
      </c>
      <c r="L139" s="59" t="str">
        <f t="shared" ref="L139:L202" si="51">IF(K139="","",INDEX(C$11:C$355,MATCH(K139,I$11:I$355,0)))</f>
        <v>Gosport</v>
      </c>
      <c r="M139" s="153">
        <f t="shared" ref="M139:M202" si="52">IF(L139="","",IF(VLOOKUP(L139,C:D,2,FALSE)=$F$3,VLOOKUP(L139,C:H,6,FALSE),""))</f>
        <v>486.8</v>
      </c>
      <c r="N139" s="148">
        <f t="shared" si="39"/>
        <v>486.8</v>
      </c>
      <c r="O139" s="131" t="str">
        <f t="shared" ref="O139:O202" si="53">IF(I$8="A",IF(N139&gt;=$P$7,IF(N139&lt;=$O$10,N139,""),""),IF(N139&lt;=$P$7,IF(N139&gt;=$O$10,N139,""),""))</f>
        <v/>
      </c>
      <c r="P139" s="131" t="str">
        <f t="shared" si="45"/>
        <v/>
      </c>
      <c r="Q139" s="131">
        <f t="shared" si="46"/>
        <v>486.8</v>
      </c>
      <c r="R139" s="127" t="str">
        <f t="shared" si="47"/>
        <v/>
      </c>
      <c r="S139" s="60" t="str">
        <f t="shared" si="40"/>
        <v/>
      </c>
      <c r="T139" s="228">
        <f>IF(L139="","",VLOOKUP(L139,classifications!C:K,9,FALSE))</f>
        <v>0</v>
      </c>
      <c r="U139" s="235" t="str">
        <f t="shared" ref="U139:U202" si="54">IF(T139="Sparse",M139,"")</f>
        <v/>
      </c>
      <c r="V139" s="236" t="str">
        <f>IF(U139="","",IF($I$8="A",(RANK(U139,U$11:U$355)+COUNTIF(U$11:U139,U139)-1),(RANK(U139,U$11:U$355,1)+COUNTIF(U$11:U139,U139)-1)))</f>
        <v/>
      </c>
      <c r="W139" s="237"/>
      <c r="X139" s="61" t="str">
        <f>IF(L139="","",VLOOKUP($L139,classifications!$C:$J,6,FALSE))</f>
        <v>Urban with City and Town</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Predominantly Urban</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Hampshire</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South East</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471.7</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581.70000000000005</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Tonbridge &amp; Malling</v>
      </c>
      <c r="M140" s="153">
        <f t="shared" si="52"/>
        <v>487</v>
      </c>
      <c r="N140" s="148">
        <f t="shared" ref="N140:N203" si="62">IF(L140="","",IF($H$8="%%",M140*100,M140))</f>
        <v>487</v>
      </c>
      <c r="O140" s="131" t="str">
        <f t="shared" si="53"/>
        <v/>
      </c>
      <c r="P140" s="131" t="str">
        <f t="shared" si="45"/>
        <v/>
      </c>
      <c r="Q140" s="131">
        <f t="shared" si="46"/>
        <v>487</v>
      </c>
      <c r="R140" s="127" t="str">
        <f t="shared" si="47"/>
        <v/>
      </c>
      <c r="S140" s="60" t="str">
        <f t="shared" ref="S140:S203" si="63">IF(L140=D$3,"u","")</f>
        <v/>
      </c>
      <c r="T140" s="228">
        <f>IF(L140="","",VLOOKUP(L140,classifications!C:K,9,FALSE))</f>
        <v>0</v>
      </c>
      <c r="U140" s="235" t="str">
        <f t="shared" si="54"/>
        <v/>
      </c>
      <c r="V140" s="236" t="str">
        <f>IF(U140="","",IF($I$8="A",(RANK(U140,U$11:U$355)+COUNTIF(U$11:U140,U140)-1),(RANK(U140,U$11:U$355,1)+COUNTIF(U$11:U140,U140)-1)))</f>
        <v/>
      </c>
      <c r="W140" s="237"/>
      <c r="X140" s="61" t="str">
        <f>IF(L140="","",VLOOKUP($L140,classifications!$C:$J,6,FALSE))</f>
        <v>Urban with Significant Rural (rural including hub towns 26-49%)</v>
      </c>
      <c r="Y140" s="49" t="str">
        <f t="shared" si="55"/>
        <v/>
      </c>
      <c r="Z140" s="57" t="str">
        <f>IF(Y140="","",IF(I$8="A",(RANK(Y140,Y$11:Y$355,1)+COUNTIF(Y$11:Y140,Y140)-1),(RANK(Y140,Y$11:Y$355)+COUNTIF(Y$11:Y140,Y140)-1)))</f>
        <v/>
      </c>
      <c r="AA140" s="242" t="str">
        <f>IF(L140="","",VLOOKUP($L140,classifications!C:I,7,FALSE))</f>
        <v>Significant Rural</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Kent</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South East</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581.70000000000005</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482.7</v>
      </c>
      <c r="G141" s="105"/>
      <c r="H141" s="60">
        <f t="shared" si="50"/>
        <v>482.7</v>
      </c>
      <c r="I141" s="112">
        <f>IF(H141="","",IF($I$8="A",(RANK(H141,H$11:H$355,1)+COUNTIF(H$11:H141,H141)-1),(RANK(H141,H$11:H$355)+COUNTIF(H$11:H141,H141)-1)))</f>
        <v>126</v>
      </c>
      <c r="J141" s="58"/>
      <c r="K141" s="51">
        <f t="shared" si="61"/>
        <v>131</v>
      </c>
      <c r="L141" s="59" t="str">
        <f t="shared" si="51"/>
        <v>Test Valley</v>
      </c>
      <c r="M141" s="153">
        <f t="shared" si="52"/>
        <v>488.6</v>
      </c>
      <c r="N141" s="148">
        <f t="shared" si="62"/>
        <v>488.6</v>
      </c>
      <c r="O141" s="131" t="str">
        <f t="shared" si="53"/>
        <v/>
      </c>
      <c r="P141" s="131" t="str">
        <f t="shared" ref="P141:P204" si="68">IF(I$8="A",IF(N141&gt;$O$10,IF(N141&lt;=$P$10,N141,""),""),IF(N141&lt;$O$10,IF(N141&gt;=$P$10,N141,""),""))</f>
        <v/>
      </c>
      <c r="Q141" s="131">
        <f t="shared" ref="Q141:Q204" si="69">IF(I$8="A",IF(N141&gt;$P$10,IF(N141&lt;=$Q$10,N141,""),""),IF(N141&lt;$P$10,IF(N141&gt;=$Q$10,N141,""),""))</f>
        <v>488.6</v>
      </c>
      <c r="R141" s="127" t="str">
        <f t="shared" ref="R141:R204" si="70">IF(I$8="A",IF(N141&gt;$Q$10,N141,""),IF(N141&lt;$Q$10,N141,""))</f>
        <v/>
      </c>
      <c r="S141" s="60" t="str">
        <f t="shared" si="63"/>
        <v/>
      </c>
      <c r="T141" s="228">
        <f>IF(L141="","",VLOOKUP(L141,classifications!C:K,9,FALSE))</f>
        <v>0</v>
      </c>
      <c r="U141" s="235" t="str">
        <f t="shared" si="54"/>
        <v/>
      </c>
      <c r="V141" s="236" t="str">
        <f>IF(U141="","",IF($I$8="A",(RANK(U141,U$11:U$355)+COUNTIF(U$11:U141,U141)-1),(RANK(U141,U$11:U$355,1)+COUNTIF(U$11:U141,U141)-1)))</f>
        <v/>
      </c>
      <c r="W141" s="237"/>
      <c r="X141" s="61" t="str">
        <f>IF(L141="","",VLOOKUP($L141,classifications!$C:$J,6,FALSE))</f>
        <v>Urban with Significant Rural (rural including hub towns 26-49%)</v>
      </c>
      <c r="Y141" s="49" t="str">
        <f t="shared" si="55"/>
        <v/>
      </c>
      <c r="Z141" s="57" t="str">
        <f>IF(Y141="","",IF(I$8="A",(RANK(Y141,Y$11:Y$355,1)+COUNTIF(Y$11:Y141,Y141)-1),(RANK(Y141,Y$11:Y$355)+COUNTIF(Y$11:Y141,Y141)-1)))</f>
        <v/>
      </c>
      <c r="AA141" s="242" t="str">
        <f>IF(L141="","",VLOOKUP($L141,classifications!C:I,7,FALSE))</f>
        <v>Significant Rural</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Hampshire</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South East</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482.7</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506.1</v>
      </c>
      <c r="G142" s="105"/>
      <c r="H142" s="60">
        <f t="shared" si="50"/>
        <v>506.1</v>
      </c>
      <c r="I142" s="112">
        <f>IF(H142="","",IF($I$8="A",(RANK(H142,H$11:H$355,1)+COUNTIF(H$11:H142,H142)-1),(RANK(H142,H$11:H$355)+COUNTIF(H$11:H142,H142)-1)))</f>
        <v>144</v>
      </c>
      <c r="J142" s="58"/>
      <c r="K142" s="51">
        <f t="shared" si="61"/>
        <v>132</v>
      </c>
      <c r="L142" s="59" t="str">
        <f t="shared" si="51"/>
        <v>Northampton</v>
      </c>
      <c r="M142" s="153">
        <f t="shared" si="52"/>
        <v>489.9</v>
      </c>
      <c r="N142" s="148">
        <f t="shared" si="62"/>
        <v>489.9</v>
      </c>
      <c r="O142" s="131" t="str">
        <f t="shared" si="53"/>
        <v/>
      </c>
      <c r="P142" s="131" t="str">
        <f t="shared" si="68"/>
        <v/>
      </c>
      <c r="Q142" s="131">
        <f t="shared" si="69"/>
        <v>489.9</v>
      </c>
      <c r="R142" s="127" t="str">
        <f t="shared" si="70"/>
        <v/>
      </c>
      <c r="S142" s="60" t="str">
        <f t="shared" si="63"/>
        <v/>
      </c>
      <c r="T142" s="228">
        <f>IF(L142="","",VLOOKUP(L142,classifications!C:K,9,FALSE))</f>
        <v>0</v>
      </c>
      <c r="U142" s="235" t="str">
        <f t="shared" si="54"/>
        <v/>
      </c>
      <c r="V142" s="236" t="str">
        <f>IF(U142="","",IF($I$8="A",(RANK(U142,U$11:U$355)+COUNTIF(U$11:U142,U142)-1),(RANK(U142,U$11:U$355,1)+COUNTIF(U$11:U142,U142)-1)))</f>
        <v/>
      </c>
      <c r="W142" s="237"/>
      <c r="X142" s="61" t="str">
        <f>IF(L142="","",VLOOKUP($L142,classifications!$C:$J,6,FALSE))</f>
        <v>Urban with City and Town</v>
      </c>
      <c r="Y142" s="49" t="str">
        <f t="shared" si="55"/>
        <v/>
      </c>
      <c r="Z142" s="57" t="str">
        <f>IF(Y142="","",IF(I$8="A",(RANK(Y142,Y$11:Y$355,1)+COUNTIF(Y$11:Y142,Y142)-1),(RANK(Y142,Y$11:Y$355)+COUNTIF(Y$11:Y142,Y142)-1)))</f>
        <v/>
      </c>
      <c r="AA142" s="242" t="str">
        <f>IF(L142="","",VLOOKUP($L142,classifications!C:I,7,FALSE))</f>
        <v>Predominantly Urban</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Northamptonshire</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East Midlands</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506.1</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611.4</v>
      </c>
      <c r="G143" s="105"/>
      <c r="H143" s="60" t="str">
        <f t="shared" si="50"/>
        <v/>
      </c>
      <c r="I143" s="112" t="str">
        <f>IF(H143="","",IF($I$8="A",(RANK(H143,H$11:H$355,1)+COUNTIF(H$11:H143,H143)-1),(RANK(H143,H$11:H$355)+COUNTIF(H$11:H143,H143)-1)))</f>
        <v/>
      </c>
      <c r="J143" s="58"/>
      <c r="K143" s="51">
        <f t="shared" si="61"/>
        <v>133</v>
      </c>
      <c r="L143" s="59" t="str">
        <f t="shared" si="51"/>
        <v>Hinckley &amp; Bosworth</v>
      </c>
      <c r="M143" s="153">
        <f t="shared" si="52"/>
        <v>492.7</v>
      </c>
      <c r="N143" s="148">
        <f t="shared" si="62"/>
        <v>492.7</v>
      </c>
      <c r="O143" s="131" t="str">
        <f t="shared" si="53"/>
        <v/>
      </c>
      <c r="P143" s="131" t="str">
        <f t="shared" si="68"/>
        <v/>
      </c>
      <c r="Q143" s="131">
        <f t="shared" si="69"/>
        <v>492.7</v>
      </c>
      <c r="R143" s="127" t="str">
        <f t="shared" si="70"/>
        <v/>
      </c>
      <c r="S143" s="60" t="str">
        <f t="shared" si="63"/>
        <v/>
      </c>
      <c r="T143" s="228">
        <f>IF(L143="","",VLOOKUP(L143,classifications!C:K,9,FALSE))</f>
        <v>0</v>
      </c>
      <c r="U143" s="235" t="str">
        <f t="shared" si="54"/>
        <v/>
      </c>
      <c r="V143" s="236" t="str">
        <f>IF(U143="","",IF($I$8="A",(RANK(U143,U$11:U$355)+COUNTIF(U$11:U143,U143)-1),(RANK(U143,U$11:U$355,1)+COUNTIF(U$11:U143,U143)-1)))</f>
        <v/>
      </c>
      <c r="W143" s="237"/>
      <c r="X143" s="61" t="str">
        <f>IF(L143="","",VLOOKUP($L143,classifications!$C:$J,6,FALSE))</f>
        <v xml:space="preserve">Largely Rural (rural including hub towns 50-79%) </v>
      </c>
      <c r="Y143" s="49" t="str">
        <f t="shared" si="55"/>
        <v/>
      </c>
      <c r="Z143" s="57" t="str">
        <f>IF(Y143="","",IF(I$8="A",(RANK(Y143,Y$11:Y$355,1)+COUNTIF(Y$11:Y143,Y143)-1),(RANK(Y143,Y$11:Y$355)+COUNTIF(Y$11:Y143,Y143)-1)))</f>
        <v/>
      </c>
      <c r="AA143" s="242" t="str">
        <f>IF(L143="","",VLOOKUP($L143,classifications!C:I,7,FALSE))</f>
        <v>Predominantly Rural</v>
      </c>
      <c r="AB143" s="236">
        <f t="shared" si="64"/>
        <v>492.7</v>
      </c>
      <c r="AC143" s="236">
        <f>IF(AB143="","",IF($I$8="A",(RANK(AB143,AB$11:AB$355)+COUNTIF(AB$11:AB143,AB143)-1),(RANK(AB143,AB$11:AB$355,1)+COUNTIF(AB$11:AB143,AB143)-1)))</f>
        <v>18</v>
      </c>
      <c r="AD143" s="236"/>
      <c r="AE143" s="51" t="str">
        <f t="shared" si="48"/>
        <v/>
      </c>
      <c r="AG143" s="143"/>
      <c r="AH143" s="52"/>
      <c r="AI143" s="61" t="str">
        <f>IF(L143="","",VLOOKUP($L143,classifications!$C:$J,8,FALSE))</f>
        <v>Leicestershire</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East Midlands</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611.4</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515.70000000000005</v>
      </c>
      <c r="G144" s="105"/>
      <c r="H144" s="60" t="str">
        <f t="shared" si="50"/>
        <v/>
      </c>
      <c r="I144" s="112" t="str">
        <f>IF(H144="","",IF($I$8="A",(RANK(H144,H$11:H$355,1)+COUNTIF(H$11:H144,H144)-1),(RANK(H144,H$11:H$355)+COUNTIF(H$11:H144,H144)-1)))</f>
        <v/>
      </c>
      <c r="J144" s="58"/>
      <c r="K144" s="51">
        <f t="shared" si="61"/>
        <v>134</v>
      </c>
      <c r="L144" s="59" t="str">
        <f t="shared" si="51"/>
        <v>Stevenage</v>
      </c>
      <c r="M144" s="153">
        <f t="shared" si="52"/>
        <v>492.9</v>
      </c>
      <c r="N144" s="148">
        <f t="shared" si="62"/>
        <v>492.9</v>
      </c>
      <c r="O144" s="131" t="str">
        <f t="shared" si="53"/>
        <v/>
      </c>
      <c r="P144" s="131" t="str">
        <f t="shared" si="68"/>
        <v/>
      </c>
      <c r="Q144" s="131">
        <f t="shared" si="69"/>
        <v>492.9</v>
      </c>
      <c r="R144" s="127" t="str">
        <f t="shared" si="70"/>
        <v/>
      </c>
      <c r="S144" s="60" t="str">
        <f t="shared" si="63"/>
        <v/>
      </c>
      <c r="T144" s="228">
        <f>IF(L144="","",VLOOKUP(L144,classifications!C:K,9,FALSE))</f>
        <v>0</v>
      </c>
      <c r="U144" s="235" t="str">
        <f t="shared" si="54"/>
        <v/>
      </c>
      <c r="V144" s="236" t="str">
        <f>IF(U144="","",IF($I$8="A",(RANK(U144,U$11:U$355)+COUNTIF(U$11:U144,U144)-1),(RANK(U144,U$11:U$355,1)+COUNTIF(U$11:U144,U144)-1)))</f>
        <v/>
      </c>
      <c r="W144" s="237"/>
      <c r="X144" s="61" t="str">
        <f>IF(L144="","",VLOOKUP($L144,classifications!$C:$J,6,FALSE))</f>
        <v>Urban with City and Town</v>
      </c>
      <c r="Y144" s="49" t="str">
        <f t="shared" si="55"/>
        <v/>
      </c>
      <c r="Z144" s="57" t="str">
        <f>IF(Y144="","",IF(I$8="A",(RANK(Y144,Y$11:Y$355,1)+COUNTIF(Y$11:Y144,Y144)-1),(RANK(Y144,Y$11:Y$355)+COUNTIF(Y$11:Y144,Y144)-1)))</f>
        <v/>
      </c>
      <c r="AA144" s="242" t="str">
        <f>IF(L144="","",VLOOKUP($L144,classifications!C:I,7,FALSE))</f>
        <v>Predominantly Urban</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Hertfordshire</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East of England</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515.70000000000005</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462.1</v>
      </c>
      <c r="G145" s="105"/>
      <c r="H145" s="60" t="str">
        <f t="shared" si="50"/>
        <v/>
      </c>
      <c r="I145" s="112" t="str">
        <f>IF(H145="","",IF($I$8="A",(RANK(H145,H$11:H$355,1)+COUNTIF(H$11:H145,H145)-1),(RANK(H145,H$11:H$355)+COUNTIF(H$11:H145,H145)-1)))</f>
        <v/>
      </c>
      <c r="J145" s="58"/>
      <c r="K145" s="51">
        <f t="shared" si="61"/>
        <v>135</v>
      </c>
      <c r="L145" s="59" t="str">
        <f t="shared" si="51"/>
        <v>Cannock Chase</v>
      </c>
      <c r="M145" s="153">
        <f t="shared" si="52"/>
        <v>495.2</v>
      </c>
      <c r="N145" s="148">
        <f t="shared" si="62"/>
        <v>495.2</v>
      </c>
      <c r="O145" s="131" t="str">
        <f t="shared" si="53"/>
        <v/>
      </c>
      <c r="P145" s="131" t="str">
        <f t="shared" si="68"/>
        <v/>
      </c>
      <c r="Q145" s="131">
        <f t="shared" si="69"/>
        <v>495.2</v>
      </c>
      <c r="R145" s="127" t="str">
        <f t="shared" si="70"/>
        <v/>
      </c>
      <c r="S145" s="60" t="str">
        <f t="shared" si="63"/>
        <v/>
      </c>
      <c r="T145" s="228">
        <f>IF(L145="","",VLOOKUP(L145,classifications!C:K,9,FALSE))</f>
        <v>0</v>
      </c>
      <c r="U145" s="235" t="str">
        <f t="shared" si="54"/>
        <v/>
      </c>
      <c r="V145" s="236" t="str">
        <f>IF(U145="","",IF($I$8="A",(RANK(U145,U$11:U$355)+COUNTIF(U$11:U145,U145)-1),(RANK(U145,U$11:U$355,1)+COUNTIF(U$11:U145,U145)-1)))</f>
        <v/>
      </c>
      <c r="W145" s="237"/>
      <c r="X145" s="61" t="str">
        <f>IF(L145="","",VLOOKUP($L145,classifications!$C:$J,6,FALSE))</f>
        <v>Urban with Significant Rural (rural including hub towns 26-49%)</v>
      </c>
      <c r="Y145" s="49" t="str">
        <f t="shared" si="55"/>
        <v/>
      </c>
      <c r="Z145" s="57" t="str">
        <f>IF(Y145="","",IF(I$8="A",(RANK(Y145,Y$11:Y$355,1)+COUNTIF(Y$11:Y145,Y145)-1),(RANK(Y145,Y$11:Y$355)+COUNTIF(Y$11:Y145,Y145)-1)))</f>
        <v/>
      </c>
      <c r="AA145" s="242" t="str">
        <f>IF(L145="","",VLOOKUP($L145,classifications!C:I,7,FALSE))</f>
        <v>Significant Rural</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Staffordshire</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West Midlands</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462.1</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474.8</v>
      </c>
      <c r="G146" s="105"/>
      <c r="H146" s="60">
        <f t="shared" si="50"/>
        <v>474.8</v>
      </c>
      <c r="I146" s="112">
        <f>IF(H146="","",IF($I$8="A",(RANK(H146,H$11:H$355,1)+COUNTIF(H$11:H146,H146)-1),(RANK(H146,H$11:H$355)+COUNTIF(H$11:H146,H146)-1)))</f>
        <v>119</v>
      </c>
      <c r="J146" s="58"/>
      <c r="K146" s="51">
        <f t="shared" si="61"/>
        <v>136</v>
      </c>
      <c r="L146" s="59" t="str">
        <f t="shared" si="51"/>
        <v>North West Leicestershire</v>
      </c>
      <c r="M146" s="153">
        <f t="shared" si="52"/>
        <v>496.8</v>
      </c>
      <c r="N146" s="148">
        <f t="shared" si="62"/>
        <v>496.8</v>
      </c>
      <c r="O146" s="131" t="str">
        <f t="shared" si="53"/>
        <v/>
      </c>
      <c r="P146" s="131" t="str">
        <f t="shared" si="68"/>
        <v/>
      </c>
      <c r="Q146" s="131">
        <f t="shared" si="69"/>
        <v>496.8</v>
      </c>
      <c r="R146" s="127" t="str">
        <f t="shared" si="70"/>
        <v/>
      </c>
      <c r="S146" s="60" t="str">
        <f t="shared" si="63"/>
        <v/>
      </c>
      <c r="T146" s="228" t="str">
        <f>IF(L146="","",VLOOKUP(L146,classifications!C:K,9,FALSE))</f>
        <v>Sparse</v>
      </c>
      <c r="U146" s="235">
        <f t="shared" si="54"/>
        <v>496.8</v>
      </c>
      <c r="V146" s="236">
        <f>IF(U146="","",IF($I$8="A",(RANK(U146,U$11:U$355)+COUNTIF(U$11:U146,U146)-1),(RANK(U146,U$11:U$355,1)+COUNTIF(U$11:U146,U146)-1)))</f>
        <v>15</v>
      </c>
      <c r="W146" s="237"/>
      <c r="X146" s="61" t="str">
        <f>IF(L146="","",VLOOKUP($L146,classifications!$C:$J,6,FALSE))</f>
        <v xml:space="preserve">Largely Rural (rural including hub towns 50-79%) </v>
      </c>
      <c r="Y146" s="49" t="str">
        <f t="shared" si="55"/>
        <v/>
      </c>
      <c r="Z146" s="57" t="str">
        <f>IF(Y146="","",IF(I$8="A",(RANK(Y146,Y$11:Y$355,1)+COUNTIF(Y$11:Y146,Y146)-1),(RANK(Y146,Y$11:Y$355)+COUNTIF(Y$11:Y146,Y146)-1)))</f>
        <v/>
      </c>
      <c r="AA146" s="242" t="str">
        <f>IF(L146="","",VLOOKUP($L146,classifications!C:I,7,FALSE))</f>
        <v>Predominantly Rural</v>
      </c>
      <c r="AB146" s="236">
        <f t="shared" si="64"/>
        <v>496.8</v>
      </c>
      <c r="AC146" s="236">
        <f>IF(AB146="","",IF($I$8="A",(RANK(AB146,AB$11:AB$355)+COUNTIF(AB$11:AB146,AB146)-1),(RANK(AB146,AB$11:AB$355,1)+COUNTIF(AB$11:AB146,AB146)-1)))</f>
        <v>17</v>
      </c>
      <c r="AD146" s="236"/>
      <c r="AE146" s="51" t="str">
        <f t="shared" si="48"/>
        <v/>
      </c>
      <c r="AG146" s="143"/>
      <c r="AH146" s="52"/>
      <c r="AI146" s="61" t="str">
        <f>IF(L146="","",VLOOKUP($L146,classifications!$C:$J,8,FALSE))</f>
        <v>Leicestershire</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East Midlands</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474.8</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411</v>
      </c>
      <c r="G147" s="105"/>
      <c r="H147" s="60">
        <f t="shared" si="50"/>
        <v>411</v>
      </c>
      <c r="I147" s="112">
        <f>IF(H147="","",IF($I$8="A",(RANK(H147,H$11:H$355,1)+COUNTIF(H$11:H147,H147)-1),(RANK(H147,H$11:H$355)+COUNTIF(H$11:H147,H147)-1)))</f>
        <v>53</v>
      </c>
      <c r="J147" s="58"/>
      <c r="K147" s="51">
        <f t="shared" si="61"/>
        <v>137</v>
      </c>
      <c r="L147" s="59" t="str">
        <f t="shared" si="51"/>
        <v>Wellingborough</v>
      </c>
      <c r="M147" s="153">
        <f t="shared" si="52"/>
        <v>497.4</v>
      </c>
      <c r="N147" s="148">
        <f t="shared" si="62"/>
        <v>497.4</v>
      </c>
      <c r="O147" s="131" t="str">
        <f t="shared" si="53"/>
        <v/>
      </c>
      <c r="P147" s="131" t="str">
        <f t="shared" si="68"/>
        <v/>
      </c>
      <c r="Q147" s="131" t="str">
        <f t="shared" si="69"/>
        <v/>
      </c>
      <c r="R147" s="127">
        <f t="shared" si="70"/>
        <v>497.4</v>
      </c>
      <c r="S147" s="60" t="str">
        <f t="shared" si="63"/>
        <v/>
      </c>
      <c r="T147" s="228">
        <f>IF(L147="","",VLOOKUP(L147,classifications!C:K,9,FALSE))</f>
        <v>0</v>
      </c>
      <c r="U147" s="235" t="str">
        <f t="shared" si="54"/>
        <v/>
      </c>
      <c r="V147" s="236" t="str">
        <f>IF(U147="","",IF($I$8="A",(RANK(U147,U$11:U$355)+COUNTIF(U$11:U147,U147)-1),(RANK(U147,U$11:U$355,1)+COUNTIF(U$11:U147,U147)-1)))</f>
        <v/>
      </c>
      <c r="W147" s="237"/>
      <c r="X147" s="61" t="str">
        <f>IF(L147="","",VLOOKUP($L147,classifications!$C:$J,6,FALSE))</f>
        <v>Urban with Significant Rural (rural including hub towns 26-49%)</v>
      </c>
      <c r="Y147" s="49" t="str">
        <f t="shared" si="55"/>
        <v/>
      </c>
      <c r="Z147" s="57" t="str">
        <f>IF(Y147="","",IF(I$8="A",(RANK(Y147,Y$11:Y$355,1)+COUNTIF(Y$11:Y147,Y147)-1),(RANK(Y147,Y$11:Y$355)+COUNTIF(Y$11:Y147,Y147)-1)))</f>
        <v/>
      </c>
      <c r="AA147" s="242" t="str">
        <f>IF(L147="","",VLOOKUP($L147,classifications!C:I,7,FALSE))</f>
        <v>Significant Rural</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Northamptonshire</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East Midlands</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411</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552.70000000000005</v>
      </c>
      <c r="G148" s="105"/>
      <c r="H148" s="60" t="str">
        <f t="shared" si="50"/>
        <v/>
      </c>
      <c r="I148" s="112" t="str">
        <f>IF(H148="","",IF($I$8="A",(RANK(H148,H$11:H$355,1)+COUNTIF(H$11:H148,H148)-1),(RANK(H148,H$11:H$355)+COUNTIF(H$11:H148,H148)-1)))</f>
        <v/>
      </c>
      <c r="J148" s="58"/>
      <c r="K148" s="51">
        <f t="shared" si="61"/>
        <v>138</v>
      </c>
      <c r="L148" s="59" t="str">
        <f t="shared" si="51"/>
        <v>Melton</v>
      </c>
      <c r="M148" s="153">
        <f t="shared" si="52"/>
        <v>497.5</v>
      </c>
      <c r="N148" s="148">
        <f t="shared" si="62"/>
        <v>497.5</v>
      </c>
      <c r="O148" s="131" t="str">
        <f t="shared" si="53"/>
        <v/>
      </c>
      <c r="P148" s="131" t="str">
        <f t="shared" si="68"/>
        <v/>
      </c>
      <c r="Q148" s="131" t="str">
        <f t="shared" si="69"/>
        <v/>
      </c>
      <c r="R148" s="127">
        <f t="shared" si="70"/>
        <v>497.5</v>
      </c>
      <c r="S148" s="60" t="str">
        <f t="shared" si="63"/>
        <v/>
      </c>
      <c r="T148" s="228" t="str">
        <f>IF(L148="","",VLOOKUP(L148,classifications!C:K,9,FALSE))</f>
        <v>Sparse</v>
      </c>
      <c r="U148" s="235">
        <f t="shared" si="54"/>
        <v>497.5</v>
      </c>
      <c r="V148" s="236">
        <f>IF(U148="","",IF($I$8="A",(RANK(U148,U$11:U$355)+COUNTIF(U$11:U148,U148)-1),(RANK(U148,U$11:U$355,1)+COUNTIF(U$11:U148,U148)-1)))</f>
        <v>14</v>
      </c>
      <c r="W148" s="237"/>
      <c r="X148" s="61" t="str">
        <f>IF(L148="","",VLOOKUP($L148,classifications!$C:$J,6,FALSE))</f>
        <v xml:space="preserve">Mainly Rural (rural including hub towns &gt;=80%) </v>
      </c>
      <c r="Y148" s="49">
        <f t="shared" si="55"/>
        <v>497.5</v>
      </c>
      <c r="Z148" s="57">
        <f>IF(Y148="","",IF(I$8="A",(RANK(Y148,Y$11:Y$355,1)+COUNTIF(Y$11:Y148,Y148)-1),(RANK(Y148,Y$11:Y$355)+COUNTIF(Y$11:Y148,Y148)-1)))</f>
        <v>33</v>
      </c>
      <c r="AA148" s="242" t="str">
        <f>IF(L148="","",VLOOKUP($L148,classifications!C:I,7,FALSE))</f>
        <v>Predominantly Rural</v>
      </c>
      <c r="AB148" s="236">
        <f t="shared" si="64"/>
        <v>497.5</v>
      </c>
      <c r="AC148" s="236">
        <f>IF(AB148="","",IF($I$8="A",(RANK(AB148,AB$11:AB$355)+COUNTIF(AB$11:AB148,AB148)-1),(RANK(AB148,AB$11:AB$355,1)+COUNTIF(AB$11:AB148,AB148)-1)))</f>
        <v>16</v>
      </c>
      <c r="AD148" s="236"/>
      <c r="AE148" s="51" t="str">
        <f t="shared" si="48"/>
        <v/>
      </c>
      <c r="AG148" s="143"/>
      <c r="AH148" s="52"/>
      <c r="AI148" s="61" t="str">
        <f>IF(L148="","",VLOOKUP($L148,classifications!$C:$J,8,FALSE))</f>
        <v>Leicestershire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East Midlands</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552.70000000000005</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492.7</v>
      </c>
      <c r="G149" s="105"/>
      <c r="H149" s="60">
        <f t="shared" si="50"/>
        <v>492.7</v>
      </c>
      <c r="I149" s="112">
        <f>IF(H149="","",IF($I$8="A",(RANK(H149,H$11:H$355,1)+COUNTIF(H$11:H149,H149)-1),(RANK(H149,H$11:H$355)+COUNTIF(H$11:H149,H149)-1)))</f>
        <v>133</v>
      </c>
      <c r="J149" s="58"/>
      <c r="K149" s="51">
        <f t="shared" si="61"/>
        <v>139</v>
      </c>
      <c r="L149" s="59" t="str">
        <f t="shared" si="51"/>
        <v>North Warwickshire</v>
      </c>
      <c r="M149" s="153">
        <f t="shared" si="52"/>
        <v>501.7</v>
      </c>
      <c r="N149" s="148">
        <f t="shared" si="62"/>
        <v>501.7</v>
      </c>
      <c r="O149" s="131" t="str">
        <f t="shared" si="53"/>
        <v/>
      </c>
      <c r="P149" s="131" t="str">
        <f t="shared" si="68"/>
        <v/>
      </c>
      <c r="Q149" s="131" t="str">
        <f t="shared" si="69"/>
        <v/>
      </c>
      <c r="R149" s="127">
        <f t="shared" si="70"/>
        <v>501.7</v>
      </c>
      <c r="S149" s="60" t="str">
        <f t="shared" si="63"/>
        <v/>
      </c>
      <c r="T149" s="228">
        <f>IF(L149="","",VLOOKUP(L149,classifications!C:K,9,FALSE))</f>
        <v>0</v>
      </c>
      <c r="U149" s="235" t="str">
        <f t="shared" si="54"/>
        <v/>
      </c>
      <c r="V149" s="236" t="str">
        <f>IF(U149="","",IF($I$8="A",(RANK(U149,U$11:U$355)+COUNTIF(U$11:U149,U149)-1),(RANK(U149,U$11:U$355,1)+COUNTIF(U$11:U149,U149)-1)))</f>
        <v/>
      </c>
      <c r="W149" s="237"/>
      <c r="X149" s="61" t="str">
        <f>IF(L149="","",VLOOKUP($L149,classifications!$C:$J,6,FALSE))</f>
        <v xml:space="preserve">Mainly Rural (rural including hub towns &gt;=80%) </v>
      </c>
      <c r="Y149" s="49">
        <f t="shared" si="55"/>
        <v>501.7</v>
      </c>
      <c r="Z149" s="57">
        <f>IF(Y149="","",IF(I$8="A",(RANK(Y149,Y$11:Y$355,1)+COUNTIF(Y$11:Y149,Y149)-1),(RANK(Y149,Y$11:Y$355)+COUNTIF(Y$11:Y149,Y149)-1)))</f>
        <v>34</v>
      </c>
      <c r="AA149" s="242" t="str">
        <f>IF(L149="","",VLOOKUP($L149,classifications!C:I,7,FALSE))</f>
        <v>Predominantly Rural</v>
      </c>
      <c r="AB149" s="236">
        <f t="shared" si="64"/>
        <v>501.7</v>
      </c>
      <c r="AC149" s="236">
        <f>IF(AB149="","",IF($I$8="A",(RANK(AB149,AB$11:AB$355)+COUNTIF(AB$11:AB149,AB149)-1),(RANK(AB149,AB$11:AB$355,1)+COUNTIF(AB$11:AB149,AB149)-1)))</f>
        <v>15</v>
      </c>
      <c r="AD149" s="236"/>
      <c r="AE149" s="51" t="str">
        <f t="shared" si="48"/>
        <v/>
      </c>
      <c r="AG149" s="143"/>
      <c r="AH149" s="52"/>
      <c r="AI149" s="61" t="str">
        <f>IF(L149="","",VLOOKUP($L149,classifications!$C:$J,8,FALSE))</f>
        <v>Warwickshire</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West Midlands</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492.7</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383.3</v>
      </c>
      <c r="G150" s="105"/>
      <c r="H150" s="60">
        <f t="shared" si="50"/>
        <v>383.3</v>
      </c>
      <c r="I150" s="112">
        <f>IF(H150="","",IF($I$8="A",(RANK(H150,H$11:H$355,1)+COUNTIF(H$11:H150,H150)-1),(RANK(H150,H$11:H$355)+COUNTIF(H$11:H150,H150)-1)))</f>
        <v>31</v>
      </c>
      <c r="J150" s="58"/>
      <c r="K150" s="51">
        <f t="shared" si="61"/>
        <v>140</v>
      </c>
      <c r="L150" s="59" t="str">
        <f t="shared" si="51"/>
        <v>Nuneaton &amp; Bedworth</v>
      </c>
      <c r="M150" s="153">
        <f t="shared" si="52"/>
        <v>504.3</v>
      </c>
      <c r="N150" s="148">
        <f t="shared" si="62"/>
        <v>504.3</v>
      </c>
      <c r="O150" s="131" t="str">
        <f t="shared" si="53"/>
        <v/>
      </c>
      <c r="P150" s="131" t="str">
        <f t="shared" si="68"/>
        <v/>
      </c>
      <c r="Q150" s="131" t="str">
        <f t="shared" si="69"/>
        <v/>
      </c>
      <c r="R150" s="127">
        <f t="shared" si="70"/>
        <v>504.3</v>
      </c>
      <c r="S150" s="60" t="str">
        <f t="shared" si="63"/>
        <v/>
      </c>
      <c r="T150" s="228">
        <f>IF(L150="","",VLOOKUP(L150,classifications!C:K,9,FALSE))</f>
        <v>0</v>
      </c>
      <c r="U150" s="235" t="str">
        <f t="shared" si="54"/>
        <v/>
      </c>
      <c r="V150" s="236" t="str">
        <f>IF(U150="","",IF($I$8="A",(RANK(U150,U$11:U$355)+COUNTIF(U$11:U150,U150)-1),(RANK(U150,U$11:U$355,1)+COUNTIF(U$11:U150,U150)-1)))</f>
        <v/>
      </c>
      <c r="W150" s="237"/>
      <c r="X150" s="61" t="str">
        <f>IF(L150="","",VLOOKUP($L150,classifications!$C:$J,6,FALSE))</f>
        <v>Urban with City and Town</v>
      </c>
      <c r="Y150" s="49" t="str">
        <f t="shared" si="55"/>
        <v/>
      </c>
      <c r="Z150" s="57" t="str">
        <f>IF(Y150="","",IF(I$8="A",(RANK(Y150,Y$11:Y$355,1)+COUNTIF(Y$11:Y150,Y150)-1),(RANK(Y150,Y$11:Y$355)+COUNTIF(Y$11:Y150,Y150)-1)))</f>
        <v/>
      </c>
      <c r="AA150" s="242" t="str">
        <f>IF(L150="","",VLOOKUP($L150,classifications!C:I,7,FALSE))</f>
        <v>Predominantly Urban</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Warwickshire</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West Midlands</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383.3</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576.6</v>
      </c>
      <c r="G151" s="105"/>
      <c r="H151" s="60" t="str">
        <f t="shared" si="50"/>
        <v/>
      </c>
      <c r="I151" s="112" t="str">
        <f>IF(H151="","",IF($I$8="A",(RANK(H151,H$11:H$355,1)+COUNTIF(H$11:H151,H151)-1),(RANK(H151,H$11:H$355)+COUNTIF(H$11:H151,H151)-1)))</f>
        <v/>
      </c>
      <c r="J151" s="58"/>
      <c r="K151" s="51">
        <f t="shared" si="61"/>
        <v>141</v>
      </c>
      <c r="L151" s="59" t="str">
        <f t="shared" si="51"/>
        <v>South Kesteven</v>
      </c>
      <c r="M151" s="153">
        <f t="shared" si="52"/>
        <v>504.6</v>
      </c>
      <c r="N151" s="148">
        <f t="shared" si="62"/>
        <v>504.6</v>
      </c>
      <c r="O151" s="131" t="str">
        <f t="shared" si="53"/>
        <v/>
      </c>
      <c r="P151" s="131" t="str">
        <f t="shared" si="68"/>
        <v/>
      </c>
      <c r="Q151" s="131" t="str">
        <f t="shared" si="69"/>
        <v/>
      </c>
      <c r="R151" s="127">
        <f t="shared" si="70"/>
        <v>504.6</v>
      </c>
      <c r="S151" s="60" t="str">
        <f t="shared" si="63"/>
        <v/>
      </c>
      <c r="T151" s="228" t="str">
        <f>IF(L151="","",VLOOKUP(L151,classifications!C:K,9,FALSE))</f>
        <v>Sparse</v>
      </c>
      <c r="U151" s="235">
        <f t="shared" si="54"/>
        <v>504.6</v>
      </c>
      <c r="V151" s="236">
        <f>IF(U151="","",IF($I$8="A",(RANK(U151,U$11:U$355)+COUNTIF(U$11:U151,U151)-1),(RANK(U151,U$11:U$355,1)+COUNTIF(U$11:U151,U151)-1)))</f>
        <v>13</v>
      </c>
      <c r="W151" s="237"/>
      <c r="X151" s="61" t="str">
        <f>IF(L151="","",VLOOKUP($L151,classifications!$C:$J,6,FALSE))</f>
        <v xml:space="preserve">Largely Rural (rural including hub towns 50-79%) </v>
      </c>
      <c r="Y151" s="49" t="str">
        <f t="shared" si="55"/>
        <v/>
      </c>
      <c r="Z151" s="57" t="str">
        <f>IF(Y151="","",IF(I$8="A",(RANK(Y151,Y$11:Y$355,1)+COUNTIF(Y$11:Y151,Y151)-1),(RANK(Y151,Y$11:Y$355)+COUNTIF(Y$11:Y151,Y151)-1)))</f>
        <v/>
      </c>
      <c r="AA151" s="242" t="str">
        <f>IF(L151="","",VLOOKUP($L151,classifications!C:I,7,FALSE))</f>
        <v>Predominantly Rural</v>
      </c>
      <c r="AB151" s="236">
        <f t="shared" si="64"/>
        <v>504.6</v>
      </c>
      <c r="AC151" s="236">
        <f>IF(AB151="","",IF($I$8="A",(RANK(AB151,AB$11:AB$355)+COUNTIF(AB$11:AB151,AB151)-1),(RANK(AB151,AB$11:AB$355,1)+COUNTIF(AB$11:AB151,AB151)-1)))</f>
        <v>14</v>
      </c>
      <c r="AD151" s="236"/>
      <c r="AE151" s="51" t="str">
        <f t="shared" si="48"/>
        <v/>
      </c>
      <c r="AG151" s="143"/>
      <c r="AH151" s="52"/>
      <c r="AI151" s="61" t="str">
        <f>IF(L151="","",VLOOKUP($L151,classifications!$C:$J,8,FALSE))</f>
        <v>Lincolnshire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East Midlands</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576.6</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386</v>
      </c>
      <c r="G152" s="105"/>
      <c r="H152" s="60">
        <f t="shared" si="50"/>
        <v>386</v>
      </c>
      <c r="I152" s="112">
        <f>IF(H152="","",IF($I$8="A",(RANK(H152,H$11:H$355,1)+COUNTIF(H$11:H152,H152)-1),(RANK(H152,H$11:H$355)+COUNTIF(H$11:H152,H152)-1)))</f>
        <v>32</v>
      </c>
      <c r="J152" s="58"/>
      <c r="K152" s="51">
        <f t="shared" si="61"/>
        <v>142</v>
      </c>
      <c r="L152" s="59" t="str">
        <f t="shared" si="51"/>
        <v>Ashfield</v>
      </c>
      <c r="M152" s="153">
        <f t="shared" si="52"/>
        <v>505.7</v>
      </c>
      <c r="N152" s="148">
        <f t="shared" si="62"/>
        <v>505.7</v>
      </c>
      <c r="O152" s="131" t="str">
        <f t="shared" si="53"/>
        <v/>
      </c>
      <c r="P152" s="131" t="str">
        <f t="shared" si="68"/>
        <v/>
      </c>
      <c r="Q152" s="131" t="str">
        <f t="shared" si="69"/>
        <v/>
      </c>
      <c r="R152" s="127">
        <f t="shared" si="70"/>
        <v>505.7</v>
      </c>
      <c r="S152" s="60" t="str">
        <f t="shared" si="63"/>
        <v/>
      </c>
      <c r="T152" s="228">
        <f>IF(L152="","",VLOOKUP(L152,classifications!C:K,9,FALSE))</f>
        <v>0</v>
      </c>
      <c r="U152" s="235" t="str">
        <f t="shared" si="54"/>
        <v/>
      </c>
      <c r="V152" s="236" t="str">
        <f>IF(U152="","",IF($I$8="A",(RANK(U152,U$11:U$355)+COUNTIF(U$11:U152,U152)-1),(RANK(U152,U$11:U$355,1)+COUNTIF(U$11:U152,U152)-1)))</f>
        <v/>
      </c>
      <c r="W152" s="237"/>
      <c r="X152" s="61" t="str">
        <f>IF(L152="","",VLOOKUP($L152,classifications!$C:$J,6,FALSE))</f>
        <v>Urban with City and Town</v>
      </c>
      <c r="Y152" s="49" t="str">
        <f t="shared" si="55"/>
        <v/>
      </c>
      <c r="Z152" s="57" t="str">
        <f>IF(Y152="","",IF(I$8="A",(RANK(Y152,Y$11:Y$355,1)+COUNTIF(Y$11:Y152,Y152)-1),(RANK(Y152,Y$11:Y$355)+COUNTIF(Y$11:Y152,Y152)-1)))</f>
        <v/>
      </c>
      <c r="AA152" s="242" t="str">
        <f>IF(L152="","",VLOOKUP($L152,classifications!C:I,7,FALSE))</f>
        <v>Predominantly Urban</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Nottinghamshire</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East Midlands</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386</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404.1</v>
      </c>
      <c r="G153" s="105"/>
      <c r="H153" s="60">
        <f t="shared" si="50"/>
        <v>404.1</v>
      </c>
      <c r="I153" s="112">
        <f>IF(H153="","",IF($I$8="A",(RANK(H153,H$11:H$355,1)+COUNTIF(H$11:H153,H153)-1),(RANK(H153,H$11:H$355)+COUNTIF(H$11:H153,H153)-1)))</f>
        <v>42</v>
      </c>
      <c r="J153" s="58"/>
      <c r="K153" s="51">
        <f t="shared" si="61"/>
        <v>143</v>
      </c>
      <c r="L153" s="59" t="str">
        <f t="shared" si="51"/>
        <v>Broxbourne</v>
      </c>
      <c r="M153" s="153">
        <f t="shared" si="52"/>
        <v>505.7</v>
      </c>
      <c r="N153" s="148">
        <f t="shared" si="62"/>
        <v>505.7</v>
      </c>
      <c r="O153" s="131" t="str">
        <f t="shared" si="53"/>
        <v/>
      </c>
      <c r="P153" s="131" t="str">
        <f t="shared" si="68"/>
        <v/>
      </c>
      <c r="Q153" s="131" t="str">
        <f t="shared" si="69"/>
        <v/>
      </c>
      <c r="R153" s="127">
        <f t="shared" si="70"/>
        <v>505.7</v>
      </c>
      <c r="S153" s="60" t="str">
        <f t="shared" si="63"/>
        <v/>
      </c>
      <c r="T153" s="228">
        <f>IF(L153="","",VLOOKUP(L153,classifications!C:K,9,FALSE))</f>
        <v>0</v>
      </c>
      <c r="U153" s="235" t="str">
        <f t="shared" si="54"/>
        <v/>
      </c>
      <c r="V153" s="236" t="str">
        <f>IF(U153="","",IF($I$8="A",(RANK(U153,U$11:U$355)+COUNTIF(U$11:U153,U153)-1),(RANK(U153,U$11:U$355,1)+COUNTIF(U$11:U153,U153)-1)))</f>
        <v/>
      </c>
      <c r="W153" s="237"/>
      <c r="X153" s="61" t="str">
        <f>IF(L153="","",VLOOKUP($L153,classifications!$C:$J,6,FALSE))</f>
        <v>Urban with Major Conurbation</v>
      </c>
      <c r="Y153" s="49" t="str">
        <f t="shared" si="55"/>
        <v/>
      </c>
      <c r="Z153" s="57" t="str">
        <f>IF(Y153="","",IF(I$8="A",(RANK(Y153,Y$11:Y$355,1)+COUNTIF(Y$11:Y153,Y153)-1),(RANK(Y153,Y$11:Y$355)+COUNTIF(Y$11:Y153,Y153)-1)))</f>
        <v/>
      </c>
      <c r="AA153" s="242" t="str">
        <f>IF(L153="","",VLOOKUP($L153,classifications!C:I,7,FALSE))</f>
        <v>Predominantly Urban</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Hertfordshire</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East of England</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404.1</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558.29999999999995</v>
      </c>
      <c r="G154" s="105"/>
      <c r="H154" s="60">
        <f t="shared" si="50"/>
        <v>558.29999999999995</v>
      </c>
      <c r="I154" s="112">
        <f>IF(H154="","",IF($I$8="A",(RANK(H154,H$11:H$355,1)+COUNTIF(H$11:H154,H154)-1),(RANK(H154,H$11:H$355)+COUNTIF(H$11:H154,H154)-1)))</f>
        <v>172</v>
      </c>
      <c r="J154" s="58"/>
      <c r="K154" s="51">
        <f t="shared" si="61"/>
        <v>144</v>
      </c>
      <c r="L154" s="59" t="str">
        <f t="shared" si="51"/>
        <v>Havant</v>
      </c>
      <c r="M154" s="153">
        <f t="shared" si="52"/>
        <v>506.1</v>
      </c>
      <c r="N154" s="148">
        <f t="shared" si="62"/>
        <v>506.1</v>
      </c>
      <c r="O154" s="131" t="str">
        <f t="shared" si="53"/>
        <v/>
      </c>
      <c r="P154" s="131" t="str">
        <f t="shared" si="68"/>
        <v/>
      </c>
      <c r="Q154" s="131" t="str">
        <f t="shared" si="69"/>
        <v/>
      </c>
      <c r="R154" s="127">
        <f t="shared" si="70"/>
        <v>506.1</v>
      </c>
      <c r="S154" s="60" t="str">
        <f t="shared" si="63"/>
        <v/>
      </c>
      <c r="T154" s="228">
        <f>IF(L154="","",VLOOKUP(L154,classifications!C:K,9,FALSE))</f>
        <v>0</v>
      </c>
      <c r="U154" s="235" t="str">
        <f t="shared" si="54"/>
        <v/>
      </c>
      <c r="V154" s="236" t="str">
        <f>IF(U154="","",IF($I$8="A",(RANK(U154,U$11:U$355)+COUNTIF(U$11:U154,U154)-1),(RANK(U154,U$11:U$355,1)+COUNTIF(U$11:U154,U154)-1)))</f>
        <v/>
      </c>
      <c r="W154" s="237"/>
      <c r="X154" s="61" t="str">
        <f>IF(L154="","",VLOOKUP($L154,classifications!$C:$J,6,FALSE))</f>
        <v>Urban with City and Town</v>
      </c>
      <c r="Y154" s="49" t="str">
        <f t="shared" si="55"/>
        <v/>
      </c>
      <c r="Z154" s="57" t="str">
        <f>IF(Y154="","",IF(I$8="A",(RANK(Y154,Y$11:Y$355,1)+COUNTIF(Y$11:Y154,Y154)-1),(RANK(Y154,Y$11:Y$355)+COUNTIF(Y$11:Y154,Y154)-1)))</f>
        <v/>
      </c>
      <c r="AA154" s="242" t="str">
        <f>IF(L154="","",VLOOKUP($L154,classifications!C:I,7,FALSE))</f>
        <v>Predominantly Urban</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Hampshire</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South East</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558.29999999999995</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389.9</v>
      </c>
      <c r="G155" s="105"/>
      <c r="H155" s="60" t="str">
        <f t="shared" si="50"/>
        <v/>
      </c>
      <c r="I155" s="112" t="str">
        <f>IF(H155="","",IF($I$8="A",(RANK(H155,H$11:H$355,1)+COUNTIF(H$11:H155,H155)-1),(RANK(H155,H$11:H$355)+COUNTIF(H$11:H155,H155)-1)))</f>
        <v/>
      </c>
      <c r="J155" s="58"/>
      <c r="K155" s="51">
        <f t="shared" si="61"/>
        <v>145</v>
      </c>
      <c r="L155" s="59" t="str">
        <f t="shared" si="51"/>
        <v>West Suffolk</v>
      </c>
      <c r="M155" s="153">
        <f t="shared" si="52"/>
        <v>506.4</v>
      </c>
      <c r="N155" s="148">
        <f t="shared" si="62"/>
        <v>506.4</v>
      </c>
      <c r="O155" s="131" t="str">
        <f t="shared" si="53"/>
        <v/>
      </c>
      <c r="P155" s="131" t="str">
        <f t="shared" si="68"/>
        <v/>
      </c>
      <c r="Q155" s="131" t="str">
        <f t="shared" si="69"/>
        <v/>
      </c>
      <c r="R155" s="127">
        <f t="shared" si="70"/>
        <v>506.4</v>
      </c>
      <c r="S155" s="60" t="str">
        <f t="shared" si="63"/>
        <v/>
      </c>
      <c r="T155" s="228" t="str">
        <f>IF(L155="","",VLOOKUP(L155,classifications!C:K,9,FALSE))</f>
        <v>Sparse</v>
      </c>
      <c r="U155" s="235">
        <f t="shared" si="54"/>
        <v>506.4</v>
      </c>
      <c r="V155" s="236">
        <f>IF(U155="","",IF($I$8="A",(RANK(U155,U$11:U$355)+COUNTIF(U$11:U155,U155)-1),(RANK(U155,U$11:U$355,1)+COUNTIF(U$11:U155,U155)-1)))</f>
        <v>12</v>
      </c>
      <c r="W155" s="237"/>
      <c r="X155" s="61" t="str">
        <f>IF(L155="","",VLOOKUP($L155,classifications!$C:$J,6,FALSE))</f>
        <v xml:space="preserve">Largely Rural (rural including hub towns 50-79%) </v>
      </c>
      <c r="Y155" s="49" t="str">
        <f t="shared" si="55"/>
        <v/>
      </c>
      <c r="Z155" s="57" t="str">
        <f>IF(Y155="","",IF(I$8="A",(RANK(Y155,Y$11:Y$355,1)+COUNTIF(Y$11:Y155,Y155)-1),(RANK(Y155,Y$11:Y$355)+COUNTIF(Y$11:Y155,Y155)-1)))</f>
        <v/>
      </c>
      <c r="AA155" s="242" t="str">
        <f>IF(L155="","",VLOOKUP($L155,classifications!C:I,7,FALSE))</f>
        <v>Predominantly Rural</v>
      </c>
      <c r="AB155" s="236">
        <f t="shared" si="64"/>
        <v>506.4</v>
      </c>
      <c r="AC155" s="236">
        <f>IF(AB155="","",IF($I$8="A",(RANK(AB155,AB$11:AB$355)+COUNTIF(AB$11:AB155,AB155)-1),(RANK(AB155,AB$11:AB$355,1)+COUNTIF(AB$11:AB155,AB155)-1)))</f>
        <v>13</v>
      </c>
      <c r="AD155" s="236"/>
      <c r="AE155" s="51" t="str">
        <f t="shared" si="48"/>
        <v/>
      </c>
      <c r="AG155" s="143"/>
      <c r="AH155" s="52"/>
      <c r="AI155" s="61" t="str">
        <f>IF(L155="","",VLOOKUP($L155,classifications!$C:$J,8,FALSE))</f>
        <v>Suffolk</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East of England</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389.9</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f t="shared" si="61"/>
        <v>146</v>
      </c>
      <c r="L156" s="59" t="str">
        <f t="shared" si="51"/>
        <v>Lincoln</v>
      </c>
      <c r="M156" s="153">
        <f t="shared" si="52"/>
        <v>507.5</v>
      </c>
      <c r="N156" s="148">
        <f t="shared" si="62"/>
        <v>507.5</v>
      </c>
      <c r="O156" s="131" t="str">
        <f t="shared" si="53"/>
        <v/>
      </c>
      <c r="P156" s="131" t="str">
        <f t="shared" si="68"/>
        <v/>
      </c>
      <c r="Q156" s="131" t="str">
        <f t="shared" si="69"/>
        <v/>
      </c>
      <c r="R156" s="127">
        <f t="shared" si="70"/>
        <v>507.5</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Urban with City and Town</v>
      </c>
      <c r="Y156" s="49" t="str">
        <f t="shared" si="55"/>
        <v/>
      </c>
      <c r="Z156" s="57" t="str">
        <f>IF(Y156="","",IF(I$8="A",(RANK(Y156,Y$11:Y$355,1)+COUNTIF(Y$11:Y156,Y156)-1),(RANK(Y156,Y$11:Y$355)+COUNTIF(Y$11:Y156,Y156)-1)))</f>
        <v/>
      </c>
      <c r="AA156" s="242" t="str">
        <f>IF(L156="","",VLOOKUP($L156,classifications!C:I,7,FALSE))</f>
        <v>Predominantly Urban</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Lincolnshire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East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353</v>
      </c>
      <c r="G157" s="105"/>
      <c r="H157" s="60" t="str">
        <f t="shared" si="50"/>
        <v/>
      </c>
      <c r="I157" s="112" t="str">
        <f>IF(H157="","",IF($I$8="A",(RANK(H157,H$11:H$355,1)+COUNTIF(H$11:H157,H157)-1),(RANK(H157,H$11:H$355)+COUNTIF(H$11:H157,H157)-1)))</f>
        <v/>
      </c>
      <c r="J157" s="58"/>
      <c r="K157" s="51">
        <f t="shared" si="61"/>
        <v>147</v>
      </c>
      <c r="L157" s="59" t="str">
        <f t="shared" si="51"/>
        <v>North Kesteven</v>
      </c>
      <c r="M157" s="153">
        <f t="shared" si="52"/>
        <v>507.9</v>
      </c>
      <c r="N157" s="148">
        <f t="shared" si="62"/>
        <v>507.9</v>
      </c>
      <c r="O157" s="131" t="str">
        <f t="shared" si="53"/>
        <v/>
      </c>
      <c r="P157" s="131" t="str">
        <f t="shared" si="68"/>
        <v/>
      </c>
      <c r="Q157" s="131" t="str">
        <f t="shared" si="69"/>
        <v/>
      </c>
      <c r="R157" s="127">
        <f t="shared" si="70"/>
        <v>507.9</v>
      </c>
      <c r="S157" s="60" t="str">
        <f t="shared" si="63"/>
        <v/>
      </c>
      <c r="T157" s="228" t="str">
        <f>IF(L157="","",VLOOKUP(L157,classifications!C:K,9,FALSE))</f>
        <v>Sparse</v>
      </c>
      <c r="U157" s="235">
        <f t="shared" si="54"/>
        <v>507.9</v>
      </c>
      <c r="V157" s="236">
        <f>IF(U157="","",IF($I$8="A",(RANK(U157,U$11:U$355)+COUNTIF(U$11:U157,U157)-1),(RANK(U157,U$11:U$355,1)+COUNTIF(U$11:U157,U157)-1)))</f>
        <v>11</v>
      </c>
      <c r="W157" s="237"/>
      <c r="X157" s="61" t="str">
        <f>IF(L157="","",VLOOKUP($L157,classifications!$C:$J,6,FALSE))</f>
        <v xml:space="preserve">Mainly Rural (rural including hub towns &gt;=80%) </v>
      </c>
      <c r="Y157" s="49">
        <f t="shared" si="55"/>
        <v>507.9</v>
      </c>
      <c r="Z157" s="57">
        <f>IF(Y157="","",IF(I$8="A",(RANK(Y157,Y$11:Y$355,1)+COUNTIF(Y$11:Y157,Y157)-1),(RANK(Y157,Y$11:Y$355)+COUNTIF(Y$11:Y157,Y157)-1)))</f>
        <v>35</v>
      </c>
      <c r="AA157" s="242" t="str">
        <f>IF(L157="","",VLOOKUP($L157,classifications!C:I,7,FALSE))</f>
        <v>Predominantly Rural</v>
      </c>
      <c r="AB157" s="236">
        <f t="shared" si="64"/>
        <v>507.9</v>
      </c>
      <c r="AC157" s="236">
        <f>IF(AB157="","",IF($I$8="A",(RANK(AB157,AB$11:AB$355)+COUNTIF(AB$11:AB157,AB157)-1),(RANK(AB157,AB$11:AB$355,1)+COUNTIF(AB$11:AB157,AB157)-1)))</f>
        <v>12</v>
      </c>
      <c r="AD157" s="236"/>
      <c r="AE157" s="51" t="str">
        <f t="shared" si="48"/>
        <v/>
      </c>
      <c r="AG157" s="143"/>
      <c r="AH157" s="52"/>
      <c r="AI157" s="61" t="str">
        <f>IF(L157="","",VLOOKUP($L157,classifications!$C:$J,8,FALSE))</f>
        <v>Lincolnshire</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East Midlands</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353</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Crawley</v>
      </c>
      <c r="M158" s="153">
        <f t="shared" si="52"/>
        <v>508.2</v>
      </c>
      <c r="N158" s="148">
        <f t="shared" si="62"/>
        <v>508.2</v>
      </c>
      <c r="O158" s="131" t="str">
        <f t="shared" si="53"/>
        <v/>
      </c>
      <c r="P158" s="131" t="str">
        <f t="shared" si="68"/>
        <v/>
      </c>
      <c r="Q158" s="131" t="str">
        <f t="shared" si="69"/>
        <v/>
      </c>
      <c r="R158" s="127">
        <f t="shared" si="70"/>
        <v>508.2</v>
      </c>
      <c r="S158" s="60" t="str">
        <f t="shared" si="63"/>
        <v/>
      </c>
      <c r="T158" s="228">
        <f>IF(L158="","",VLOOKUP(L158,classifications!C:K,9,FALSE))</f>
        <v>0</v>
      </c>
      <c r="U158" s="235" t="str">
        <f t="shared" si="54"/>
        <v/>
      </c>
      <c r="V158" s="236" t="str">
        <f>IF(U158="","",IF($I$8="A",(RANK(U158,U$11:U$355)+COUNTIF(U$11:U158,U158)-1),(RANK(U158,U$11:U$355,1)+COUNTIF(U$11:U158,U158)-1)))</f>
        <v/>
      </c>
      <c r="W158" s="237"/>
      <c r="X158" s="61" t="str">
        <f>IF(L158="","",VLOOKUP($L158,classifications!$C:$J,6,FALSE))</f>
        <v>Urban with City and Town</v>
      </c>
      <c r="Y158" s="49" t="str">
        <f t="shared" si="55"/>
        <v/>
      </c>
      <c r="Z158" s="57" t="str">
        <f>IF(Y158="","",IF(I$8="A",(RANK(Y158,Y$11:Y$355,1)+COUNTIF(Y$11:Y158,Y158)-1),(RANK(Y158,Y$11:Y$355)+COUNTIF(Y$11:Y158,Y158)-1)))</f>
        <v/>
      </c>
      <c r="AA158" s="242" t="str">
        <f>IF(L158="","",VLOOKUP($L158,classifications!C:I,7,FALSE))</f>
        <v>Predominantly Urban</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West Sussex</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South East</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528.6</v>
      </c>
      <c r="G159" s="105"/>
      <c r="H159" s="60" t="str">
        <f t="shared" si="50"/>
        <v/>
      </c>
      <c r="I159" s="112" t="str">
        <f>IF(H159="","",IF($I$8="A",(RANK(H159,H$11:H$355,1)+COUNTIF(H$11:H159,H159)-1),(RANK(H159,H$11:H$355)+COUNTIF(H$11:H159,H159)-1)))</f>
        <v/>
      </c>
      <c r="J159" s="58"/>
      <c r="K159" s="51">
        <f t="shared" si="61"/>
        <v>149</v>
      </c>
      <c r="L159" s="59" t="str">
        <f t="shared" si="51"/>
        <v>Redditch</v>
      </c>
      <c r="M159" s="153">
        <f t="shared" si="52"/>
        <v>509</v>
      </c>
      <c r="N159" s="148">
        <f t="shared" si="62"/>
        <v>509</v>
      </c>
      <c r="O159" s="131" t="str">
        <f t="shared" si="53"/>
        <v/>
      </c>
      <c r="P159" s="131" t="str">
        <f t="shared" si="68"/>
        <v/>
      </c>
      <c r="Q159" s="131" t="str">
        <f t="shared" si="69"/>
        <v/>
      </c>
      <c r="R159" s="127">
        <f t="shared" si="70"/>
        <v>509</v>
      </c>
      <c r="S159" s="60" t="str">
        <f t="shared" si="63"/>
        <v/>
      </c>
      <c r="T159" s="228">
        <f>IF(L159="","",VLOOKUP(L159,classifications!C:K,9,FALSE))</f>
        <v>0</v>
      </c>
      <c r="U159" s="235" t="str">
        <f t="shared" si="54"/>
        <v/>
      </c>
      <c r="V159" s="236" t="str">
        <f>IF(U159="","",IF($I$8="A",(RANK(U159,U$11:U$355)+COUNTIF(U$11:U159,U159)-1),(RANK(U159,U$11:U$355,1)+COUNTIF(U$11:U159,U159)-1)))</f>
        <v/>
      </c>
      <c r="W159" s="237"/>
      <c r="X159" s="61" t="str">
        <f>IF(L159="","",VLOOKUP($L159,classifications!$C:$J,6,FALSE))</f>
        <v>Urban with City and Town</v>
      </c>
      <c r="Y159" s="49" t="str">
        <f t="shared" si="55"/>
        <v/>
      </c>
      <c r="Z159" s="57" t="str">
        <f>IF(Y159="","",IF(I$8="A",(RANK(Y159,Y$11:Y$355,1)+COUNTIF(Y$11:Y159,Y159)-1),(RANK(Y159,Y$11:Y$355)+COUNTIF(Y$11:Y159,Y159)-1)))</f>
        <v/>
      </c>
      <c r="AA159" s="242" t="str">
        <f>IF(L159="","",VLOOKUP($L159,classifications!C:I,7,FALSE))</f>
        <v>Predominantly Urban</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Worcestershire</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West Midlands</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528.6</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Breckland</v>
      </c>
      <c r="M160" s="153">
        <f t="shared" si="52"/>
        <v>509.3</v>
      </c>
      <c r="N160" s="148">
        <f t="shared" si="62"/>
        <v>509.3</v>
      </c>
      <c r="O160" s="131" t="str">
        <f t="shared" si="53"/>
        <v/>
      </c>
      <c r="P160" s="131" t="str">
        <f t="shared" si="68"/>
        <v/>
      </c>
      <c r="Q160" s="131" t="str">
        <f t="shared" si="69"/>
        <v/>
      </c>
      <c r="R160" s="127">
        <f t="shared" si="70"/>
        <v>509.3</v>
      </c>
      <c r="S160" s="60" t="str">
        <f t="shared" si="63"/>
        <v/>
      </c>
      <c r="T160" s="228" t="str">
        <f>IF(L160="","",VLOOKUP(L160,classifications!C:K,9,FALSE))</f>
        <v>Sparse</v>
      </c>
      <c r="U160" s="235">
        <f t="shared" si="54"/>
        <v>509.3</v>
      </c>
      <c r="V160" s="236">
        <f>IF(U160="","",IF($I$8="A",(RANK(U160,U$11:U$355)+COUNTIF(U$11:U160,U160)-1),(RANK(U160,U$11:U$355,1)+COUNTIF(U$11:U160,U160)-1)))</f>
        <v>10</v>
      </c>
      <c r="W160" s="237"/>
      <c r="X160" s="61" t="str">
        <f>IF(L160="","",VLOOKUP($L160,classifications!$C:$J,6,FALSE))</f>
        <v xml:space="preserve">Mainly Rural (rural including hub towns &gt;=80%) </v>
      </c>
      <c r="Y160" s="49">
        <f t="shared" si="55"/>
        <v>509.3</v>
      </c>
      <c r="Z160" s="57">
        <f>IF(Y160="","",IF(I$8="A",(RANK(Y160,Y$11:Y$355,1)+COUNTIF(Y$11:Y160,Y160)-1),(RANK(Y160,Y$11:Y$355)+COUNTIF(Y$11:Y160,Y160)-1)))</f>
        <v>36</v>
      </c>
      <c r="AA160" s="242" t="str">
        <f>IF(L160="","",VLOOKUP($L160,classifications!C:I,7,FALSE))</f>
        <v>Predominantly Rural</v>
      </c>
      <c r="AB160" s="236">
        <f t="shared" si="64"/>
        <v>509.3</v>
      </c>
      <c r="AC160" s="236">
        <f>IF(AB160="","",IF($I$8="A",(RANK(AB160,AB$11:AB$355)+COUNTIF(AB$11:AB160,AB160)-1),(RANK(AB160,AB$11:AB$355,1)+COUNTIF(AB$11:AB160,AB160)-1)))</f>
        <v>11</v>
      </c>
      <c r="AD160" s="236"/>
      <c r="AE160" s="51" t="str">
        <f t="shared" si="48"/>
        <v/>
      </c>
      <c r="AG160" s="143"/>
      <c r="AH160" s="52"/>
      <c r="AI160" s="61" t="str">
        <f>IF(L160="","",VLOOKUP($L160,classifications!$C:$J,8,FALSE))</f>
        <v>Norfolk</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East of England</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460.5</v>
      </c>
      <c r="G161" s="105"/>
      <c r="H161" s="60">
        <f t="shared" si="50"/>
        <v>460.5</v>
      </c>
      <c r="I161" s="112">
        <f>IF(H161="","",IF($I$8="A",(RANK(H161,H$11:H$355,1)+COUNTIF(H$11:H161,H161)-1),(RANK(H161,H$11:H$355)+COUNTIF(H$11:H161,H161)-1)))</f>
        <v>100</v>
      </c>
      <c r="J161" s="58"/>
      <c r="K161" s="51">
        <f t="shared" si="61"/>
        <v>151</v>
      </c>
      <c r="L161" s="59" t="str">
        <f t="shared" si="51"/>
        <v>Swale</v>
      </c>
      <c r="M161" s="153">
        <f t="shared" si="52"/>
        <v>512.29999999999995</v>
      </c>
      <c r="N161" s="148">
        <f t="shared" si="62"/>
        <v>512.29999999999995</v>
      </c>
      <c r="O161" s="131" t="str">
        <f t="shared" si="53"/>
        <v/>
      </c>
      <c r="P161" s="131" t="str">
        <f t="shared" si="68"/>
        <v/>
      </c>
      <c r="Q161" s="131" t="str">
        <f t="shared" si="69"/>
        <v/>
      </c>
      <c r="R161" s="127">
        <f t="shared" si="70"/>
        <v>512.29999999999995</v>
      </c>
      <c r="S161" s="60" t="str">
        <f t="shared" si="63"/>
        <v/>
      </c>
      <c r="T161" s="228">
        <f>IF(L161="","",VLOOKUP(L161,classifications!C:K,9,FALSE))</f>
        <v>0</v>
      </c>
      <c r="U161" s="235" t="str">
        <f t="shared" si="54"/>
        <v/>
      </c>
      <c r="V161" s="236" t="str">
        <f>IF(U161="","",IF($I$8="A",(RANK(U161,U$11:U$355)+COUNTIF(U$11:U161,U161)-1),(RANK(U161,U$11:U$355,1)+COUNTIF(U$11:U161,U161)-1)))</f>
        <v/>
      </c>
      <c r="W161" s="237"/>
      <c r="X161" s="61" t="str">
        <f>IF(L161="","",VLOOKUP($L161,classifications!$C:$J,6,FALSE))</f>
        <v xml:space="preserve">Largely Rural (rural including hub towns 50-79%) </v>
      </c>
      <c r="Y161" s="49" t="str">
        <f t="shared" si="55"/>
        <v/>
      </c>
      <c r="Z161" s="57" t="str">
        <f>IF(Y161="","",IF(I$8="A",(RANK(Y161,Y$11:Y$355,1)+COUNTIF(Y$11:Y161,Y161)-1),(RANK(Y161,Y$11:Y$355)+COUNTIF(Y$11:Y161,Y161)-1)))</f>
        <v/>
      </c>
      <c r="AA161" s="242" t="str">
        <f>IF(L161="","",VLOOKUP($L161,classifications!C:I,7,FALSE))</f>
        <v>Predominantly Rural</v>
      </c>
      <c r="AB161" s="236">
        <f t="shared" si="64"/>
        <v>512.29999999999995</v>
      </c>
      <c r="AC161" s="236">
        <f>IF(AB161="","",IF($I$8="A",(RANK(AB161,AB$11:AB$355)+COUNTIF(AB$11:AB161,AB161)-1),(RANK(AB161,AB$11:AB$355,1)+COUNTIF(AB$11:AB161,AB161)-1)))</f>
        <v>10</v>
      </c>
      <c r="AD161" s="236"/>
      <c r="AE161" s="51" t="str">
        <f t="shared" si="48"/>
        <v/>
      </c>
      <c r="AG161" s="143"/>
      <c r="AH161" s="52"/>
      <c r="AI161" s="61" t="str">
        <f>IF(L161="","",VLOOKUP($L161,classifications!$C:$J,8,FALSE))</f>
        <v>Kent</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South East</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460.5</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445.6</v>
      </c>
      <c r="G162" s="105"/>
      <c r="H162" s="60" t="str">
        <f t="shared" si="50"/>
        <v/>
      </c>
      <c r="I162" s="112" t="str">
        <f>IF(H162="","",IF($I$8="A",(RANK(H162,H$11:H$355,1)+COUNTIF(H$11:H162,H162)-1),(RANK(H162,H$11:H$355)+COUNTIF(H$11:H162,H162)-1)))</f>
        <v/>
      </c>
      <c r="J162" s="58"/>
      <c r="K162" s="51">
        <f t="shared" si="61"/>
        <v>152</v>
      </c>
      <c r="L162" s="59" t="str">
        <f t="shared" si="51"/>
        <v>West Lindsey</v>
      </c>
      <c r="M162" s="153">
        <f t="shared" si="52"/>
        <v>515.4</v>
      </c>
      <c r="N162" s="148">
        <f t="shared" si="62"/>
        <v>515.4</v>
      </c>
      <c r="O162" s="131" t="str">
        <f t="shared" si="53"/>
        <v/>
      </c>
      <c r="P162" s="131" t="str">
        <f t="shared" si="68"/>
        <v/>
      </c>
      <c r="Q162" s="131" t="str">
        <f t="shared" si="69"/>
        <v/>
      </c>
      <c r="R162" s="127">
        <f t="shared" si="70"/>
        <v>515.4</v>
      </c>
      <c r="S162" s="60" t="str">
        <f t="shared" si="63"/>
        <v/>
      </c>
      <c r="T162" s="228" t="str">
        <f>IF(L162="","",VLOOKUP(L162,classifications!C:K,9,FALSE))</f>
        <v>Sparse</v>
      </c>
      <c r="U162" s="235">
        <f t="shared" si="54"/>
        <v>515.4</v>
      </c>
      <c r="V162" s="236">
        <f>IF(U162="","",IF($I$8="A",(RANK(U162,U$11:U$355)+COUNTIF(U$11:U162,U162)-1),(RANK(U162,U$11:U$355,1)+COUNTIF(U$11:U162,U162)-1)))</f>
        <v>9</v>
      </c>
      <c r="W162" s="237"/>
      <c r="X162" s="61" t="str">
        <f>IF(L162="","",VLOOKUP($L162,classifications!$C:$J,6,FALSE))</f>
        <v xml:space="preserve">Mainly Rural (rural including hub towns &gt;=80%) </v>
      </c>
      <c r="Y162" s="49">
        <f t="shared" si="55"/>
        <v>515.4</v>
      </c>
      <c r="Z162" s="57">
        <f>IF(Y162="","",IF(I$8="A",(RANK(Y162,Y$11:Y$355,1)+COUNTIF(Y$11:Y162,Y162)-1),(RANK(Y162,Y$11:Y$355)+COUNTIF(Y$11:Y162,Y162)-1)))</f>
        <v>37</v>
      </c>
      <c r="AA162" s="242" t="str">
        <f>IF(L162="","",VLOOKUP($L162,classifications!C:I,7,FALSE))</f>
        <v>Predominantly Rural</v>
      </c>
      <c r="AB162" s="236">
        <f t="shared" si="64"/>
        <v>515.4</v>
      </c>
      <c r="AC162" s="236">
        <f>IF(AB162="","",IF($I$8="A",(RANK(AB162,AB$11:AB$355)+COUNTIF(AB$11:AB162,AB162)-1),(RANK(AB162,AB$11:AB$355,1)+COUNTIF(AB$11:AB162,AB162)-1)))</f>
        <v>9</v>
      </c>
      <c r="AD162" s="236"/>
      <c r="AE162" s="51" t="str">
        <f t="shared" si="48"/>
        <v/>
      </c>
      <c r="AG162" s="143"/>
      <c r="AH162" s="52"/>
      <c r="AI162" s="61" t="str">
        <f>IF(L162="","",VLOOKUP($L162,classifications!$C:$J,8,FALSE))</f>
        <v>Lincolnshire</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East Midlands</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445.6</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East Staffordshire</v>
      </c>
      <c r="M163" s="153">
        <f t="shared" si="52"/>
        <v>515.6</v>
      </c>
      <c r="N163" s="148">
        <f t="shared" si="62"/>
        <v>515.6</v>
      </c>
      <c r="O163" s="131" t="str">
        <f t="shared" si="53"/>
        <v/>
      </c>
      <c r="P163" s="131" t="str">
        <f t="shared" si="68"/>
        <v/>
      </c>
      <c r="Q163" s="131" t="str">
        <f t="shared" si="69"/>
        <v/>
      </c>
      <c r="R163" s="127">
        <f t="shared" si="70"/>
        <v>515.6</v>
      </c>
      <c r="S163" s="60" t="str">
        <f t="shared" si="63"/>
        <v/>
      </c>
      <c r="T163" s="228">
        <f>IF(L163="","",VLOOKUP(L163,classifications!C:K,9,FALSE))</f>
        <v>0</v>
      </c>
      <c r="U163" s="235" t="str">
        <f t="shared" si="54"/>
        <v/>
      </c>
      <c r="V163" s="236" t="str">
        <f>IF(U163="","",IF($I$8="A",(RANK(U163,U$11:U$355)+COUNTIF(U$11:U163,U163)-1),(RANK(U163,U$11:U$355,1)+COUNTIF(U$11:U163,U163)-1)))</f>
        <v/>
      </c>
      <c r="W163" s="237"/>
      <c r="X163" s="61" t="str">
        <f>IF(L163="","",VLOOKUP($L163,classifications!$C:$J,6,FALSE))</f>
        <v>Urban with Significant Rural (rural including hub towns 26-49%)</v>
      </c>
      <c r="Y163" s="49" t="str">
        <f t="shared" si="55"/>
        <v/>
      </c>
      <c r="Z163" s="57" t="str">
        <f>IF(Y163="","",IF(I$8="A",(RANK(Y163,Y$11:Y$355,1)+COUNTIF(Y$11:Y163,Y163)-1),(RANK(Y163,Y$11:Y$355)+COUNTIF(Y$11:Y163,Y163)-1)))</f>
        <v/>
      </c>
      <c r="AA163" s="242" t="str">
        <f>IF(L163="","",VLOOKUP($L163,classifications!C:I,7,FALSE))</f>
        <v>Significant Rural</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Staffordshire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West Midlands</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630</v>
      </c>
      <c r="G164" s="105"/>
      <c r="H164" s="60" t="str">
        <f t="shared" si="50"/>
        <v/>
      </c>
      <c r="I164" s="112" t="str">
        <f>IF(H164="","",IF($I$8="A",(RANK(H164,H$11:H$355,1)+COUNTIF(H$11:H164,H164)-1),(RANK(H164,H$11:H$355)+COUNTIF(H$11:H164,H164)-1)))</f>
        <v/>
      </c>
      <c r="J164" s="58"/>
      <c r="K164" s="51">
        <f t="shared" si="61"/>
        <v>154</v>
      </c>
      <c r="L164" s="59" t="str">
        <f t="shared" si="51"/>
        <v>South Derbyshire</v>
      </c>
      <c r="M164" s="153">
        <f t="shared" si="52"/>
        <v>519</v>
      </c>
      <c r="N164" s="148">
        <f t="shared" si="62"/>
        <v>519</v>
      </c>
      <c r="O164" s="131" t="str">
        <f t="shared" si="53"/>
        <v/>
      </c>
      <c r="P164" s="131" t="str">
        <f t="shared" si="68"/>
        <v/>
      </c>
      <c r="Q164" s="131" t="str">
        <f t="shared" si="69"/>
        <v/>
      </c>
      <c r="R164" s="127">
        <f t="shared" si="70"/>
        <v>519</v>
      </c>
      <c r="S164" s="60" t="str">
        <f t="shared" si="63"/>
        <v/>
      </c>
      <c r="T164" s="228" t="str">
        <f>IF(L164="","",VLOOKUP(L164,classifications!C:K,9,FALSE))</f>
        <v>Sparse</v>
      </c>
      <c r="U164" s="235">
        <f t="shared" si="54"/>
        <v>519</v>
      </c>
      <c r="V164" s="236">
        <f>IF(U164="","",IF($I$8="A",(RANK(U164,U$11:U$355)+COUNTIF(U$11:U164,U164)-1),(RANK(U164,U$11:U$355,1)+COUNTIF(U$11:U164,U164)-1)))</f>
        <v>8</v>
      </c>
      <c r="W164" s="237"/>
      <c r="X164" s="61" t="str">
        <f>IF(L164="","",VLOOKUP($L164,classifications!$C:$J,6,FALSE))</f>
        <v>Urban with Significant Rural (rural including hub towns 26-49%)</v>
      </c>
      <c r="Y164" s="49" t="str">
        <f t="shared" si="55"/>
        <v/>
      </c>
      <c r="Z164" s="57" t="str">
        <f>IF(Y164="","",IF(I$8="A",(RANK(Y164,Y$11:Y$355,1)+COUNTIF(Y$11:Y164,Y164)-1),(RANK(Y164,Y$11:Y$355)+COUNTIF(Y$11:Y164,Y164)-1)))</f>
        <v/>
      </c>
      <c r="AA164" s="242" t="str">
        <f>IF(L164="","",VLOOKUP($L164,classifications!C:I,7,FALSE))</f>
        <v>Significant Rural</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Derbyshire</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East Midlands</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630</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563</v>
      </c>
      <c r="G165" s="105"/>
      <c r="H165" s="60" t="str">
        <f t="shared" si="50"/>
        <v/>
      </c>
      <c r="I165" s="112" t="str">
        <f>IF(H165="","",IF($I$8="A",(RANK(H165,H$11:H$355,1)+COUNTIF(H$11:H165,H165)-1),(RANK(H165,H$11:H$355)+COUNTIF(H$11:H165,H165)-1)))</f>
        <v/>
      </c>
      <c r="J165" s="58"/>
      <c r="K165" s="51">
        <f t="shared" si="61"/>
        <v>155</v>
      </c>
      <c r="L165" s="59" t="str">
        <f t="shared" si="51"/>
        <v>Wyre Forest</v>
      </c>
      <c r="M165" s="153">
        <f t="shared" si="52"/>
        <v>520.4</v>
      </c>
      <c r="N165" s="148">
        <f t="shared" si="62"/>
        <v>520.4</v>
      </c>
      <c r="O165" s="131" t="str">
        <f t="shared" si="53"/>
        <v/>
      </c>
      <c r="P165" s="131" t="str">
        <f t="shared" si="68"/>
        <v/>
      </c>
      <c r="Q165" s="131" t="str">
        <f t="shared" si="69"/>
        <v/>
      </c>
      <c r="R165" s="127">
        <f t="shared" si="70"/>
        <v>520.4</v>
      </c>
      <c r="S165" s="60" t="str">
        <f t="shared" si="63"/>
        <v/>
      </c>
      <c r="T165" s="228">
        <f>IF(L165="","",VLOOKUP(L165,classifications!C:K,9,FALSE))</f>
        <v>0</v>
      </c>
      <c r="U165" s="235" t="str">
        <f t="shared" si="54"/>
        <v/>
      </c>
      <c r="V165" s="236" t="str">
        <f>IF(U165="","",IF($I$8="A",(RANK(U165,U$11:U$355)+COUNTIF(U$11:U165,U165)-1),(RANK(U165,U$11:U$355,1)+COUNTIF(U$11:U165,U165)-1)))</f>
        <v/>
      </c>
      <c r="W165" s="237"/>
      <c r="X165" s="61" t="str">
        <f>IF(L165="","",VLOOKUP($L165,classifications!$C:$J,6,FALSE))</f>
        <v>Urban with Significant Rural (rural including hub towns 26-49%)</v>
      </c>
      <c r="Y165" s="49" t="str">
        <f t="shared" si="55"/>
        <v/>
      </c>
      <c r="Z165" s="57" t="str">
        <f>IF(Y165="","",IF(I$8="A",(RANK(Y165,Y$11:Y$355,1)+COUNTIF(Y$11:Y165,Y165)-1),(RANK(Y165,Y$11:Y$355)+COUNTIF(Y$11:Y165,Y165)-1)))</f>
        <v/>
      </c>
      <c r="AA165" s="242" t="str">
        <f>IF(L165="","",VLOOKUP($L165,classifications!C:I,7,FALSE))</f>
        <v>Significant Rural</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Worcestershire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West Midlands</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563</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365.3</v>
      </c>
      <c r="G166" s="105"/>
      <c r="H166" s="60" t="str">
        <f t="shared" si="50"/>
        <v/>
      </c>
      <c r="I166" s="112" t="str">
        <f>IF(H166="","",IF($I$8="A",(RANK(H166,H$11:H$355,1)+COUNTIF(H$11:H166,H166)-1),(RANK(H166,H$11:H$355)+COUNTIF(H$11:H166,H166)-1)))</f>
        <v/>
      </c>
      <c r="J166" s="58"/>
      <c r="K166" s="51">
        <f t="shared" si="61"/>
        <v>156</v>
      </c>
      <c r="L166" s="59" t="str">
        <f t="shared" si="51"/>
        <v>Allerdale</v>
      </c>
      <c r="M166" s="153">
        <f t="shared" si="52"/>
        <v>522.1</v>
      </c>
      <c r="N166" s="148">
        <f t="shared" si="62"/>
        <v>522.1</v>
      </c>
      <c r="O166" s="131" t="str">
        <f t="shared" si="53"/>
        <v/>
      </c>
      <c r="P166" s="131" t="str">
        <f t="shared" si="68"/>
        <v/>
      </c>
      <c r="Q166" s="131" t="str">
        <f t="shared" si="69"/>
        <v/>
      </c>
      <c r="R166" s="127">
        <f t="shared" si="70"/>
        <v>522.1</v>
      </c>
      <c r="S166" s="60" t="str">
        <f t="shared" si="63"/>
        <v>u</v>
      </c>
      <c r="T166" s="228" t="str">
        <f>IF(L166="","",VLOOKUP(L166,classifications!C:K,9,FALSE))</f>
        <v>Sparse</v>
      </c>
      <c r="U166" s="235">
        <f t="shared" si="54"/>
        <v>522.1</v>
      </c>
      <c r="V166" s="236">
        <f>IF(U166="","",IF($I$8="A",(RANK(U166,U$11:U$355)+COUNTIF(U$11:U166,U166)-1),(RANK(U166,U$11:U$355,1)+COUNTIF(U$11:U166,U166)-1)))</f>
        <v>7</v>
      </c>
      <c r="W166" s="237"/>
      <c r="X166" s="61" t="str">
        <f>IF(L166="","",VLOOKUP($L166,classifications!$C:$J,6,FALSE))</f>
        <v xml:space="preserve">Mainly Rural (rural including hub towns &gt;=80%) </v>
      </c>
      <c r="Y166" s="49">
        <f t="shared" si="55"/>
        <v>522.1</v>
      </c>
      <c r="Z166" s="57">
        <f>IF(Y166="","",IF(I$8="A",(RANK(Y166,Y$11:Y$355,1)+COUNTIF(Y$11:Y166,Y166)-1),(RANK(Y166,Y$11:Y$355)+COUNTIF(Y$11:Y166,Y166)-1)))</f>
        <v>38</v>
      </c>
      <c r="AA166" s="242" t="str">
        <f>IF(L166="","",VLOOKUP($L166,classifications!C:I,7,FALSE))</f>
        <v>Predominantly Rural</v>
      </c>
      <c r="AB166" s="236">
        <f t="shared" si="64"/>
        <v>522.1</v>
      </c>
      <c r="AC166" s="236">
        <f>IF(AB166="","",IF($I$8="A",(RANK(AB166,AB$11:AB$355)+COUNTIF(AB$11:AB166,AB166)-1),(RANK(AB166,AB$11:AB$355,1)+COUNTIF(AB$11:AB166,AB166)-1)))</f>
        <v>8</v>
      </c>
      <c r="AD166" s="236"/>
      <c r="AE166" s="51" t="str">
        <f t="shared" si="71"/>
        <v/>
      </c>
      <c r="AG166" s="143"/>
      <c r="AH166" s="52"/>
      <c r="AI166" s="61" t="str">
        <f>IF(L166="","",VLOOKUP($L166,classifications!$C:$J,8,FALSE))</f>
        <v>Cumbria</v>
      </c>
      <c r="AJ166" s="62">
        <f t="shared" si="56"/>
        <v>522.1</v>
      </c>
      <c r="AK166" s="57">
        <f>IF(AJ166="","",IF(I$8="A",(RANK(AJ166,AJ$11:AJ$355,1)+COUNTIF(AJ$11:AJ166,AJ166)-1),(RANK(AJ166,AJ$11:AJ$355)+COUNTIF(AJ$11:AJ166,AJ166)-1)))</f>
        <v>5</v>
      </c>
      <c r="AL166" s="52" t="str">
        <f t="shared" si="65"/>
        <v/>
      </c>
      <c r="AM166" s="31" t="str">
        <f t="shared" si="57"/>
        <v/>
      </c>
      <c r="AN166" s="31" t="str">
        <f t="shared" si="58"/>
        <v/>
      </c>
      <c r="AP166" s="61" t="str">
        <f>IF(L166="","",VLOOKUP($L166,classifications!$C:$E,3,FALSE))</f>
        <v>North West</v>
      </c>
      <c r="AQ166" s="62">
        <f t="shared" si="66"/>
        <v>522.1</v>
      </c>
      <c r="AR166" s="57">
        <f>IF(AQ166="","",IF(I$8="A",(RANK(AQ166,AQ$11:AQ$355,1)+COUNTIF(AQ$11:AQ166,AQ166)-1),(RANK(AQ166,AQ$11:AQ$355)+COUNTIF(AQ$11:AQ166,AQ166)-1)))</f>
        <v>13</v>
      </c>
      <c r="AS166" s="52" t="str">
        <f t="shared" si="67"/>
        <v/>
      </c>
      <c r="AT166" s="57" t="str">
        <f t="shared" si="59"/>
        <v/>
      </c>
      <c r="AU166" s="62" t="str">
        <f t="shared" si="60"/>
        <v/>
      </c>
      <c r="AX166" s="44">
        <f>HLOOKUP($AX$9&amp;$AX$10,Data!$A$1:$ZZ$2000,(MATCH($C166,Data!$A$1:$A$2000,0)),FALSE)</f>
        <v>365.3</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532.20000000000005</v>
      </c>
      <c r="G167" s="105"/>
      <c r="H167" s="60" t="str">
        <f t="shared" si="50"/>
        <v/>
      </c>
      <c r="I167" s="112" t="str">
        <f>IF(H167="","",IF($I$8="A",(RANK(H167,H$11:H$355,1)+COUNTIF(H$11:H167,H167)-1),(RANK(H167,H$11:H$355)+COUNTIF(H$11:H167,H167)-1)))</f>
        <v/>
      </c>
      <c r="J167" s="58"/>
      <c r="K167" s="51">
        <f t="shared" si="61"/>
        <v>157</v>
      </c>
      <c r="L167" s="59" t="str">
        <f t="shared" si="51"/>
        <v>Rossendale</v>
      </c>
      <c r="M167" s="153">
        <f t="shared" si="52"/>
        <v>523.79999999999995</v>
      </c>
      <c r="N167" s="148">
        <f t="shared" si="62"/>
        <v>523.79999999999995</v>
      </c>
      <c r="O167" s="131" t="str">
        <f t="shared" si="53"/>
        <v/>
      </c>
      <c r="P167" s="131" t="str">
        <f t="shared" si="68"/>
        <v/>
      </c>
      <c r="Q167" s="131" t="str">
        <f t="shared" si="69"/>
        <v/>
      </c>
      <c r="R167" s="127">
        <f t="shared" si="70"/>
        <v>523.79999999999995</v>
      </c>
      <c r="S167" s="60" t="str">
        <f t="shared" si="63"/>
        <v/>
      </c>
      <c r="T167" s="228">
        <f>IF(L167="","",VLOOKUP(L167,classifications!C:K,9,FALSE))</f>
        <v>0</v>
      </c>
      <c r="U167" s="235" t="str">
        <f t="shared" si="54"/>
        <v/>
      </c>
      <c r="V167" s="236" t="str">
        <f>IF(U167="","",IF($I$8="A",(RANK(U167,U$11:U$355)+COUNTIF(U$11:U167,U167)-1),(RANK(U167,U$11:U$355,1)+COUNTIF(U$11:U167,U167)-1)))</f>
        <v/>
      </c>
      <c r="W167" s="237"/>
      <c r="X167" s="61" t="str">
        <f>IF(L167="","",VLOOKUP($L167,classifications!$C:$J,6,FALSE))</f>
        <v>Urban with City and Town</v>
      </c>
      <c r="Y167" s="49" t="str">
        <f t="shared" si="55"/>
        <v/>
      </c>
      <c r="Z167" s="57" t="str">
        <f>IF(Y167="","",IF(I$8="A",(RANK(Y167,Y$11:Y$355,1)+COUNTIF(Y$11:Y167,Y167)-1),(RANK(Y167,Y$11:Y$355)+COUNTIF(Y$11:Y167,Y167)-1)))</f>
        <v/>
      </c>
      <c r="AA167" s="242" t="str">
        <f>IF(L167="","",VLOOKUP($L167,classifications!C:I,7,FALSE))</f>
        <v>Predominantly Urban</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Lancashire</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North West</v>
      </c>
      <c r="AQ167" s="62">
        <f t="shared" si="66"/>
        <v>523.79999999999995</v>
      </c>
      <c r="AR167" s="57">
        <f>IF(AQ167="","",IF(I$8="A",(RANK(AQ167,AQ$11:AQ$355,1)+COUNTIF(AQ$11:AQ167,AQ167)-1),(RANK(AQ167,AQ$11:AQ$355)+COUNTIF(AQ$11:AQ167,AQ167)-1)))</f>
        <v>14</v>
      </c>
      <c r="AS167" s="52" t="str">
        <f t="shared" si="67"/>
        <v/>
      </c>
      <c r="AT167" s="57" t="str">
        <f t="shared" si="59"/>
        <v/>
      </c>
      <c r="AU167" s="62" t="str">
        <f t="shared" si="60"/>
        <v/>
      </c>
      <c r="AX167" s="44">
        <f>HLOOKUP($AX$9&amp;$AX$10,Data!$A$1:$ZZ$2000,(MATCH($C167,Data!$A$1:$A$2000,0)),FALSE)</f>
        <v>532.20000000000005</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465.9</v>
      </c>
      <c r="G168" s="105"/>
      <c r="H168" s="60">
        <f t="shared" si="50"/>
        <v>465.9</v>
      </c>
      <c r="I168" s="112">
        <f>IF(H168="","",IF($I$8="A",(RANK(H168,H$11:H$355,1)+COUNTIF(H$11:H168,H168)-1),(RANK(H168,H$11:H$355)+COUNTIF(H$11:H168,H168)-1)))</f>
        <v>111</v>
      </c>
      <c r="J168" s="58"/>
      <c r="K168" s="51">
        <f t="shared" si="61"/>
        <v>158</v>
      </c>
      <c r="L168" s="59" t="str">
        <f t="shared" si="51"/>
        <v>Broxtowe</v>
      </c>
      <c r="M168" s="153">
        <f t="shared" si="52"/>
        <v>527.79999999999995</v>
      </c>
      <c r="N168" s="148">
        <f t="shared" si="62"/>
        <v>527.79999999999995</v>
      </c>
      <c r="O168" s="131" t="str">
        <f t="shared" si="53"/>
        <v/>
      </c>
      <c r="P168" s="131" t="str">
        <f t="shared" si="68"/>
        <v/>
      </c>
      <c r="Q168" s="131" t="str">
        <f t="shared" si="69"/>
        <v/>
      </c>
      <c r="R168" s="127">
        <f t="shared" si="70"/>
        <v>527.79999999999995</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Urban with Minor Conurbation</v>
      </c>
      <c r="Y168" s="49" t="str">
        <f t="shared" si="55"/>
        <v/>
      </c>
      <c r="Z168" s="57" t="str">
        <f>IF(Y168="","",IF(I$8="A",(RANK(Y168,Y$11:Y$355,1)+COUNTIF(Y$11:Y168,Y168)-1),(RANK(Y168,Y$11:Y$355)+COUNTIF(Y$11:Y168,Y168)-1)))</f>
        <v/>
      </c>
      <c r="AA168" s="242" t="str">
        <f>IF(L168="","",VLOOKUP($L168,classifications!C:I,7,FALSE))</f>
        <v>Predominantly Urban</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Nottinghamshire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East Midlands</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465.9</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527.6</v>
      </c>
      <c r="G169" s="105"/>
      <c r="H169" s="60" t="str">
        <f t="shared" si="50"/>
        <v/>
      </c>
      <c r="I169" s="112" t="str">
        <f>IF(H169="","",IF($I$8="A",(RANK(H169,H$11:H$355,1)+COUNTIF(H$11:H169,H169)-1),(RANK(H169,H$11:H$355)+COUNTIF(H$11:H169,H169)-1)))</f>
        <v/>
      </c>
      <c r="J169" s="58"/>
      <c r="K169" s="51">
        <f t="shared" si="61"/>
        <v>159</v>
      </c>
      <c r="L169" s="59" t="str">
        <f t="shared" si="51"/>
        <v>Fenland</v>
      </c>
      <c r="M169" s="153">
        <f t="shared" si="52"/>
        <v>536.20000000000005</v>
      </c>
      <c r="N169" s="148">
        <f t="shared" si="62"/>
        <v>536.20000000000005</v>
      </c>
      <c r="O169" s="131" t="str">
        <f t="shared" si="53"/>
        <v/>
      </c>
      <c r="P169" s="131" t="str">
        <f t="shared" si="68"/>
        <v/>
      </c>
      <c r="Q169" s="131" t="str">
        <f t="shared" si="69"/>
        <v/>
      </c>
      <c r="R169" s="127">
        <f t="shared" si="70"/>
        <v>536.20000000000005</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 xml:space="preserve">Largely Rural (rural including hub towns 50-79%) </v>
      </c>
      <c r="Y169" s="49" t="str">
        <f t="shared" si="55"/>
        <v/>
      </c>
      <c r="Z169" s="57" t="str">
        <f>IF(Y169="","",IF(I$8="A",(RANK(Y169,Y$11:Y$355,1)+COUNTIF(Y$11:Y169,Y169)-1),(RANK(Y169,Y$11:Y$355)+COUNTIF(Y$11:Y169,Y169)-1)))</f>
        <v/>
      </c>
      <c r="AA169" s="242" t="str">
        <f>IF(L169="","",VLOOKUP($L169,classifications!C:I,7,FALSE))</f>
        <v>Predominantly Rural</v>
      </c>
      <c r="AB169" s="236">
        <f t="shared" si="64"/>
        <v>536.20000000000005</v>
      </c>
      <c r="AC169" s="236">
        <f>IF(AB169="","",IF($I$8="A",(RANK(AB169,AB$11:AB$355)+COUNTIF(AB$11:AB169,AB169)-1),(RANK(AB169,AB$11:AB$355,1)+COUNTIF(AB$11:AB169,AB169)-1)))</f>
        <v>7</v>
      </c>
      <c r="AD169" s="236"/>
      <c r="AE169" s="51" t="str">
        <f t="shared" si="71"/>
        <v/>
      </c>
      <c r="AG169" s="143"/>
      <c r="AH169" s="52"/>
      <c r="AI169" s="61" t="str">
        <f>IF(L169="","",VLOOKUP($L169,classifications!$C:$J,8,FALSE))</f>
        <v>Cambridgeshire</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East of England</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527.6</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522.1</v>
      </c>
      <c r="G170" s="105"/>
      <c r="H170" s="60" t="str">
        <f t="shared" si="50"/>
        <v/>
      </c>
      <c r="I170" s="112" t="str">
        <f>IF(H170="","",IF($I$8="A",(RANK(H170,H$11:H$355,1)+COUNTIF(H$11:H170,H170)-1),(RANK(H170,H$11:H$355)+COUNTIF(H$11:H170,H170)-1)))</f>
        <v/>
      </c>
      <c r="J170" s="58"/>
      <c r="K170" s="51">
        <f t="shared" si="61"/>
        <v>160</v>
      </c>
      <c r="L170" s="59" t="str">
        <f t="shared" si="51"/>
        <v>Erewash</v>
      </c>
      <c r="M170" s="153">
        <f t="shared" si="52"/>
        <v>536.5</v>
      </c>
      <c r="N170" s="148">
        <f t="shared" si="62"/>
        <v>536.5</v>
      </c>
      <c r="O170" s="131" t="str">
        <f t="shared" si="53"/>
        <v/>
      </c>
      <c r="P170" s="131" t="str">
        <f t="shared" si="68"/>
        <v/>
      </c>
      <c r="Q170" s="131" t="str">
        <f t="shared" si="69"/>
        <v/>
      </c>
      <c r="R170" s="127">
        <f t="shared" si="70"/>
        <v>536.5</v>
      </c>
      <c r="S170" s="60" t="str">
        <f t="shared" si="63"/>
        <v/>
      </c>
      <c r="T170" s="228">
        <f>IF(L170="","",VLOOKUP(L170,classifications!C:K,9,FALSE))</f>
        <v>0</v>
      </c>
      <c r="U170" s="235" t="str">
        <f t="shared" si="54"/>
        <v/>
      </c>
      <c r="V170" s="236" t="str">
        <f>IF(U170="","",IF($I$8="A",(RANK(U170,U$11:U$355)+COUNTIF(U$11:U170,U170)-1),(RANK(U170,U$11:U$355,1)+COUNTIF(U$11:U170,U170)-1)))</f>
        <v/>
      </c>
      <c r="W170" s="237"/>
      <c r="X170" s="61" t="str">
        <f>IF(L170="","",VLOOKUP($L170,classifications!$C:$J,6,FALSE))</f>
        <v>Urban with Minor Conurbation</v>
      </c>
      <c r="Y170" s="49" t="str">
        <f t="shared" si="55"/>
        <v/>
      </c>
      <c r="Z170" s="57" t="str">
        <f>IF(Y170="","",IF(I$8="A",(RANK(Y170,Y$11:Y$355,1)+COUNTIF(Y$11:Y170,Y170)-1),(RANK(Y170,Y$11:Y$355)+COUNTIF(Y$11:Y170,Y170)-1)))</f>
        <v/>
      </c>
      <c r="AA170" s="242" t="str">
        <f>IF(L170="","",VLOOKUP($L170,classifications!C:I,7,FALSE))</f>
        <v>Predominantly Urban</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Derbyshire</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East Midlands</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522.1</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562.4</v>
      </c>
      <c r="G171" s="105"/>
      <c r="H171" s="60" t="str">
        <f t="shared" si="50"/>
        <v/>
      </c>
      <c r="I171" s="112" t="str">
        <f>IF(H171="","",IF($I$8="A",(RANK(H171,H$11:H$355,1)+COUNTIF(H$11:H171,H171)-1),(RANK(H171,H$11:H$355)+COUNTIF(H$11:H171,H171)-1)))</f>
        <v/>
      </c>
      <c r="J171" s="58"/>
      <c r="K171" s="51">
        <f t="shared" si="61"/>
        <v>161</v>
      </c>
      <c r="L171" s="59" t="str">
        <f t="shared" si="51"/>
        <v>Basildon</v>
      </c>
      <c r="M171" s="153">
        <f t="shared" si="52"/>
        <v>537</v>
      </c>
      <c r="N171" s="148">
        <f t="shared" si="62"/>
        <v>537</v>
      </c>
      <c r="O171" s="131" t="str">
        <f t="shared" si="53"/>
        <v/>
      </c>
      <c r="P171" s="131" t="str">
        <f t="shared" si="68"/>
        <v/>
      </c>
      <c r="Q171" s="131" t="str">
        <f t="shared" si="69"/>
        <v/>
      </c>
      <c r="R171" s="127">
        <f t="shared" si="70"/>
        <v>537</v>
      </c>
      <c r="S171" s="60" t="str">
        <f t="shared" si="63"/>
        <v/>
      </c>
      <c r="T171" s="228">
        <f>IF(L171="","",VLOOKUP(L171,classifications!C:K,9,FALSE))</f>
        <v>0</v>
      </c>
      <c r="U171" s="235" t="str">
        <f t="shared" si="54"/>
        <v/>
      </c>
      <c r="V171" s="236" t="str">
        <f>IF(U171="","",IF($I$8="A",(RANK(U171,U$11:U$355)+COUNTIF(U$11:U171,U171)-1),(RANK(U171,U$11:U$355,1)+COUNTIF(U$11:U171,U171)-1)))</f>
        <v/>
      </c>
      <c r="W171" s="237"/>
      <c r="X171" s="61" t="str">
        <f>IF(L171="","",VLOOKUP($L171,classifications!$C:$J,6,FALSE))</f>
        <v>Urban with City and Town</v>
      </c>
      <c r="Y171" s="49" t="str">
        <f t="shared" si="55"/>
        <v/>
      </c>
      <c r="Z171" s="57" t="str">
        <f>IF(Y171="","",IF(I$8="A",(RANK(Y171,Y$11:Y$355,1)+COUNTIF(Y$11:Y171,Y171)-1),(RANK(Y171,Y$11:Y$355)+COUNTIF(Y$11:Y171,Y171)-1)))</f>
        <v/>
      </c>
      <c r="AA171" s="242" t="str">
        <f>IF(L171="","",VLOOKUP($L171,classifications!C:I,7,FALSE))</f>
        <v>Predominantly Urban</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Essex</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East of England</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562.4</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398.6</v>
      </c>
      <c r="G172" s="105"/>
      <c r="H172" s="60">
        <f t="shared" si="50"/>
        <v>398.6</v>
      </c>
      <c r="I172" s="112">
        <f>IF(H172="","",IF($I$8="A",(RANK(H172,H$11:H$355,1)+COUNTIF(H$11:H172,H172)-1),(RANK(H172,H$11:H$355)+COUNTIF(H$11:H172,H172)-1)))</f>
        <v>39</v>
      </c>
      <c r="J172" s="58"/>
      <c r="K172" s="51">
        <f t="shared" si="61"/>
        <v>162</v>
      </c>
      <c r="L172" s="59" t="str">
        <f t="shared" si="51"/>
        <v>Tamworth</v>
      </c>
      <c r="M172" s="153">
        <f t="shared" si="52"/>
        <v>539.9</v>
      </c>
      <c r="N172" s="148">
        <f t="shared" si="62"/>
        <v>539.9</v>
      </c>
      <c r="O172" s="131" t="str">
        <f t="shared" si="53"/>
        <v/>
      </c>
      <c r="P172" s="131" t="str">
        <f t="shared" si="68"/>
        <v/>
      </c>
      <c r="Q172" s="131" t="str">
        <f t="shared" si="69"/>
        <v/>
      </c>
      <c r="R172" s="127">
        <f t="shared" si="70"/>
        <v>539.9</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City and Town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Staffordshire</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West Midlands</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398.6</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557.29999999999995</v>
      </c>
      <c r="G173" s="105"/>
      <c r="H173" s="60" t="str">
        <f t="shared" si="50"/>
        <v/>
      </c>
      <c r="I173" s="112" t="str">
        <f>IF(H173="","",IF($I$8="A",(RANK(H173,H$11:H$355,1)+COUNTIF(H$11:H173,H173)-1),(RANK(H173,H$11:H$355)+COUNTIF(H$11:H173,H173)-1)))</f>
        <v/>
      </c>
      <c r="J173" s="58"/>
      <c r="K173" s="51">
        <f t="shared" si="61"/>
        <v>163</v>
      </c>
      <c r="L173" s="59" t="str">
        <f t="shared" si="51"/>
        <v>Bolsover</v>
      </c>
      <c r="M173" s="153">
        <f t="shared" si="52"/>
        <v>540.9</v>
      </c>
      <c r="N173" s="148">
        <f t="shared" si="62"/>
        <v>540.9</v>
      </c>
      <c r="O173" s="131" t="str">
        <f t="shared" si="53"/>
        <v/>
      </c>
      <c r="P173" s="131" t="str">
        <f t="shared" si="68"/>
        <v/>
      </c>
      <c r="Q173" s="131" t="str">
        <f t="shared" si="69"/>
        <v/>
      </c>
      <c r="R173" s="127">
        <f t="shared" si="70"/>
        <v>540.9</v>
      </c>
      <c r="S173" s="60" t="str">
        <f t="shared" si="63"/>
        <v/>
      </c>
      <c r="T173" s="228">
        <f>IF(L173="","",VLOOKUP(L173,classifications!C:K,9,FALSE))</f>
        <v>0</v>
      </c>
      <c r="U173" s="235" t="str">
        <f t="shared" si="54"/>
        <v/>
      </c>
      <c r="V173" s="236" t="str">
        <f>IF(U173="","",IF($I$8="A",(RANK(U173,U$11:U$355)+COUNTIF(U$11:U173,U173)-1),(RANK(U173,U$11:U$355,1)+COUNTIF(U$11:U173,U173)-1)))</f>
        <v/>
      </c>
      <c r="W173" s="237"/>
      <c r="X173" s="61" t="str">
        <f>IF(L173="","",VLOOKUP($L173,classifications!$C:$J,6,FALSE))</f>
        <v>Urban with Significant Rural (rural including hub towns 26-49%)</v>
      </c>
      <c r="Y173" s="49" t="str">
        <f t="shared" si="55"/>
        <v/>
      </c>
      <c r="Z173" s="57" t="str">
        <f>IF(Y173="","",IF(I$8="A",(RANK(Y173,Y$11:Y$355,1)+COUNTIF(Y$11:Y173,Y173)-1),(RANK(Y173,Y$11:Y$355)+COUNTIF(Y$11:Y173,Y173)-1)))</f>
        <v/>
      </c>
      <c r="AA173" s="242" t="str">
        <f>IF(L173="","",VLOOKUP($L173,classifications!C:I,7,FALSE))</f>
        <v>Significant Rural</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Derbyshire</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East Midlands</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557.29999999999995</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471.8</v>
      </c>
      <c r="G174" s="105"/>
      <c r="H174" s="60">
        <f t="shared" si="50"/>
        <v>471.8</v>
      </c>
      <c r="I174" s="112">
        <f>IF(H174="","",IF($I$8="A",(RANK(H174,H$11:H$355,1)+COUNTIF(H$11:H174,H174)-1),(RANK(H174,H$11:H$355)+COUNTIF(H$11:H174,H174)-1)))</f>
        <v>117</v>
      </c>
      <c r="J174" s="58"/>
      <c r="K174" s="51">
        <f t="shared" si="61"/>
        <v>164</v>
      </c>
      <c r="L174" s="59" t="str">
        <f t="shared" si="51"/>
        <v>Selby</v>
      </c>
      <c r="M174" s="153">
        <f t="shared" si="52"/>
        <v>545.29999999999995</v>
      </c>
      <c r="N174" s="148">
        <f t="shared" si="62"/>
        <v>545.29999999999995</v>
      </c>
      <c r="O174" s="131" t="str">
        <f t="shared" si="53"/>
        <v/>
      </c>
      <c r="P174" s="131" t="str">
        <f t="shared" si="68"/>
        <v/>
      </c>
      <c r="Q174" s="131" t="str">
        <f t="shared" si="69"/>
        <v/>
      </c>
      <c r="R174" s="127">
        <f t="shared" si="70"/>
        <v>545.29999999999995</v>
      </c>
      <c r="S174" s="60" t="str">
        <f t="shared" si="63"/>
        <v/>
      </c>
      <c r="T174" s="228" t="str">
        <f>IF(L174="","",VLOOKUP(L174,classifications!C:K,9,FALSE))</f>
        <v>Sparse</v>
      </c>
      <c r="U174" s="235">
        <f t="shared" si="54"/>
        <v>545.29999999999995</v>
      </c>
      <c r="V174" s="236">
        <f>IF(U174="","",IF($I$8="A",(RANK(U174,U$11:U$355)+COUNTIF(U$11:U174,U174)-1),(RANK(U174,U$11:U$355,1)+COUNTIF(U$11:U174,U174)-1)))</f>
        <v>6</v>
      </c>
      <c r="W174" s="237"/>
      <c r="X174" s="61" t="str">
        <f>IF(L174="","",VLOOKUP($L174,classifications!$C:$J,6,FALSE))</f>
        <v xml:space="preserve">Mainly Rural (rural including hub towns &gt;=80%) </v>
      </c>
      <c r="Y174" s="49">
        <f t="shared" si="55"/>
        <v>545.29999999999995</v>
      </c>
      <c r="Z174" s="57">
        <f>IF(Y174="","",IF(I$8="A",(RANK(Y174,Y$11:Y$355,1)+COUNTIF(Y$11:Y174,Y174)-1),(RANK(Y174,Y$11:Y$355)+COUNTIF(Y$11:Y174,Y174)-1)))</f>
        <v>39</v>
      </c>
      <c r="AA174" s="242" t="str">
        <f>IF(L174="","",VLOOKUP($L174,classifications!C:I,7,FALSE))</f>
        <v>Predominantly Rural</v>
      </c>
      <c r="AB174" s="236">
        <f t="shared" si="64"/>
        <v>545.29999999999995</v>
      </c>
      <c r="AC174" s="236">
        <f>IF(AB174="","",IF($I$8="A",(RANK(AB174,AB$11:AB$355)+COUNTIF(AB$11:AB174,AB174)-1),(RANK(AB174,AB$11:AB$355,1)+COUNTIF(AB$11:AB174,AB174)-1)))</f>
        <v>6</v>
      </c>
      <c r="AD174" s="236"/>
      <c r="AE174" s="51" t="str">
        <f t="shared" si="71"/>
        <v/>
      </c>
      <c r="AG174" s="143"/>
      <c r="AH174" s="52"/>
      <c r="AI174" s="61" t="str">
        <f>IF(L174="","",VLOOKUP($L174,classifications!$C:$J,8,FALSE))</f>
        <v>North Yorkshire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Yorkshire &amp; Humberside</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471.8</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507.5</v>
      </c>
      <c r="G175" s="105"/>
      <c r="H175" s="60">
        <f t="shared" si="50"/>
        <v>507.5</v>
      </c>
      <c r="I175" s="112">
        <f>IF(H175="","",IF($I$8="A",(RANK(H175,H$11:H$355,1)+COUNTIF(H$11:H175,H175)-1),(RANK(H175,H$11:H$355)+COUNTIF(H$11:H175,H175)-1)))</f>
        <v>146</v>
      </c>
      <c r="J175" s="58"/>
      <c r="K175" s="51">
        <f t="shared" si="61"/>
        <v>165</v>
      </c>
      <c r="L175" s="59" t="str">
        <f t="shared" si="51"/>
        <v>Rushmoor</v>
      </c>
      <c r="M175" s="153">
        <f t="shared" si="52"/>
        <v>547</v>
      </c>
      <c r="N175" s="148">
        <f t="shared" si="62"/>
        <v>547</v>
      </c>
      <c r="O175" s="131" t="str">
        <f t="shared" si="53"/>
        <v/>
      </c>
      <c r="P175" s="131" t="str">
        <f t="shared" si="68"/>
        <v/>
      </c>
      <c r="Q175" s="131" t="str">
        <f t="shared" si="69"/>
        <v/>
      </c>
      <c r="R175" s="127">
        <f t="shared" si="70"/>
        <v>547</v>
      </c>
      <c r="S175" s="60" t="str">
        <f t="shared" si="63"/>
        <v/>
      </c>
      <c r="T175" s="228">
        <f>IF(L175="","",VLOOKUP(L175,classifications!C:K,9,FALSE))</f>
        <v>0</v>
      </c>
      <c r="U175" s="235" t="str">
        <f t="shared" si="54"/>
        <v/>
      </c>
      <c r="V175" s="236" t="str">
        <f>IF(U175="","",IF($I$8="A",(RANK(U175,U$11:U$355)+COUNTIF(U$11:U175,U175)-1),(RANK(U175,U$11:U$355,1)+COUNTIF(U$11:U175,U175)-1)))</f>
        <v/>
      </c>
      <c r="W175" s="237"/>
      <c r="X175" s="61" t="str">
        <f>IF(L175="","",VLOOKUP($L175,classifications!$C:$J,6,FALSE))</f>
        <v>Urban with City and Town</v>
      </c>
      <c r="Y175" s="49" t="str">
        <f t="shared" si="55"/>
        <v/>
      </c>
      <c r="Z175" s="57" t="str">
        <f>IF(Y175="","",IF(I$8="A",(RANK(Y175,Y$11:Y$355,1)+COUNTIF(Y$11:Y175,Y175)-1),(RANK(Y175,Y$11:Y$355)+COUNTIF(Y$11:Y175,Y175)-1)))</f>
        <v/>
      </c>
      <c r="AA175" s="242" t="str">
        <f>IF(L175="","",VLOOKUP($L175,classifications!C:I,7,FALSE))</f>
        <v>Predominantly Urban</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Hampshire</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South East</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507.5</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568.20000000000005</v>
      </c>
      <c r="G176" s="105"/>
      <c r="H176" s="60" t="str">
        <f t="shared" si="50"/>
        <v/>
      </c>
      <c r="I176" s="112" t="str">
        <f>IF(H176="","",IF($I$8="A",(RANK(H176,H$11:H$355,1)+COUNTIF(H$11:H176,H176)-1),(RANK(H176,H$11:H$355)+COUNTIF(H$11:H176,H176)-1)))</f>
        <v/>
      </c>
      <c r="J176" s="58"/>
      <c r="K176" s="51">
        <f t="shared" si="61"/>
        <v>166</v>
      </c>
      <c r="L176" s="59" t="str">
        <f t="shared" si="51"/>
        <v>Pendle</v>
      </c>
      <c r="M176" s="153">
        <f t="shared" si="52"/>
        <v>549.79999999999995</v>
      </c>
      <c r="N176" s="148">
        <f t="shared" si="62"/>
        <v>549.79999999999995</v>
      </c>
      <c r="O176" s="131" t="str">
        <f t="shared" si="53"/>
        <v/>
      </c>
      <c r="P176" s="131" t="str">
        <f t="shared" si="68"/>
        <v/>
      </c>
      <c r="Q176" s="131" t="str">
        <f t="shared" si="69"/>
        <v/>
      </c>
      <c r="R176" s="127">
        <f t="shared" si="70"/>
        <v>549.79999999999995</v>
      </c>
      <c r="S176" s="60" t="str">
        <f t="shared" si="63"/>
        <v/>
      </c>
      <c r="T176" s="228">
        <f>IF(L176="","",VLOOKUP(L176,classifications!C:K,9,FALSE))</f>
        <v>0</v>
      </c>
      <c r="U176" s="235" t="str">
        <f t="shared" si="54"/>
        <v/>
      </c>
      <c r="V176" s="236" t="str">
        <f>IF(U176="","",IF($I$8="A",(RANK(U176,U$11:U$355)+COUNTIF(U$11:U176,U176)-1),(RANK(U176,U$11:U$355,1)+COUNTIF(U$11:U176,U176)-1)))</f>
        <v/>
      </c>
      <c r="W176" s="237"/>
      <c r="X176" s="61" t="str">
        <f>IF(L176="","",VLOOKUP($L176,classifications!$C:$J,6,FALSE))</f>
        <v>Urban with City and Town</v>
      </c>
      <c r="Y176" s="49" t="str">
        <f t="shared" si="55"/>
        <v/>
      </c>
      <c r="Z176" s="57" t="str">
        <f>IF(Y176="","",IF(I$8="A",(RANK(Y176,Y$11:Y$355,1)+COUNTIF(Y$11:Y176,Y176)-1),(RANK(Y176,Y$11:Y$355)+COUNTIF(Y$11:Y176,Y176)-1)))</f>
        <v/>
      </c>
      <c r="AA176" s="242" t="str">
        <f>IF(L176="","",VLOOKUP($L176,classifications!C:I,7,FALSE))</f>
        <v>Predominantly Urban</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Lancashire</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North West</v>
      </c>
      <c r="AQ176" s="62">
        <f t="shared" si="66"/>
        <v>549.79999999999995</v>
      </c>
      <c r="AR176" s="57">
        <f>IF(AQ176="","",IF(I$8="A",(RANK(AQ176,AQ$11:AQ$355,1)+COUNTIF(AQ$11:AQ176,AQ176)-1),(RANK(AQ176,AQ$11:AQ$355)+COUNTIF(AQ$11:AQ176,AQ176)-1)))</f>
        <v>15</v>
      </c>
      <c r="AS176" s="52" t="str">
        <f t="shared" si="67"/>
        <v/>
      </c>
      <c r="AT176" s="57" t="str">
        <f t="shared" si="59"/>
        <v/>
      </c>
      <c r="AU176" s="62" t="str">
        <f t="shared" si="60"/>
        <v/>
      </c>
      <c r="AX176" s="44">
        <f>HLOOKUP($AX$9&amp;$AX$10,Data!$A$1:$ZZ$2000,(MATCH($C176,Data!$A$1:$A$2000,0)),FALSE)</f>
        <v>568.20000000000005</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583.29999999999995</v>
      </c>
      <c r="G177" s="105"/>
      <c r="H177" s="60" t="str">
        <f t="shared" si="50"/>
        <v/>
      </c>
      <c r="I177" s="112" t="str">
        <f>IF(H177="","",IF($I$8="A",(RANK(H177,H$11:H$355,1)+COUNTIF(H$11:H177,H177)-1),(RANK(H177,H$11:H$355)+COUNTIF(H$11:H177,H177)-1)))</f>
        <v/>
      </c>
      <c r="J177" s="58"/>
      <c r="K177" s="51">
        <f t="shared" si="61"/>
        <v>167</v>
      </c>
      <c r="L177" s="59" t="str">
        <f t="shared" si="51"/>
        <v>Amber Valley</v>
      </c>
      <c r="M177" s="153">
        <f t="shared" si="52"/>
        <v>551.9</v>
      </c>
      <c r="N177" s="148">
        <f t="shared" si="62"/>
        <v>551.9</v>
      </c>
      <c r="O177" s="131" t="str">
        <f t="shared" si="53"/>
        <v/>
      </c>
      <c r="P177" s="131" t="str">
        <f t="shared" si="68"/>
        <v/>
      </c>
      <c r="Q177" s="131" t="str">
        <f t="shared" si="69"/>
        <v/>
      </c>
      <c r="R177" s="127">
        <f t="shared" si="70"/>
        <v>551.9</v>
      </c>
      <c r="S177" s="60" t="str">
        <f t="shared" si="63"/>
        <v/>
      </c>
      <c r="T177" s="228">
        <f>IF(L177="","",VLOOKUP(L177,classifications!C:K,9,FALSE))</f>
        <v>0</v>
      </c>
      <c r="U177" s="235" t="str">
        <f t="shared" si="54"/>
        <v/>
      </c>
      <c r="V177" s="236" t="str">
        <f>IF(U177="","",IF($I$8="A",(RANK(U177,U$11:U$355)+COUNTIF(U$11:U177,U177)-1),(RANK(U177,U$11:U$355,1)+COUNTIF(U$11:U177,U177)-1)))</f>
        <v/>
      </c>
      <c r="W177" s="237"/>
      <c r="X177" s="61" t="str">
        <f>IF(L177="","",VLOOKUP($L177,classifications!$C:$J,6,FALSE))</f>
        <v>Urban with Minor Conurbation</v>
      </c>
      <c r="Y177" s="49" t="str">
        <f t="shared" si="55"/>
        <v/>
      </c>
      <c r="Z177" s="57" t="str">
        <f>IF(Y177="","",IF(I$8="A",(RANK(Y177,Y$11:Y$355,1)+COUNTIF(Y$11:Y177,Y177)-1),(RANK(Y177,Y$11:Y$355)+COUNTIF(Y$11:Y177,Y177)-1)))</f>
        <v/>
      </c>
      <c r="AA177" s="242" t="str">
        <f>IF(L177="","",VLOOKUP($L177,classifications!C:I,7,FALSE))</f>
        <v>Predominantly Urban</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Derbyshire</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East Midlands</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583.29999999999995</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587.6</v>
      </c>
      <c r="G178" s="105"/>
      <c r="H178" s="60" t="str">
        <f t="shared" si="50"/>
        <v/>
      </c>
      <c r="I178" s="112" t="str">
        <f>IF(H178="","",IF($I$8="A",(RANK(H178,H$11:H$355,1)+COUNTIF(H$11:H178,H178)-1),(RANK(H178,H$11:H$355)+COUNTIF(H$11:H178,H178)-1)))</f>
        <v/>
      </c>
      <c r="J178" s="58"/>
      <c r="K178" s="51">
        <f t="shared" si="61"/>
        <v>168</v>
      </c>
      <c r="L178" s="59" t="str">
        <f t="shared" si="51"/>
        <v>Great Yarmouth</v>
      </c>
      <c r="M178" s="153">
        <f t="shared" si="52"/>
        <v>552.70000000000005</v>
      </c>
      <c r="N178" s="148">
        <f t="shared" si="62"/>
        <v>552.70000000000005</v>
      </c>
      <c r="O178" s="131" t="str">
        <f t="shared" si="53"/>
        <v/>
      </c>
      <c r="P178" s="131" t="str">
        <f t="shared" si="68"/>
        <v/>
      </c>
      <c r="Q178" s="131" t="str">
        <f t="shared" si="69"/>
        <v/>
      </c>
      <c r="R178" s="127">
        <f t="shared" si="70"/>
        <v>552.70000000000005</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Significant Rural (rural including hub towns 26-49%)</v>
      </c>
      <c r="Y178" s="49" t="str">
        <f t="shared" si="55"/>
        <v/>
      </c>
      <c r="Z178" s="57" t="str">
        <f>IF(Y178="","",IF(I$8="A",(RANK(Y178,Y$11:Y$355,1)+COUNTIF(Y$11:Y178,Y178)-1),(RANK(Y178,Y$11:Y$355)+COUNTIF(Y$11:Y178,Y178)-1)))</f>
        <v/>
      </c>
      <c r="AA178" s="242" t="str">
        <f>IF(L178="","",VLOOKUP($L178,classifications!C:I,7,FALSE))</f>
        <v>Significant Rural</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Norfolk</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East of England</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587.6</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410</v>
      </c>
      <c r="G179" s="105"/>
      <c r="H179" s="60">
        <f t="shared" si="50"/>
        <v>410</v>
      </c>
      <c r="I179" s="112">
        <f>IF(H179="","",IF($I$8="A",(RANK(H179,H$11:H$355,1)+COUNTIF(H$11:H179,H179)-1),(RANK(H179,H$11:H$355)+COUNTIF(H$11:H179,H179)-1)))</f>
        <v>49</v>
      </c>
      <c r="J179" s="58"/>
      <c r="K179" s="51">
        <f t="shared" si="61"/>
        <v>169</v>
      </c>
      <c r="L179" s="59" t="str">
        <f t="shared" si="51"/>
        <v>Sevenoaks</v>
      </c>
      <c r="M179" s="153">
        <f t="shared" si="52"/>
        <v>554.29999999999995</v>
      </c>
      <c r="N179" s="148">
        <f t="shared" si="62"/>
        <v>554.29999999999995</v>
      </c>
      <c r="O179" s="131" t="str">
        <f t="shared" si="53"/>
        <v/>
      </c>
      <c r="P179" s="131" t="str">
        <f t="shared" si="68"/>
        <v/>
      </c>
      <c r="Q179" s="131" t="str">
        <f t="shared" si="69"/>
        <v/>
      </c>
      <c r="R179" s="127">
        <f t="shared" si="70"/>
        <v>554.29999999999995</v>
      </c>
      <c r="S179" s="60" t="str">
        <f t="shared" si="63"/>
        <v/>
      </c>
      <c r="T179" s="228" t="str">
        <f>IF(L179="","",VLOOKUP(L179,classifications!C:K,9,FALSE))</f>
        <v>Sparse</v>
      </c>
      <c r="U179" s="235">
        <f t="shared" si="54"/>
        <v>554.29999999999995</v>
      </c>
      <c r="V179" s="236">
        <f>IF(U179="","",IF($I$8="A",(RANK(U179,U$11:U$355)+COUNTIF(U$11:U179,U179)-1),(RANK(U179,U$11:U$355,1)+COUNTIF(U$11:U179,U179)-1)))</f>
        <v>5</v>
      </c>
      <c r="W179" s="237"/>
      <c r="X179" s="61" t="str">
        <f>IF(L179="","",VLOOKUP($L179,classifications!$C:$J,6,FALSE))</f>
        <v xml:space="preserve">Largely Rural (rural including hub towns 50-79%) </v>
      </c>
      <c r="Y179" s="49" t="str">
        <f t="shared" si="55"/>
        <v/>
      </c>
      <c r="Z179" s="57" t="str">
        <f>IF(Y179="","",IF(I$8="A",(RANK(Y179,Y$11:Y$355,1)+COUNTIF(Y$11:Y179,Y179)-1),(RANK(Y179,Y$11:Y$355)+COUNTIF(Y$11:Y179,Y179)-1)))</f>
        <v/>
      </c>
      <c r="AA179" s="242" t="str">
        <f>IF(L179="","",VLOOKUP($L179,classifications!C:I,7,FALSE))</f>
        <v>Predominantly Rural</v>
      </c>
      <c r="AB179" s="236">
        <f t="shared" si="64"/>
        <v>554.29999999999995</v>
      </c>
      <c r="AC179" s="236">
        <f>IF(AB179="","",IF($I$8="A",(RANK(AB179,AB$11:AB$355)+COUNTIF(AB$11:AB179,AB179)-1),(RANK(AB179,AB$11:AB$355,1)+COUNTIF(AB$11:AB179,AB179)-1)))</f>
        <v>5</v>
      </c>
      <c r="AD179" s="236"/>
      <c r="AE179" s="51" t="str">
        <f t="shared" si="71"/>
        <v/>
      </c>
      <c r="AG179" s="143"/>
      <c r="AH179" s="52"/>
      <c r="AI179" s="61" t="str">
        <f>IF(L179="","",VLOOKUP($L179,classifications!$C:$J,8,FALSE))</f>
        <v>Kent</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South East</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410</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336.8</v>
      </c>
      <c r="G180" s="105"/>
      <c r="H180" s="60">
        <f t="shared" si="50"/>
        <v>336.8</v>
      </c>
      <c r="I180" s="112">
        <f>IF(H180="","",IF($I$8="A",(RANK(H180,H$11:H$355,1)+COUNTIF(H$11:H180,H180)-1),(RANK(H180,H$11:H$355)+COUNTIF(H$11:H180,H180)-1)))</f>
        <v>13</v>
      </c>
      <c r="J180" s="58"/>
      <c r="K180" s="51">
        <f t="shared" si="61"/>
        <v>170</v>
      </c>
      <c r="L180" s="59" t="str">
        <f t="shared" si="51"/>
        <v>Preston</v>
      </c>
      <c r="M180" s="153">
        <f t="shared" si="52"/>
        <v>554.70000000000005</v>
      </c>
      <c r="N180" s="148">
        <f t="shared" si="62"/>
        <v>554.70000000000005</v>
      </c>
      <c r="O180" s="131" t="str">
        <f t="shared" si="53"/>
        <v/>
      </c>
      <c r="P180" s="131" t="str">
        <f t="shared" si="68"/>
        <v/>
      </c>
      <c r="Q180" s="131" t="str">
        <f t="shared" si="69"/>
        <v/>
      </c>
      <c r="R180" s="127">
        <f t="shared" si="70"/>
        <v>554.70000000000005</v>
      </c>
      <c r="S180" s="60" t="str">
        <f t="shared" si="63"/>
        <v/>
      </c>
      <c r="T180" s="228">
        <f>IF(L180="","",VLOOKUP(L180,classifications!C:K,9,FALSE))</f>
        <v>0</v>
      </c>
      <c r="U180" s="235" t="str">
        <f t="shared" si="54"/>
        <v/>
      </c>
      <c r="V180" s="236" t="str">
        <f>IF(U180="","",IF($I$8="A",(RANK(U180,U$11:U$355)+COUNTIF(U$11:U180,U180)-1),(RANK(U180,U$11:U$355,1)+COUNTIF(U$11:U180,U180)-1)))</f>
        <v/>
      </c>
      <c r="W180" s="237"/>
      <c r="X180" s="61" t="str">
        <f>IF(L180="","",VLOOKUP($L180,classifications!$C:$J,6,FALSE))</f>
        <v>Urban with City and Town</v>
      </c>
      <c r="Y180" s="49" t="str">
        <f t="shared" si="55"/>
        <v/>
      </c>
      <c r="Z180" s="57" t="str">
        <f>IF(Y180="","",IF(I$8="A",(RANK(Y180,Y$11:Y$355,1)+COUNTIF(Y$11:Y180,Y180)-1),(RANK(Y180,Y$11:Y$355)+COUNTIF(Y$11:Y180,Y180)-1)))</f>
        <v/>
      </c>
      <c r="AA180" s="242" t="str">
        <f>IF(L180="","",VLOOKUP($L180,classifications!C:I,7,FALSE))</f>
        <v>Predominantly Urban</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Lancashire</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North West</v>
      </c>
      <c r="AQ180" s="62">
        <f t="shared" si="66"/>
        <v>554.70000000000005</v>
      </c>
      <c r="AR180" s="57">
        <f>IF(AQ180="","",IF(I$8="A",(RANK(AQ180,AQ$11:AQ$355,1)+COUNTIF(AQ$11:AQ180,AQ180)-1),(RANK(AQ180,AQ$11:AQ$355)+COUNTIF(AQ$11:AQ180,AQ180)-1)))</f>
        <v>16</v>
      </c>
      <c r="AS180" s="52" t="str">
        <f t="shared" si="67"/>
        <v/>
      </c>
      <c r="AT180" s="57" t="str">
        <f t="shared" si="59"/>
        <v/>
      </c>
      <c r="AU180" s="62" t="str">
        <f t="shared" si="60"/>
        <v/>
      </c>
      <c r="AX180" s="44">
        <f>HLOOKUP($AX$9&amp;$AX$10,Data!$A$1:$ZZ$2000,(MATCH($C180,Data!$A$1:$A$2000,0)),FALSE)</f>
        <v>336.8</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425.1</v>
      </c>
      <c r="G181" s="105"/>
      <c r="H181" s="60">
        <f t="shared" si="50"/>
        <v>425.1</v>
      </c>
      <c r="I181" s="112">
        <f>IF(H181="","",IF($I$8="A",(RANK(H181,H$11:H$355,1)+COUNTIF(H$11:H181,H181)-1),(RANK(H181,H$11:H$355)+COUNTIF(H$11:H181,H181)-1)))</f>
        <v>62</v>
      </c>
      <c r="J181" s="58"/>
      <c r="K181" s="51">
        <f t="shared" si="61"/>
        <v>171</v>
      </c>
      <c r="L181" s="59" t="str">
        <f t="shared" si="51"/>
        <v>Basingstoke &amp; Deane</v>
      </c>
      <c r="M181" s="153">
        <f t="shared" si="52"/>
        <v>555.9</v>
      </c>
      <c r="N181" s="148">
        <f t="shared" si="62"/>
        <v>555.9</v>
      </c>
      <c r="O181" s="131" t="str">
        <f t="shared" si="53"/>
        <v/>
      </c>
      <c r="P181" s="131" t="str">
        <f t="shared" si="68"/>
        <v/>
      </c>
      <c r="Q181" s="131" t="str">
        <f t="shared" si="69"/>
        <v/>
      </c>
      <c r="R181" s="127">
        <f t="shared" si="70"/>
        <v>555.9</v>
      </c>
      <c r="S181" s="60" t="str">
        <f t="shared" si="63"/>
        <v/>
      </c>
      <c r="T181" s="228">
        <f>IF(L181="","",VLOOKUP(L181,classifications!C:K,9,FALSE))</f>
        <v>0</v>
      </c>
      <c r="U181" s="235" t="str">
        <f t="shared" si="54"/>
        <v/>
      </c>
      <c r="V181" s="236" t="str">
        <f>IF(U181="","",IF($I$8="A",(RANK(U181,U$11:U$355)+COUNTIF(U$11:U181,U181)-1),(RANK(U181,U$11:U$355,1)+COUNTIF(U$11:U181,U181)-1)))</f>
        <v/>
      </c>
      <c r="W181" s="237"/>
      <c r="X181" s="61" t="str">
        <f>IF(L181="","",VLOOKUP($L181,classifications!$C:$J,6,FALSE))</f>
        <v>Urban with Significant Rural (rural including hub towns 26-49%)</v>
      </c>
      <c r="Y181" s="49" t="str">
        <f t="shared" si="55"/>
        <v/>
      </c>
      <c r="Z181" s="57" t="str">
        <f>IF(Y181="","",IF(I$8="A",(RANK(Y181,Y$11:Y$355,1)+COUNTIF(Y$11:Y181,Y181)-1),(RANK(Y181,Y$11:Y$355)+COUNTIF(Y$11:Y181,Y181)-1)))</f>
        <v/>
      </c>
      <c r="AA181" s="242" t="str">
        <f>IF(L181="","",VLOOKUP($L181,classifications!C:I,7,FALSE))</f>
        <v>Significant Rural</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Hampshire</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South East</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425.1</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412.6</v>
      </c>
      <c r="G182" s="105"/>
      <c r="H182" s="60" t="str">
        <f t="shared" si="50"/>
        <v/>
      </c>
      <c r="I182" s="112" t="str">
        <f>IF(H182="","",IF($I$8="A",(RANK(H182,H$11:H$355,1)+COUNTIF(H$11:H182,H182)-1),(RANK(H182,H$11:H$355)+COUNTIF(H$11:H182,H182)-1)))</f>
        <v/>
      </c>
      <c r="J182" s="58"/>
      <c r="K182" s="51">
        <f t="shared" si="61"/>
        <v>172</v>
      </c>
      <c r="L182" s="59" t="str">
        <f t="shared" si="51"/>
        <v>Ipswich</v>
      </c>
      <c r="M182" s="153">
        <f t="shared" si="52"/>
        <v>558.29999999999995</v>
      </c>
      <c r="N182" s="148">
        <f t="shared" si="62"/>
        <v>558.29999999999995</v>
      </c>
      <c r="O182" s="131" t="str">
        <f t="shared" si="53"/>
        <v/>
      </c>
      <c r="P182" s="131" t="str">
        <f t="shared" si="68"/>
        <v/>
      </c>
      <c r="Q182" s="131" t="str">
        <f t="shared" si="69"/>
        <v/>
      </c>
      <c r="R182" s="127">
        <f t="shared" si="70"/>
        <v>558.29999999999995</v>
      </c>
      <c r="S182" s="60" t="str">
        <f t="shared" si="63"/>
        <v/>
      </c>
      <c r="T182" s="228">
        <f>IF(L182="","",VLOOKUP(L182,classifications!C:K,9,FALSE))</f>
        <v>0</v>
      </c>
      <c r="U182" s="235" t="str">
        <f t="shared" si="54"/>
        <v/>
      </c>
      <c r="V182" s="236" t="str">
        <f>IF(U182="","",IF($I$8="A",(RANK(U182,U$11:U$355)+COUNTIF(U$11:U182,U182)-1),(RANK(U182,U$11:U$355,1)+COUNTIF(U$11:U182,U182)-1)))</f>
        <v/>
      </c>
      <c r="W182" s="237"/>
      <c r="X182" s="61" t="str">
        <f>IF(L182="","",VLOOKUP($L182,classifications!$C:$J,6,FALSE))</f>
        <v>Urban with City and Town</v>
      </c>
      <c r="Y182" s="49" t="str">
        <f t="shared" si="55"/>
        <v/>
      </c>
      <c r="Z182" s="57" t="str">
        <f>IF(Y182="","",IF(I$8="A",(RANK(Y182,Y$11:Y$355,1)+COUNTIF(Y$11:Y182,Y182)-1),(RANK(Y182,Y$11:Y$355)+COUNTIF(Y$11:Y182,Y182)-1)))</f>
        <v/>
      </c>
      <c r="AA182" s="242" t="str">
        <f>IF(L182="","",VLOOKUP($L182,classifications!C:I,7,FALSE))</f>
        <v>Predominantly Urban</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Suffolk</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East of England</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412.6</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601.79999999999995</v>
      </c>
      <c r="G183" s="105"/>
      <c r="H183" s="60">
        <f t="shared" si="50"/>
        <v>601.79999999999995</v>
      </c>
      <c r="I183" s="112">
        <f>IF(H183="","",IF($I$8="A",(RANK(H183,H$11:H$355,1)+COUNTIF(H$11:H183,H183)-1),(RANK(H183,H$11:H$355)+COUNTIF(H$11:H183,H183)-1)))</f>
        <v>180</v>
      </c>
      <c r="J183" s="58"/>
      <c r="K183" s="51">
        <f t="shared" si="61"/>
        <v>173</v>
      </c>
      <c r="L183" s="59" t="str">
        <f t="shared" si="51"/>
        <v>South Holland</v>
      </c>
      <c r="M183" s="153">
        <f t="shared" si="52"/>
        <v>559.79999999999995</v>
      </c>
      <c r="N183" s="148">
        <f t="shared" si="62"/>
        <v>559.79999999999995</v>
      </c>
      <c r="O183" s="131" t="str">
        <f t="shared" si="53"/>
        <v/>
      </c>
      <c r="P183" s="131" t="str">
        <f t="shared" si="68"/>
        <v/>
      </c>
      <c r="Q183" s="131" t="str">
        <f t="shared" si="69"/>
        <v/>
      </c>
      <c r="R183" s="127">
        <f t="shared" si="70"/>
        <v>559.79999999999995</v>
      </c>
      <c r="S183" s="60" t="str">
        <f t="shared" si="63"/>
        <v/>
      </c>
      <c r="T183" s="228" t="str">
        <f>IF(L183="","",VLOOKUP(L183,classifications!C:K,9,FALSE))</f>
        <v>Sparse</v>
      </c>
      <c r="U183" s="235">
        <f t="shared" si="54"/>
        <v>559.79999999999995</v>
      </c>
      <c r="V183" s="236">
        <f>IF(U183="","",IF($I$8="A",(RANK(U183,U$11:U$355)+COUNTIF(U$11:U183,U183)-1),(RANK(U183,U$11:U$355,1)+COUNTIF(U$11:U183,U183)-1)))</f>
        <v>4</v>
      </c>
      <c r="W183" s="237"/>
      <c r="X183" s="61" t="str">
        <f>IF(L183="","",VLOOKUP($L183,classifications!$C:$J,6,FALSE))</f>
        <v xml:space="preserve">Largely Rural (rural including hub towns 50-79%) </v>
      </c>
      <c r="Y183" s="49" t="str">
        <f t="shared" si="55"/>
        <v/>
      </c>
      <c r="Z183" s="57" t="str">
        <f>IF(Y183="","",IF(I$8="A",(RANK(Y183,Y$11:Y$355,1)+COUNTIF(Y$11:Y183,Y183)-1),(RANK(Y183,Y$11:Y$355)+COUNTIF(Y$11:Y183,Y183)-1)))</f>
        <v/>
      </c>
      <c r="AA183" s="242" t="str">
        <f>IF(L183="","",VLOOKUP($L183,classifications!C:I,7,FALSE))</f>
        <v>Predominantly Rural</v>
      </c>
      <c r="AB183" s="236">
        <f t="shared" si="64"/>
        <v>559.79999999999995</v>
      </c>
      <c r="AC183" s="236">
        <f>IF(AB183="","",IF($I$8="A",(RANK(AB183,AB$11:AB$355)+COUNTIF(AB$11:AB183,AB183)-1),(RANK(AB183,AB$11:AB$355,1)+COUNTIF(AB$11:AB183,AB183)-1)))</f>
        <v>4</v>
      </c>
      <c r="AD183" s="236"/>
      <c r="AE183" s="51" t="str">
        <f t="shared" si="71"/>
        <v/>
      </c>
      <c r="AG183" s="143"/>
      <c r="AH183" s="52"/>
      <c r="AI183" s="61" t="str">
        <f>IF(L183="","",VLOOKUP($L183,classifications!$C:$J,8,FALSE))</f>
        <v>Lincolnshire</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East Midlands</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601.79999999999995</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567.20000000000005</v>
      </c>
      <c r="G184" s="105"/>
      <c r="H184" s="60" t="str">
        <f t="shared" si="50"/>
        <v/>
      </c>
      <c r="I184" s="112" t="str">
        <f>IF(H184="","",IF($I$8="A",(RANK(H184,H$11:H$355,1)+COUNTIF(H$11:H184,H184)-1),(RANK(H184,H$11:H$355)+COUNTIF(H$11:H184,H184)-1)))</f>
        <v/>
      </c>
      <c r="J184" s="58"/>
      <c r="K184" s="51">
        <f t="shared" si="61"/>
        <v>174</v>
      </c>
      <c r="L184" s="59" t="str">
        <f t="shared" si="51"/>
        <v>Bromsgrove</v>
      </c>
      <c r="M184" s="153">
        <f t="shared" si="52"/>
        <v>562.4</v>
      </c>
      <c r="N184" s="148">
        <f t="shared" si="62"/>
        <v>562.4</v>
      </c>
      <c r="O184" s="131" t="str">
        <f t="shared" si="53"/>
        <v/>
      </c>
      <c r="P184" s="131" t="str">
        <f t="shared" si="68"/>
        <v/>
      </c>
      <c r="Q184" s="131" t="str">
        <f t="shared" si="69"/>
        <v/>
      </c>
      <c r="R184" s="127">
        <f t="shared" si="70"/>
        <v>562.4</v>
      </c>
      <c r="S184" s="60" t="str">
        <f t="shared" si="63"/>
        <v/>
      </c>
      <c r="T184" s="228">
        <f>IF(L184="","",VLOOKUP(L184,classifications!C:K,9,FALSE))</f>
        <v>0</v>
      </c>
      <c r="U184" s="235" t="str">
        <f t="shared" si="54"/>
        <v/>
      </c>
      <c r="V184" s="236" t="str">
        <f>IF(U184="","",IF($I$8="A",(RANK(U184,U$11:U$355)+COUNTIF(U$11:U184,U184)-1),(RANK(U184,U$11:U$355,1)+COUNTIF(U$11:U184,U184)-1)))</f>
        <v/>
      </c>
      <c r="W184" s="237"/>
      <c r="X184" s="61" t="str">
        <f>IF(L184="","",VLOOKUP($L184,classifications!$C:$J,6,FALSE))</f>
        <v>Urban with City and Town</v>
      </c>
      <c r="Y184" s="49" t="str">
        <f t="shared" si="55"/>
        <v/>
      </c>
      <c r="Z184" s="57" t="str">
        <f>IF(Y184="","",IF(I$8="A",(RANK(Y184,Y$11:Y$355,1)+COUNTIF(Y$11:Y184,Y184)-1),(RANK(Y184,Y$11:Y$355)+COUNTIF(Y$11:Y184,Y184)-1)))</f>
        <v/>
      </c>
      <c r="AA184" s="242" t="str">
        <f>IF(L184="","",VLOOKUP($L184,classifications!C:I,7,FALSE))</f>
        <v>Predominantly Urban</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Worcestershire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West Midlands</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567.20000000000005</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497.5</v>
      </c>
      <c r="G185" s="105"/>
      <c r="H185" s="60">
        <f t="shared" si="50"/>
        <v>497.5</v>
      </c>
      <c r="I185" s="112">
        <f>IF(H185="","",IF($I$8="A",(RANK(H185,H$11:H$355,1)+COUNTIF(H$11:H185,H185)-1),(RANK(H185,H$11:H$355)+COUNTIF(H$11:H185,H185)-1)))</f>
        <v>138</v>
      </c>
      <c r="J185" s="58"/>
      <c r="K185" s="51">
        <f t="shared" si="61"/>
        <v>175</v>
      </c>
      <c r="L185" s="59" t="str">
        <f t="shared" si="51"/>
        <v>Gedling</v>
      </c>
      <c r="M185" s="153">
        <f t="shared" si="52"/>
        <v>565.29999999999995</v>
      </c>
      <c r="N185" s="148">
        <f t="shared" si="62"/>
        <v>565.29999999999995</v>
      </c>
      <c r="O185" s="131" t="str">
        <f t="shared" si="53"/>
        <v/>
      </c>
      <c r="P185" s="131" t="str">
        <f t="shared" si="68"/>
        <v/>
      </c>
      <c r="Q185" s="131" t="str">
        <f t="shared" si="69"/>
        <v/>
      </c>
      <c r="R185" s="127">
        <f t="shared" si="70"/>
        <v>565.29999999999995</v>
      </c>
      <c r="S185" s="60" t="str">
        <f t="shared" si="63"/>
        <v/>
      </c>
      <c r="T185" s="228">
        <f>IF(L185="","",VLOOKUP(L185,classifications!C:K,9,FALSE))</f>
        <v>0</v>
      </c>
      <c r="U185" s="235" t="str">
        <f t="shared" si="54"/>
        <v/>
      </c>
      <c r="V185" s="236" t="str">
        <f>IF(U185="","",IF($I$8="A",(RANK(U185,U$11:U$355)+COUNTIF(U$11:U185,U185)-1),(RANK(U185,U$11:U$355,1)+COUNTIF(U$11:U185,U185)-1)))</f>
        <v/>
      </c>
      <c r="W185" s="237"/>
      <c r="X185" s="61" t="str">
        <f>IF(L185="","",VLOOKUP($L185,classifications!$C:$J,6,FALSE))</f>
        <v>Urban with Minor Conurbation</v>
      </c>
      <c r="Y185" s="49" t="str">
        <f t="shared" si="55"/>
        <v/>
      </c>
      <c r="Z185" s="57" t="str">
        <f>IF(Y185="","",IF(I$8="A",(RANK(Y185,Y$11:Y$355,1)+COUNTIF(Y$11:Y185,Y185)-1),(RANK(Y185,Y$11:Y$355)+COUNTIF(Y$11:Y185,Y185)-1)))</f>
        <v/>
      </c>
      <c r="AA185" s="242" t="str">
        <f>IF(L185="","",VLOOKUP($L185,classifications!C:I,7,FALSE))</f>
        <v>Predominantly Urban</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Nottinghamshire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East Midlands</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497.5</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Newark &amp; Sherwood</v>
      </c>
      <c r="M186" s="153">
        <f t="shared" si="52"/>
        <v>565.9</v>
      </c>
      <c r="N186" s="148">
        <f t="shared" si="62"/>
        <v>565.9</v>
      </c>
      <c r="O186" s="131" t="str">
        <f t="shared" si="53"/>
        <v/>
      </c>
      <c r="P186" s="131" t="str">
        <f t="shared" si="68"/>
        <v/>
      </c>
      <c r="Q186" s="131" t="str">
        <f t="shared" si="69"/>
        <v/>
      </c>
      <c r="R186" s="127">
        <f t="shared" si="70"/>
        <v>565.9</v>
      </c>
      <c r="S186" s="60" t="str">
        <f t="shared" si="63"/>
        <v/>
      </c>
      <c r="T186" s="228" t="str">
        <f>IF(L186="","",VLOOKUP(L186,classifications!C:K,9,FALSE))</f>
        <v>Sparse</v>
      </c>
      <c r="U186" s="235">
        <f t="shared" si="54"/>
        <v>565.9</v>
      </c>
      <c r="V186" s="236">
        <f>IF(U186="","",IF($I$8="A",(RANK(U186,U$11:U$355)+COUNTIF(U$11:U186,U186)-1),(RANK(U186,U$11:U$355,1)+COUNTIF(U$11:U186,U186)-1)))</f>
        <v>3</v>
      </c>
      <c r="W186" s="237"/>
      <c r="X186" s="61" t="str">
        <f>IF(L186="","",VLOOKUP($L186,classifications!$C:$J,6,FALSE))</f>
        <v xml:space="preserve">Largely Rural (rural including hub towns 50-79%) </v>
      </c>
      <c r="Y186" s="49" t="str">
        <f t="shared" si="55"/>
        <v/>
      </c>
      <c r="Z186" s="57" t="str">
        <f>IF(Y186="","",IF(I$8="A",(RANK(Y186,Y$11:Y$355,1)+COUNTIF(Y$11:Y186,Y186)-1),(RANK(Y186,Y$11:Y$355)+COUNTIF(Y$11:Y186,Y186)-1)))</f>
        <v/>
      </c>
      <c r="AA186" s="242" t="str">
        <f>IF(L186="","",VLOOKUP($L186,classifications!C:I,7,FALSE))</f>
        <v>Predominantly Rural</v>
      </c>
      <c r="AB186" s="236">
        <f t="shared" si="64"/>
        <v>565.9</v>
      </c>
      <c r="AC186" s="236">
        <f>IF(AB186="","",IF($I$8="A",(RANK(AB186,AB$11:AB$355)+COUNTIF(AB$11:AB186,AB186)-1),(RANK(AB186,AB$11:AB$355,1)+COUNTIF(AB$11:AB186,AB186)-1)))</f>
        <v>3</v>
      </c>
      <c r="AD186" s="236"/>
      <c r="AE186" s="51" t="str">
        <f t="shared" si="71"/>
        <v/>
      </c>
      <c r="AG186" s="143"/>
      <c r="AH186" s="52"/>
      <c r="AI186" s="61" t="str">
        <f>IF(L186="","",VLOOKUP($L186,classifications!$C:$J,8,FALSE))</f>
        <v>Nottinghamshire</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East Midlands</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468.8</v>
      </c>
      <c r="G187" s="105"/>
      <c r="H187" s="60" t="str">
        <f t="shared" si="50"/>
        <v/>
      </c>
      <c r="I187" s="112" t="str">
        <f>IF(H187="","",IF($I$8="A",(RANK(H187,H$11:H$355,1)+COUNTIF(H$11:H187,H187)-1),(RANK(H187,H$11:H$355)+COUNTIF(H$11:H187,H187)-1)))</f>
        <v/>
      </c>
      <c r="J187" s="58"/>
      <c r="K187" s="51">
        <f t="shared" si="61"/>
        <v>177</v>
      </c>
      <c r="L187" s="59" t="str">
        <f t="shared" si="51"/>
        <v>Barrow-in-Furness</v>
      </c>
      <c r="M187" s="153">
        <f t="shared" si="52"/>
        <v>570.9</v>
      </c>
      <c r="N187" s="148">
        <f t="shared" si="62"/>
        <v>570.9</v>
      </c>
      <c r="O187" s="131" t="str">
        <f t="shared" si="53"/>
        <v/>
      </c>
      <c r="P187" s="131" t="str">
        <f t="shared" si="68"/>
        <v/>
      </c>
      <c r="Q187" s="131" t="str">
        <f t="shared" si="69"/>
        <v/>
      </c>
      <c r="R187" s="127">
        <f t="shared" si="70"/>
        <v>570.9</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Urban with Significant Rural (rural including hub towns 26-49%)</v>
      </c>
      <c r="Y187" s="49" t="str">
        <f t="shared" si="55"/>
        <v/>
      </c>
      <c r="Z187" s="57" t="str">
        <f>IF(Y187="","",IF(I$8="A",(RANK(Y187,Y$11:Y$355,1)+COUNTIF(Y$11:Y187,Y187)-1),(RANK(Y187,Y$11:Y$355)+COUNTIF(Y$11:Y187,Y187)-1)))</f>
        <v/>
      </c>
      <c r="AA187" s="242" t="str">
        <f>IF(L187="","",VLOOKUP($L187,classifications!C:I,7,FALSE))</f>
        <v>Significant Rural</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Cumbria</v>
      </c>
      <c r="AJ187" s="62">
        <f t="shared" si="56"/>
        <v>570.9</v>
      </c>
      <c r="AK187" s="57">
        <f>IF(AJ187="","",IF(I$8="A",(RANK(AJ187,AJ$11:AJ$355,1)+COUNTIF(AJ$11:AJ187,AJ187)-1),(RANK(AJ187,AJ$11:AJ$355)+COUNTIF(AJ$11:AJ187,AJ187)-1)))</f>
        <v>6</v>
      </c>
      <c r="AL187" s="52" t="str">
        <f t="shared" si="65"/>
        <v/>
      </c>
      <c r="AM187" s="31" t="str">
        <f t="shared" si="57"/>
        <v/>
      </c>
      <c r="AN187" s="31" t="str">
        <f t="shared" si="58"/>
        <v/>
      </c>
      <c r="AP187" s="61" t="str">
        <f>IF(L187="","",VLOOKUP($L187,classifications!$C:$E,3,FALSE))</f>
        <v>North West</v>
      </c>
      <c r="AQ187" s="62">
        <f t="shared" si="66"/>
        <v>570.9</v>
      </c>
      <c r="AR187" s="57">
        <f>IF(AQ187="","",IF(I$8="A",(RANK(AQ187,AQ$11:AQ$355,1)+COUNTIF(AQ$11:AQ187,AQ187)-1),(RANK(AQ187,AQ$11:AQ$355)+COUNTIF(AQ$11:AQ187,AQ187)-1)))</f>
        <v>17</v>
      </c>
      <c r="AS187" s="52" t="str">
        <f t="shared" si="67"/>
        <v/>
      </c>
      <c r="AT187" s="57" t="str">
        <f t="shared" si="59"/>
        <v/>
      </c>
      <c r="AU187" s="62" t="str">
        <f t="shared" si="60"/>
        <v/>
      </c>
      <c r="AX187" s="44">
        <f>HLOOKUP($AX$9&amp;$AX$10,Data!$A$1:$ZZ$2000,(MATCH($C187,Data!$A$1:$A$2000,0)),FALSE)</f>
        <v>468.8</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361.4</v>
      </c>
      <c r="G188" s="105"/>
      <c r="H188" s="60">
        <f t="shared" si="50"/>
        <v>361.4</v>
      </c>
      <c r="I188" s="112">
        <f>IF(H188="","",IF($I$8="A",(RANK(H188,H$11:H$355,1)+COUNTIF(H$11:H188,H188)-1),(RANK(H188,H$11:H$355)+COUNTIF(H$11:H188,H188)-1)))</f>
        <v>21</v>
      </c>
      <c r="J188" s="58"/>
      <c r="K188" s="51">
        <f t="shared" si="61"/>
        <v>178</v>
      </c>
      <c r="L188" s="59" t="str">
        <f t="shared" si="51"/>
        <v>Boston</v>
      </c>
      <c r="M188" s="153">
        <f t="shared" si="52"/>
        <v>572.20000000000005</v>
      </c>
      <c r="N188" s="148">
        <f t="shared" si="62"/>
        <v>572.20000000000005</v>
      </c>
      <c r="O188" s="131" t="str">
        <f t="shared" si="53"/>
        <v/>
      </c>
      <c r="P188" s="131" t="str">
        <f t="shared" si="68"/>
        <v/>
      </c>
      <c r="Q188" s="131" t="str">
        <f t="shared" si="69"/>
        <v/>
      </c>
      <c r="R188" s="127">
        <f t="shared" si="70"/>
        <v>572.20000000000005</v>
      </c>
      <c r="S188" s="60" t="str">
        <f t="shared" si="63"/>
        <v/>
      </c>
      <c r="T188" s="228" t="str">
        <f>IF(L188="","",VLOOKUP(L188,classifications!C:K,9,FALSE))</f>
        <v>Sparse</v>
      </c>
      <c r="U188" s="235">
        <f t="shared" si="54"/>
        <v>572.20000000000005</v>
      </c>
      <c r="V188" s="236">
        <f>IF(U188="","",IF($I$8="A",(RANK(U188,U$11:U$355)+COUNTIF(U$11:U188,U188)-1),(RANK(U188,U$11:U$355,1)+COUNTIF(U$11:U188,U188)-1)))</f>
        <v>2</v>
      </c>
      <c r="W188" s="237"/>
      <c r="X188" s="61" t="str">
        <f>IF(L188="","",VLOOKUP($L188,classifications!$C:$J,6,FALSE))</f>
        <v>Urban with Significant Rural (rural including hub towns 26-49%)</v>
      </c>
      <c r="Y188" s="49" t="str">
        <f t="shared" si="55"/>
        <v/>
      </c>
      <c r="Z188" s="57" t="str">
        <f>IF(Y188="","",IF(I$8="A",(RANK(Y188,Y$11:Y$355,1)+COUNTIF(Y$11:Y188,Y188)-1),(RANK(Y188,Y$11:Y$355)+COUNTIF(Y$11:Y188,Y188)-1)))</f>
        <v/>
      </c>
      <c r="AA188" s="242" t="str">
        <f>IF(L188="","",VLOOKUP($L188,classifications!C:I,7,FALSE))</f>
        <v>Significant Rural</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Lincolnshire</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East Midlands</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361.4</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465</v>
      </c>
      <c r="G189" s="105"/>
      <c r="H189" s="60">
        <f t="shared" si="50"/>
        <v>465</v>
      </c>
      <c r="I189" s="112">
        <f>IF(H189="","",IF($I$8="A",(RANK(H189,H$11:H$355,1)+COUNTIF(H$11:H189,H189)-1),(RANK(H189,H$11:H$355)+COUNTIF(H$11:H189,H189)-1)))</f>
        <v>109</v>
      </c>
      <c r="J189" s="58"/>
      <c r="K189" s="51">
        <f t="shared" si="61"/>
        <v>179</v>
      </c>
      <c r="L189" s="59" t="str">
        <f t="shared" si="51"/>
        <v>Ribble Valley</v>
      </c>
      <c r="M189" s="153">
        <f t="shared" si="52"/>
        <v>580.5</v>
      </c>
      <c r="N189" s="148">
        <f t="shared" si="62"/>
        <v>580.5</v>
      </c>
      <c r="O189" s="131" t="str">
        <f t="shared" si="53"/>
        <v/>
      </c>
      <c r="P189" s="131" t="str">
        <f t="shared" si="68"/>
        <v/>
      </c>
      <c r="Q189" s="131" t="str">
        <f t="shared" si="69"/>
        <v/>
      </c>
      <c r="R189" s="127">
        <f t="shared" si="70"/>
        <v>580.5</v>
      </c>
      <c r="S189" s="60" t="str">
        <f t="shared" si="63"/>
        <v/>
      </c>
      <c r="T189" s="228" t="str">
        <f>IF(L189="","",VLOOKUP(L189,classifications!C:K,9,FALSE))</f>
        <v>Sparse</v>
      </c>
      <c r="U189" s="235">
        <f t="shared" si="54"/>
        <v>580.5</v>
      </c>
      <c r="V189" s="236">
        <f>IF(U189="","",IF($I$8="A",(RANK(U189,U$11:U$355)+COUNTIF(U$11:U189,U189)-1),(RANK(U189,U$11:U$355,1)+COUNTIF(U$11:U189,U189)-1)))</f>
        <v>1</v>
      </c>
      <c r="W189" s="237"/>
      <c r="X189" s="61" t="str">
        <f>IF(L189="","",VLOOKUP($L189,classifications!$C:$J,6,FALSE))</f>
        <v xml:space="preserve">Mainly Rural (rural including hub towns &gt;=80%) </v>
      </c>
      <c r="Y189" s="49">
        <f t="shared" si="55"/>
        <v>580.5</v>
      </c>
      <c r="Z189" s="57">
        <f>IF(Y189="","",IF(I$8="A",(RANK(Y189,Y$11:Y$355,1)+COUNTIF(Y$11:Y189,Y189)-1),(RANK(Y189,Y$11:Y$355)+COUNTIF(Y$11:Y189,Y189)-1)))</f>
        <v>40</v>
      </c>
      <c r="AA189" s="242" t="str">
        <f>IF(L189="","",VLOOKUP($L189,classifications!C:I,7,FALSE))</f>
        <v>Predominantly Rural</v>
      </c>
      <c r="AB189" s="236">
        <f t="shared" si="64"/>
        <v>580.5</v>
      </c>
      <c r="AC189" s="236">
        <f>IF(AB189="","",IF($I$8="A",(RANK(AB189,AB$11:AB$355)+COUNTIF(AB$11:AB189,AB189)-1),(RANK(AB189,AB$11:AB$355,1)+COUNTIF(AB$11:AB189,AB189)-1)))</f>
        <v>2</v>
      </c>
      <c r="AD189" s="236"/>
      <c r="AE189" s="51" t="str">
        <f t="shared" si="71"/>
        <v/>
      </c>
      <c r="AG189" s="143"/>
      <c r="AH189" s="52"/>
      <c r="AI189" s="61" t="str">
        <f>IF(L189="","",VLOOKUP($L189,classifications!$C:$J,8,FALSE))</f>
        <v>Lancashire</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North West</v>
      </c>
      <c r="AQ189" s="62">
        <f t="shared" si="66"/>
        <v>580.5</v>
      </c>
      <c r="AR189" s="57">
        <f>IF(AQ189="","",IF(I$8="A",(RANK(AQ189,AQ$11:AQ$355,1)+COUNTIF(AQ$11:AQ189,AQ189)-1),(RANK(AQ189,AQ$11:AQ$355)+COUNTIF(AQ$11:AQ189,AQ189)-1)))</f>
        <v>18</v>
      </c>
      <c r="AS189" s="52" t="str">
        <f t="shared" si="67"/>
        <v/>
      </c>
      <c r="AT189" s="57" t="str">
        <f t="shared" si="59"/>
        <v/>
      </c>
      <c r="AU189" s="62" t="str">
        <f t="shared" si="60"/>
        <v/>
      </c>
      <c r="AX189" s="44">
        <f>HLOOKUP($AX$9&amp;$AX$10,Data!$A$1:$ZZ$2000,(MATCH($C189,Data!$A$1:$A$2000,0)),FALSE)</f>
        <v>465</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430</v>
      </c>
      <c r="G190" s="105"/>
      <c r="H190" s="60">
        <f t="shared" si="50"/>
        <v>430</v>
      </c>
      <c r="I190" s="112">
        <f>IF(H190="","",IF($I$8="A",(RANK(H190,H$11:H$355,1)+COUNTIF(H$11:H190,H190)-1),(RANK(H190,H$11:H$355)+COUNTIF(H$11:H190,H190)-1)))</f>
        <v>69</v>
      </c>
      <c r="J190" s="58"/>
      <c r="K190" s="51">
        <f t="shared" si="61"/>
        <v>180</v>
      </c>
      <c r="L190" s="59" t="str">
        <f t="shared" si="51"/>
        <v>Mansfield</v>
      </c>
      <c r="M190" s="153">
        <f t="shared" si="52"/>
        <v>601.79999999999995</v>
      </c>
      <c r="N190" s="148">
        <f t="shared" si="62"/>
        <v>601.79999999999995</v>
      </c>
      <c r="O190" s="131" t="str">
        <f t="shared" si="53"/>
        <v/>
      </c>
      <c r="P190" s="131" t="str">
        <f t="shared" si="68"/>
        <v/>
      </c>
      <c r="Q190" s="131" t="str">
        <f t="shared" si="69"/>
        <v/>
      </c>
      <c r="R190" s="127">
        <f t="shared" si="70"/>
        <v>601.79999999999995</v>
      </c>
      <c r="S190" s="60" t="str">
        <f t="shared" si="63"/>
        <v/>
      </c>
      <c r="T190" s="228">
        <f>IF(L190="","",VLOOKUP(L190,classifications!C:K,9,FALSE))</f>
        <v>0</v>
      </c>
      <c r="U190" s="235" t="str">
        <f t="shared" si="54"/>
        <v/>
      </c>
      <c r="V190" s="236" t="str">
        <f>IF(U190="","",IF($I$8="A",(RANK(U190,U$11:U$355)+COUNTIF(U$11:U190,U190)-1),(RANK(U190,U$11:U$355,1)+COUNTIF(U$11:U190,U190)-1)))</f>
        <v/>
      </c>
      <c r="W190" s="237"/>
      <c r="X190" s="61" t="str">
        <f>IF(L190="","",VLOOKUP($L190,classifications!$C:$J,6,FALSE))</f>
        <v>Urban with City and Town</v>
      </c>
      <c r="Y190" s="49" t="str">
        <f t="shared" si="55"/>
        <v/>
      </c>
      <c r="Z190" s="57" t="str">
        <f>IF(Y190="","",IF(I$8="A",(RANK(Y190,Y$11:Y$355,1)+COUNTIF(Y$11:Y190,Y190)-1),(RANK(Y190,Y$11:Y$355)+COUNTIF(Y$11:Y190,Y190)-1)))</f>
        <v/>
      </c>
      <c r="AA190" s="242" t="str">
        <f>IF(L190="","",VLOOKUP($L190,classifications!C:I,7,FALSE))</f>
        <v>Predominantly Urban</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Nottinghamshire</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East Midlands</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430</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677.6</v>
      </c>
      <c r="G191" s="105"/>
      <c r="H191" s="60" t="str">
        <f t="shared" si="50"/>
        <v/>
      </c>
      <c r="I191" s="112" t="str">
        <f>IF(H191="","",IF($I$8="A",(RANK(H191,H$11:H$355,1)+COUNTIF(H$11:H191,H191)-1),(RANK(H191,H$11:H$355)+COUNTIF(H$11:H191,H191)-1)))</f>
        <v/>
      </c>
      <c r="J191" s="58"/>
      <c r="K191" s="51">
        <f t="shared" si="61"/>
        <v>181</v>
      </c>
      <c r="L191" s="59" t="str">
        <f t="shared" si="51"/>
        <v>Dartford</v>
      </c>
      <c r="M191" s="153">
        <f t="shared" si="52"/>
        <v>607.9</v>
      </c>
      <c r="N191" s="148">
        <f t="shared" si="62"/>
        <v>607.9</v>
      </c>
      <c r="O191" s="131" t="str">
        <f t="shared" si="53"/>
        <v/>
      </c>
      <c r="P191" s="131" t="str">
        <f t="shared" si="68"/>
        <v/>
      </c>
      <c r="Q191" s="131" t="str">
        <f t="shared" si="69"/>
        <v/>
      </c>
      <c r="R191" s="127">
        <f t="shared" si="70"/>
        <v>607.9</v>
      </c>
      <c r="S191" s="60" t="str">
        <f t="shared" si="63"/>
        <v/>
      </c>
      <c r="T191" s="228">
        <f>IF(L191="","",VLOOKUP(L191,classifications!C:K,9,FALSE))</f>
        <v>0</v>
      </c>
      <c r="U191" s="235" t="str">
        <f t="shared" si="54"/>
        <v/>
      </c>
      <c r="V191" s="236" t="str">
        <f>IF(U191="","",IF($I$8="A",(RANK(U191,U$11:U$355)+COUNTIF(U$11:U191,U191)-1),(RANK(U191,U$11:U$355,1)+COUNTIF(U$11:U191,U191)-1)))</f>
        <v/>
      </c>
      <c r="W191" s="237"/>
      <c r="X191" s="61" t="str">
        <f>IF(L191="","",VLOOKUP($L191,classifications!$C:$J,6,FALSE))</f>
        <v>Urban with Major Conurbation</v>
      </c>
      <c r="Y191" s="49" t="str">
        <f t="shared" si="55"/>
        <v/>
      </c>
      <c r="Z191" s="57" t="str">
        <f>IF(Y191="","",IF(I$8="A",(RANK(Y191,Y$11:Y$355,1)+COUNTIF(Y$11:Y191,Y191)-1),(RANK(Y191,Y$11:Y$355)+COUNTIF(Y$11:Y191,Y191)-1)))</f>
        <v/>
      </c>
      <c r="AA191" s="242" t="str">
        <f>IF(L191="","",VLOOKUP($L191,classifications!C:I,7,FALSE))</f>
        <v>Predominantly Urban</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Kent</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South East</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677.6</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462.6</v>
      </c>
      <c r="G192" s="105"/>
      <c r="H192" s="60" t="str">
        <f t="shared" si="50"/>
        <v/>
      </c>
      <c r="I192" s="112" t="str">
        <f>IF(H192="","",IF($I$8="A",(RANK(H192,H$11:H$355,1)+COUNTIF(H$11:H192,H192)-1),(RANK(H192,H$11:H$355)+COUNTIF(H$11:H192,H192)-1)))</f>
        <v/>
      </c>
      <c r="J192" s="58"/>
      <c r="K192" s="51">
        <f t="shared" si="61"/>
        <v>182</v>
      </c>
      <c r="L192" s="59" t="str">
        <f t="shared" si="51"/>
        <v>Bassetlaw</v>
      </c>
      <c r="M192" s="153">
        <f t="shared" si="52"/>
        <v>631.79999999999995</v>
      </c>
      <c r="N192" s="148">
        <f t="shared" si="62"/>
        <v>631.79999999999995</v>
      </c>
      <c r="O192" s="131" t="str">
        <f t="shared" si="53"/>
        <v/>
      </c>
      <c r="P192" s="131" t="str">
        <f t="shared" si="68"/>
        <v/>
      </c>
      <c r="Q192" s="131" t="str">
        <f t="shared" si="69"/>
        <v/>
      </c>
      <c r="R192" s="127">
        <f t="shared" si="70"/>
        <v>631.79999999999995</v>
      </c>
      <c r="S192" s="60" t="str">
        <f t="shared" si="63"/>
        <v/>
      </c>
      <c r="T192" s="228">
        <f>IF(L192="","",VLOOKUP(L192,classifications!C:K,9,FALSE))</f>
        <v>0</v>
      </c>
      <c r="U192" s="235" t="str">
        <f t="shared" si="54"/>
        <v/>
      </c>
      <c r="V192" s="236" t="str">
        <f>IF(U192="","",IF($I$8="A",(RANK(U192,U$11:U$355)+COUNTIF(U$11:U192,U192)-1),(RANK(U192,U$11:U$355,1)+COUNTIF(U$11:U192,U192)-1)))</f>
        <v/>
      </c>
      <c r="W192" s="237"/>
      <c r="X192" s="61" t="str">
        <f>IF(L192="","",VLOOKUP($L192,classifications!$C:$J,6,FALSE))</f>
        <v xml:space="preserve">Largely Rural (rural including hub towns 50-79%) </v>
      </c>
      <c r="Y192" s="49" t="str">
        <f t="shared" si="55"/>
        <v/>
      </c>
      <c r="Z192" s="57" t="str">
        <f>IF(Y192="","",IF(I$8="A",(RANK(Y192,Y$11:Y$355,1)+COUNTIF(Y$11:Y192,Y192)-1),(RANK(Y192,Y$11:Y$355)+COUNTIF(Y$11:Y192,Y192)-1)))</f>
        <v/>
      </c>
      <c r="AA192" s="242" t="str">
        <f>IF(L192="","",VLOOKUP($L192,classifications!C:I,7,FALSE))</f>
        <v>Predominantly Rural</v>
      </c>
      <c r="AB192" s="236">
        <f t="shared" si="64"/>
        <v>631.79999999999995</v>
      </c>
      <c r="AC192" s="236">
        <f>IF(AB192="","",IF($I$8="A",(RANK(AB192,AB$11:AB$355)+COUNTIF(AB$11:AB192,AB192)-1),(RANK(AB192,AB$11:AB$355,1)+COUNTIF(AB$11:AB192,AB192)-1)))</f>
        <v>1</v>
      </c>
      <c r="AD192" s="236"/>
      <c r="AE192" s="51" t="str">
        <f t="shared" si="71"/>
        <v/>
      </c>
      <c r="AG192" s="143"/>
      <c r="AH192" s="52"/>
      <c r="AI192" s="61" t="str">
        <f>IF(L192="","",VLOOKUP($L192,classifications!$C:$J,8,FALSE))</f>
        <v>Nottinghamshire</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East Midlands</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462.6</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407</v>
      </c>
      <c r="G193" s="105"/>
      <c r="H193" s="60">
        <f t="shared" si="50"/>
        <v>407</v>
      </c>
      <c r="I193" s="112">
        <f>IF(H193="","",IF($I$8="A",(RANK(H193,H$11:H$355,1)+COUNTIF(H$11:H193,H193)-1),(RANK(H193,H$11:H$355)+COUNTIF(H$11:H193,H193)-1)))</f>
        <v>47</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407</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464.5</v>
      </c>
      <c r="G194" s="105"/>
      <c r="H194" s="60">
        <f t="shared" si="50"/>
        <v>464.5</v>
      </c>
      <c r="I194" s="112">
        <f>IF(H194="","",IF($I$8="A",(RANK(H194,H$11:H$355,1)+COUNTIF(H$11:H194,H194)-1),(RANK(H194,H$11:H$355)+COUNTIF(H$11:H194,H194)-1)))</f>
        <v>108</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464.5</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565.9</v>
      </c>
      <c r="G195" s="105"/>
      <c r="H195" s="60">
        <f t="shared" si="50"/>
        <v>565.9</v>
      </c>
      <c r="I195" s="112">
        <f>IF(H195="","",IF($I$8="A",(RANK(H195,H$11:H$355,1)+COUNTIF(H$11:H195,H195)-1),(RANK(H195,H$11:H$355)+COUNTIF(H$11:H195,H195)-1)))</f>
        <v>176</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565.9</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493.4</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493.4</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456.8</v>
      </c>
      <c r="G197" s="105"/>
      <c r="H197" s="60">
        <f t="shared" si="50"/>
        <v>456.8</v>
      </c>
      <c r="I197" s="112">
        <f>IF(H197="","",IF($I$8="A",(RANK(H197,H$11:H$355,1)+COUNTIF(H$11:H197,H197)-1),(RANK(H197,H$11:H$355)+COUNTIF(H$11:H197,H197)-1)))</f>
        <v>94</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456.8</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808.2</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808.2</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512</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512</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409.7</v>
      </c>
      <c r="G200" s="105"/>
      <c r="H200" s="60">
        <f t="shared" si="50"/>
        <v>409.7</v>
      </c>
      <c r="I200" s="112">
        <f>IF(H200="","",IF($I$8="A",(RANK(H200,H$11:H$355,1)+COUNTIF(H$11:H200,H200)-1),(RANK(H200,H$11:H$355)+COUNTIF(H$11:H200,H200)-1)))</f>
        <v>48</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409.7</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465.5</v>
      </c>
      <c r="G201" s="105"/>
      <c r="H201" s="60">
        <f t="shared" si="50"/>
        <v>465.5</v>
      </c>
      <c r="I201" s="112">
        <f>IF(H201="","",IF($I$8="A",(RANK(H201,H$11:H$355,1)+COUNTIF(H$11:H201,H201)-1),(RANK(H201,H$11:H$355)+COUNTIF(H$11:H201,H201)-1)))</f>
        <v>110</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465.5</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627.4</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627.4</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337.4</v>
      </c>
      <c r="G203" s="105"/>
      <c r="H203" s="60">
        <f t="shared" ref="H203:H266" si="73">IF(D203=$D$1,HLOOKUP($D$6,$AX$10:$ZZ$355,ROW()-9,FALSE),"")</f>
        <v>337.4</v>
      </c>
      <c r="I203" s="112">
        <f>IF(H203="","",IF($I$8="A",(RANK(H203,H$11:H$355,1)+COUNTIF(H$11:H203,H203)-1),(RANK(H203,H$11:H$355)+COUNTIF(H$11:H203,H203)-1)))</f>
        <v>14</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337.4</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507.9</v>
      </c>
      <c r="G204" s="105"/>
      <c r="H204" s="60">
        <f t="shared" si="73"/>
        <v>507.9</v>
      </c>
      <c r="I204" s="112">
        <f>IF(H204="","",IF($I$8="A",(RANK(H204,H$11:H$355,1)+COUNTIF(H$11:H204,H204)-1),(RANK(H204,H$11:H$355)+COUNTIF(H$11:H204,H204)-1)))</f>
        <v>147</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507.9</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497.9</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497.9</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461</v>
      </c>
      <c r="G206" s="105"/>
      <c r="H206" s="60">
        <f t="shared" si="73"/>
        <v>461</v>
      </c>
      <c r="I206" s="112">
        <f>IF(H206="","",IF($I$8="A",(RANK(H206,H$11:H$355,1)+COUNTIF(H$11:H206,H206)-1),(RANK(H206,H$11:H$355)+COUNTIF(H$11:H206,H206)-1)))</f>
        <v>102</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461</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399.7</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399.7</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544.20000000000005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544.20000000000005</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501.7</v>
      </c>
      <c r="G209" s="105"/>
      <c r="H209" s="60">
        <f t="shared" si="73"/>
        <v>501.7</v>
      </c>
      <c r="I209" s="112">
        <f>IF(H209="","",IF($I$8="A",(RANK(H209,H$11:H$355,1)+COUNTIF(H$11:H209,H209)-1),(RANK(H209,H$11:H$355)+COUNTIF(H$11:H209,H209)-1)))</f>
        <v>139</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501.7</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496.8</v>
      </c>
      <c r="G210" s="105"/>
      <c r="H210" s="60">
        <f t="shared" si="73"/>
        <v>496.8</v>
      </c>
      <c r="I210" s="112">
        <f>IF(H210="","",IF($I$8="A",(RANK(H210,H$11:H$355,1)+COUNTIF(H$11:H210,H210)-1),(RANK(H210,H$11:H$355)+COUNTIF(H$11:H210,H210)-1)))</f>
        <v>136</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496.8</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525.5</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525.5</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489.9</v>
      </c>
      <c r="G212" s="105"/>
      <c r="H212" s="60">
        <f t="shared" si="73"/>
        <v>489.9</v>
      </c>
      <c r="I212" s="112">
        <f>IF(H212="","",IF($I$8="A",(RANK(H212,H$11:H$355,1)+COUNTIF(H$11:H212,H212)-1),(RANK(H212,H$11:H$355)+COUNTIF(H$11:H212,H212)-1)))</f>
        <v>132</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489.9</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536.20000000000005</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536.20000000000005</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632.9</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632.9</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404.1</v>
      </c>
      <c r="G215" s="105"/>
      <c r="H215" s="60">
        <f t="shared" si="73"/>
        <v>404.1</v>
      </c>
      <c r="I215" s="112">
        <f>IF(H215="","",IF($I$8="A",(RANK(H215,H$11:H$355,1)+COUNTIF(H$11:H215,H215)-1),(RANK(H215,H$11:H$355)+COUNTIF(H$11:H215,H215)-1)))</f>
        <v>43</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404.1</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606.70000000000005</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606.70000000000005</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595.29999999999995</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595.29999999999995</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504.3</v>
      </c>
      <c r="G218" s="105"/>
      <c r="H218" s="60">
        <f t="shared" si="73"/>
        <v>504.3</v>
      </c>
      <c r="I218" s="112">
        <f>IF(H218="","",IF($I$8="A",(RANK(H218,H$11:H$355,1)+COUNTIF(H$11:H218,H218)-1),(RANK(H218,H$11:H$355)+COUNTIF(H$11:H218,H218)-1)))</f>
        <v>140</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504.3</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410.3</v>
      </c>
      <c r="G219" s="105"/>
      <c r="H219" s="60">
        <f t="shared" si="73"/>
        <v>410.3</v>
      </c>
      <c r="I219" s="112">
        <f>IF(H219="","",IF($I$8="A",(RANK(H219,H$11:H$355,1)+COUNTIF(H$11:H219,H219)-1),(RANK(H219,H$11:H$355)+COUNTIF(H$11:H219,H219)-1)))</f>
        <v>51</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410.3</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430.1</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430.1</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331.5</v>
      </c>
      <c r="G221" s="105"/>
      <c r="H221" s="60">
        <f t="shared" si="73"/>
        <v>331.5</v>
      </c>
      <c r="I221" s="112">
        <f>IF(H221="","",IF($I$8="A",(RANK(H221,H$11:H$355,1)+COUNTIF(H$11:H221,H221)-1),(RANK(H221,H$11:H$355)+COUNTIF(H$11:H221,H221)-1)))</f>
        <v>11</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331.5</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401.9</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401.9</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549.79999999999995</v>
      </c>
      <c r="G223" s="105"/>
      <c r="H223" s="60">
        <f t="shared" si="73"/>
        <v>549.79999999999995</v>
      </c>
      <c r="I223" s="112">
        <f>IF(H223="","",IF($I$8="A",(RANK(H223,H$11:H$355,1)+COUNTIF(H$11:H223,H223)-1),(RANK(H223,H$11:H$355)+COUNTIF(H$11:H223,H223)-1)))</f>
        <v>166</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549.79999999999995</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557.20000000000005</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557.20000000000005</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561</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561</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571.9</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571.9</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554.70000000000005</v>
      </c>
      <c r="G227" s="105"/>
      <c r="H227" s="60">
        <f t="shared" si="73"/>
        <v>554.70000000000005</v>
      </c>
      <c r="I227" s="112">
        <f>IF(H227="","",IF($I$8="A",(RANK(H227,H$11:H$355,1)+COUNTIF(H$11:H227,H227)-1),(RANK(H227,H$11:H$355)+COUNTIF(H$11:H227,H227)-1)))</f>
        <v>170</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554.70000000000005</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510.9</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510.9</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748.2</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748.2</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516.5</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516.5</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509</v>
      </c>
      <c r="G231" s="105"/>
      <c r="H231" s="60">
        <f t="shared" si="73"/>
        <v>509</v>
      </c>
      <c r="I231" s="112">
        <f>IF(H231="","",IF($I$8="A",(RANK(H231,H$11:H$355,1)+COUNTIF(H$11:H231,H231)-1),(RANK(H231,H$11:H$355)+COUNTIF(H$11:H231,H231)-1)))</f>
        <v>149</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509</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392.9</v>
      </c>
      <c r="G232" s="105"/>
      <c r="H232" s="60">
        <f t="shared" si="73"/>
        <v>392.9</v>
      </c>
      <c r="I232" s="112">
        <f>IF(H232="","",IF($I$8="A",(RANK(H232,H$11:H$355,1)+COUNTIF(H$11:H232,H232)-1),(RANK(H232,H$11:H$355)+COUNTIF(H$11:H232,H232)-1)))</f>
        <v>36</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392.9</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580.5</v>
      </c>
      <c r="G233" s="105"/>
      <c r="H233" s="60">
        <f t="shared" si="73"/>
        <v>580.5</v>
      </c>
      <c r="I233" s="112">
        <f>IF(H233="","",IF($I$8="A",(RANK(H233,H$11:H$355,1)+COUNTIF(H$11:H233,H233)-1),(RANK(H233,H$11:H$355)+COUNTIF(H$11:H233,H233)-1)))</f>
        <v>179</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580.5</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499.5</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499.5</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484.5</v>
      </c>
      <c r="G235" s="105"/>
      <c r="H235" s="60">
        <f t="shared" si="73"/>
        <v>484.5</v>
      </c>
      <c r="I235" s="112">
        <f>IF(H235="","",IF($I$8="A",(RANK(H235,H$11:H$355,1)+COUNTIF(H$11:H235,H235)-1),(RANK(H235,H$11:H$355)+COUNTIF(H$11:H235,H235)-1)))</f>
        <v>128</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484.5</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364.3</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364.3</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345</v>
      </c>
      <c r="G237" s="105"/>
      <c r="H237" s="60">
        <f t="shared" si="73"/>
        <v>345</v>
      </c>
      <c r="I237" s="112">
        <f>IF(H237="","",IF($I$8="A",(RANK(H237,H$11:H$355,1)+COUNTIF(H$11:H237,H237)-1),(RANK(H237,H$11:H$355)+COUNTIF(H$11:H237,H237)-1)))</f>
        <v>17</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345</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523.79999999999995</v>
      </c>
      <c r="G238" s="105"/>
      <c r="H238" s="60">
        <f t="shared" si="73"/>
        <v>523.79999999999995</v>
      </c>
      <c r="I238" s="112">
        <f>IF(H238="","",IF($I$8="A",(RANK(H238,H$11:H$355,1)+COUNTIF(H$11:H238,H238)-1),(RANK(H238,H$11:H$355)+COUNTIF(H$11:H238,H238)-1)))</f>
        <v>157</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523.79999999999995</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445.3</v>
      </c>
      <c r="G239" s="105"/>
      <c r="H239" s="60">
        <f t="shared" si="73"/>
        <v>445.3</v>
      </c>
      <c r="I239" s="112">
        <f>IF(H239="","",IF($I$8="A",(RANK(H239,H$11:H$355,1)+COUNTIF(H$11:H239,H239)-1),(RANK(H239,H$11:H$355)+COUNTIF(H$11:H239,H239)-1)))</f>
        <v>84</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445.3</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481.3</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481.3</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461.8</v>
      </c>
      <c r="G241" s="105"/>
      <c r="H241" s="60">
        <f t="shared" si="73"/>
        <v>461.8</v>
      </c>
      <c r="I241" s="112">
        <f>IF(H241="","",IF($I$8="A",(RANK(H241,H$11:H$355,1)+COUNTIF(H$11:H241,H241)-1),(RANK(H241,H$11:H$355)+COUNTIF(H$11:H241,H241)-1)))</f>
        <v>105</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461.8</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417.1</v>
      </c>
      <c r="G242" s="105"/>
      <c r="H242" s="60">
        <f t="shared" si="73"/>
        <v>417.1</v>
      </c>
      <c r="I242" s="112">
        <f>IF(H242="","",IF($I$8="A",(RANK(H242,H$11:H$355,1)+COUNTIF(H$11:H242,H242)-1),(RANK(H242,H$11:H$355)+COUNTIF(H$11:H242,H242)-1)))</f>
        <v>54</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417.1</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464.4</v>
      </c>
      <c r="G243" s="105"/>
      <c r="H243" s="60">
        <f t="shared" si="73"/>
        <v>464.4</v>
      </c>
      <c r="I243" s="112">
        <f>IF(H243="","",IF($I$8="A",(RANK(H243,H$11:H$355,1)+COUNTIF(H$11:H243,H243)-1),(RANK(H243,H$11:H$355)+COUNTIF(H$11:H243,H243)-1)))</f>
        <v>107</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464.4</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547</v>
      </c>
      <c r="G244" s="105"/>
      <c r="H244" s="60">
        <f t="shared" si="73"/>
        <v>547</v>
      </c>
      <c r="I244" s="112">
        <f>IF(H244="","",IF($I$8="A",(RANK(H244,H$11:H$355,1)+COUNTIF(H$11:H244,H244)-1),(RANK(H244,H$11:H$355)+COUNTIF(H$11:H244,H244)-1)))</f>
        <v>165</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547</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504.9</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504.9</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424.9</v>
      </c>
      <c r="G246" s="105"/>
      <c r="H246" s="60">
        <f t="shared" si="73"/>
        <v>424.9</v>
      </c>
      <c r="I246" s="112">
        <f>IF(H246="","",IF($I$8="A",(RANK(H246,H$11:H$355,1)+COUNTIF(H$11:H246,H246)-1),(RANK(H246,H$11:H$355)+COUNTIF(H$11:H246,H246)-1)))</f>
        <v>61</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424.9</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345.3</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345.3</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625.79999999999995</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625.79999999999995</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454.5</v>
      </c>
      <c r="G249" s="105"/>
      <c r="H249" s="60">
        <f t="shared" si="73"/>
        <v>454.5</v>
      </c>
      <c r="I249" s="112">
        <f>IF(H249="","",IF($I$8="A",(RANK(H249,H$11:H$355,1)+COUNTIF(H$11:H249,H249)-1),(RANK(H249,H$11:H$355)+COUNTIF(H$11:H249,H249)-1)))</f>
        <v>92</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454.5</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573.6</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573.6</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545.29999999999995</v>
      </c>
      <c r="G252" s="105"/>
      <c r="H252" s="60">
        <f t="shared" si="73"/>
        <v>545.29999999999995</v>
      </c>
      <c r="I252" s="112">
        <f>IF(H252="","",IF($I$8="A",(RANK(H252,H$11:H$355,1)+COUNTIF(H$11:H252,H252)-1),(RANK(H252,H$11:H$355)+COUNTIF(H$11:H252,H252)-1)))</f>
        <v>164</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545.29999999999995</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554.29999999999995</v>
      </c>
      <c r="G253" s="105"/>
      <c r="H253" s="60">
        <f t="shared" si="73"/>
        <v>554.29999999999995</v>
      </c>
      <c r="I253" s="112">
        <f>IF(H253="","",IF($I$8="A",(RANK(H253,H$11:H$355,1)+COUNTIF(H$11:H253,H253)-1),(RANK(H253,H$11:H$355)+COUNTIF(H$11:H253,H253)-1)))</f>
        <v>169</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554.29999999999995</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509.3</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509.3</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401</v>
      </c>
      <c r="G255" s="105"/>
      <c r="H255" s="60">
        <f t="shared" si="73"/>
        <v>401</v>
      </c>
      <c r="I255" s="112">
        <f>IF(H255="","",IF($I$8="A",(RANK(H255,H$11:H$355,1)+COUNTIF(H$11:H255,H255)-1),(RANK(H255,H$11:H$355)+COUNTIF(H$11:H255,H255)-1)))</f>
        <v>40</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401</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500.2</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500.2</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732.6</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732.6</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629.29999999999995</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629.29999999999995</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f t="shared" si="72"/>
        <v>391.8</v>
      </c>
      <c r="G260" s="105"/>
      <c r="H260" s="60">
        <f t="shared" si="73"/>
        <v>391.8</v>
      </c>
      <c r="I260" s="112">
        <f>IF(H260="","",IF($I$8="A",(RANK(H260,H$11:H$355,1)+COUNTIF(H$11:H260,H260)-1),(RANK(H260,H$11:H$355)+COUNTIF(H$11:H260,H260)-1)))</f>
        <v>35</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391.8</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519</v>
      </c>
      <c r="G262" s="105"/>
      <c r="H262" s="60">
        <f t="shared" si="73"/>
        <v>519</v>
      </c>
      <c r="I262" s="112">
        <f>IF(H262="","",IF($I$8="A",(RANK(H262,H$11:H$355,1)+COUNTIF(H$11:H262,H262)-1),(RANK(H262,H$11:H$355)+COUNTIF(H$11:H262,H262)-1)))</f>
        <v>154</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519</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396.8</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396.8</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333.9</v>
      </c>
      <c r="G264" s="105"/>
      <c r="H264" s="60">
        <f t="shared" si="73"/>
        <v>333.9</v>
      </c>
      <c r="I264" s="112">
        <f>IF(H264="","",IF($I$8="A",(RANK(H264,H$11:H$355,1)+COUNTIF(H$11:H264,H264)-1),(RANK(H264,H$11:H$355)+COUNTIF(H$11:H264,H264)-1)))</f>
        <v>12</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333.9</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559.79999999999995</v>
      </c>
      <c r="G265" s="105"/>
      <c r="H265" s="60">
        <f t="shared" si="73"/>
        <v>559.79999999999995</v>
      </c>
      <c r="I265" s="112">
        <f>IF(H265="","",IF($I$8="A",(RANK(H265,H$11:H$355,1)+COUNTIF(H$11:H265,H265)-1),(RANK(H265,H$11:H$355)+COUNTIF(H$11:H265,H265)-1)))</f>
        <v>173</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559.79999999999995</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504.6</v>
      </c>
      <c r="G266" s="105"/>
      <c r="H266" s="60">
        <f t="shared" si="73"/>
        <v>504.6</v>
      </c>
      <c r="I266" s="112">
        <f>IF(H266="","",IF($I$8="A",(RANK(H266,H$11:H$355,1)+COUNTIF(H$11:H266,H266)-1),(RANK(H266,H$11:H$355)+COUNTIF(H$11:H266,H266)-1)))</f>
        <v>141</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504.6</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460.6</v>
      </c>
      <c r="G267" s="105"/>
      <c r="H267" s="60">
        <f t="shared" ref="H267:H330" si="97">IF(D267=$D$1,HLOOKUP($D$6,$AX$10:$ZZ$355,ROW()-9,FALSE),"")</f>
        <v>460.6</v>
      </c>
      <c r="I267" s="112">
        <f>IF(H267="","",IF($I$8="A",(RANK(H267,H$11:H$355,1)+COUNTIF(H$11:H267,H267)-1),(RANK(H267,H$11:H$355)+COUNTIF(H$11:H267,H267)-1)))</f>
        <v>101</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460.6</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476.5</v>
      </c>
      <c r="G268" s="105"/>
      <c r="H268" s="60">
        <f t="shared" si="97"/>
        <v>476.5</v>
      </c>
      <c r="I268" s="112">
        <f>IF(H268="","",IF($I$8="A",(RANK(H268,H$11:H$355,1)+COUNTIF(H$11:H268,H268)-1),(RANK(H268,H$11:H$355)+COUNTIF(H$11:H268,H268)-1)))</f>
        <v>120</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476.5</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404.8</v>
      </c>
      <c r="G269" s="105"/>
      <c r="H269" s="60">
        <f t="shared" si="97"/>
        <v>404.8</v>
      </c>
      <c r="I269" s="112">
        <f>IF(H269="","",IF($I$8="A",(RANK(H269,H$11:H$355,1)+COUNTIF(H$11:H269,H269)-1),(RANK(H269,H$11:H$355)+COUNTIF(H$11:H269,H269)-1)))</f>
        <v>45</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404.8</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306.89999999999998</v>
      </c>
      <c r="G270" s="105"/>
      <c r="H270" s="60">
        <f t="shared" si="97"/>
        <v>306.89999999999998</v>
      </c>
      <c r="I270" s="112">
        <f>IF(H270="","",IF($I$8="A",(RANK(H270,H$11:H$355,1)+COUNTIF(H$11:H270,H270)-1),(RANK(H270,H$11:H$355)+COUNTIF(H$11:H270,H270)-1)))</f>
        <v>7</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306.89999999999998</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445.3</v>
      </c>
      <c r="G271" s="105"/>
      <c r="H271" s="60">
        <f t="shared" si="97"/>
        <v>445.3</v>
      </c>
      <c r="I271" s="112">
        <f>IF(H271="","",IF($I$8="A",(RANK(H271,H$11:H$355,1)+COUNTIF(H$11:H271,H271)-1),(RANK(H271,H$11:H$355)+COUNTIF(H$11:H271,H271)-1)))</f>
        <v>85</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445.3</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461.1</v>
      </c>
      <c r="G273" s="105"/>
      <c r="H273" s="60">
        <f t="shared" si="97"/>
        <v>461.1</v>
      </c>
      <c r="I273" s="112">
        <f>IF(H273="","",IF($I$8="A",(RANK(H273,H$11:H$355,1)+COUNTIF(H$11:H273,H273)-1),(RANK(H273,H$11:H$355)+COUNTIF(H$11:H273,H273)-1)))</f>
        <v>103</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461.1</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630.6</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630.6</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566.70000000000005</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566.70000000000005</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498.1</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498.1</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507</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507</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431.8</v>
      </c>
      <c r="G278" s="105"/>
      <c r="H278" s="60">
        <f t="shared" si="97"/>
        <v>431.8</v>
      </c>
      <c r="I278" s="112">
        <f>IF(H278="","",IF($I$8="A",(RANK(H278,H$11:H$355,1)+COUNTIF(H$11:H278,H278)-1),(RANK(H278,H$11:H$355)+COUNTIF(H$11:H278,H278)-1)))</f>
        <v>74</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431.8</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v>
      </c>
      <c r="I279" s="112" t="e">
        <f>IF(H279="","",IF($I$8="A",(RANK(H279,H$11:H$355,1)+COUNTIF(H$11:H279,H279)-1),(RANK(H279,H$11:H$355)+COUNTIF(H$11:H279,H279)-1)))</f>
        <v>#VALUE!</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506.4</v>
      </c>
      <c r="G280" s="105"/>
      <c r="H280" s="60">
        <f t="shared" si="97"/>
        <v>506.4</v>
      </c>
      <c r="I280" s="112">
        <f>IF(H280="","",IF($I$8="A",(RANK(H280,H$11:H$355,1)+COUNTIF(H$11:H280,H280)-1),(RANK(H280,H$11:H$355)+COUNTIF(H$11:H280,H280)-1)))</f>
        <v>145</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506.4</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482.3</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482.3</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451.5</v>
      </c>
      <c r="G282" s="105"/>
      <c r="H282" s="60">
        <f t="shared" si="97"/>
        <v>451.5</v>
      </c>
      <c r="I282" s="112">
        <f>IF(H282="","",IF($I$8="A",(RANK(H282,H$11:H$355,1)+COUNTIF(H$11:H282,H282)-1),(RANK(H282,H$11:H$355)+COUNTIF(H$11:H282,H282)-1)))</f>
        <v>87</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451.5</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553.5</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553.5</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379.3</v>
      </c>
      <c r="G284" s="105"/>
      <c r="H284" s="60">
        <f t="shared" si="97"/>
        <v>379.3</v>
      </c>
      <c r="I284" s="112">
        <f>IF(H284="","",IF($I$8="A",(RANK(H284,H$11:H$355,1)+COUNTIF(H$11:H284,H284)-1),(RANK(H284,H$11:H$355)+COUNTIF(H$11:H284,H284)-1)))</f>
        <v>28</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379.3</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492.9</v>
      </c>
      <c r="G285" s="105"/>
      <c r="H285" s="60">
        <f t="shared" si="97"/>
        <v>492.9</v>
      </c>
      <c r="I285" s="112">
        <f>IF(H285="","",IF($I$8="A",(RANK(H285,H$11:H$355,1)+COUNTIF(H$11:H285,H285)-1),(RANK(H285,H$11:H$355)+COUNTIF(H$11:H285,H285)-1)))</f>
        <v>134</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492.9</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319.89999999999998</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319.89999999999998</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707.3</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707.3</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579.5</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579.5</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381.1</v>
      </c>
      <c r="G289" s="105"/>
      <c r="H289" s="60">
        <f t="shared" si="97"/>
        <v>381.1</v>
      </c>
      <c r="I289" s="112">
        <f>IF(H289="","",IF($I$8="A",(RANK(H289,H$11:H$355,1)+COUNTIF(H$11:H289,H289)-1),(RANK(H289,H$11:H$355)+COUNTIF(H$11:H289,H289)-1)))</f>
        <v>30</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381.1</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272.39999999999998</v>
      </c>
      <c r="G290" s="105"/>
      <c r="H290" s="60">
        <f t="shared" si="97"/>
        <v>272.39999999999998</v>
      </c>
      <c r="I290" s="112">
        <f>IF(H290="","",IF($I$8="A",(RANK(H290,H$11:H$355,1)+COUNTIF(H$11:H290,H290)-1),(RANK(H290,H$11:H$355)+COUNTIF(H$11:H290,H290)-1)))</f>
        <v>3</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272.39999999999998</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567.79999999999995</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567.79999999999995</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453.7</v>
      </c>
      <c r="G292" s="105"/>
      <c r="H292" s="60">
        <f t="shared" si="97"/>
        <v>453.7</v>
      </c>
      <c r="I292" s="112">
        <f>IF(H292="","",IF($I$8="A",(RANK(H292,H$11:H$355,1)+COUNTIF(H$11:H292,H292)-1),(RANK(H292,H$11:H$355)+COUNTIF(H$11:H292,H292)-1)))</f>
        <v>89</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453.7</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635.79999999999995</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635.79999999999995</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450.8</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450.8</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324.89999999999998</v>
      </c>
      <c r="G295" s="105"/>
      <c r="H295" s="60">
        <f t="shared" si="97"/>
        <v>324.89999999999998</v>
      </c>
      <c r="I295" s="112">
        <f>IF(H295="","",IF($I$8="A",(RANK(H295,H$11:H$355,1)+COUNTIF(H$11:H295,H295)-1),(RANK(H295,H$11:H$355)+COUNTIF(H$11:H295,H295)-1)))</f>
        <v>10</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324.89999999999998</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450.4</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450.4</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512.29999999999995</v>
      </c>
      <c r="G297" s="105"/>
      <c r="H297" s="60">
        <f t="shared" si="97"/>
        <v>512.29999999999995</v>
      </c>
      <c r="I297" s="112">
        <f>IF(H297="","",IF($I$8="A",(RANK(H297,H$11:H$355,1)+COUNTIF(H$11:H297,H297)-1),(RANK(H297,H$11:H$355)+COUNTIF(H$11:H297,H297)-1)))</f>
        <v>151</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512.29999999999995</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513.70000000000005</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513.70000000000005</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337.5</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337.5</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539.9</v>
      </c>
      <c r="G300" s="105"/>
      <c r="H300" s="60">
        <f t="shared" si="97"/>
        <v>539.9</v>
      </c>
      <c r="I300" s="112">
        <f>IF(H300="","",IF($I$8="A",(RANK(H300,H$11:H$355,1)+COUNTIF(H$11:H300,H300)-1),(RANK(H300,H$11:H$355)+COUNTIF(H$11:H300,H300)-1)))</f>
        <v>162</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539.9</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362.9</v>
      </c>
      <c r="G301" s="105"/>
      <c r="H301" s="60">
        <f t="shared" si="97"/>
        <v>362.9</v>
      </c>
      <c r="I301" s="112">
        <f>IF(H301="","",IF($I$8="A",(RANK(H301,H$11:H$355,1)+COUNTIF(H$11:H301,H301)-1),(RANK(H301,H$11:H$355)+COUNTIF(H$11:H301,H301)-1)))</f>
        <v>22</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362.9</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341.5</v>
      </c>
      <c r="G303" s="105"/>
      <c r="H303" s="60">
        <f t="shared" si="97"/>
        <v>341.5</v>
      </c>
      <c r="I303" s="112">
        <f>IF(H303="","",IF($I$8="A",(RANK(H303,H$11:H$355,1)+COUNTIF(H$11:H303,H303)-1),(RANK(H303,H$11:H$355)+COUNTIF(H$11:H303,H303)-1)))</f>
        <v>16</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341.5</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588.6</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588.6</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404.2</v>
      </c>
      <c r="G305" s="105"/>
      <c r="H305" s="60">
        <f t="shared" si="97"/>
        <v>404.2</v>
      </c>
      <c r="I305" s="112">
        <f>IF(H305="","",IF($I$8="A",(RANK(H305,H$11:H$355,1)+COUNTIF(H$11:H305,H305)-1),(RANK(H305,H$11:H$355)+COUNTIF(H$11:H305,H305)-1)))</f>
        <v>44</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404.2</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488.6</v>
      </c>
      <c r="G306" s="105"/>
      <c r="H306" s="60">
        <f t="shared" si="97"/>
        <v>488.6</v>
      </c>
      <c r="I306" s="112">
        <f>IF(H306="","",IF($I$8="A",(RANK(H306,H$11:H$355,1)+COUNTIF(H$11:H306,H306)-1),(RANK(H306,H$11:H$355)+COUNTIF(H$11:H306,H306)-1)))</f>
        <v>131</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488.6</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406.8</v>
      </c>
      <c r="G307" s="105"/>
      <c r="H307" s="60">
        <f t="shared" si="97"/>
        <v>406.8</v>
      </c>
      <c r="I307" s="112">
        <f>IF(H307="","",IF($I$8="A",(RANK(H307,H$11:H$355,1)+COUNTIF(H$11:H307,H307)-1),(RANK(H307,H$11:H$355)+COUNTIF(H$11:H307,H307)-1)))</f>
        <v>46</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406.8</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459.4</v>
      </c>
      <c r="G308" s="105"/>
      <c r="H308" s="60">
        <f t="shared" si="97"/>
        <v>459.4</v>
      </c>
      <c r="I308" s="112">
        <f>IF(H308="","",IF($I$8="A",(RANK(H308,H$11:H$355,1)+COUNTIF(H$11:H308,H308)-1),(RANK(H308,H$11:H$355)+COUNTIF(H$11:H308,H308)-1)))</f>
        <v>97</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459.4</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309.5</v>
      </c>
      <c r="G309" s="105"/>
      <c r="H309" s="60">
        <f t="shared" si="97"/>
        <v>309.5</v>
      </c>
      <c r="I309" s="112">
        <f>IF(H309="","",IF($I$8="A",(RANK(H309,H$11:H$355,1)+COUNTIF(H$11:H309,H309)-1),(RANK(H309,H$11:H$355)+COUNTIF(H$11:H309,H309)-1)))</f>
        <v>8</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309.5</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744</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744</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487</v>
      </c>
      <c r="G311" s="105"/>
      <c r="H311" s="60">
        <f t="shared" si="97"/>
        <v>487</v>
      </c>
      <c r="I311" s="112">
        <f>IF(H311="","",IF($I$8="A",(RANK(H311,H$11:H$355,1)+COUNTIF(H$11:H311,H311)-1),(RANK(H311,H$11:H$355)+COUNTIF(H$11:H311,H311)-1)))</f>
        <v>130</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487</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521</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521</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339.2</v>
      </c>
      <c r="G313" s="105"/>
      <c r="H313" s="60">
        <f t="shared" si="97"/>
        <v>339.2</v>
      </c>
      <c r="I313" s="112">
        <f>IF(H313="","",IF($I$8="A",(RANK(H313,H$11:H$355,1)+COUNTIF(H$11:H313,H313)-1),(RANK(H313,H$11:H$355)+COUNTIF(H$11:H313,H313)-1)))</f>
        <v>15</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339.2</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443</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443</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337.4</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337.4</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430</v>
      </c>
      <c r="G316" s="105"/>
      <c r="H316" s="60">
        <f t="shared" si="97"/>
        <v>430</v>
      </c>
      <c r="I316" s="112">
        <f>IF(H316="","",IF($I$8="A",(RANK(H316,H$11:H$355,1)+COUNTIF(H$11:H316,H316)-1),(RANK(H316,H$11:H$355)+COUNTIF(H$11:H316,H316)-1)))</f>
        <v>70</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430</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440</v>
      </c>
      <c r="G317" s="105"/>
      <c r="H317" s="60">
        <f t="shared" si="97"/>
        <v>440</v>
      </c>
      <c r="I317" s="112">
        <f>IF(H317="","",IF($I$8="A",(RANK(H317,H$11:H$355,1)+COUNTIF(H$11:H317,H317)-1),(RANK(H317,H$11:H$355)+COUNTIF(H$11:H317,H317)-1)))</f>
        <v>81</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440</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294.8</v>
      </c>
      <c r="G318" s="105"/>
      <c r="H318" s="60">
        <f t="shared" si="97"/>
        <v>294.8</v>
      </c>
      <c r="I318" s="112">
        <f>IF(H318="","",IF($I$8="A",(RANK(H318,H$11:H$355,1)+COUNTIF(H$11:H318,H318)-1),(RANK(H318,H$11:H$355)+COUNTIF(H$11:H318,H318)-1)))</f>
        <v>5</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294.8</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491.3</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491.3</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574.1</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574.1</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618.70000000000005</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618.70000000000005</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489.3</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489.3</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499.9</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499.9</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376.8</v>
      </c>
      <c r="G324" s="105"/>
      <c r="H324" s="60">
        <f t="shared" si="97"/>
        <v>376.8</v>
      </c>
      <c r="I324" s="112">
        <f>IF(H324="","",IF($I$8="A",(RANK(H324,H$11:H$355,1)+COUNTIF(H$11:H324,H324)-1),(RANK(H324,H$11:H$355)+COUNTIF(H$11:H324,H324)-1)))</f>
        <v>27</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376.8</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485.7</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485.7</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438.3</v>
      </c>
      <c r="G326" s="105"/>
      <c r="H326" s="60">
        <f t="shared" si="97"/>
        <v>438.3</v>
      </c>
      <c r="I326" s="112">
        <f>IF(H326="","",IF($I$8="A",(RANK(H326,H$11:H$355,1)+COUNTIF(H$11:H326,H326)-1),(RANK(H326,H$11:H$355)+COUNTIF(H$11:H326,H326)-1)))</f>
        <v>80</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438.3</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380.2</v>
      </c>
      <c r="G327" s="105"/>
      <c r="H327" s="60">
        <f t="shared" si="97"/>
        <v>380.2</v>
      </c>
      <c r="I327" s="112">
        <f>IF(H327="","",IF($I$8="A",(RANK(H327,H$11:H$355,1)+COUNTIF(H$11:H327,H327)-1),(RANK(H327,H$11:H$355)+COUNTIF(H$11:H327,H327)-1)))</f>
        <v>29</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380.2</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429.3</v>
      </c>
      <c r="G328" s="105"/>
      <c r="H328" s="60">
        <f t="shared" si="97"/>
        <v>429.3</v>
      </c>
      <c r="I328" s="112">
        <f>IF(H328="","",IF($I$8="A",(RANK(H328,H$11:H$355,1)+COUNTIF(H$11:H328,H328)-1),(RANK(H328,H$11:H$355)+COUNTIF(H$11:H328,H328)-1)))</f>
        <v>67</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429.3</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497.4</v>
      </c>
      <c r="G329" s="105"/>
      <c r="H329" s="60">
        <f t="shared" si="97"/>
        <v>497.4</v>
      </c>
      <c r="I329" s="112">
        <f>IF(H329="","",IF($I$8="A",(RANK(H329,H$11:H$355,1)+COUNTIF(H$11:H329,H329)-1),(RANK(H329,H$11:H$355)+COUNTIF(H$11:H329,H329)-1)))</f>
        <v>137</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497.4</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417.3</v>
      </c>
      <c r="G330" s="105"/>
      <c r="H330" s="60">
        <f t="shared" si="97"/>
        <v>417.3</v>
      </c>
      <c r="I330" s="112">
        <f>IF(H330="","",IF($I$8="A",(RANK(H330,H$11:H$355,1)+COUNTIF(H$11:H330,H330)-1),(RANK(H330,H$11:H$355)+COUNTIF(H$11:H330,H330)-1)))</f>
        <v>55</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417.3</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550.70000000000005</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550.70000000000005</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310.7</v>
      </c>
      <c r="G332" s="105"/>
      <c r="H332" s="60">
        <f t="shared" si="120"/>
        <v>310.7</v>
      </c>
      <c r="I332" s="112">
        <f>IF(H332="","",IF($I$8="A",(RANK(H332,H$11:H$355,1)+COUNTIF(H$11:H332,H332)-1),(RANK(H332,H$11:H$355)+COUNTIF(H$11:H332,H332)-1)))</f>
        <v>9</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310.7</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477.2</v>
      </c>
      <c r="G333" s="105"/>
      <c r="H333" s="60">
        <f t="shared" si="120"/>
        <v>477.2</v>
      </c>
      <c r="I333" s="112">
        <f>IF(H333="","",IF($I$8="A",(RANK(H333,H$11:H$355,1)+COUNTIF(H$11:H333,H333)-1),(RANK(H333,H$11:H$355)+COUNTIF(H$11:H333,H333)-1)))</f>
        <v>121</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477.2</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515.4</v>
      </c>
      <c r="G334" s="105"/>
      <c r="H334" s="60">
        <f t="shared" si="120"/>
        <v>515.4</v>
      </c>
      <c r="I334" s="112">
        <f>IF(H334="","",IF($I$8="A",(RANK(H334,H$11:H$355,1)+COUNTIF(H$11:H334,H334)-1),(RANK(H334,H$11:H$355)+COUNTIF(H$11:H334,H334)-1)))</f>
        <v>152</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515.4</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375.6</v>
      </c>
      <c r="G335" s="105"/>
      <c r="H335" s="60">
        <f t="shared" si="120"/>
        <v>375.6</v>
      </c>
      <c r="I335" s="112">
        <f>IF(H335="","",IF($I$8="A",(RANK(H335,H$11:H$355,1)+COUNTIF(H$11:H335,H335)-1),(RANK(H335,H$11:H$355)+COUNTIF(H$11:H335,H335)-1)))</f>
        <v>26</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375.6</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f t="shared" si="120"/>
        <v>0</v>
      </c>
      <c r="I336" s="112">
        <f>IF(H336="","",IF($I$8="A",(RANK(H336,H$11:H$355,1)+COUNTIF(H$11:H336,H336)-1),(RANK(H336,H$11:H$355)+COUNTIF(H$11:H336,H336)-1)))</f>
        <v>1</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462</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462</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553.70000000000005</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553.70000000000005</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430.4</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430.4</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555.1</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555.1</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449.2</v>
      </c>
      <c r="G342" s="105"/>
      <c r="H342" s="60">
        <f t="shared" si="120"/>
        <v>449.2</v>
      </c>
      <c r="I342" s="112">
        <f>IF(H342="","",IF($I$8="A",(RANK(H342,H$11:H$355,1)+COUNTIF(H$11:H342,H342)-1),(RANK(H342,H$11:H$355)+COUNTIF(H$11:H342,H342)-1)))</f>
        <v>86</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449.2</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546.9</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546.9</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539.79999999999995</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539.79999999999995</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387.4</v>
      </c>
      <c r="G345" s="105"/>
      <c r="H345" s="60">
        <f t="shared" si="120"/>
        <v>387.4</v>
      </c>
      <c r="I345" s="112">
        <f>IF(H345="","",IF($I$8="A",(RANK(H345,H$11:H$355,1)+COUNTIF(H$11:H345,H345)-1),(RANK(H345,H$11:H$355)+COUNTIF(H$11:H345,H345)-1)))</f>
        <v>33</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387.4</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508.2</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508.2</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588.4</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588.4</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430.6</v>
      </c>
      <c r="G348" s="105"/>
      <c r="H348" s="60">
        <f t="shared" si="120"/>
        <v>430.6</v>
      </c>
      <c r="I348" s="112">
        <f>IF(H348="","",IF($I$8="A",(RANK(H348,H$11:H$355,1)+COUNTIF(H$11:H348,H348)-1),(RANK(H348,H$11:H$355)+COUNTIF(H$11:H348,H348)-1)))</f>
        <v>71</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430.6</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579.29999999999995</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579.29999999999995</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442.3</v>
      </c>
      <c r="G350" s="105"/>
      <c r="H350" s="60">
        <f t="shared" si="120"/>
        <v>442.3</v>
      </c>
      <c r="I350" s="112">
        <f>IF(H350="","",IF($I$8="A",(RANK(H350,H$11:H$355,1)+COUNTIF(H$11:H350,H350)-1),(RANK(H350,H$11:H$355)+COUNTIF(H$11:H350,H350)-1)))</f>
        <v>83</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442.3</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466.4</v>
      </c>
      <c r="G351" s="105"/>
      <c r="H351" s="60">
        <f t="shared" si="120"/>
        <v>466.4</v>
      </c>
      <c r="I351" s="112">
        <f>IF(H351="","",IF($I$8="A",(RANK(H351,H$11:H$355,1)+COUNTIF(H$11:H351,H351)-1),(RANK(H351,H$11:H$355)+COUNTIF(H$11:H351,H351)-1)))</f>
        <v>112</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466.4</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f t="shared" si="119"/>
        <v>425.1</v>
      </c>
      <c r="G352" s="105"/>
      <c r="H352" s="60">
        <f t="shared" si="120"/>
        <v>425.1</v>
      </c>
      <c r="I352" s="112">
        <f>IF(H352="","",IF($I$8="A",(RANK(H352,H$11:H$355,1)+COUNTIF(H$11:H352,H352)-1),(RANK(H352,H$11:H$355)+COUNTIF(H$11:H352,H352)-1)))</f>
        <v>63</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425.1</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431.3</v>
      </c>
      <c r="G353" s="105"/>
      <c r="H353" s="60">
        <f t="shared" si="120"/>
        <v>431.3</v>
      </c>
      <c r="I353" s="112">
        <f>IF(H353="","",IF($I$8="A",(RANK(H353,H$11:H$355,1)+COUNTIF(H$11:H353,H353)-1),(RANK(H353,H$11:H$355)+COUNTIF(H$11:H353,H353)-1)))</f>
        <v>73</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431.3</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520.4</v>
      </c>
      <c r="G354" s="105"/>
      <c r="H354" s="60">
        <f t="shared" si="120"/>
        <v>520.4</v>
      </c>
      <c r="I354" s="112">
        <f>IF(H354="","",IF($I$8="A",(RANK(H354,H$11:H$355,1)+COUNTIF(H$11:H354,H354)-1),(RANK(H354,H$11:H$355)+COUNTIF(H$11:H354,H354)-1)))</f>
        <v>155</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520.4</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460.8</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460.8</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76" t="s">
        <v>892</v>
      </c>
      <c r="C2" t="s">
        <v>821</v>
      </c>
      <c r="D2" t="s">
        <v>821</v>
      </c>
      <c r="E2" t="s">
        <v>888</v>
      </c>
      <c r="F2" t="s">
        <v>896</v>
      </c>
      <c r="G2" t="s">
        <v>885</v>
      </c>
      <c r="H2" t="s">
        <v>886</v>
      </c>
      <c r="I2" t="s">
        <v>887</v>
      </c>
      <c r="J2" t="s">
        <v>890</v>
      </c>
      <c r="K2" t="s">
        <v>897</v>
      </c>
      <c r="L2" t="s">
        <v>898</v>
      </c>
      <c r="M2" t="s">
        <v>906</v>
      </c>
      <c r="N2" t="s">
        <v>909</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A7" sqref="A7:A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2"/>
      <c r="W3" s="372"/>
      <c r="X3" s="179"/>
      <c r="Y3" s="179"/>
    </row>
    <row r="4" spans="1:77" ht="60" customHeight="1">
      <c r="A4" s="370"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1"/>
      <c r="B5" s="188" t="s">
        <v>364</v>
      </c>
      <c r="C5" t="s">
        <v>896</v>
      </c>
      <c r="D5" t="s">
        <v>885</v>
      </c>
      <c r="E5" t="s">
        <v>886</v>
      </c>
      <c r="F5" t="s">
        <v>887</v>
      </c>
      <c r="G5" t="s">
        <v>890</v>
      </c>
      <c r="H5" t="s">
        <v>897</v>
      </c>
      <c r="I5" t="s">
        <v>898</v>
      </c>
      <c r="J5" t="s">
        <v>906</v>
      </c>
      <c r="K5" t="s">
        <v>909</v>
      </c>
      <c r="L5" t="s">
        <v>914</v>
      </c>
      <c r="M5" t="s">
        <v>896</v>
      </c>
      <c r="N5" t="s">
        <v>885</v>
      </c>
      <c r="O5" t="s">
        <v>886</v>
      </c>
      <c r="P5" t="s">
        <v>887</v>
      </c>
      <c r="Q5" t="s">
        <v>890</v>
      </c>
      <c r="R5" t="s">
        <v>897</v>
      </c>
      <c r="S5" t="s">
        <v>898</v>
      </c>
      <c r="T5" t="s">
        <v>906</v>
      </c>
      <c r="U5" t="s">
        <v>909</v>
      </c>
      <c r="V5" t="s">
        <v>914</v>
      </c>
      <c r="W5" t="s">
        <v>896</v>
      </c>
      <c r="X5" t="s">
        <v>885</v>
      </c>
      <c r="Y5" t="s">
        <v>886</v>
      </c>
      <c r="Z5" t="s">
        <v>887</v>
      </c>
      <c r="AA5" t="s">
        <v>890</v>
      </c>
      <c r="AB5" t="s">
        <v>897</v>
      </c>
      <c r="AC5" t="s">
        <v>898</v>
      </c>
      <c r="AD5" t="s">
        <v>906</v>
      </c>
      <c r="AE5" t="s">
        <v>909</v>
      </c>
      <c r="AF5" t="s">
        <v>914</v>
      </c>
      <c r="AG5" t="s">
        <v>896</v>
      </c>
      <c r="AH5" s="157" t="s">
        <v>885</v>
      </c>
      <c r="AI5" s="157" t="s">
        <v>886</v>
      </c>
      <c r="AJ5" s="157" t="s">
        <v>887</v>
      </c>
      <c r="AK5" s="157" t="s">
        <v>890</v>
      </c>
      <c r="AL5" s="157" t="s">
        <v>897</v>
      </c>
      <c r="AM5" s="157" t="s">
        <v>898</v>
      </c>
      <c r="AN5" s="157" t="s">
        <v>906</v>
      </c>
      <c r="AO5" s="157" t="s">
        <v>909</v>
      </c>
      <c r="AP5" s="164" t="s">
        <v>914</v>
      </c>
    </row>
    <row r="6" spans="1:77" ht="14.7" customHeight="1">
      <c r="A6" s="371"/>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214" t="s">
        <v>891</v>
      </c>
      <c r="AP6" s="214"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908</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908</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908</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908</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908</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908</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908</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s="278" t="s">
        <v>899</v>
      </c>
      <c r="D14" s="278" t="s">
        <v>899</v>
      </c>
      <c r="E14" s="278" t="s">
        <v>899</v>
      </c>
      <c r="F14" s="278" t="s">
        <v>899</v>
      </c>
      <c r="G14" s="278" t="s">
        <v>899</v>
      </c>
      <c r="H14" s="278" t="s">
        <v>899</v>
      </c>
      <c r="I14" s="278" t="s">
        <v>899</v>
      </c>
      <c r="J14" s="278" t="s">
        <v>899</v>
      </c>
      <c r="K14" s="278" t="s">
        <v>899</v>
      </c>
      <c r="L14" s="278" t="s">
        <v>899</v>
      </c>
      <c r="M14" s="278" t="s">
        <v>899</v>
      </c>
      <c r="N14" s="278" t="s">
        <v>899</v>
      </c>
      <c r="O14" s="278" t="s">
        <v>899</v>
      </c>
      <c r="P14" s="278" t="s">
        <v>899</v>
      </c>
      <c r="Q14" s="278" t="s">
        <v>899</v>
      </c>
      <c r="R14" s="278" t="s">
        <v>899</v>
      </c>
      <c r="S14" s="278" t="s">
        <v>899</v>
      </c>
      <c r="T14" s="278" t="s">
        <v>899</v>
      </c>
      <c r="U14" s="278" t="s">
        <v>899</v>
      </c>
      <c r="V14" s="278" t="s">
        <v>899</v>
      </c>
      <c r="W14" s="278" t="s">
        <v>899</v>
      </c>
      <c r="X14" s="278" t="s">
        <v>899</v>
      </c>
      <c r="Y14" s="278" t="s">
        <v>899</v>
      </c>
      <c r="Z14" s="278" t="s">
        <v>899</v>
      </c>
      <c r="AA14" s="278" t="s">
        <v>899</v>
      </c>
      <c r="AB14" s="278" t="s">
        <v>899</v>
      </c>
      <c r="AC14" s="278" t="s">
        <v>899</v>
      </c>
      <c r="AD14" s="278" t="s">
        <v>899</v>
      </c>
      <c r="AE14" s="278" t="s">
        <v>899</v>
      </c>
      <c r="AF14" s="278" t="s">
        <v>899</v>
      </c>
      <c r="AG14" s="278" t="s">
        <v>899</v>
      </c>
      <c r="AH14" s="278" t="s">
        <v>899</v>
      </c>
      <c r="AI14" s="278" t="s">
        <v>899</v>
      </c>
      <c r="AJ14" s="278" t="s">
        <v>899</v>
      </c>
      <c r="AK14" s="278" t="s">
        <v>899</v>
      </c>
      <c r="AL14" s="278"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908</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908</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908</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908</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908</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908</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908</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908</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908</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908</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908</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908</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908</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908</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908</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908</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908</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908</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908</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908</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s="278">
        <v>441.6</v>
      </c>
      <c r="J49" s="278">
        <v>450.2</v>
      </c>
      <c r="K49" s="278">
        <v>434.3</v>
      </c>
      <c r="L49" s="165">
        <v>374.6</v>
      </c>
      <c r="M49" s="165">
        <v>0.41099999999999998</v>
      </c>
      <c r="N49" s="179">
        <v>0.437</v>
      </c>
      <c r="O49">
        <v>0.60599999999999998</v>
      </c>
      <c r="P49">
        <v>0.60099999999999998</v>
      </c>
      <c r="Q49" s="279">
        <v>0.60399999999999998</v>
      </c>
      <c r="R49" s="278">
        <v>0.46300000000000002</v>
      </c>
      <c r="S49" s="278">
        <v>0.497</v>
      </c>
      <c r="T49" s="278">
        <v>0.48</v>
      </c>
      <c r="U49" s="198">
        <v>0.496</v>
      </c>
      <c r="V49" s="166">
        <v>0.55800000000000005</v>
      </c>
      <c r="W49" s="166">
        <v>0.53500000000000003</v>
      </c>
      <c r="X49" s="179">
        <v>0.49099999999999999</v>
      </c>
      <c r="Y49" s="179">
        <v>0.16400000000000001</v>
      </c>
      <c r="Z49" s="164">
        <v>0.17100000000000001</v>
      </c>
      <c r="AA49" s="278">
        <v>0.161</v>
      </c>
      <c r="AB49" s="278">
        <v>0.16700000000000001</v>
      </c>
      <c r="AC49" s="278">
        <v>6.2E-2</v>
      </c>
      <c r="AD49" s="157">
        <v>3.6999999999999998E-2</v>
      </c>
      <c r="AE49" s="157">
        <v>0.02</v>
      </c>
      <c r="AF49" s="157">
        <v>1.2999999999999999E-2</v>
      </c>
      <c r="AG49" s="157">
        <v>388.8</v>
      </c>
      <c r="AH49" s="157">
        <v>379.6</v>
      </c>
      <c r="AI49" s="157">
        <v>374.8</v>
      </c>
      <c r="AJ49" s="278">
        <v>382.4</v>
      </c>
      <c r="AK49" s="278">
        <v>382.5</v>
      </c>
      <c r="AL49" s="278">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908</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908</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908</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908</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908</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908</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908</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908</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908</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s="278">
        <v>446.9</v>
      </c>
      <c r="I64" s="278">
        <v>446.2</v>
      </c>
      <c r="J64" s="278">
        <v>427.4</v>
      </c>
      <c r="K64" s="278">
        <v>434.6</v>
      </c>
      <c r="L64" s="165">
        <v>463.1</v>
      </c>
      <c r="M64" s="165">
        <v>0.39600000000000002</v>
      </c>
      <c r="N64" s="179">
        <v>0.39800000000000002</v>
      </c>
      <c r="O64">
        <v>0.40400000000000003</v>
      </c>
      <c r="P64">
        <v>0.41499999999999998</v>
      </c>
      <c r="Q64" s="278">
        <v>0.42299999999999999</v>
      </c>
      <c r="R64" s="278">
        <v>0.45500000000000002</v>
      </c>
      <c r="S64" s="278">
        <v>0.46</v>
      </c>
      <c r="T64" s="278">
        <v>0.46300000000000002</v>
      </c>
      <c r="U64" s="198">
        <v>0.441</v>
      </c>
      <c r="V64" s="166">
        <v>0.434</v>
      </c>
      <c r="W64" s="166" t="s">
        <v>899</v>
      </c>
      <c r="X64" s="179" t="s">
        <v>899</v>
      </c>
      <c r="Y64" s="179" t="s">
        <v>899</v>
      </c>
      <c r="Z64" s="278" t="s">
        <v>899</v>
      </c>
      <c r="AA64" s="278" t="s">
        <v>899</v>
      </c>
      <c r="AB64" s="278" t="s">
        <v>899</v>
      </c>
      <c r="AC64" s="278" t="s">
        <v>899</v>
      </c>
      <c r="AD64" s="157" t="s">
        <v>899</v>
      </c>
      <c r="AE64" s="157" t="s">
        <v>908</v>
      </c>
      <c r="AF64" s="157">
        <v>0</v>
      </c>
      <c r="AG64" s="157">
        <v>413</v>
      </c>
      <c r="AH64" s="157">
        <v>399.4</v>
      </c>
      <c r="AI64" s="278">
        <v>384.3</v>
      </c>
      <c r="AJ64" s="278">
        <v>392.3</v>
      </c>
      <c r="AK64" s="278">
        <v>392.6</v>
      </c>
      <c r="AL64" s="278">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908</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s="278">
        <v>456.6</v>
      </c>
      <c r="D66" s="278">
        <v>446.3</v>
      </c>
      <c r="E66" s="278">
        <v>448.1</v>
      </c>
      <c r="F66" s="278">
        <v>382.8</v>
      </c>
      <c r="G66" s="278">
        <v>380.6</v>
      </c>
      <c r="H66" s="278" t="s">
        <v>899</v>
      </c>
      <c r="I66" s="278" t="s">
        <v>899</v>
      </c>
      <c r="J66" s="278" t="s">
        <v>899</v>
      </c>
      <c r="K66" s="278" t="s">
        <v>899</v>
      </c>
      <c r="L66" s="278" t="s">
        <v>899</v>
      </c>
      <c r="M66" s="278">
        <v>0.47</v>
      </c>
      <c r="N66" s="278">
        <v>0.47199999999999998</v>
      </c>
      <c r="O66" s="278">
        <v>0.45400000000000001</v>
      </c>
      <c r="P66" s="278">
        <v>0.53300000000000003</v>
      </c>
      <c r="Q66" s="278">
        <v>0.57399999999999995</v>
      </c>
      <c r="R66" s="278" t="s">
        <v>899</v>
      </c>
      <c r="S66" s="278" t="s">
        <v>899</v>
      </c>
      <c r="T66" s="278" t="s">
        <v>899</v>
      </c>
      <c r="U66" s="278" t="s">
        <v>899</v>
      </c>
      <c r="V66" s="278" t="s">
        <v>899</v>
      </c>
      <c r="W66" s="278" t="s">
        <v>899</v>
      </c>
      <c r="X66" s="278" t="s">
        <v>899</v>
      </c>
      <c r="Y66" s="278" t="s">
        <v>899</v>
      </c>
      <c r="Z66" s="278" t="s">
        <v>899</v>
      </c>
      <c r="AA66" s="278" t="s">
        <v>899</v>
      </c>
      <c r="AB66" s="278" t="s">
        <v>899</v>
      </c>
      <c r="AC66" s="278" t="s">
        <v>899</v>
      </c>
      <c r="AD66" s="278" t="s">
        <v>899</v>
      </c>
      <c r="AE66" s="278" t="s">
        <v>899</v>
      </c>
      <c r="AF66" s="278" t="s">
        <v>899</v>
      </c>
      <c r="AG66" s="278">
        <v>363.5</v>
      </c>
      <c r="AH66" s="278">
        <v>355.8</v>
      </c>
      <c r="AI66" s="278">
        <v>342.1</v>
      </c>
      <c r="AJ66" s="278">
        <v>341.6</v>
      </c>
      <c r="AK66" s="278">
        <v>370.7</v>
      </c>
      <c r="AL66" s="278"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908</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908</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908</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908</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908</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908</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908</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908</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908</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908</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908</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s="278">
        <v>532.20000000000005</v>
      </c>
      <c r="D90" s="278">
        <v>411.1</v>
      </c>
      <c r="E90" s="278">
        <v>339.1</v>
      </c>
      <c r="F90" s="278">
        <v>364.6</v>
      </c>
      <c r="G90" s="278">
        <v>373.7</v>
      </c>
      <c r="H90" s="278">
        <v>394.4</v>
      </c>
      <c r="I90" s="278">
        <v>374.8</v>
      </c>
      <c r="J90" s="278">
        <v>343.6</v>
      </c>
      <c r="K90" s="278">
        <v>354.4</v>
      </c>
      <c r="L90" s="278">
        <v>356.5</v>
      </c>
      <c r="M90" s="278">
        <v>0.31900000000000001</v>
      </c>
      <c r="N90" s="278">
        <v>0.41499999999999998</v>
      </c>
      <c r="O90" s="278">
        <v>0.45400000000000001</v>
      </c>
      <c r="P90" s="278">
        <v>0.442</v>
      </c>
      <c r="Q90" s="278">
        <v>0.42399999999999999</v>
      </c>
      <c r="R90" s="278">
        <v>0.41699999999999998</v>
      </c>
      <c r="S90" s="278">
        <v>0.44700000000000001</v>
      </c>
      <c r="T90" s="278">
        <v>0.47299999999999998</v>
      </c>
      <c r="U90" s="278">
        <v>0.47</v>
      </c>
      <c r="V90" s="278">
        <v>0.47099999999999997</v>
      </c>
      <c r="W90" s="278" t="s">
        <v>899</v>
      </c>
      <c r="X90" s="278" t="s">
        <v>899</v>
      </c>
      <c r="Y90" s="278" t="s">
        <v>899</v>
      </c>
      <c r="Z90" s="278" t="s">
        <v>899</v>
      </c>
      <c r="AA90" s="278" t="s">
        <v>899</v>
      </c>
      <c r="AB90" s="278" t="s">
        <v>899</v>
      </c>
      <c r="AC90" s="278" t="s">
        <v>899</v>
      </c>
      <c r="AD90" s="278" t="s">
        <v>899</v>
      </c>
      <c r="AE90" s="278" t="s">
        <v>908</v>
      </c>
      <c r="AF90" s="278">
        <v>0</v>
      </c>
      <c r="AG90" s="278">
        <v>367.5</v>
      </c>
      <c r="AH90" s="278">
        <v>331.2</v>
      </c>
      <c r="AI90" s="278">
        <v>280.89999999999998</v>
      </c>
      <c r="AJ90" s="278">
        <v>295.60000000000002</v>
      </c>
      <c r="AK90" s="278">
        <v>293</v>
      </c>
      <c r="AL90" s="278">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908</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908</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908</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908</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908</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908</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908</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908</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908</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908</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908</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908</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908</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908</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908</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908</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908</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908</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908</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908</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908</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908</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908</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908</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908</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908</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908</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908</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908</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908</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908</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908</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908</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908</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908</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908</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908</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908</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908</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908</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908</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908</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908</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908</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908</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908</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908</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908</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908</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908</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908</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908</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s="278">
        <v>626.20000000000005</v>
      </c>
      <c r="D162" s="278">
        <v>610.70000000000005</v>
      </c>
      <c r="E162" s="278">
        <v>607.6</v>
      </c>
      <c r="F162" s="278">
        <v>647.6</v>
      </c>
      <c r="G162" s="278">
        <v>683</v>
      </c>
      <c r="H162" s="278">
        <v>681.1</v>
      </c>
      <c r="I162" s="278">
        <v>638</v>
      </c>
      <c r="J162" s="278">
        <v>632.70000000000005</v>
      </c>
      <c r="K162" s="278">
        <v>643.70000000000005</v>
      </c>
      <c r="L162" s="278">
        <v>630</v>
      </c>
      <c r="M162" s="278">
        <v>0.34</v>
      </c>
      <c r="N162" s="278">
        <v>0.34</v>
      </c>
      <c r="O162" s="278">
        <v>0.32600000000000001</v>
      </c>
      <c r="P162" s="278">
        <v>0.309</v>
      </c>
      <c r="Q162" s="278">
        <v>0.27600000000000002</v>
      </c>
      <c r="R162" s="278">
        <v>0.28499999999999998</v>
      </c>
      <c r="S162" s="278">
        <v>0.30099999999999999</v>
      </c>
      <c r="T162" s="278">
        <v>0.27200000000000002</v>
      </c>
      <c r="U162" s="278">
        <v>0.24299999999999999</v>
      </c>
      <c r="V162" s="278">
        <v>0.26700000000000002</v>
      </c>
      <c r="W162" s="278">
        <v>4.5999999999999999E-2</v>
      </c>
      <c r="X162" s="278">
        <v>4.9000000000000002E-2</v>
      </c>
      <c r="Y162" s="278">
        <v>5.3999999999999999E-2</v>
      </c>
      <c r="Z162" s="278">
        <v>6.9000000000000006E-2</v>
      </c>
      <c r="AA162" s="278">
        <v>9.8000000000000004E-2</v>
      </c>
      <c r="AB162" s="278">
        <v>0.112</v>
      </c>
      <c r="AC162" s="278">
        <v>5.8999999999999997E-2</v>
      </c>
      <c r="AD162" s="278">
        <v>2.9000000000000001E-2</v>
      </c>
      <c r="AE162" s="278">
        <v>8.4000000000000005E-2</v>
      </c>
      <c r="AF162" s="278">
        <v>3.1E-2</v>
      </c>
      <c r="AG162" s="278">
        <v>420.9</v>
      </c>
      <c r="AH162" s="278">
        <v>405.3</v>
      </c>
      <c r="AI162" s="278">
        <v>383.5</v>
      </c>
      <c r="AJ162" s="278">
        <v>398.1</v>
      </c>
      <c r="AK162" s="278">
        <v>400</v>
      </c>
      <c r="AL162" s="278">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908</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908</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908</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908</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s="278">
        <v>616.29999999999995</v>
      </c>
      <c r="K171" s="278">
        <v>546.20000000000005</v>
      </c>
      <c r="L171" s="165">
        <v>557.29999999999995</v>
      </c>
      <c r="M171" s="165">
        <v>0.18099999999999999</v>
      </c>
      <c r="N171" s="179">
        <v>0.17199999999999999</v>
      </c>
      <c r="O171">
        <v>0.2</v>
      </c>
      <c r="P171">
        <v>0.17699999999999999</v>
      </c>
      <c r="Q171" s="199">
        <v>0.17100000000000001</v>
      </c>
      <c r="R171" s="165">
        <v>0.18</v>
      </c>
      <c r="S171" s="278">
        <v>0.17699999999999999</v>
      </c>
      <c r="T171" s="278">
        <v>0.218</v>
      </c>
      <c r="U171" s="198">
        <v>0.28000000000000003</v>
      </c>
      <c r="V171" s="166">
        <v>0.26600000000000001</v>
      </c>
      <c r="W171" s="166">
        <v>9.7000000000000003E-2</v>
      </c>
      <c r="X171" s="179">
        <v>9.4E-2</v>
      </c>
      <c r="Y171" s="179">
        <v>8.5999999999999993E-2</v>
      </c>
      <c r="Z171" s="164">
        <v>7.9000000000000001E-2</v>
      </c>
      <c r="AA171" s="157">
        <v>3.0000000000000001E-3</v>
      </c>
      <c r="AB171" s="278">
        <v>6.0000000000000001E-3</v>
      </c>
      <c r="AC171" s="278">
        <v>7.0000000000000001E-3</v>
      </c>
      <c r="AD171" s="157">
        <v>4.0000000000000001E-3</v>
      </c>
      <c r="AE171" s="157">
        <v>3.0000000000000001E-3</v>
      </c>
      <c r="AF171" s="157">
        <v>0</v>
      </c>
      <c r="AG171" s="157">
        <v>419.6</v>
      </c>
      <c r="AH171" s="157">
        <v>410.1</v>
      </c>
      <c r="AI171" s="157">
        <v>396.5</v>
      </c>
      <c r="AJ171" s="157">
        <v>377</v>
      </c>
      <c r="AK171" s="278">
        <v>373.5</v>
      </c>
      <c r="AL171" s="278">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908</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908</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s="278">
        <v>561.9</v>
      </c>
      <c r="J174">
        <v>578</v>
      </c>
      <c r="K174" s="279">
        <v>585.1</v>
      </c>
      <c r="L174" s="165">
        <v>568.20000000000005</v>
      </c>
      <c r="M174" s="165">
        <v>0.52900000000000003</v>
      </c>
      <c r="N174" s="179">
        <v>0.52800000000000002</v>
      </c>
      <c r="O174">
        <v>0.51300000000000001</v>
      </c>
      <c r="P174">
        <v>0.496</v>
      </c>
      <c r="Q174" s="199">
        <v>0.496</v>
      </c>
      <c r="R174" s="278">
        <v>0.47</v>
      </c>
      <c r="S174" s="165">
        <v>0.46700000000000003</v>
      </c>
      <c r="T174" s="165">
        <v>0.435</v>
      </c>
      <c r="U174" s="198">
        <v>0.41899999999999998</v>
      </c>
      <c r="V174" s="166">
        <v>0.438</v>
      </c>
      <c r="W174" s="166">
        <v>0.46800000000000003</v>
      </c>
      <c r="X174" s="179">
        <v>0.46400000000000002</v>
      </c>
      <c r="Y174" s="179">
        <v>0.47099999999999997</v>
      </c>
      <c r="Z174" s="157">
        <v>0.252</v>
      </c>
      <c r="AA174" s="278">
        <v>4.1000000000000002E-2</v>
      </c>
      <c r="AB174" s="157">
        <v>3.5999999999999997E-2</v>
      </c>
      <c r="AC174" s="157">
        <v>0.04</v>
      </c>
      <c r="AD174" s="157">
        <v>3.7999999999999999E-2</v>
      </c>
      <c r="AE174" s="157">
        <v>4.1000000000000002E-2</v>
      </c>
      <c r="AF174" s="157">
        <v>3.2000000000000001E-2</v>
      </c>
      <c r="AG174" s="157">
        <v>491.9</v>
      </c>
      <c r="AH174" s="157">
        <v>477.4</v>
      </c>
      <c r="AI174" s="157">
        <v>467.4</v>
      </c>
      <c r="AJ174" s="278">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908</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908</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908</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908</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908</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908</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908</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s="278">
        <v>559.5</v>
      </c>
      <c r="D185" s="278">
        <v>534</v>
      </c>
      <c r="E185" s="278">
        <v>502.6</v>
      </c>
      <c r="F185" s="278">
        <v>503.7</v>
      </c>
      <c r="G185" s="278">
        <v>548.9</v>
      </c>
      <c r="H185" s="278">
        <v>578</v>
      </c>
      <c r="I185" s="278">
        <v>577.79999999999995</v>
      </c>
      <c r="J185" s="278">
        <v>532.70000000000005</v>
      </c>
      <c r="K185" s="278">
        <v>510.5</v>
      </c>
      <c r="L185" s="278">
        <v>468.8</v>
      </c>
      <c r="M185" s="278">
        <v>0.36399999999999999</v>
      </c>
      <c r="N185" s="278">
        <v>0.373</v>
      </c>
      <c r="O185" s="278">
        <v>0.38900000000000001</v>
      </c>
      <c r="P185" s="278">
        <v>0.38900000000000001</v>
      </c>
      <c r="Q185" s="278">
        <v>0.375</v>
      </c>
      <c r="R185" s="278">
        <v>0.34799999999999998</v>
      </c>
      <c r="S185" s="278">
        <v>0.35699999999999998</v>
      </c>
      <c r="T185" s="278">
        <v>0.37</v>
      </c>
      <c r="U185" s="278">
        <v>0.38500000000000001</v>
      </c>
      <c r="V185" s="278">
        <v>0.42199999999999999</v>
      </c>
      <c r="W185" s="278">
        <v>0.61699999999999999</v>
      </c>
      <c r="X185" s="278">
        <v>0.55700000000000005</v>
      </c>
      <c r="Y185" s="278">
        <v>0.501</v>
      </c>
      <c r="Z185" s="278">
        <v>0.52400000000000002</v>
      </c>
      <c r="AA185" s="278">
        <v>0.55700000000000005</v>
      </c>
      <c r="AB185" s="278">
        <v>0.63100000000000001</v>
      </c>
      <c r="AC185" s="278">
        <v>0.56200000000000006</v>
      </c>
      <c r="AD185" s="278">
        <v>0.56799999999999995</v>
      </c>
      <c r="AE185" s="278">
        <v>0.35299999999999998</v>
      </c>
      <c r="AF185" s="278">
        <v>0.10299999999999999</v>
      </c>
      <c r="AG185" s="278">
        <v>353.3</v>
      </c>
      <c r="AH185" s="278">
        <v>332.2</v>
      </c>
      <c r="AI185" s="278">
        <v>335.8</v>
      </c>
      <c r="AJ185" s="278">
        <v>335.7</v>
      </c>
      <c r="AK185" s="278">
        <v>356.3</v>
      </c>
      <c r="AL185" s="278">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908</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908</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908</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908</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908</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908</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908</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908</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908</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908</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908</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908</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908</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908</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908</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s="278">
        <v>505.8</v>
      </c>
      <c r="D210" s="278">
        <v>492.2</v>
      </c>
      <c r="E210" s="278">
        <v>489.3</v>
      </c>
      <c r="F210" s="278">
        <v>476.2</v>
      </c>
      <c r="G210" s="278">
        <v>489.4</v>
      </c>
      <c r="H210" s="278">
        <v>497.5</v>
      </c>
      <c r="I210" s="278">
        <v>502.4</v>
      </c>
      <c r="J210" s="278">
        <v>501.5</v>
      </c>
      <c r="K210" s="278">
        <v>515.5</v>
      </c>
      <c r="L210" s="278">
        <v>489.9</v>
      </c>
      <c r="M210" s="278">
        <v>0.38300000000000001</v>
      </c>
      <c r="N210" s="278">
        <v>0.41599999999999998</v>
      </c>
      <c r="O210" s="278">
        <v>0.443</v>
      </c>
      <c r="P210" s="278">
        <v>0.42099999999999999</v>
      </c>
      <c r="Q210" s="278">
        <v>0.41599999999999998</v>
      </c>
      <c r="R210" s="278">
        <v>0.40300000000000002</v>
      </c>
      <c r="S210" s="278">
        <v>0.41499999999999998</v>
      </c>
      <c r="T210" s="278">
        <v>0.39900000000000002</v>
      </c>
      <c r="U210" s="278">
        <v>0.39300000000000002</v>
      </c>
      <c r="V210" s="278">
        <v>0.40200000000000002</v>
      </c>
      <c r="W210" s="278" t="s">
        <v>899</v>
      </c>
      <c r="X210" s="278" t="s">
        <v>899</v>
      </c>
      <c r="Y210" s="278" t="s">
        <v>899</v>
      </c>
      <c r="Z210" s="278" t="s">
        <v>899</v>
      </c>
      <c r="AA210" s="278" t="s">
        <v>899</v>
      </c>
      <c r="AB210" s="278" t="s">
        <v>899</v>
      </c>
      <c r="AC210" s="278" t="s">
        <v>899</v>
      </c>
      <c r="AD210" s="278" t="s">
        <v>899</v>
      </c>
      <c r="AE210" s="278" t="s">
        <v>908</v>
      </c>
      <c r="AF210" s="278">
        <v>0</v>
      </c>
      <c r="AG210" s="278">
        <v>368.4</v>
      </c>
      <c r="AH210" s="278">
        <v>366.6</v>
      </c>
      <c r="AI210" s="278">
        <v>383.2</v>
      </c>
      <c r="AJ210" s="278">
        <v>357.5</v>
      </c>
      <c r="AK210" s="278">
        <v>362.4</v>
      </c>
      <c r="AL210" s="278">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908</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908</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908</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908</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908</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908</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908</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908</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908</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908</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908</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908</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s="278">
        <v>485.3</v>
      </c>
      <c r="K233" s="278">
        <v>467.1</v>
      </c>
      <c r="L233" s="196">
        <v>484.5</v>
      </c>
      <c r="M233" s="196">
        <v>0.41699999999999998</v>
      </c>
      <c r="N233" s="179">
        <v>0.432</v>
      </c>
      <c r="O233">
        <v>0.41599999999999998</v>
      </c>
      <c r="P233">
        <v>0.41399999999999998</v>
      </c>
      <c r="Q233" s="198">
        <v>0.377</v>
      </c>
      <c r="R233" s="196">
        <v>0.52400000000000002</v>
      </c>
      <c r="S233" s="278">
        <v>0.41299999999999998</v>
      </c>
      <c r="T233" s="278">
        <v>0.377</v>
      </c>
      <c r="U233" s="198">
        <v>0.39200000000000002</v>
      </c>
      <c r="V233" s="166">
        <v>0.38200000000000001</v>
      </c>
      <c r="W233" s="166" t="s">
        <v>899</v>
      </c>
      <c r="X233" s="179" t="s">
        <v>899</v>
      </c>
      <c r="Y233" s="179" t="s">
        <v>899</v>
      </c>
      <c r="Z233" s="164" t="s">
        <v>899</v>
      </c>
      <c r="AA233" s="157" t="s">
        <v>899</v>
      </c>
      <c r="AB233" s="278" t="s">
        <v>899</v>
      </c>
      <c r="AC233" s="278" t="s">
        <v>899</v>
      </c>
      <c r="AD233" s="157" t="s">
        <v>899</v>
      </c>
      <c r="AE233" s="157" t="s">
        <v>908</v>
      </c>
      <c r="AF233" s="157">
        <v>0</v>
      </c>
      <c r="AG233" s="157">
        <v>379.7</v>
      </c>
      <c r="AH233" s="157">
        <v>367.6</v>
      </c>
      <c r="AI233" s="157">
        <v>356.6</v>
      </c>
      <c r="AJ233" s="157">
        <v>354.1</v>
      </c>
      <c r="AK233" s="278">
        <v>340.4</v>
      </c>
      <c r="AL233" s="278">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908</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908</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908</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908</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908</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908</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908</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908</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s="278">
        <v>508.7</v>
      </c>
      <c r="J243" s="278">
        <v>505.1</v>
      </c>
      <c r="K243" s="278">
        <v>505.5</v>
      </c>
      <c r="L243" s="165">
        <v>504.9</v>
      </c>
      <c r="M243" s="165">
        <v>0.56799999999999995</v>
      </c>
      <c r="N243" s="179">
        <v>0.61299999999999999</v>
      </c>
      <c r="O243">
        <v>0.59799999999999998</v>
      </c>
      <c r="P243">
        <v>0.6</v>
      </c>
      <c r="Q243" s="279">
        <v>0.59099999999999997</v>
      </c>
      <c r="R243" s="278">
        <v>0.58099999999999996</v>
      </c>
      <c r="S243" s="278">
        <v>0.59299999999999997</v>
      </c>
      <c r="T243" s="278">
        <v>0.57799999999999996</v>
      </c>
      <c r="U243" s="198">
        <v>0.56000000000000005</v>
      </c>
      <c r="V243" s="166">
        <v>0.56399999999999995</v>
      </c>
      <c r="W243" s="166">
        <v>0.40799999999999997</v>
      </c>
      <c r="X243" s="179">
        <v>0.36099999999999999</v>
      </c>
      <c r="Y243" s="179">
        <v>0.36599999999999999</v>
      </c>
      <c r="Z243" s="157">
        <v>0.36299999999999999</v>
      </c>
      <c r="AA243" s="278">
        <v>0</v>
      </c>
      <c r="AB243" s="278">
        <v>1E-3</v>
      </c>
      <c r="AC243" s="278">
        <v>1E-3</v>
      </c>
      <c r="AD243" s="157">
        <v>0</v>
      </c>
      <c r="AE243" s="157">
        <v>0</v>
      </c>
      <c r="AF243" s="157">
        <v>0</v>
      </c>
      <c r="AG243" s="157">
        <v>504.9</v>
      </c>
      <c r="AH243" s="157">
        <v>480</v>
      </c>
      <c r="AI243" s="157">
        <v>502.6</v>
      </c>
      <c r="AJ243" s="278">
        <v>523</v>
      </c>
      <c r="AK243" s="278">
        <v>523</v>
      </c>
      <c r="AL243" s="278">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908</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908</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908</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908</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908</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908</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s="278">
        <v>767.4</v>
      </c>
      <c r="K254" s="278">
        <v>756.3</v>
      </c>
      <c r="L254" s="165">
        <v>732.6</v>
      </c>
      <c r="M254" s="165">
        <v>0.314</v>
      </c>
      <c r="N254" s="179">
        <v>0.307</v>
      </c>
      <c r="O254">
        <v>0.29899999999999999</v>
      </c>
      <c r="P254">
        <v>0.29399999999999998</v>
      </c>
      <c r="Q254" s="199">
        <v>0.29199999999999998</v>
      </c>
      <c r="R254" s="165">
        <v>0.26800000000000002</v>
      </c>
      <c r="S254" s="278">
        <v>0.26300000000000001</v>
      </c>
      <c r="T254" s="278">
        <v>0.23899999999999999</v>
      </c>
      <c r="U254" s="198">
        <v>0.23300000000000001</v>
      </c>
      <c r="V254" s="166">
        <v>0.24</v>
      </c>
      <c r="W254" s="166">
        <v>7.0999999999999994E-2</v>
      </c>
      <c r="X254" s="179">
        <v>6.4000000000000001E-2</v>
      </c>
      <c r="Y254" s="179">
        <v>9.9000000000000005E-2</v>
      </c>
      <c r="Z254" s="164">
        <v>5.8000000000000003E-2</v>
      </c>
      <c r="AA254" s="157">
        <v>6.2E-2</v>
      </c>
      <c r="AB254" s="278">
        <v>8.0000000000000002E-3</v>
      </c>
      <c r="AC254" s="278">
        <v>2.4E-2</v>
      </c>
      <c r="AD254" s="157">
        <v>0.03</v>
      </c>
      <c r="AE254" s="157">
        <v>0</v>
      </c>
      <c r="AF254" s="157">
        <v>8.9999999999999993E-3</v>
      </c>
      <c r="AG254" s="157">
        <v>420.4</v>
      </c>
      <c r="AH254" s="157">
        <v>383.8</v>
      </c>
      <c r="AI254" s="157">
        <v>338.1</v>
      </c>
      <c r="AJ254" s="157">
        <v>351</v>
      </c>
      <c r="AK254" s="278">
        <v>361.1</v>
      </c>
      <c r="AL254" s="278">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908</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908</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908</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908</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908</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908</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908</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908</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908</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908</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908</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908</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908</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908</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908</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s="278">
        <v>522.20000000000005</v>
      </c>
      <c r="K281" s="278">
        <v>497.7</v>
      </c>
      <c r="L281" s="165">
        <v>492.9</v>
      </c>
      <c r="M281" s="165">
        <v>0.39100000000000001</v>
      </c>
      <c r="N281" s="179">
        <v>0.4</v>
      </c>
      <c r="O281">
        <v>0.36799999999999999</v>
      </c>
      <c r="P281">
        <v>0.374</v>
      </c>
      <c r="Q281" s="199">
        <v>0.38200000000000001</v>
      </c>
      <c r="R281" s="165">
        <v>0.39400000000000002</v>
      </c>
      <c r="S281" s="278">
        <v>0.39800000000000002</v>
      </c>
      <c r="T281" s="278">
        <v>0.38300000000000001</v>
      </c>
      <c r="U281" s="198">
        <v>0.4</v>
      </c>
      <c r="V281" s="166">
        <v>0.39500000000000002</v>
      </c>
      <c r="W281" s="166" t="s">
        <v>899</v>
      </c>
      <c r="X281" s="179" t="s">
        <v>899</v>
      </c>
      <c r="Y281" s="179" t="s">
        <v>899</v>
      </c>
      <c r="Z281" s="164" t="s">
        <v>899</v>
      </c>
      <c r="AA281" s="157" t="s">
        <v>899</v>
      </c>
      <c r="AB281" s="278" t="s">
        <v>899</v>
      </c>
      <c r="AC281" s="278" t="s">
        <v>899</v>
      </c>
      <c r="AD281" s="157" t="s">
        <v>899</v>
      </c>
      <c r="AE281" s="157" t="s">
        <v>908</v>
      </c>
      <c r="AF281" s="157">
        <v>0</v>
      </c>
      <c r="AG281" s="157">
        <v>382.7</v>
      </c>
      <c r="AH281" s="157">
        <v>369.8</v>
      </c>
      <c r="AI281" s="157">
        <v>357.9</v>
      </c>
      <c r="AJ281" s="157">
        <v>363.8</v>
      </c>
      <c r="AK281" s="278">
        <v>375.9</v>
      </c>
      <c r="AL281" s="278">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908</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908</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908</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908</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908</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908</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908</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908</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908</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908</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908</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908</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908</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908</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908</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908</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908</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908</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s="278">
        <v>379.3</v>
      </c>
      <c r="D312" s="278">
        <v>386</v>
      </c>
      <c r="E312" s="278">
        <v>366.6</v>
      </c>
      <c r="F312" s="278">
        <v>379</v>
      </c>
      <c r="G312" s="278">
        <v>426.5</v>
      </c>
      <c r="H312" s="278">
        <v>421.2</v>
      </c>
      <c r="I312" s="278">
        <v>415.8</v>
      </c>
      <c r="J312" s="278">
        <v>456.2</v>
      </c>
      <c r="K312" s="278">
        <v>476.6</v>
      </c>
      <c r="L312" s="278">
        <v>440</v>
      </c>
      <c r="M312" s="278">
        <v>0.55200000000000005</v>
      </c>
      <c r="N312" s="278">
        <v>0.54500000000000004</v>
      </c>
      <c r="O312" s="278">
        <v>0.55500000000000005</v>
      </c>
      <c r="P312" s="278">
        <v>0.53700000000000003</v>
      </c>
      <c r="Q312" s="278">
        <v>0.503</v>
      </c>
      <c r="R312" s="278">
        <v>0.502</v>
      </c>
      <c r="S312" s="278">
        <v>0.51500000000000001</v>
      </c>
      <c r="T312" s="278">
        <v>0.48599999999999999</v>
      </c>
      <c r="U312" s="278">
        <v>0.47099999999999997</v>
      </c>
      <c r="V312" s="278">
        <v>0.47899999999999998</v>
      </c>
      <c r="W312" s="278" t="s">
        <v>899</v>
      </c>
      <c r="X312" s="278" t="s">
        <v>899</v>
      </c>
      <c r="Y312" s="278" t="s">
        <v>899</v>
      </c>
      <c r="Z312" s="278" t="s">
        <v>899</v>
      </c>
      <c r="AA312" s="278" t="s">
        <v>899</v>
      </c>
      <c r="AB312" s="278" t="s">
        <v>899</v>
      </c>
      <c r="AC312" s="278" t="s">
        <v>899</v>
      </c>
      <c r="AD312" s="278" t="s">
        <v>899</v>
      </c>
      <c r="AE312" s="278" t="s">
        <v>908</v>
      </c>
      <c r="AF312" s="278">
        <v>0</v>
      </c>
      <c r="AG312" s="278">
        <v>377.1</v>
      </c>
      <c r="AH312" s="278">
        <v>362.3</v>
      </c>
      <c r="AI312" s="278">
        <v>345.8</v>
      </c>
      <c r="AJ312" s="278">
        <v>342.7</v>
      </c>
      <c r="AK312" s="278">
        <v>356</v>
      </c>
      <c r="AL312" s="278">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908</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s="278">
        <v>647.4</v>
      </c>
      <c r="K316" s="278">
        <v>637.4</v>
      </c>
      <c r="L316" s="165">
        <v>618.70000000000005</v>
      </c>
      <c r="M316" s="165">
        <v>0.27300000000000002</v>
      </c>
      <c r="N316" s="179">
        <v>0.27100000000000002</v>
      </c>
      <c r="O316">
        <v>0.308</v>
      </c>
      <c r="P316">
        <v>0.32600000000000001</v>
      </c>
      <c r="Q316" s="199">
        <v>0.35499999999999998</v>
      </c>
      <c r="R316" s="165">
        <v>0.34599999999999997</v>
      </c>
      <c r="S316" s="278">
        <v>0.34399999999999997</v>
      </c>
      <c r="T316" s="278">
        <v>0.32500000000000001</v>
      </c>
      <c r="U316" s="198">
        <v>0.316</v>
      </c>
      <c r="V316" s="166">
        <v>0.32300000000000001</v>
      </c>
      <c r="W316" s="166" t="s">
        <v>899</v>
      </c>
      <c r="X316" s="179" t="s">
        <v>899</v>
      </c>
      <c r="Y316" s="179" t="s">
        <v>899</v>
      </c>
      <c r="Z316" s="164" t="s">
        <v>899</v>
      </c>
      <c r="AA316" s="157" t="s">
        <v>899</v>
      </c>
      <c r="AB316" s="157" t="s">
        <v>899</v>
      </c>
      <c r="AC316" s="157" t="s">
        <v>899</v>
      </c>
      <c r="AD316" s="157" t="s">
        <v>899</v>
      </c>
      <c r="AE316" s="157" t="s">
        <v>908</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908</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s="278">
        <v>605.5</v>
      </c>
      <c r="D318" s="278">
        <v>589.20000000000005</v>
      </c>
      <c r="E318" s="278">
        <v>580.4</v>
      </c>
      <c r="F318" s="278">
        <v>496.9</v>
      </c>
      <c r="G318" s="278">
        <v>491.3</v>
      </c>
      <c r="H318" s="278">
        <v>482.3</v>
      </c>
      <c r="I318" s="278">
        <v>454.8</v>
      </c>
      <c r="J318" s="278">
        <v>544.29999999999995</v>
      </c>
      <c r="K318" s="278">
        <v>522.79999999999995</v>
      </c>
      <c r="L318" s="278">
        <v>499.9</v>
      </c>
      <c r="M318" s="278">
        <v>0.433</v>
      </c>
      <c r="N318" s="278">
        <v>0.433</v>
      </c>
      <c r="O318" s="278">
        <v>0.42899999999999999</v>
      </c>
      <c r="P318" s="278">
        <v>0.495</v>
      </c>
      <c r="Q318" s="278">
        <v>0.505</v>
      </c>
      <c r="R318" s="278">
        <v>0.52700000000000002</v>
      </c>
      <c r="S318" s="278">
        <v>0.54300000000000004</v>
      </c>
      <c r="T318" s="278">
        <v>0.42799999999999999</v>
      </c>
      <c r="U318" s="278">
        <v>0.442</v>
      </c>
      <c r="V318" s="278">
        <v>0.47499999999999998</v>
      </c>
      <c r="W318" s="278">
        <v>0.53400000000000003</v>
      </c>
      <c r="X318" s="278">
        <v>0.53500000000000003</v>
      </c>
      <c r="Y318" s="278">
        <v>0.50900000000000001</v>
      </c>
      <c r="Z318" s="278">
        <v>0.02</v>
      </c>
      <c r="AA318" s="278">
        <v>1.7999999999999999E-2</v>
      </c>
      <c r="AB318" s="278">
        <v>1.9E-2</v>
      </c>
      <c r="AC318" s="278">
        <v>2.8000000000000001E-2</v>
      </c>
      <c r="AD318" s="278">
        <v>0.435</v>
      </c>
      <c r="AE318" s="278">
        <v>0.16700000000000001</v>
      </c>
      <c r="AF318" s="278">
        <v>5.0000000000000001E-3</v>
      </c>
      <c r="AG318" s="278">
        <v>477</v>
      </c>
      <c r="AH318" s="278">
        <v>463.9</v>
      </c>
      <c r="AI318" s="278">
        <v>448.1</v>
      </c>
      <c r="AJ318" s="278">
        <v>434.9</v>
      </c>
      <c r="AK318" s="278">
        <v>436.1</v>
      </c>
      <c r="AL318" s="278">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908</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908</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908</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908</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908</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908</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908</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908</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908</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s="157">
        <v>363.7</v>
      </c>
      <c r="J330">
        <v>358.1</v>
      </c>
      <c r="K330" s="279">
        <v>365.1</v>
      </c>
      <c r="L330" s="165">
        <v>375.6</v>
      </c>
      <c r="M330" s="165">
        <v>0.42399999999999999</v>
      </c>
      <c r="N330" s="179">
        <v>0.61199999999999999</v>
      </c>
      <c r="O330">
        <v>0.60099999999999998</v>
      </c>
      <c r="P330">
        <v>0.57399999999999995</v>
      </c>
      <c r="Q330" s="199">
        <v>0.59499999999999997</v>
      </c>
      <c r="R330" s="157">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908</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908</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908</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908</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908</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908</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908</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908</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908</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908</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92"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3" t="s">
        <v>856</v>
      </c>
      <c r="G20" s="373"/>
      <c r="H20" s="247" t="s">
        <v>800</v>
      </c>
      <c r="I20" s="248" t="s">
        <v>792</v>
      </c>
    </row>
    <row r="21" spans="1:12">
      <c r="C21" s="245"/>
      <c r="E21" s="261" t="s">
        <v>848</v>
      </c>
      <c r="F21" s="373"/>
      <c r="G21" s="373"/>
      <c r="H21" s="8" t="s">
        <v>810</v>
      </c>
      <c r="I21" s="10" t="s">
        <v>821</v>
      </c>
    </row>
    <row r="22" spans="1:12" ht="36">
      <c r="C22" s="245"/>
      <c r="E22" s="262" t="s">
        <v>849</v>
      </c>
      <c r="F22" s="373"/>
      <c r="G22" s="373"/>
    </row>
    <row r="23" spans="1:12">
      <c r="C23" s="245"/>
      <c r="E23" s="263">
        <v>87</v>
      </c>
      <c r="F23" s="373"/>
      <c r="G23" s="373"/>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54CDD86B-E85A-4081-A834-01549C9FE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2021-03-11T12:47:33Z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