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85" documentId="8_{F9EABCA1-0845-4BEA-B5E4-B9315614ED94}" xr6:coauthVersionLast="46" xr6:coauthVersionMax="46" xr10:uidLastSave="{A026278C-FE43-40F1-80D1-D1CC8669B04C}"/>
  <workbookProtection workbookAlgorithmName="SHA-512" workbookHashValue="iAzznWmuHJgI72OZm9o0WqIlQ97xUuwExRNSeBN6+xQksbkey79r9ERwJ6wtjteq/c+zL7u18q0FOdtqeecHeQ==" workbookSaltValue="4ccSOFFqCtVicfUWjKcM5Q=="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D52" i="8"/>
  <c r="B37" i="8"/>
  <c r="D49" i="8" s="1"/>
  <c r="B35" i="8"/>
  <c r="D48" i="8" s="1"/>
  <c r="B16" i="8"/>
  <c r="B11" i="8"/>
  <c r="B10" i="8"/>
  <c r="B9" i="8"/>
  <c r="J8" i="8"/>
  <c r="B8" i="8"/>
  <c r="B59" i="8"/>
  <c r="B1" i="8"/>
  <c r="AX10" i="16" l="1"/>
  <c r="AX20" i="16" s="1"/>
  <c r="B34" i="16"/>
  <c r="B30"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8" i="16"/>
  <c r="B21" i="16"/>
  <c r="B27" i="16"/>
  <c r="B35" i="16"/>
  <c r="B15" i="16"/>
  <c r="B24" i="16"/>
  <c r="B31"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3" i="16"/>
  <c r="B16" i="16"/>
  <c r="B19" i="16"/>
  <c r="B25" i="16"/>
  <c r="B36" i="16"/>
  <c r="B40" i="16"/>
  <c r="B44" i="16"/>
  <c r="B48" i="16"/>
  <c r="B52" i="16"/>
  <c r="B56" i="16"/>
  <c r="B60" i="16"/>
  <c r="B64" i="16"/>
  <c r="B68" i="16"/>
  <c r="B72" i="16"/>
  <c r="B76" i="16"/>
  <c r="B80" i="16"/>
  <c r="B84" i="16"/>
  <c r="B88" i="16"/>
  <c r="B92" i="16"/>
  <c r="B29" i="16"/>
  <c r="B33" i="16"/>
  <c r="B14"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4" i="16"/>
  <c r="F24" i="16" s="1"/>
  <c r="AX26" i="16"/>
  <c r="AX28" i="16"/>
  <c r="H28" i="16" s="1"/>
  <c r="AX30" i="16"/>
  <c r="F30" i="16" s="1"/>
  <c r="AX32" i="16"/>
  <c r="AX36" i="16"/>
  <c r="AX38" i="16"/>
  <c r="H38" i="16" s="1"/>
  <c r="AX40" i="16"/>
  <c r="F40" i="16" s="1"/>
  <c r="AX42" i="16"/>
  <c r="F42" i="16" s="1"/>
  <c r="AX48" i="16"/>
  <c r="F48" i="16" s="1"/>
  <c r="AX50" i="16"/>
  <c r="H50" i="16" s="1"/>
  <c r="AX52" i="16"/>
  <c r="H52" i="16" s="1"/>
  <c r="AX54" i="16"/>
  <c r="F54" i="16" s="1"/>
  <c r="AX56" i="16"/>
  <c r="H56" i="16" s="1"/>
  <c r="AX60" i="16"/>
  <c r="F60" i="16" s="1"/>
  <c r="AX62" i="16"/>
  <c r="H62" i="16" s="1"/>
  <c r="AX64" i="16"/>
  <c r="F64" i="16" s="1"/>
  <c r="AX66" i="16"/>
  <c r="AX72" i="16"/>
  <c r="F72" i="16" s="1"/>
  <c r="AX74" i="16"/>
  <c r="AX76" i="16"/>
  <c r="F76" i="16" s="1"/>
  <c r="AX78" i="16"/>
  <c r="AX80" i="16"/>
  <c r="AX84" i="16"/>
  <c r="H84" i="16" s="1"/>
  <c r="AX86" i="16"/>
  <c r="F86" i="16" s="1"/>
  <c r="AX88" i="16"/>
  <c r="F88" i="16" s="1"/>
  <c r="AX90" i="16"/>
  <c r="AX96" i="16"/>
  <c r="F96" i="16" s="1"/>
  <c r="AX98" i="16"/>
  <c r="H98" i="16" s="1"/>
  <c r="AX100" i="16"/>
  <c r="F100" i="16" s="1"/>
  <c r="AX102" i="16"/>
  <c r="H102" i="16" s="1"/>
  <c r="AX104" i="16"/>
  <c r="F104" i="16" s="1"/>
  <c r="AX108" i="16"/>
  <c r="H108" i="16" s="1"/>
  <c r="AX110" i="16"/>
  <c r="F110" i="16" s="1"/>
  <c r="AX112" i="16"/>
  <c r="F112" i="16" s="1"/>
  <c r="AX114" i="16"/>
  <c r="F114" i="16" s="1"/>
  <c r="AX120" i="16"/>
  <c r="F120" i="16" s="1"/>
  <c r="AX122" i="16"/>
  <c r="H122" i="16" s="1"/>
  <c r="AX124" i="16"/>
  <c r="H124" i="16" s="1"/>
  <c r="AX126" i="16"/>
  <c r="F126" i="16" s="1"/>
  <c r="AX128" i="16"/>
  <c r="F128" i="16" s="1"/>
  <c r="AX132" i="16"/>
  <c r="F132" i="16" s="1"/>
  <c r="AX134" i="16"/>
  <c r="AX136" i="16"/>
  <c r="F136" i="16" s="1"/>
  <c r="AX138" i="16"/>
  <c r="F138" i="16" s="1"/>
  <c r="AX144" i="16"/>
  <c r="AX146" i="16"/>
  <c r="F146" i="16" s="1"/>
  <c r="AX148" i="16"/>
  <c r="AX150" i="16"/>
  <c r="H150" i="16" s="1"/>
  <c r="AX152" i="16"/>
  <c r="F152" i="16" s="1"/>
  <c r="AX156" i="16"/>
  <c r="F156" i="16" s="1"/>
  <c r="AX158" i="16"/>
  <c r="F158" i="16" s="1"/>
  <c r="AX160" i="16"/>
  <c r="F160" i="16" s="1"/>
  <c r="AX162" i="16"/>
  <c r="F162" i="16" s="1"/>
  <c r="AX168" i="16"/>
  <c r="F168" i="16" s="1"/>
  <c r="AX170" i="16"/>
  <c r="F170" i="16" s="1"/>
  <c r="AX172" i="16"/>
  <c r="F172" i="16" s="1"/>
  <c r="AX174" i="16"/>
  <c r="AX176" i="16"/>
  <c r="F176" i="16" s="1"/>
  <c r="AX180" i="16"/>
  <c r="F180" i="16" s="1"/>
  <c r="AX13" i="16"/>
  <c r="H13" i="16" s="1"/>
  <c r="AX15" i="16"/>
  <c r="F15" i="16" s="1"/>
  <c r="AX17" i="16"/>
  <c r="H17" i="16" s="1"/>
  <c r="AX23" i="16"/>
  <c r="F23" i="16" s="1"/>
  <c r="AX25" i="16"/>
  <c r="H25" i="16" s="1"/>
  <c r="AX27" i="16"/>
  <c r="AX29" i="16"/>
  <c r="H29" i="16" s="1"/>
  <c r="AX31" i="16"/>
  <c r="AX35" i="16"/>
  <c r="H35" i="16" s="1"/>
  <c r="AX37" i="16"/>
  <c r="AX39" i="16"/>
  <c r="F39" i="16" s="1"/>
  <c r="AX41" i="16"/>
  <c r="H41" i="16" s="1"/>
  <c r="AX47" i="16"/>
  <c r="F47" i="16" s="1"/>
  <c r="AX49" i="16"/>
  <c r="F49" i="16" s="1"/>
  <c r="AX51" i="16"/>
  <c r="F51" i="16" s="1"/>
  <c r="AX53" i="16"/>
  <c r="H53" i="16" s="1"/>
  <c r="AX55" i="16"/>
  <c r="H55" i="16" s="1"/>
  <c r="AX59" i="16"/>
  <c r="F59" i="16" s="1"/>
  <c r="AX61" i="16"/>
  <c r="AX63" i="16"/>
  <c r="F63" i="16" s="1"/>
  <c r="AX65" i="16"/>
  <c r="H65" i="16" s="1"/>
  <c r="AX71" i="16"/>
  <c r="H71" i="16" s="1"/>
  <c r="AX73" i="16"/>
  <c r="H73" i="16" s="1"/>
  <c r="AX75" i="16"/>
  <c r="F75" i="16" s="1"/>
  <c r="AX77" i="16"/>
  <c r="H77" i="16" s="1"/>
  <c r="AX79" i="16"/>
  <c r="F79" i="16" s="1"/>
  <c r="AX83" i="16"/>
  <c r="F83" i="16" s="1"/>
  <c r="AX85" i="16"/>
  <c r="H85" i="16" s="1"/>
  <c r="AX87" i="16"/>
  <c r="AX89" i="16"/>
  <c r="F89" i="16" s="1"/>
  <c r="AX95" i="16"/>
  <c r="H95" i="16" s="1"/>
  <c r="AX97" i="16"/>
  <c r="H97" i="16" s="1"/>
  <c r="AX99" i="16"/>
  <c r="F99" i="16" s="1"/>
  <c r="AX101" i="16"/>
  <c r="H101" i="16" s="1"/>
  <c r="AX103" i="16"/>
  <c r="F103" i="16" s="1"/>
  <c r="AX107" i="16"/>
  <c r="F107" i="16" s="1"/>
  <c r="AX109" i="16"/>
  <c r="H109" i="16" s="1"/>
  <c r="AX111" i="16"/>
  <c r="F111" i="16" s="1"/>
  <c r="AX113" i="16"/>
  <c r="H113" i="16" s="1"/>
  <c r="AX119" i="16"/>
  <c r="F119" i="16" s="1"/>
  <c r="AX121" i="16"/>
  <c r="H121" i="16" s="1"/>
  <c r="AX123" i="16"/>
  <c r="F123" i="16" s="1"/>
  <c r="AX125" i="16"/>
  <c r="H125" i="16" s="1"/>
  <c r="AX127" i="16"/>
  <c r="H127" i="16" s="1"/>
  <c r="I127" i="16" s="1"/>
  <c r="AX131" i="16"/>
  <c r="F131" i="16" s="1"/>
  <c r="AX133" i="16"/>
  <c r="F133" i="16" s="1"/>
  <c r="AX135" i="16"/>
  <c r="H135" i="16" s="1"/>
  <c r="AX137" i="16"/>
  <c r="F137" i="16" s="1"/>
  <c r="AX143" i="16"/>
  <c r="F143" i="16" s="1"/>
  <c r="AX145" i="16"/>
  <c r="F145" i="16" s="1"/>
  <c r="AX147" i="16"/>
  <c r="F147" i="16" s="1"/>
  <c r="AX149" i="16"/>
  <c r="F149" i="16" s="1"/>
  <c r="AX151" i="16"/>
  <c r="F151" i="16" s="1"/>
  <c r="AX155" i="16"/>
  <c r="F155" i="16" s="1"/>
  <c r="AX157" i="16"/>
  <c r="F157" i="16" s="1"/>
  <c r="AX159" i="16"/>
  <c r="AX161" i="16"/>
  <c r="F161" i="16" s="1"/>
  <c r="AX167" i="16"/>
  <c r="F167" i="16" s="1"/>
  <c r="AX169" i="16"/>
  <c r="F169" i="16" s="1"/>
  <c r="AX171" i="16"/>
  <c r="F171" i="16" s="1"/>
  <c r="AX173" i="16"/>
  <c r="F173" i="16" s="1"/>
  <c r="AX175" i="16"/>
  <c r="F175" i="16" s="1"/>
  <c r="AX179" i="16"/>
  <c r="H179" i="16" s="1"/>
  <c r="AX181" i="16"/>
  <c r="F181" i="16" s="1"/>
  <c r="AX182" i="16"/>
  <c r="AX184" i="16"/>
  <c r="F184" i="16" s="1"/>
  <c r="AX190" i="16"/>
  <c r="F190" i="16" s="1"/>
  <c r="AX192" i="16"/>
  <c r="F192" i="16" s="1"/>
  <c r="AX194" i="16"/>
  <c r="AX196" i="16"/>
  <c r="F196" i="16" s="1"/>
  <c r="AX198" i="16"/>
  <c r="H198" i="16" s="1"/>
  <c r="AX202" i="16"/>
  <c r="F202" i="16" s="1"/>
  <c r="AX204" i="16"/>
  <c r="F204" i="16" s="1"/>
  <c r="AX206" i="16"/>
  <c r="AX208" i="16"/>
  <c r="H208" i="16" s="1"/>
  <c r="AX214" i="16"/>
  <c r="F214" i="16" s="1"/>
  <c r="AX216" i="16"/>
  <c r="F216" i="16" s="1"/>
  <c r="AX218" i="16"/>
  <c r="AX220" i="16"/>
  <c r="F220" i="16" s="1"/>
  <c r="AX222" i="16"/>
  <c r="H222" i="16" s="1"/>
  <c r="AX226" i="16"/>
  <c r="F226" i="16" s="1"/>
  <c r="AX228" i="16"/>
  <c r="AX230" i="16"/>
  <c r="AX232" i="16"/>
  <c r="H232" i="16" s="1"/>
  <c r="AX238" i="16"/>
  <c r="F238" i="16" s="1"/>
  <c r="AX240" i="16"/>
  <c r="F240" i="16" s="1"/>
  <c r="AX242" i="16"/>
  <c r="F242" i="16" s="1"/>
  <c r="AX244" i="16"/>
  <c r="F244" i="16" s="1"/>
  <c r="AX246" i="16"/>
  <c r="F246" i="16" s="1"/>
  <c r="AX250" i="16"/>
  <c r="AX252" i="16"/>
  <c r="F252" i="16" s="1"/>
  <c r="AX254" i="16"/>
  <c r="H254" i="16" s="1"/>
  <c r="AX256" i="16"/>
  <c r="F256" i="16" s="1"/>
  <c r="AX262" i="16"/>
  <c r="AX264" i="16"/>
  <c r="F264" i="16" s="1"/>
  <c r="AX266" i="16"/>
  <c r="F266" i="16" s="1"/>
  <c r="AX268" i="16"/>
  <c r="AX270" i="16"/>
  <c r="F270" i="16" s="1"/>
  <c r="AX274" i="16"/>
  <c r="H274" i="16" s="1"/>
  <c r="AX276" i="16"/>
  <c r="H276" i="16" s="1"/>
  <c r="AX278" i="16"/>
  <c r="F278" i="16" s="1"/>
  <c r="AX280" i="16"/>
  <c r="AX286" i="16"/>
  <c r="F286" i="16" s="1"/>
  <c r="AX288" i="16"/>
  <c r="F288" i="16" s="1"/>
  <c r="AX290" i="16"/>
  <c r="F290" i="16" s="1"/>
  <c r="AX292" i="16"/>
  <c r="AX294" i="16"/>
  <c r="F294" i="16" s="1"/>
  <c r="AX298" i="16"/>
  <c r="F298" i="16" s="1"/>
  <c r="AX300" i="16"/>
  <c r="F300" i="16" s="1"/>
  <c r="AX302" i="16"/>
  <c r="H302" i="16" s="1"/>
  <c r="AX304" i="16"/>
  <c r="F304" i="16" s="1"/>
  <c r="AX310" i="16"/>
  <c r="F310" i="16" s="1"/>
  <c r="AX312" i="16"/>
  <c r="H312" i="16" s="1"/>
  <c r="AX314" i="16"/>
  <c r="AX316" i="16"/>
  <c r="AX318" i="16"/>
  <c r="AX322" i="16"/>
  <c r="H322" i="16" s="1"/>
  <c r="AX324" i="16"/>
  <c r="H324" i="16" s="1"/>
  <c r="AX326" i="16"/>
  <c r="F326" i="16" s="1"/>
  <c r="AX328" i="16"/>
  <c r="F328" i="16" s="1"/>
  <c r="AX334" i="16"/>
  <c r="F334" i="16" s="1"/>
  <c r="AX336" i="16"/>
  <c r="H336" i="16" s="1"/>
  <c r="AX338" i="16"/>
  <c r="AX340" i="16"/>
  <c r="H340" i="16" s="1"/>
  <c r="AX342" i="16"/>
  <c r="H342" i="16" s="1"/>
  <c r="AX346" i="16"/>
  <c r="F346" i="16" s="1"/>
  <c r="AX348" i="16"/>
  <c r="F348" i="16" s="1"/>
  <c r="AX350" i="16"/>
  <c r="H350" i="16" s="1"/>
  <c r="AX352" i="16"/>
  <c r="F352" i="16" s="1"/>
  <c r="AX185" i="16"/>
  <c r="H185" i="16" s="1"/>
  <c r="AX187" i="16"/>
  <c r="H187" i="16" s="1"/>
  <c r="AX189" i="16"/>
  <c r="H189" i="16" s="1"/>
  <c r="AX191" i="16"/>
  <c r="H191" i="16" s="1"/>
  <c r="AX193" i="16"/>
  <c r="F193" i="16" s="1"/>
  <c r="AX195" i="16"/>
  <c r="AX199" i="16"/>
  <c r="F199" i="16" s="1"/>
  <c r="AX201" i="16"/>
  <c r="F201" i="16" s="1"/>
  <c r="AX203" i="16"/>
  <c r="H203" i="16" s="1"/>
  <c r="AX205" i="16"/>
  <c r="F205" i="16" s="1"/>
  <c r="AX209" i="16"/>
  <c r="AX211" i="16"/>
  <c r="AX213" i="16"/>
  <c r="F213" i="16" s="1"/>
  <c r="AX215" i="16"/>
  <c r="F215" i="16" s="1"/>
  <c r="AX217" i="16"/>
  <c r="F217" i="16" s="1"/>
  <c r="AX219" i="16"/>
  <c r="F219" i="16" s="1"/>
  <c r="AX223" i="16"/>
  <c r="F223" i="16" s="1"/>
  <c r="AX225" i="16"/>
  <c r="F225" i="16" s="1"/>
  <c r="AX227" i="16"/>
  <c r="AX229" i="16"/>
  <c r="AX233" i="16"/>
  <c r="AX235" i="16"/>
  <c r="AX237" i="16"/>
  <c r="H237" i="16" s="1"/>
  <c r="AX239" i="16"/>
  <c r="F239" i="16" s="1"/>
  <c r="AX241" i="16"/>
  <c r="F241" i="16" s="1"/>
  <c r="AX243" i="16"/>
  <c r="H243" i="16" s="1"/>
  <c r="AX247" i="16"/>
  <c r="H247" i="16" s="1"/>
  <c r="AX249" i="16"/>
  <c r="F249" i="16" s="1"/>
  <c r="AX251" i="16"/>
  <c r="F251" i="16" s="1"/>
  <c r="AX253" i="16"/>
  <c r="F253" i="16" s="1"/>
  <c r="AX257" i="16"/>
  <c r="F257" i="16" s="1"/>
  <c r="AX259" i="16"/>
  <c r="F259" i="16" s="1"/>
  <c r="AX261" i="16"/>
  <c r="AX263" i="16"/>
  <c r="F263" i="16" s="1"/>
  <c r="AX265" i="16"/>
  <c r="F265" i="16" s="1"/>
  <c r="AX267" i="16"/>
  <c r="H267"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12" i="16"/>
  <c r="H15" i="16"/>
  <c r="H16" i="16"/>
  <c r="H18" i="16"/>
  <c r="H39" i="16"/>
  <c r="H48" i="16"/>
  <c r="H57" i="16"/>
  <c r="H63" i="16"/>
  <c r="H69" i="16"/>
  <c r="H72" i="16"/>
  <c r="H89" i="16"/>
  <c r="H96" i="16"/>
  <c r="H100" i="16"/>
  <c r="H105" i="16"/>
  <c r="H112" i="16"/>
  <c r="H114" i="16"/>
  <c r="H116" i="16"/>
  <c r="H132" i="16"/>
  <c r="H138" i="16"/>
  <c r="H143" i="16"/>
  <c r="H145" i="16"/>
  <c r="H151" i="16"/>
  <c r="H153" i="16"/>
  <c r="H156" i="16"/>
  <c r="H158" i="16"/>
  <c r="H176" i="16"/>
  <c r="H236" i="16"/>
  <c r="H270" i="16"/>
  <c r="H40" i="16"/>
  <c r="H42" i="16"/>
  <c r="H47" i="16"/>
  <c r="H49" i="16"/>
  <c r="H54" i="16"/>
  <c r="H60" i="16"/>
  <c r="H64" i="16"/>
  <c r="H68" i="16"/>
  <c r="H70" i="16"/>
  <c r="H79" i="16"/>
  <c r="H86" i="16"/>
  <c r="H88" i="16"/>
  <c r="H104" i="16"/>
  <c r="H111" i="16"/>
  <c r="H120" i="16"/>
  <c r="H128" i="16"/>
  <c r="H129" i="16"/>
  <c r="H146" i="16"/>
  <c r="H154" i="16"/>
  <c r="H19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G3" i="16"/>
  <c r="J9" i="8" s="1"/>
  <c r="I3" i="16"/>
  <c r="P8" i="16"/>
  <c r="AF11" i="16"/>
  <c r="F3" i="16"/>
  <c r="H3" i="16"/>
  <c r="J11" i="8" s="1"/>
  <c r="F52" i="16"/>
  <c r="H20" i="16" l="1"/>
  <c r="F20" i="16"/>
  <c r="H76" i="16"/>
  <c r="AX269" i="16"/>
  <c r="H269" i="16" s="1"/>
  <c r="AX245" i="16"/>
  <c r="F245" i="16" s="1"/>
  <c r="AX221" i="16"/>
  <c r="H221" i="16" s="1"/>
  <c r="AX197" i="16"/>
  <c r="H197" i="16" s="1"/>
  <c r="AX344" i="16"/>
  <c r="H344" i="16" s="1"/>
  <c r="AX320" i="16"/>
  <c r="F320" i="16" s="1"/>
  <c r="AX296" i="16"/>
  <c r="F296" i="16" s="1"/>
  <c r="AX272" i="16"/>
  <c r="H272" i="16" s="1"/>
  <c r="AX248" i="16"/>
  <c r="H248" i="16" s="1"/>
  <c r="AX224" i="16"/>
  <c r="F224" i="16" s="1"/>
  <c r="AX200" i="16"/>
  <c r="F200" i="16" s="1"/>
  <c r="AX177" i="16"/>
  <c r="F177" i="16" s="1"/>
  <c r="AX153" i="16"/>
  <c r="F153" i="16" s="1"/>
  <c r="AX129" i="16"/>
  <c r="F129" i="16" s="1"/>
  <c r="AX105" i="16"/>
  <c r="F105" i="16" s="1"/>
  <c r="AX81" i="16"/>
  <c r="H81" i="16" s="1"/>
  <c r="AX57" i="16"/>
  <c r="F57" i="16" s="1"/>
  <c r="AX33" i="16"/>
  <c r="F33" i="16" s="1"/>
  <c r="AX178" i="16"/>
  <c r="F178" i="16" s="1"/>
  <c r="AX154" i="16"/>
  <c r="F154" i="16" s="1"/>
  <c r="AX130" i="16"/>
  <c r="F130" i="16" s="1"/>
  <c r="AX106" i="16"/>
  <c r="AX82" i="16"/>
  <c r="H82" i="16" s="1"/>
  <c r="AX58" i="16"/>
  <c r="H58" i="16" s="1"/>
  <c r="AX34" i="16"/>
  <c r="H34" i="16" s="1"/>
  <c r="AX332" i="16"/>
  <c r="F332" i="16" s="1"/>
  <c r="AX308" i="16"/>
  <c r="H308" i="16" s="1"/>
  <c r="AX284" i="16"/>
  <c r="F284" i="16" s="1"/>
  <c r="AX260" i="16"/>
  <c r="F260" i="16" s="1"/>
  <c r="AX236" i="16"/>
  <c r="F236" i="16" s="1"/>
  <c r="AX212" i="16"/>
  <c r="F212" i="16" s="1"/>
  <c r="AX188" i="16"/>
  <c r="F188" i="16" s="1"/>
  <c r="AX165" i="16"/>
  <c r="F165" i="16" s="1"/>
  <c r="AX141" i="16"/>
  <c r="H141" i="16" s="1"/>
  <c r="AX117" i="16"/>
  <c r="H117" i="16" s="1"/>
  <c r="AX93" i="16"/>
  <c r="H93" i="16" s="1"/>
  <c r="AX69" i="16"/>
  <c r="F69" i="16" s="1"/>
  <c r="AX45" i="16"/>
  <c r="F45" i="16" s="1"/>
  <c r="AX21" i="16"/>
  <c r="H21" i="16" s="1"/>
  <c r="AX166" i="16"/>
  <c r="F166" i="16" s="1"/>
  <c r="AX142" i="16"/>
  <c r="F142" i="16" s="1"/>
  <c r="AX118" i="16"/>
  <c r="H118" i="16" s="1"/>
  <c r="AX94" i="16"/>
  <c r="H94" i="16" s="1"/>
  <c r="AX70" i="16"/>
  <c r="F70" i="16" s="1"/>
  <c r="AX46" i="16"/>
  <c r="AX22" i="16"/>
  <c r="H22" i="16" s="1"/>
  <c r="AX255" i="16"/>
  <c r="F255" i="16" s="1"/>
  <c r="AX231" i="16"/>
  <c r="H231" i="16" s="1"/>
  <c r="AX207" i="16"/>
  <c r="H207" i="16" s="1"/>
  <c r="AX183" i="16"/>
  <c r="F183" i="16" s="1"/>
  <c r="AX330" i="16"/>
  <c r="F330" i="16" s="1"/>
  <c r="AX306" i="16"/>
  <c r="H306" i="16" s="1"/>
  <c r="AX282" i="16"/>
  <c r="F282" i="16" s="1"/>
  <c r="AX258" i="16"/>
  <c r="H258" i="16" s="1"/>
  <c r="AX234" i="16"/>
  <c r="F234" i="16" s="1"/>
  <c r="AX210" i="16"/>
  <c r="H210" i="16" s="1"/>
  <c r="AX186" i="16"/>
  <c r="F186" i="16" s="1"/>
  <c r="AX163" i="16"/>
  <c r="F163" i="16" s="1"/>
  <c r="AX139" i="16"/>
  <c r="F139" i="16" s="1"/>
  <c r="AX115" i="16"/>
  <c r="F115" i="16" s="1"/>
  <c r="AX91" i="16"/>
  <c r="H91" i="16" s="1"/>
  <c r="AX67" i="16"/>
  <c r="F67" i="16" s="1"/>
  <c r="AX43" i="16"/>
  <c r="AX19" i="16"/>
  <c r="H19" i="16" s="1"/>
  <c r="AX164" i="16"/>
  <c r="F164" i="16" s="1"/>
  <c r="AX140" i="16"/>
  <c r="AX116" i="16"/>
  <c r="F116" i="16" s="1"/>
  <c r="AX92" i="16"/>
  <c r="AX68" i="16"/>
  <c r="F68" i="16" s="1"/>
  <c r="AX44" i="16"/>
  <c r="H216" i="16"/>
  <c r="F28" i="16"/>
  <c r="H192" i="16"/>
  <c r="H184" i="16"/>
  <c r="F71" i="16"/>
  <c r="F254" i="16"/>
  <c r="H103" i="16"/>
  <c r="H130" i="16"/>
  <c r="F101" i="16"/>
  <c r="H178" i="16"/>
  <c r="F135" i="16"/>
  <c r="H155" i="16"/>
  <c r="H245" i="16"/>
  <c r="H225" i="16"/>
  <c r="H256" i="16"/>
  <c r="H263" i="16"/>
  <c r="H162" i="16"/>
  <c r="H288" i="16"/>
  <c r="H170" i="16"/>
  <c r="H304" i="16"/>
  <c r="H202" i="16"/>
  <c r="H346" i="16"/>
  <c r="H355" i="16"/>
  <c r="H298" i="16"/>
  <c r="H331" i="16"/>
  <c r="F108" i="16"/>
  <c r="F56" i="16"/>
  <c r="F35" i="16"/>
  <c r="H164" i="16"/>
  <c r="H75" i="16"/>
  <c r="H172"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73" i="16"/>
  <c r="F232" i="16"/>
  <c r="F95" i="16"/>
  <c r="F55" i="16"/>
  <c r="F127" i="16"/>
  <c r="F197" i="16"/>
  <c r="F113" i="16"/>
  <c r="F81" i="16"/>
  <c r="F50" i="16"/>
  <c r="F248" i="16"/>
  <c r="F312" i="16"/>
  <c r="F98" i="16"/>
  <c r="F344" i="16"/>
  <c r="F41" i="16"/>
  <c r="F17" i="16"/>
  <c r="F208" i="16"/>
  <c r="F85" i="16"/>
  <c r="F185" i="16"/>
  <c r="F93" i="16"/>
  <c r="F117" i="16"/>
  <c r="F29" i="16"/>
  <c r="F109" i="16"/>
  <c r="F237" i="16"/>
  <c r="H213" i="16"/>
  <c r="F271" i="16"/>
  <c r="F302" i="16"/>
  <c r="H205" i="16"/>
  <c r="F189" i="16"/>
  <c r="F221" i="16"/>
  <c r="F336" i="16"/>
  <c r="F269" i="16"/>
  <c r="H297" i="16"/>
  <c r="F258" i="16"/>
  <c r="H255" i="16"/>
  <c r="H226" i="16"/>
  <c r="F322" i="16"/>
  <c r="F179" i="16"/>
  <c r="H330" i="16"/>
  <c r="H242"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43" i="16"/>
  <c r="F43" i="16"/>
  <c r="F80" i="16"/>
  <c r="H80" i="16"/>
  <c r="F44" i="16"/>
  <c r="H44" i="16"/>
  <c r="F36" i="16"/>
  <c r="H36" i="16"/>
  <c r="F31" i="16"/>
  <c r="H31" i="16"/>
  <c r="H27" i="16"/>
  <c r="F27" i="16"/>
  <c r="F26" i="16"/>
  <c r="H26" i="16"/>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F21" i="16" l="1"/>
  <c r="H67" i="16"/>
  <c r="F34" i="16"/>
  <c r="F272" i="16"/>
  <c r="F210" i="16"/>
  <c r="F306" i="16"/>
  <c r="F19" i="16"/>
  <c r="F207" i="16"/>
  <c r="H46" i="16"/>
  <c r="F46" i="16"/>
  <c r="F92" i="16"/>
  <c r="H92" i="16"/>
  <c r="F91" i="16"/>
  <c r="F140" i="16"/>
  <c r="H140" i="16"/>
  <c r="I155" i="16" s="1"/>
  <c r="AG23" i="16"/>
  <c r="I95" i="16"/>
  <c r="AG14" i="16"/>
  <c r="T39" i="8"/>
  <c r="D50" i="8"/>
  <c r="K89" i="8"/>
  <c r="AG19" i="16"/>
  <c r="AG21" i="16"/>
  <c r="AG12" i="16"/>
  <c r="AG13" i="16"/>
  <c r="AG11" i="16"/>
  <c r="AG15" i="16"/>
  <c r="L35" i="8"/>
  <c r="I50" i="16"/>
  <c r="I93" i="16"/>
  <c r="I108" i="16"/>
  <c r="I91" i="16"/>
  <c r="I85" i="16"/>
  <c r="I117" i="16"/>
  <c r="I55" i="16"/>
  <c r="I19" i="16"/>
  <c r="I52" i="16"/>
  <c r="I181" i="16"/>
  <c r="I263" i="16"/>
  <c r="I321" i="16"/>
  <c r="I21" i="16"/>
  <c r="I199" i="16"/>
  <c r="I252" i="16"/>
  <c r="I326" i="16"/>
  <c r="I97" i="16"/>
  <c r="I212" i="16"/>
  <c r="I279" i="16"/>
  <c r="I325" i="16"/>
  <c r="I34" i="16"/>
  <c r="I124" i="16"/>
  <c r="I223" i="16"/>
  <c r="I355" i="16"/>
  <c r="I169" i="16"/>
  <c r="I253" i="16"/>
  <c r="I291" i="16"/>
  <c r="I348" i="16"/>
  <c r="I53" i="16"/>
  <c r="I168" i="16"/>
  <c r="I241" i="16"/>
  <c r="I286" i="16"/>
  <c r="I38" i="16"/>
  <c r="I173" i="16"/>
  <c r="I259" i="16"/>
  <c r="I304" i="16"/>
  <c r="I352" i="16"/>
  <c r="I81" i="16"/>
  <c r="I186" i="16"/>
  <c r="I298" i="16"/>
  <c r="I29" i="16"/>
  <c r="I46"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K12" i="16" l="1"/>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245" i="16"/>
  <c r="I184" i="16"/>
  <c r="I94" i="16"/>
  <c r="I162" i="16"/>
  <c r="I256" i="16"/>
  <c r="I331" i="16"/>
  <c r="I225" i="16"/>
  <c r="I288" i="16"/>
  <c r="I202" i="16"/>
  <c r="AE11" i="16"/>
  <c r="AE13" i="16"/>
  <c r="AE22" i="16"/>
  <c r="AE26" i="16"/>
  <c r="AE18" i="16"/>
  <c r="AE21" i="16"/>
  <c r="AE19" i="16"/>
  <c r="AE12" i="16"/>
  <c r="AE25" i="16"/>
  <c r="AE24" i="16"/>
  <c r="AE16" i="16"/>
  <c r="AE20" i="16"/>
  <c r="AE17" i="16"/>
  <c r="AE23" i="16"/>
  <c r="AE15" i="16"/>
  <c r="AE14" i="16"/>
  <c r="AG9" i="16"/>
  <c r="G118" i="8"/>
  <c r="E48" i="8"/>
  <c r="Q37" i="8"/>
  <c r="V37" i="8" l="1"/>
  <c r="B33" i="8" s="1"/>
  <c r="L12" i="16"/>
  <c r="X12" i="16" s="1"/>
  <c r="L11" i="16"/>
  <c r="S11" i="16" s="1"/>
  <c r="B86" i="8"/>
  <c r="U86" i="8" s="1"/>
  <c r="AH18" i="16"/>
  <c r="AH12" i="16"/>
  <c r="AH20" i="16"/>
  <c r="AH26" i="16"/>
  <c r="AH23" i="16"/>
  <c r="AH17" i="16"/>
  <c r="AH19" i="16"/>
  <c r="AH16" i="16"/>
  <c r="AH21" i="16"/>
  <c r="AH13" i="16"/>
  <c r="AH14" i="16"/>
  <c r="AH15" i="16"/>
  <c r="AH24" i="16"/>
  <c r="AH22" i="16"/>
  <c r="AH25" i="16"/>
  <c r="AH11" i="16"/>
  <c r="L13" i="16"/>
  <c r="X13" i="16" s="1"/>
  <c r="X11" i="16" l="1"/>
  <c r="Y11" i="16" s="1"/>
  <c r="M11" i="16"/>
  <c r="AJ11" i="16" s="1"/>
  <c r="AA11" i="16"/>
  <c r="AB11" i="16" s="1"/>
  <c r="T11" i="16"/>
  <c r="U11" i="16" s="1"/>
  <c r="AP12" i="16"/>
  <c r="AQ12" i="16" s="1"/>
  <c r="AP11" i="16"/>
  <c r="AA12" i="16"/>
  <c r="AB12" i="16" s="1"/>
  <c r="S12" i="16"/>
  <c r="AI12" i="16"/>
  <c r="T12" i="16"/>
  <c r="U12" i="16" s="1"/>
  <c r="E66" i="8"/>
  <c r="Y66" i="8" s="1"/>
  <c r="AI11" i="16"/>
  <c r="M12" i="16"/>
  <c r="N12" i="16" s="1"/>
  <c r="Y12" i="16"/>
  <c r="AQ11" i="16"/>
  <c r="L14" i="16"/>
  <c r="AP13" i="16"/>
  <c r="M13" i="16"/>
  <c r="N13" i="16" s="1"/>
  <c r="T13" i="16"/>
  <c r="AI13" i="16"/>
  <c r="S13" i="16"/>
  <c r="AA13" i="16"/>
  <c r="AJ12" i="16" l="1"/>
  <c r="N11" i="16"/>
  <c r="U66" i="8"/>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Y154" i="16" s="1"/>
  <c r="M154" i="16"/>
  <c r="N154" i="16" s="1"/>
  <c r="L155" i="16"/>
  <c r="AJ154" i="16" l="1"/>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Y166" i="16" s="1"/>
  <c r="M166" i="16"/>
  <c r="N166" i="16" s="1"/>
  <c r="AJ166" i="16" l="1"/>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144" i="16"/>
  <c r="AC143" i="16"/>
  <c r="AC154" i="16"/>
  <c r="AC185" i="16"/>
  <c r="AC187" i="16"/>
  <c r="V11" i="16"/>
  <c r="V17" i="16"/>
  <c r="V23" i="16"/>
  <c r="V26" i="16"/>
  <c r="V35" i="16"/>
  <c r="V47" i="16"/>
  <c r="AC56" i="16"/>
  <c r="AC66" i="16"/>
  <c r="AC75" i="16"/>
  <c r="AC93" i="16"/>
  <c r="AC179" i="16"/>
  <c r="AC188"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2" i="16"/>
  <c r="P14" i="16"/>
  <c r="P17" i="16"/>
  <c r="P18" i="16"/>
  <c r="P21" i="16"/>
  <c r="P13" i="16"/>
  <c r="P24" i="16"/>
  <c r="P20" i="16"/>
  <c r="P16" i="16"/>
  <c r="P12" i="16"/>
  <c r="P23" i="16"/>
  <c r="P19" i="16"/>
  <c r="P15" i="16"/>
  <c r="P46" i="16" l="1"/>
  <c r="P231" i="16"/>
  <c r="R166" i="16"/>
  <c r="O11" i="16"/>
  <c r="P219" i="16"/>
  <c r="P25" i="16"/>
  <c r="P298" i="16"/>
  <c r="P45" i="16"/>
  <c r="Q15" i="16"/>
  <c r="P32" i="16"/>
  <c r="P185" i="16"/>
  <c r="P43" i="16"/>
  <c r="P56" i="16"/>
  <c r="L39" i="8"/>
  <c r="E50" i="8" s="1"/>
  <c r="Q39" i="8"/>
  <c r="V39" i="8"/>
  <c r="AL13" i="16"/>
  <c r="AM13" i="16" s="1"/>
  <c r="AN13" i="16" s="1"/>
  <c r="B93" i="8"/>
  <c r="AC171" i="16"/>
  <c r="AC189" i="16"/>
  <c r="AC156" i="16"/>
  <c r="AC78" i="16"/>
  <c r="AC195" i="16"/>
  <c r="AC118" i="16"/>
  <c r="AC23" i="16"/>
  <c r="AC130" i="16"/>
  <c r="AC198" i="16"/>
  <c r="AC104"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2"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52" i="8"/>
  <c r="K48" i="8"/>
  <c r="M120" i="8" s="1"/>
  <c r="AT13" i="16"/>
  <c r="AU13" i="16" s="1"/>
  <c r="AS14" i="16"/>
  <c r="K39" i="8" l="1"/>
  <c r="AN11" i="16"/>
  <c r="E92" i="8"/>
  <c r="Y92" i="8" s="1"/>
  <c r="AL14" i="16"/>
  <c r="AM14" i="16" s="1"/>
  <c r="AN14" i="16" s="1"/>
  <c r="B94" i="8"/>
  <c r="E93" i="8"/>
  <c r="Y93" i="8" s="1"/>
  <c r="U93" i="8"/>
  <c r="M51" i="8"/>
  <c r="M49" i="8"/>
  <c r="M48" i="8"/>
  <c r="O121" i="8" s="1"/>
  <c r="M50" i="8"/>
  <c r="O50" i="8"/>
  <c r="O51" i="8"/>
  <c r="O49" i="8"/>
  <c r="O48" i="8"/>
  <c r="Q121" i="8" s="1"/>
  <c r="AU11" i="16"/>
  <c r="E52" i="8"/>
  <c r="K38" i="8"/>
  <c r="M121" i="8"/>
  <c r="M118" i="8"/>
  <c r="M119" i="8"/>
  <c r="AT14" i="16"/>
  <c r="AU14" i="16" s="1"/>
  <c r="AS15" i="16"/>
  <c r="U92" i="8" l="1"/>
  <c r="AL15" i="16"/>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B98" i="8"/>
  <c r="E97" i="8"/>
  <c r="Y97" i="8" s="1"/>
  <c r="U97" i="8"/>
  <c r="AS19" i="16"/>
  <c r="AT18" i="16"/>
  <c r="AU18" i="16" s="1"/>
  <c r="U98" i="8" l="1"/>
  <c r="E98" i="8"/>
  <c r="Y98" i="8" s="1"/>
  <c r="AL19" i="16"/>
  <c r="AM19" i="16" s="1"/>
  <c r="AN19" i="16" s="1"/>
  <c r="B99" i="8"/>
  <c r="AM18" i="16"/>
  <c r="AN18" i="16" s="1"/>
  <c r="AS20" i="16"/>
  <c r="AT19" i="16"/>
  <c r="AU19" i="16" s="1"/>
  <c r="AL20" i="16" l="1"/>
  <c r="AM20" i="16" s="1"/>
  <c r="AN20" i="16" s="1"/>
  <c r="B100" i="8"/>
  <c r="U99" i="8"/>
  <c r="E99" i="8"/>
  <c r="Y99" i="8" s="1"/>
  <c r="AT20" i="16"/>
  <c r="AU20" i="16" s="1"/>
  <c r="AS21" i="16"/>
  <c r="AL21" i="16" l="1"/>
  <c r="B101" i="8"/>
  <c r="U100" i="8"/>
  <c r="E100" i="8"/>
  <c r="Y100" i="8" s="1"/>
  <c r="AS22" i="16"/>
  <c r="AT21" i="16"/>
  <c r="AU21" i="16" s="1"/>
  <c r="E101" i="8" l="1"/>
  <c r="Y101" i="8" s="1"/>
  <c r="U101" i="8"/>
  <c r="AL22" i="16"/>
  <c r="AM22" i="16" s="1"/>
  <c r="AN22" i="16" s="1"/>
  <c r="B102"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U104" i="8" l="1"/>
  <c r="E104" i="8"/>
  <c r="Y104" i="8" s="1"/>
  <c r="AL25" i="16"/>
  <c r="AM25" i="16" s="1"/>
  <c r="AN25" i="16" s="1"/>
  <c r="B105" i="8"/>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<sst xmlns="http://schemas.openxmlformats.org/spreadsheetml/2006/main" count="12435" uniqueCount="915">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</sst>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6">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4"/>
                <c:pt idx="53">
                  <c:v>u</c:v>
                </c:pt>
              </c:strCache>
              <c:extLst xmlns:c15="http://schemas.microsoft.com/office/drawing/2012/chart"/>
            </c:strRef>
          </c:cat>
          <c:val>
            <c:numRef>
              <c:f>[0]!TopQuart</c:f>
              <c:numCache>
                <c:formatCode>General</c:formatCode>
                <c:ptCount val="55"/>
                <c:pt idx="0">
                  <c:v>330.4</c:v>
                </c:pt>
                <c:pt idx="1">
                  <c:v>340.5</c:v>
                </c:pt>
                <c:pt idx="2">
                  <c:v>343.8</c:v>
                </c:pt>
                <c:pt idx="3">
                  <c:v>346.8</c:v>
                </c:pt>
                <c:pt idx="4">
                  <c:v>350</c:v>
                </c:pt>
                <c:pt idx="5">
                  <c:v>350.6</c:v>
                </c:pt>
                <c:pt idx="6">
                  <c:v>352.3</c:v>
                </c:pt>
                <c:pt idx="7">
                  <c:v>352.9</c:v>
                </c:pt>
                <c:pt idx="8">
                  <c:v>354.8</c:v>
                </c:pt>
                <c:pt idx="9">
                  <c:v>357.3</c:v>
                </c:pt>
                <c:pt idx="10">
                  <c:v>381.1</c:v>
                </c:pt>
                <c:pt idx="11">
                  <c:v>383.4</c:v>
                </c:pt>
                <c:pt idx="12">
                  <c:v>386.9</c:v>
                </c:pt>
                <c:pt idx="13">
                  <c:v>389.9</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2339-4787-8FE7-68DF4D6E8C6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4"/>
                <c:pt idx="53">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391.2</c:v>
                </c:pt>
                <c:pt idx="15">
                  <c:v>391.9</c:v>
                </c:pt>
                <c:pt idx="16">
                  <c:v>402</c:v>
                </c:pt>
                <c:pt idx="17">
                  <c:v>403.2</c:v>
                </c:pt>
                <c:pt idx="18">
                  <c:v>403.7</c:v>
                </c:pt>
                <c:pt idx="19">
                  <c:v>407.6</c:v>
                </c:pt>
                <c:pt idx="20">
                  <c:v>407.7</c:v>
                </c:pt>
                <c:pt idx="21">
                  <c:v>408.8</c:v>
                </c:pt>
                <c:pt idx="22">
                  <c:v>413.3</c:v>
                </c:pt>
                <c:pt idx="23">
                  <c:v>414.4</c:v>
                </c:pt>
                <c:pt idx="24">
                  <c:v>417.4</c:v>
                </c:pt>
                <c:pt idx="25">
                  <c:v>417.6</c:v>
                </c:pt>
                <c:pt idx="26">
                  <c:v>417.9</c:v>
                </c:pt>
                <c:pt idx="27">
                  <c:v>420.9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2339-4787-8FE7-68DF4D6E8C6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4"/>
                <c:pt idx="53">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425.7</c:v>
                </c:pt>
                <c:pt idx="29">
                  <c:v>425.8</c:v>
                </c:pt>
                <c:pt idx="30">
                  <c:v>426.8</c:v>
                </c:pt>
                <c:pt idx="31">
                  <c:v>428.9</c:v>
                </c:pt>
                <c:pt idx="32">
                  <c:v>431.3</c:v>
                </c:pt>
                <c:pt idx="33">
                  <c:v>433.5</c:v>
                </c:pt>
                <c:pt idx="34">
                  <c:v>435.5</c:v>
                </c:pt>
                <c:pt idx="35">
                  <c:v>437.9</c:v>
                </c:pt>
                <c:pt idx="36">
                  <c:v>440</c:v>
                </c:pt>
                <c:pt idx="37">
                  <c:v>440.4</c:v>
                </c:pt>
                <c:pt idx="38">
                  <c:v>441.2</c:v>
                </c:pt>
                <c:pt idx="39">
                  <c:v>441.4</c:v>
                </c:pt>
                <c:pt idx="40">
                  <c:v>444.4</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2339-4787-8FE7-68DF4D6E8C6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4"/>
                <c:pt idx="53">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447.2</c:v>
                </c:pt>
                <c:pt idx="42">
                  <c:v>453.7</c:v>
                </c:pt>
                <c:pt idx="43">
                  <c:v>454.1</c:v>
                </c:pt>
                <c:pt idx="44">
                  <c:v>457.6</c:v>
                </c:pt>
                <c:pt idx="45">
                  <c:v>460.5</c:v>
                </c:pt>
                <c:pt idx="46">
                  <c:v>469.6</c:v>
                </c:pt>
                <c:pt idx="47">
                  <c:v>469.8</c:v>
                </c:pt>
                <c:pt idx="48">
                  <c:v>473.4</c:v>
                </c:pt>
                <c:pt idx="49">
                  <c:v>476.2</c:v>
                </c:pt>
                <c:pt idx="50">
                  <c:v>480.4</c:v>
                </c:pt>
                <c:pt idx="51">
                  <c:v>489.9</c:v>
                </c:pt>
                <c:pt idx="52">
                  <c:v>499.7</c:v>
                </c:pt>
                <c:pt idx="53">
                  <c:v>501.3</c:v>
                </c:pt>
                <c:pt idx="54">
                  <c:v>504.9</c:v>
                </c:pt>
              </c:numCache>
            </c:numRef>
          </c:val>
          <c:extLst>
            <c:ext xmlns:c16="http://schemas.microsoft.com/office/drawing/2014/chart" uri="{C3380CC4-5D6E-409C-BE32-E72D297353CC}">
              <c16:uniqueId val="{00000003-2339-4787-8FE7-68DF4D6E8C6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54"/>
                <c:pt idx="53">
                  <c:v>u</c:v>
                </c:pt>
              </c:strCache>
              <c:extLst xmlns:c15="http://schemas.microsoft.com/office/drawing/2012/chart"/>
            </c:strRef>
          </c:cat>
          <c:val>
            <c:numRef>
              <c:f>[0]!MarkData</c:f>
              <c:numCache>
                <c:formatCode>0.00</c:formatCode>
                <c:ptCount val="55"/>
                <c:pt idx="0">
                  <c:v>330.4</c:v>
                </c:pt>
                <c:pt idx="1">
                  <c:v>340.5</c:v>
                </c:pt>
                <c:pt idx="2">
                  <c:v>343.8</c:v>
                </c:pt>
                <c:pt idx="3">
                  <c:v>346.8</c:v>
                </c:pt>
                <c:pt idx="4">
                  <c:v>350</c:v>
                </c:pt>
                <c:pt idx="5">
                  <c:v>350.6</c:v>
                </c:pt>
                <c:pt idx="6">
                  <c:v>352.3</c:v>
                </c:pt>
                <c:pt idx="7">
                  <c:v>352.9</c:v>
                </c:pt>
                <c:pt idx="8">
                  <c:v>354.8</c:v>
                </c:pt>
                <c:pt idx="9">
                  <c:v>357.3</c:v>
                </c:pt>
                <c:pt idx="10">
                  <c:v>381.1</c:v>
                </c:pt>
                <c:pt idx="11">
                  <c:v>383.4</c:v>
                </c:pt>
                <c:pt idx="12">
                  <c:v>386.9</c:v>
                </c:pt>
                <c:pt idx="13">
                  <c:v>389.9</c:v>
                </c:pt>
                <c:pt idx="14">
                  <c:v>391.2</c:v>
                </c:pt>
                <c:pt idx="15">
                  <c:v>391.9</c:v>
                </c:pt>
                <c:pt idx="16">
                  <c:v>402</c:v>
                </c:pt>
                <c:pt idx="17">
                  <c:v>403.2</c:v>
                </c:pt>
                <c:pt idx="18">
                  <c:v>403.7</c:v>
                </c:pt>
                <c:pt idx="19">
                  <c:v>407.6</c:v>
                </c:pt>
                <c:pt idx="20">
                  <c:v>407.7</c:v>
                </c:pt>
                <c:pt idx="21">
                  <c:v>408.8</c:v>
                </c:pt>
                <c:pt idx="22">
                  <c:v>413.3</c:v>
                </c:pt>
                <c:pt idx="23">
                  <c:v>414.4</c:v>
                </c:pt>
                <c:pt idx="24">
                  <c:v>417.4</c:v>
                </c:pt>
                <c:pt idx="25">
                  <c:v>417.6</c:v>
                </c:pt>
                <c:pt idx="26">
                  <c:v>417.9</c:v>
                </c:pt>
                <c:pt idx="27">
                  <c:v>420.9</c:v>
                </c:pt>
                <c:pt idx="28">
                  <c:v>425.7</c:v>
                </c:pt>
                <c:pt idx="29">
                  <c:v>425.8</c:v>
                </c:pt>
                <c:pt idx="30">
                  <c:v>426.8</c:v>
                </c:pt>
                <c:pt idx="31">
                  <c:v>428.9</c:v>
                </c:pt>
                <c:pt idx="32">
                  <c:v>431.3</c:v>
                </c:pt>
                <c:pt idx="33">
                  <c:v>433.5</c:v>
                </c:pt>
                <c:pt idx="34">
                  <c:v>435.5</c:v>
                </c:pt>
                <c:pt idx="35">
                  <c:v>437.9</c:v>
                </c:pt>
                <c:pt idx="36">
                  <c:v>440</c:v>
                </c:pt>
                <c:pt idx="37">
                  <c:v>440.4</c:v>
                </c:pt>
                <c:pt idx="38">
                  <c:v>441.2</c:v>
                </c:pt>
                <c:pt idx="39">
                  <c:v>441.4</c:v>
                </c:pt>
                <c:pt idx="40">
                  <c:v>444.4</c:v>
                </c:pt>
                <c:pt idx="41">
                  <c:v>447.2</c:v>
                </c:pt>
                <c:pt idx="42">
                  <c:v>453.7</c:v>
                </c:pt>
                <c:pt idx="43">
                  <c:v>454.1</c:v>
                </c:pt>
                <c:pt idx="44">
                  <c:v>457.6</c:v>
                </c:pt>
                <c:pt idx="45">
                  <c:v>460.5</c:v>
                </c:pt>
                <c:pt idx="46">
                  <c:v>469.6</c:v>
                </c:pt>
                <c:pt idx="47">
                  <c:v>469.8</c:v>
                </c:pt>
                <c:pt idx="48">
                  <c:v>473.4</c:v>
                </c:pt>
                <c:pt idx="49">
                  <c:v>476.2</c:v>
                </c:pt>
                <c:pt idx="50">
                  <c:v>480.4</c:v>
                </c:pt>
                <c:pt idx="51">
                  <c:v>489.9</c:v>
                </c:pt>
                <c:pt idx="52">
                  <c:v>499.7</c:v>
                </c:pt>
                <c:pt idx="53">
                  <c:v>501.3</c:v>
                </c:pt>
                <c:pt idx="54">
                  <c:v>504.9</c:v>
                </c:pt>
              </c:numCache>
            </c:numRef>
          </c:val>
          <c:extLst>
            <c:ext xmlns:c16="http://schemas.microsoft.com/office/drawing/2014/chart" uri="{C3380CC4-5D6E-409C-BE32-E72D297353CC}">
              <c16:uniqueId val="{00000004-2339-4787-8FE7-68DF4D6E8C60}"/>
            </c:ext>
          </c:extLst>
        </c:ser>
        <c:dLbls>
          <c:showLegendKey val="0"/>
          <c:showVal val="0"/>
          <c:showCatName val="0"/>
          <c:showSerName val="0"/>
          <c:showPercent val="0"/>
          <c:showBubbleSize val="0"/>
        </c:dLbls>
        <c:gapWidth val="0"/>
        <c:overlap val="100"/>
        <c:axId val="119566336"/>
        <c:axId val="119568640"/>
      </c:barChart>
      <c:catAx>
        <c:axId val="119566336"/>
        <c:scaling>
          <c:orientation val="minMax"/>
        </c:scaling>
        <c:delete val="0"/>
        <c:axPos val="b"/>
        <c:numFmt formatCode="General" sourceLinked="1"/>
        <c:majorTickMark val="none"/>
        <c:minorTickMark val="none"/>
        <c:tickLblPos val="none"/>
        <c:crossAx val="119568640"/>
        <c:crosses val="autoZero"/>
        <c:auto val="1"/>
        <c:lblAlgn val="ctr"/>
        <c:lblOffset val="100"/>
        <c:noMultiLvlLbl val="0"/>
      </c:catAx>
      <c:valAx>
        <c:axId val="119568640"/>
        <c:scaling>
          <c:orientation val="minMax"/>
        </c:scaling>
        <c:delete val="0"/>
        <c:axPos val="l"/>
        <c:numFmt formatCode="0" sourceLinked="0"/>
        <c:majorTickMark val="out"/>
        <c:minorTickMark val="none"/>
        <c:tickLblPos val="nextTo"/>
        <c:txPr>
          <a:bodyPr rot="0" vert="horz"/>
          <a:lstStyle/>
          <a:p>
            <a:pPr>
              <a:defRPr/>
            </a:pPr>
            <a:endParaRPr lang="en-US"/>
          </a:p>
        </c:txPr>
        <c:crossAx val="119566336"/>
        <c:crosses val="autoZero"/>
        <c:crossBetween val="between"/>
      </c:valAx>
      <c:spPr>
        <a:ln>
          <a:noFill/>
        </a:ln>
      </c:spPr>
    </c:plotArea>
    <c:plotVisOnly val="1"/>
    <c:dispBlanksAs val="gap"/>
    <c:showDLblsOverMax val="0"/>
  </c:chart>
  <c:spPr>
    <a:ln>
      <a:noFill/>
    </a:ln>
  </c:spPr>
  <c:printSettings>
    <c:headerFooter alignWithMargins="0"/>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828-443C-8704-A7EF3593CDF6}"/>
              </c:ext>
            </c:extLst>
          </c:dPt>
          <c:cat>
            <c:strRef>
              <c:f>Profile!$D$48:$D$53</c:f>
              <c:strCache>
                <c:ptCount val="5"/>
                <c:pt idx="0">
                  <c:v>Cheshire East</c:v>
                </c:pt>
                <c:pt idx="1">
                  <c:v>Unitaries</c:v>
                </c:pt>
                <c:pt idx="2">
                  <c:v>Regional</c:v>
                </c:pt>
                <c:pt idx="3">
                  <c:v> Rural </c:v>
                </c:pt>
                <c:pt idx="4">
                  <c:v>Rural</c:v>
                </c:pt>
              </c:strCache>
            </c:strRef>
          </c:cat>
          <c:val>
            <c:numRef>
              <c:f>Profile!$E$48:$E$51</c:f>
              <c:numCache>
                <c:formatCode>0.00</c:formatCode>
                <c:ptCount val="4"/>
                <c:pt idx="0">
                  <c:v>501.3</c:v>
                </c:pt>
                <c:pt idx="1">
                  <c:v>418.71636363636361</c:v>
                </c:pt>
                <c:pt idx="2">
                  <c:v>442.06666666666666</c:v>
                </c:pt>
                <c:pt idx="3">
                  <c:v>451.5263157894737</c:v>
                </c:pt>
              </c:numCache>
            </c:numRef>
          </c:val>
          <c:extLst>
            <c:ext xmlns:c16="http://schemas.microsoft.com/office/drawing/2014/chart" uri="{C3380CC4-5D6E-409C-BE32-E72D297353CC}">
              <c16:uniqueId val="{00000001-3828-443C-8704-A7EF3593CDF6}"/>
            </c:ext>
          </c:extLst>
        </c:ser>
        <c:dLbls>
          <c:showLegendKey val="0"/>
          <c:showVal val="0"/>
          <c:showCatName val="0"/>
          <c:showSerName val="0"/>
          <c:showPercent val="0"/>
          <c:showBubbleSize val="0"/>
        </c:dLbls>
        <c:gapWidth val="39"/>
        <c:overlap val="100"/>
        <c:axId val="133468928"/>
        <c:axId val="13347084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390.54999999999995</c:v>
                </c:pt>
                <c:pt idx="1">
                  <c:v>390.54999999999995</c:v>
                </c:pt>
                <c:pt idx="2">
                  <c:v>390.54999999999995</c:v>
                </c:pt>
                <c:pt idx="3">
                  <c:v>390.54999999999995</c:v>
                </c:pt>
              </c:numCache>
            </c:numRef>
          </c:val>
          <c:smooth val="0"/>
          <c:extLst>
            <c:ext xmlns:c16="http://schemas.microsoft.com/office/drawing/2014/chart" uri="{C3380CC4-5D6E-409C-BE32-E72D297353CC}">
              <c16:uniqueId val="{00000002-3828-443C-8704-A7EF3593CDF6}"/>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420.9</c:v>
                </c:pt>
                <c:pt idx="1">
                  <c:v>420.9</c:v>
                </c:pt>
                <c:pt idx="2">
                  <c:v>420.9</c:v>
                </c:pt>
                <c:pt idx="3">
                  <c:v>420.9</c:v>
                </c:pt>
              </c:numCache>
            </c:numRef>
          </c:val>
          <c:smooth val="0"/>
          <c:extLst>
            <c:ext xmlns:c16="http://schemas.microsoft.com/office/drawing/2014/chart" uri="{C3380CC4-5D6E-409C-BE32-E72D297353CC}">
              <c16:uniqueId val="{00000003-3828-443C-8704-A7EF3593CDF6}"/>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445.79999999999995</c:v>
                </c:pt>
                <c:pt idx="1">
                  <c:v>445.79999999999995</c:v>
                </c:pt>
                <c:pt idx="2">
                  <c:v>445.79999999999995</c:v>
                </c:pt>
                <c:pt idx="3">
                  <c:v>445.79999999999995</c:v>
                </c:pt>
              </c:numCache>
            </c:numRef>
          </c:val>
          <c:smooth val="0"/>
          <c:extLst>
            <c:ext xmlns:c16="http://schemas.microsoft.com/office/drawing/2014/chart" uri="{C3380CC4-5D6E-409C-BE32-E72D297353CC}">
              <c16:uniqueId val="{00000004-3828-443C-8704-A7EF3593CDF6}"/>
            </c:ext>
          </c:extLst>
        </c:ser>
        <c:dLbls>
          <c:showLegendKey val="0"/>
          <c:showVal val="0"/>
          <c:showCatName val="0"/>
          <c:showSerName val="0"/>
          <c:showPercent val="0"/>
          <c:showBubbleSize val="0"/>
        </c:dLbls>
        <c:marker val="1"/>
        <c:smooth val="0"/>
        <c:axId val="133468928"/>
        <c:axId val="133470848"/>
      </c:lineChart>
      <c:catAx>
        <c:axId val="13346892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70848"/>
        <c:crosses val="autoZero"/>
        <c:auto val="1"/>
        <c:lblAlgn val="ctr"/>
        <c:lblOffset val="100"/>
        <c:noMultiLvlLbl val="0"/>
      </c:catAx>
      <c:valAx>
        <c:axId val="13347084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8928"/>
        <c:crosses val="autoZero"/>
        <c:crossBetween val="between"/>
      </c:valAx>
    </c:plotArea>
    <c:legend>
      <c:legendPos val="b"/>
      <c:legendEntry>
        <c:idx val="0"/>
        <c:delete val="1"/>
      </c:legendEntry>
      <c:layout>
        <c:manualLayout>
          <c:xMode val="edge"/>
          <c:yMode val="edge"/>
          <c:x val="0.10120783739241847"/>
          <c:y val="0.90916944591436166"/>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296E-2"/>
          <c:y val="6.0725521892544924E-2"/>
          <c:w val="0.93589299789538694"/>
          <c:h val="0.666603744068419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80E2-475A-B75E-4E4A4F5373C6}"/>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501.3</c:v>
                </c:pt>
                <c:pt idx="1">
                  <c:v>453.44545454545454</c:v>
                </c:pt>
                <c:pt idx="2">
                  <c:v>401.39999999999992</c:v>
                </c:pt>
                <c:pt idx="3">
                  <c:v>448.88749999999999</c:v>
                </c:pt>
              </c:numCache>
            </c:numRef>
          </c:val>
          <c:extLst>
            <c:ext xmlns:c16="http://schemas.microsoft.com/office/drawing/2014/chart" uri="{C3380CC4-5D6E-409C-BE32-E72D297353CC}">
              <c16:uniqueId val="{00000001-80E2-475A-B75E-4E4A4F5373C6}"/>
            </c:ext>
          </c:extLst>
        </c:ser>
        <c:dLbls>
          <c:showLegendKey val="0"/>
          <c:showVal val="0"/>
          <c:showCatName val="0"/>
          <c:showSerName val="0"/>
          <c:showPercent val="0"/>
          <c:showBubbleSize val="0"/>
        </c:dLbls>
        <c:gapWidth val="39"/>
        <c:overlap val="100"/>
        <c:axId val="136026752"/>
        <c:axId val="14197184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390.54999999999995</c:v>
                </c:pt>
                <c:pt idx="1">
                  <c:v>390.54999999999995</c:v>
                </c:pt>
                <c:pt idx="2">
                  <c:v>390.54999999999995</c:v>
                </c:pt>
                <c:pt idx="3">
                  <c:v>390.54999999999995</c:v>
                </c:pt>
              </c:numCache>
            </c:numRef>
          </c:val>
          <c:smooth val="0"/>
          <c:extLst>
            <c:ext xmlns:c16="http://schemas.microsoft.com/office/drawing/2014/chart" uri="{C3380CC4-5D6E-409C-BE32-E72D297353CC}">
              <c16:uniqueId val="{00000002-80E2-475A-B75E-4E4A4F5373C6}"/>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420.9</c:v>
                </c:pt>
                <c:pt idx="1">
                  <c:v>420.9</c:v>
                </c:pt>
                <c:pt idx="2">
                  <c:v>420.9</c:v>
                </c:pt>
                <c:pt idx="3">
                  <c:v>420.9</c:v>
                </c:pt>
              </c:numCache>
            </c:numRef>
          </c:val>
          <c:smooth val="0"/>
          <c:extLst>
            <c:ext xmlns:c16="http://schemas.microsoft.com/office/drawing/2014/chart" uri="{C3380CC4-5D6E-409C-BE32-E72D297353CC}">
              <c16:uniqueId val="{00000003-80E2-475A-B75E-4E4A4F5373C6}"/>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445.79999999999995</c:v>
                </c:pt>
                <c:pt idx="1">
                  <c:v>445.79999999999995</c:v>
                </c:pt>
                <c:pt idx="2">
                  <c:v>445.79999999999995</c:v>
                </c:pt>
                <c:pt idx="3">
                  <c:v>445.79999999999995</c:v>
                </c:pt>
              </c:numCache>
            </c:numRef>
          </c:val>
          <c:smooth val="0"/>
          <c:extLst>
            <c:ext xmlns:c16="http://schemas.microsoft.com/office/drawing/2014/chart" uri="{C3380CC4-5D6E-409C-BE32-E72D297353CC}">
              <c16:uniqueId val="{00000004-80E2-475A-B75E-4E4A4F5373C6}"/>
            </c:ext>
          </c:extLst>
        </c:ser>
        <c:dLbls>
          <c:showLegendKey val="0"/>
          <c:showVal val="0"/>
          <c:showCatName val="0"/>
          <c:showSerName val="0"/>
          <c:showPercent val="0"/>
          <c:showBubbleSize val="0"/>
        </c:dLbls>
        <c:marker val="1"/>
        <c:smooth val="0"/>
        <c:axId val="136026752"/>
        <c:axId val="141971840"/>
      </c:lineChart>
      <c:catAx>
        <c:axId val="1360267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971840"/>
        <c:crosses val="autoZero"/>
        <c:auto val="1"/>
        <c:lblAlgn val="ctr"/>
        <c:lblOffset val="100"/>
        <c:noMultiLvlLbl val="0"/>
      </c:catAx>
      <c:valAx>
        <c:axId val="14197184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602675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6" t="str">
        <f>VLOOKUP('Filtered Data'!D1,'Filtered Data'!L1:O6,3,FALSE)</f>
        <v>Unitary</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6"/>
    </row>
    <row r="2" spans="2:40"/>
    <row r="3" spans="2:40" ht="19.5" customHeight="1">
      <c r="B3" s="338" t="str">
        <f>Data!B3</f>
        <v>Waste Management Indicators</v>
      </c>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row>
    <row r="4" spans="2:40">
      <c r="D4" s="3"/>
      <c r="E4" s="3"/>
    </row>
    <row r="5" spans="2:40" ht="15.75" customHeight="1">
      <c r="B5" s="326" t="s">
        <v>334</v>
      </c>
      <c r="C5" s="326"/>
      <c r="D5" s="326"/>
      <c r="E5" s="326"/>
      <c r="J5" s="330" t="s">
        <v>304</v>
      </c>
      <c r="K5" s="330"/>
      <c r="L5" s="330"/>
      <c r="M5" s="330"/>
      <c r="N5" s="330"/>
      <c r="O5" s="330"/>
      <c r="P5" s="330"/>
      <c r="Q5" s="330"/>
      <c r="R5" s="330"/>
      <c r="S5" s="330"/>
      <c r="W5" s="309" t="s">
        <v>361</v>
      </c>
      <c r="X5" s="310"/>
      <c r="Y5" s="310"/>
      <c r="Z5" s="310"/>
      <c r="AA5" s="310"/>
      <c r="AB5" s="310"/>
      <c r="AC5" s="310"/>
      <c r="AD5" s="310"/>
      <c r="AE5" s="310"/>
      <c r="AF5" s="310"/>
      <c r="AG5" s="310"/>
      <c r="AH5" s="310"/>
      <c r="AI5" s="310"/>
      <c r="AJ5" s="310"/>
      <c r="AK5" s="310"/>
      <c r="AL5" s="310"/>
      <c r="AM5" s="311"/>
    </row>
    <row r="6" spans="2:40" ht="17.25" customHeight="1">
      <c r="J6" s="330"/>
      <c r="K6" s="330"/>
      <c r="L6" s="330"/>
      <c r="M6" s="330"/>
      <c r="N6" s="330"/>
      <c r="O6" s="330"/>
      <c r="P6" s="330"/>
      <c r="Q6" s="330"/>
      <c r="R6" s="330"/>
      <c r="S6" s="330"/>
      <c r="W6" s="312" t="s">
        <v>895</v>
      </c>
      <c r="X6" s="313"/>
      <c r="Y6" s="313"/>
      <c r="Z6" s="313"/>
      <c r="AA6" s="313"/>
      <c r="AB6" s="313"/>
      <c r="AC6" s="313"/>
      <c r="AD6" s="313"/>
      <c r="AE6" s="313"/>
      <c r="AF6" s="313"/>
      <c r="AG6" s="313"/>
      <c r="AH6" s="313"/>
      <c r="AI6" s="313"/>
      <c r="AJ6" s="313"/>
      <c r="AK6" s="313"/>
      <c r="AL6" s="313"/>
      <c r="AM6" s="314"/>
    </row>
    <row r="7" spans="2:40" ht="12.75" customHeight="1">
      <c r="W7" s="312"/>
      <c r="X7" s="313"/>
      <c r="Y7" s="313"/>
      <c r="Z7" s="313"/>
      <c r="AA7" s="313"/>
      <c r="AB7" s="313"/>
      <c r="AC7" s="313"/>
      <c r="AD7" s="313"/>
      <c r="AE7" s="313"/>
      <c r="AF7" s="313"/>
      <c r="AG7" s="313"/>
      <c r="AH7" s="313"/>
      <c r="AI7" s="313"/>
      <c r="AJ7" s="313"/>
      <c r="AK7" s="313"/>
      <c r="AL7" s="313"/>
      <c r="AM7" s="314"/>
    </row>
    <row r="8" spans="2:40" ht="12.75" customHeight="1">
      <c r="B8" s="331" t="str">
        <f>IF('Filtered Data'!D1="L","County:","Type of Authority:")</f>
        <v>Type of Authority:</v>
      </c>
      <c r="C8" s="304"/>
      <c r="D8" s="304"/>
      <c r="E8" s="304"/>
      <c r="F8" s="304"/>
      <c r="G8" s="304"/>
      <c r="H8" s="304"/>
      <c r="I8" s="304"/>
      <c r="J8" s="79" t="str">
        <f>IF('Filtered Data'!D1="L",'Filtered Data'!I3,VLOOKUP('Filtered Data'!D1,'Filtered Data'!L1:O5,3,FALSE))</f>
        <v>Unitary</v>
      </c>
      <c r="K8" s="79"/>
      <c r="L8" s="79"/>
      <c r="M8" s="79"/>
      <c r="N8" s="79"/>
      <c r="O8" s="79"/>
      <c r="P8" s="79"/>
      <c r="Q8" s="79"/>
      <c r="R8" s="79"/>
      <c r="W8" s="312"/>
      <c r="X8" s="313"/>
      <c r="Y8" s="313"/>
      <c r="Z8" s="313"/>
      <c r="AA8" s="313"/>
      <c r="AB8" s="313"/>
      <c r="AC8" s="313"/>
      <c r="AD8" s="313"/>
      <c r="AE8" s="313"/>
      <c r="AF8" s="313"/>
      <c r="AG8" s="313"/>
      <c r="AH8" s="313"/>
      <c r="AI8" s="313"/>
      <c r="AJ8" s="313"/>
      <c r="AK8" s="313"/>
      <c r="AL8" s="313"/>
      <c r="AM8" s="314"/>
    </row>
    <row r="9" spans="2:40" ht="12.75" customHeight="1">
      <c r="B9" s="331" t="str">
        <f>IF('Filtered Data'!D1="L","Rural Classification:","Region:")</f>
        <v>Region:</v>
      </c>
      <c r="C9" s="304"/>
      <c r="D9" s="304"/>
      <c r="E9" s="304"/>
      <c r="F9" s="304"/>
      <c r="G9" s="304"/>
      <c r="H9" s="304"/>
      <c r="I9" s="304"/>
      <c r="J9" s="79" t="str">
        <f>IF('Filtered Data'!D1="L",'Filtered Data'!H3,'Filtered Data'!G3)</f>
        <v>North West</v>
      </c>
      <c r="K9" s="79"/>
      <c r="L9" s="79"/>
      <c r="M9" s="79"/>
      <c r="N9" s="79"/>
      <c r="O9" s="79"/>
      <c r="P9" s="79"/>
      <c r="Q9" s="79"/>
      <c r="R9" s="79"/>
      <c r="W9" s="312"/>
      <c r="X9" s="313"/>
      <c r="Y9" s="313"/>
      <c r="Z9" s="313"/>
      <c r="AA9" s="313"/>
      <c r="AB9" s="313"/>
      <c r="AC9" s="313"/>
      <c r="AD9" s="313"/>
      <c r="AE9" s="313"/>
      <c r="AF9" s="313"/>
      <c r="AG9" s="313"/>
      <c r="AH9" s="313"/>
      <c r="AI9" s="313"/>
      <c r="AJ9" s="313"/>
      <c r="AK9" s="313"/>
      <c r="AL9" s="313"/>
      <c r="AM9" s="314"/>
    </row>
    <row r="10" spans="2:40" ht="12.75" customHeight="1">
      <c r="B10" s="304" t="str">
        <f>IF('Filtered Data'!D1="L","",IF('Filtered Data'!D1="SC","Rural Classification:",IF('Filtered Data'!D1="UA","Rural Classification:","County:")))</f>
        <v>Rural Classification:</v>
      </c>
      <c r="C10" s="304"/>
      <c r="D10" s="304"/>
      <c r="E10" s="304"/>
      <c r="F10" s="304"/>
      <c r="G10" s="304"/>
      <c r="H10" s="304"/>
      <c r="I10" s="304"/>
      <c r="J10" s="292" t="str">
        <f>IF('Filtered Data'!D1="L","",IF('Filtered Data'!D1="MD",'Filtered Data'!I3,IF('Filtered Data'!D1="SD",'Filtered Data'!I3,'Filtered Data'!H3)))</f>
        <v>Urban with Significant Rural (rural including hub towns 26-49%)</v>
      </c>
      <c r="K10" s="292"/>
      <c r="L10" s="292"/>
      <c r="M10" s="292"/>
      <c r="N10" s="292"/>
      <c r="O10" s="292"/>
      <c r="P10" s="292"/>
      <c r="Q10" s="292"/>
      <c r="R10" s="292"/>
      <c r="W10" s="312"/>
      <c r="X10" s="313"/>
      <c r="Y10" s="313"/>
      <c r="Z10" s="313"/>
      <c r="AA10" s="313"/>
      <c r="AB10" s="313"/>
      <c r="AC10" s="313"/>
      <c r="AD10" s="313"/>
      <c r="AE10" s="313"/>
      <c r="AF10" s="313"/>
      <c r="AG10" s="313"/>
      <c r="AH10" s="313"/>
      <c r="AI10" s="313"/>
      <c r="AJ10" s="313"/>
      <c r="AK10" s="313"/>
      <c r="AL10" s="313"/>
      <c r="AM10" s="314"/>
    </row>
    <row r="11" spans="2:40" ht="12.75" customHeight="1">
      <c r="B11" s="304" t="str">
        <f>IF('Filtered Data'!D1="L","",IF('Filtered Data'!D1="SC","",IF('Filtered Data'!D1="UA","","Rural Classification:")))</f>
        <v/>
      </c>
      <c r="C11" s="304"/>
      <c r="D11" s="304"/>
      <c r="E11" s="304"/>
      <c r="F11" s="304"/>
      <c r="G11" s="304"/>
      <c r="H11" s="304"/>
      <c r="I11" s="304"/>
      <c r="J11" s="79" t="str">
        <f>IF('Filtered Data'!D1="MD",'Filtered Data'!H3,IF('Filtered Data'!D1="SD",'Filtered Data'!H3,""))</f>
        <v/>
      </c>
      <c r="K11" s="79"/>
      <c r="W11" s="318" t="s">
        <v>364</v>
      </c>
      <c r="X11" s="319"/>
      <c r="Y11" s="319"/>
      <c r="Z11" s="319"/>
      <c r="AA11" s="319"/>
      <c r="AB11" s="319"/>
      <c r="AC11" s="319"/>
      <c r="AD11" s="319"/>
      <c r="AE11" s="319"/>
      <c r="AF11" s="319"/>
      <c r="AG11" s="319"/>
      <c r="AH11" s="319"/>
      <c r="AI11" s="319"/>
      <c r="AJ11" s="319"/>
      <c r="AK11" s="319"/>
      <c r="AL11" s="319"/>
      <c r="AM11" s="320"/>
    </row>
    <row r="12" spans="2:40" ht="12.75" customHeight="1">
      <c r="W12" s="357" t="s">
        <v>914</v>
      </c>
      <c r="X12" s="358"/>
      <c r="Y12" s="358"/>
      <c r="Z12" s="358"/>
      <c r="AA12" s="358"/>
      <c r="AB12" s="358"/>
      <c r="AC12" s="358"/>
      <c r="AD12" s="358"/>
      <c r="AE12" s="358"/>
      <c r="AF12" s="358"/>
      <c r="AG12" s="358"/>
      <c r="AH12" s="358"/>
      <c r="AI12" s="358"/>
      <c r="AJ12" s="358"/>
      <c r="AK12" s="358"/>
      <c r="AL12" s="358"/>
      <c r="AM12" s="359"/>
    </row>
    <row r="13" spans="2:40" ht="12.75" customHeight="1">
      <c r="B13" s="25"/>
      <c r="C13" s="25"/>
      <c r="D13" s="25"/>
      <c r="E13" s="25"/>
      <c r="F13" s="25"/>
      <c r="G13" s="25"/>
      <c r="H13" s="25"/>
      <c r="I13" s="25"/>
      <c r="J13" s="3"/>
      <c r="K13" s="3"/>
      <c r="L13" s="3"/>
      <c r="M13" s="3"/>
      <c r="N13" s="3"/>
      <c r="O13" s="3"/>
      <c r="P13" s="3"/>
      <c r="Q13" s="3"/>
      <c r="R13" s="3"/>
      <c r="W13" s="305" t="s">
        <v>365</v>
      </c>
      <c r="X13" s="306"/>
      <c r="Y13" s="306"/>
      <c r="Z13" s="306"/>
      <c r="AA13" s="306"/>
      <c r="AB13" s="306"/>
      <c r="AC13" s="306"/>
      <c r="AD13" s="306"/>
      <c r="AE13" s="306"/>
      <c r="AF13" s="306"/>
      <c r="AG13" s="306"/>
      <c r="AH13" s="306"/>
      <c r="AI13" s="306"/>
      <c r="AJ13" s="306"/>
      <c r="AK13" s="306"/>
      <c r="AL13" s="306"/>
      <c r="AM13" s="307"/>
    </row>
    <row r="14" spans="2:40" ht="25.5" customHeight="1">
      <c r="B14" s="25"/>
      <c r="C14" s="25"/>
      <c r="D14" s="25"/>
      <c r="E14" s="25"/>
      <c r="F14" s="25"/>
      <c r="G14" s="25"/>
      <c r="H14" s="25"/>
      <c r="I14" s="25"/>
      <c r="J14" s="3"/>
      <c r="K14" s="3"/>
      <c r="L14" s="3"/>
      <c r="M14" s="3"/>
      <c r="N14" s="3"/>
      <c r="O14" s="3"/>
      <c r="P14" s="3"/>
      <c r="Q14" s="3"/>
      <c r="R14" s="3"/>
      <c r="W14" s="315" t="str">
        <f>HLOOKUP(W6,Data!4:6,3,FALSE)</f>
        <v>ENV18 - DEFRA</v>
      </c>
      <c r="X14" s="316"/>
      <c r="Y14" s="316"/>
      <c r="Z14" s="316"/>
      <c r="AA14" s="316"/>
      <c r="AB14" s="316"/>
      <c r="AC14" s="316"/>
      <c r="AD14" s="316"/>
      <c r="AE14" s="316"/>
      <c r="AF14" s="316"/>
      <c r="AG14" s="316"/>
      <c r="AH14" s="316"/>
      <c r="AI14" s="316"/>
      <c r="AJ14" s="316"/>
      <c r="AK14" s="316"/>
      <c r="AL14" s="316"/>
      <c r="AM14" s="317"/>
    </row>
    <row r="15" spans="2:40"/>
    <row r="16" spans="2:40">
      <c r="B16" s="294" t="str">
        <f>W6&amp;" - "&amp;W12</f>
        <v>Collected household waste per person (kg) (Ex BVPI 84a) - 2019-20</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23"/>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24"/>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8" t="s">
        <v>340</v>
      </c>
      <c r="F32" s="329"/>
      <c r="G32" s="329"/>
      <c r="H32" s="329"/>
      <c r="I32" s="329"/>
      <c r="J32" s="329"/>
      <c r="K32" s="327">
        <f>IF('Filtered Data'!$H$8="..",'Filtered Data'!O10,'Filtered Data'!O10/100)</f>
        <v>390.54999999999995</v>
      </c>
      <c r="L32" s="327"/>
      <c r="M32" s="327"/>
      <c r="N32" s="341" t="s">
        <v>351</v>
      </c>
      <c r="O32" s="341"/>
      <c r="P32" s="341"/>
      <c r="Q32" s="341"/>
      <c r="R32" s="341"/>
      <c r="S32" s="341"/>
      <c r="T32" s="327">
        <f>IF('Filtered Data'!$H$8="..",'Filtered Data'!P10,'Filtered Data'!P10/100)</f>
        <v>420.9</v>
      </c>
      <c r="U32" s="327"/>
      <c r="V32" s="327"/>
      <c r="W32" s="327"/>
      <c r="X32" s="325" t="s">
        <v>352</v>
      </c>
      <c r="Y32" s="325"/>
      <c r="Z32" s="325"/>
      <c r="AA32" s="325"/>
      <c r="AB32" s="325"/>
      <c r="AC32" s="327">
        <f>IF('Filtered Data'!$H$8="..",'Filtered Data'!Q10,'Filtered Data'!Q10/100)</f>
        <v>445.79999999999995</v>
      </c>
      <c r="AD32" s="327"/>
      <c r="AE32" s="327"/>
      <c r="AF32" s="308" t="s">
        <v>341</v>
      </c>
      <c r="AG32" s="308"/>
      <c r="AH32" s="308"/>
      <c r="AI32" s="308"/>
      <c r="AJ32" s="308"/>
      <c r="AK32" s="308"/>
      <c r="AL32" s="308"/>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22">
        <f>IF(ISERROR(IF('Filtered Data'!$H$8="%.",(VLOOKUP(J5,'Filtered Data'!C:H,4,FALSE))/100,(VLOOKUP(J5,'Filtered Data'!C:H,4,FALSE)))),"",(IF('Filtered Data'!$H$8="%.",(VLOOKUP(J5,'Filtered Data'!C:H,4,FALSE))/100,(VLOOKUP(J5,'Filtered Data'!C:H,4,FALSE)))))</f>
        <v>501.3</v>
      </c>
      <c r="M35" s="322"/>
      <c r="N35" s="322"/>
      <c r="O35" s="322"/>
      <c r="P35" s="135"/>
      <c r="Q35" s="322" t="s">
        <v>353</v>
      </c>
      <c r="R35" s="322"/>
      <c r="S35" s="322"/>
      <c r="T35" s="322"/>
      <c r="U35" s="322"/>
      <c r="V35" s="322"/>
      <c r="W35" s="322"/>
      <c r="AP35" s="85"/>
    </row>
    <row r="36" spans="2:16384" ht="12.75" customHeight="1">
      <c r="B36" s="321" t="str">
        <f>'Filtered Data'!R8&amp;" Quartile"</f>
        <v>Bottom Quartile</v>
      </c>
      <c r="C36" s="321"/>
      <c r="D36" s="321"/>
      <c r="E36" s="321"/>
      <c r="F36" s="321"/>
      <c r="G36" s="321"/>
      <c r="H36" s="321"/>
      <c r="I36" s="321"/>
      <c r="J36" s="321"/>
      <c r="K36" s="321"/>
      <c r="L36" s="321"/>
      <c r="M36" s="321"/>
      <c r="N36" s="321"/>
      <c r="O36" s="321"/>
      <c r="P36" s="321"/>
      <c r="Q36" s="321"/>
      <c r="R36" s="321"/>
      <c r="S36" s="321"/>
      <c r="T36" s="321"/>
      <c r="U36" s="321"/>
      <c r="V36" s="321"/>
      <c r="W36" s="321"/>
      <c r="Z36" s="21" t="s">
        <v>357</v>
      </c>
      <c r="AB36" s="344" t="s">
        <v>359</v>
      </c>
      <c r="AC36" s="344"/>
      <c r="AD36" s="344"/>
      <c r="AE36" s="344"/>
      <c r="AF36" s="344"/>
      <c r="AG36" s="344"/>
      <c r="AH36" s="344"/>
      <c r="AI36" s="344"/>
      <c r="AJ36" s="344"/>
      <c r="AK36" s="344"/>
      <c r="AL36" s="344"/>
      <c r="AM36" s="154"/>
      <c r="AP36" s="85"/>
    </row>
    <row r="37" spans="2:16384" ht="12.75" customHeight="1">
      <c r="B37" s="136" t="str">
        <f>VLOOKUP('Filtered Data'!D1,'Filtered Data'!L1:O6,2,FALSE)</f>
        <v>Unitaries</v>
      </c>
      <c r="C37" s="136"/>
      <c r="D37" s="136"/>
      <c r="E37" s="136"/>
      <c r="F37" s="136"/>
      <c r="G37" s="136"/>
      <c r="H37" s="136"/>
      <c r="I37" s="136"/>
      <c r="J37" s="365" t="s">
        <v>799</v>
      </c>
      <c r="K37" s="137" t="str">
        <f>IF(Q37="","",IF('Filtered Data'!I8="D",IF($L$35&gt;=L37,"J","L"),IF('Filtered Data'!I8="A",IF($L$35&lt;=L37,"J","L"))))</f>
        <v>L</v>
      </c>
      <c r="L37" s="334">
        <f>'Filtered Data'!M9</f>
        <v>418.71636363636361</v>
      </c>
      <c r="M37" s="334"/>
      <c r="N37" s="334"/>
      <c r="O37" s="334"/>
      <c r="P37" s="138"/>
      <c r="Q37" s="340">
        <f>VLOOKUP(J5,'Filtered Data'!C:I,7,FALSE)</f>
        <v>54</v>
      </c>
      <c r="R37" s="340"/>
      <c r="S37" s="139"/>
      <c r="T37" s="140" t="s">
        <v>354</v>
      </c>
      <c r="U37" s="141"/>
      <c r="V37" s="340">
        <f>COUNT('Filtered Data'!I11:I355)</f>
        <v>55</v>
      </c>
      <c r="W37" s="340"/>
      <c r="AB37" s="344"/>
      <c r="AC37" s="344"/>
      <c r="AD37" s="344"/>
      <c r="AE37" s="344"/>
      <c r="AF37" s="344"/>
      <c r="AG37" s="344"/>
      <c r="AH37" s="344"/>
      <c r="AI37" s="344"/>
      <c r="AJ37" s="344"/>
      <c r="AK37" s="344"/>
      <c r="AL37" s="344"/>
      <c r="AM37" s="154"/>
      <c r="AP37" s="85"/>
    </row>
    <row r="38" spans="2:16384">
      <c r="B38" s="136" t="str">
        <f>IF('Filtered Data'!D1="L","Family",IF('Filtered Data'!D1="SD",VLOOKUP(J5,classifications!C:J,6,FALSE),"Rural"))</f>
        <v>Rural</v>
      </c>
      <c r="C38" s="136"/>
      <c r="D38" s="136"/>
      <c r="E38" s="136"/>
      <c r="F38" s="136"/>
      <c r="G38" s="136"/>
      <c r="H38" s="136"/>
      <c r="I38" s="136"/>
      <c r="J38" s="366"/>
      <c r="K38" s="137" t="str">
        <f>IF(Q38="","",IF('Filtered Data'!I8="D",IF($L$35&gt;=L38,"J","L"),IF('Filtered Data'!I8="A",IF($L$35&lt;=L38,"J","L"))))</f>
        <v>L</v>
      </c>
      <c r="L38" s="334">
        <f>IF('Filtered Data'!D1="L",'Filtered Data'!AG9,'Filtered Data'!Y9)</f>
        <v>451.5263157894737</v>
      </c>
      <c r="M38" s="334"/>
      <c r="N38" s="334"/>
      <c r="O38" s="334"/>
      <c r="P38" s="138"/>
      <c r="Q38" s="343">
        <f>IF(ISERROR(IF('Filtered Data'!D1="L",VLOOKUP(J5,'Filtered Data'!AF11:AH26,3,FALSE),VLOOKUP(J5,'Filtered Data'!$L$11:$Z$355,15,FALSE))),"",(IF('Filtered Data'!D1="L",VLOOKUP(J5,'Filtered Data'!AF11:AH26,3,FALSE),VLOOKUP(J5,'Filtered Data'!$L$11:$Z$355,15,FALSE))))</f>
        <v>18</v>
      </c>
      <c r="R38" s="343"/>
      <c r="S38" s="333" t="s">
        <v>354</v>
      </c>
      <c r="T38" s="334"/>
      <c r="U38" s="334"/>
      <c r="V38" s="340">
        <f>IF('Filtered Data'!D1="L",16,COUNT('Filtered Data'!Z:Z))</f>
        <v>19</v>
      </c>
      <c r="W38" s="340"/>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66"/>
      <c r="K39" s="137" t="str">
        <f>IF(Q39="","",IF('Filtered Data'!I8="D",IF($L$35&gt;=L39,"J","L"),IF('Filtered Data'!I8="A",IF($L$35&lt;=L39,"J","L"))))</f>
        <v>L</v>
      </c>
      <c r="L39" s="334">
        <f>IF('Filtered Data'!D1="L","",IF('Filtered Data'!D1="SD",'Filtered Data'!AJ9,'Filtered Data'!AQ9))</f>
        <v>442.06666666666666</v>
      </c>
      <c r="M39" s="334"/>
      <c r="N39" s="334"/>
      <c r="O39" s="334"/>
      <c r="P39" s="138"/>
      <c r="Q39" s="340">
        <f>IF(ISERROR(IF('Filtered Data'!D1="L","",IF('Filtered Data'!D1="SD",VLOOKUP(J5,'Filtered Data'!L:AK,26,FALSE),(VLOOKUP(J5,'Filtered Data'!L:AR,33,FALSE))))),"",(IF('Filtered Data'!D1="L","",IF('Filtered Data'!D1="SD",VLOOKUP(J5,'Filtered Data'!L:AK,26,FALSE),(VLOOKUP(J5,'Filtered Data'!L:AR,33,FALSE))))))</f>
        <v>6</v>
      </c>
      <c r="R39" s="340"/>
      <c r="S39" s="139"/>
      <c r="T39" s="141" t="str">
        <f>IF(B39="","","out of")</f>
        <v>out of</v>
      </c>
      <c r="U39" s="141"/>
      <c r="V39" s="340">
        <f>IF('Filtered Data'!D1="L","",IF('Filtered Data'!D1="SD",COUNT('Filtered Data'!AK11:AK355),(COUNT('Filtered Data'!AQ11:AQ355))))</f>
        <v>6</v>
      </c>
      <c r="W39" s="340"/>
      <c r="Z39" s="13" t="s">
        <v>358</v>
      </c>
      <c r="AB39" s="344" t="s">
        <v>360</v>
      </c>
      <c r="AC39" s="344"/>
      <c r="AD39" s="344"/>
      <c r="AE39" s="344"/>
      <c r="AF39" s="344"/>
      <c r="AG39" s="344"/>
      <c r="AH39" s="344"/>
      <c r="AI39" s="344"/>
      <c r="AJ39" s="344"/>
      <c r="AK39" s="344"/>
      <c r="AL39" s="344"/>
      <c r="AM39" s="344"/>
      <c r="AP39" s="85"/>
    </row>
    <row r="40" spans="2:16384" ht="12.75" customHeight="1">
      <c r="B40" s="150"/>
      <c r="C40" s="150"/>
      <c r="D40" s="150"/>
      <c r="E40" s="150"/>
      <c r="F40" s="150"/>
      <c r="G40" s="150"/>
      <c r="H40" s="150"/>
      <c r="I40" s="150"/>
      <c r="J40" s="149"/>
      <c r="K40" s="151"/>
      <c r="L40" s="335"/>
      <c r="M40" s="335"/>
      <c r="N40" s="335"/>
      <c r="O40" s="335"/>
      <c r="P40" s="152"/>
      <c r="Q40" s="336"/>
      <c r="R40" s="336"/>
      <c r="S40" s="335"/>
      <c r="T40" s="339"/>
      <c r="U40" s="339"/>
      <c r="V40" s="336"/>
      <c r="W40" s="336"/>
      <c r="AB40" s="344"/>
      <c r="AC40" s="344"/>
      <c r="AD40" s="344"/>
      <c r="AE40" s="344"/>
      <c r="AF40" s="344"/>
      <c r="AG40" s="344"/>
      <c r="AH40" s="344"/>
      <c r="AI40" s="344"/>
      <c r="AJ40" s="344"/>
      <c r="AK40" s="344"/>
      <c r="AL40" s="344"/>
      <c r="AM40" s="344"/>
      <c r="AP40" s="85"/>
    </row>
    <row r="41" spans="2:16384">
      <c r="B41" s="282"/>
      <c r="C41" s="282"/>
      <c r="D41" s="282"/>
      <c r="E41" s="282"/>
      <c r="F41" s="282"/>
      <c r="G41" s="282"/>
      <c r="H41" s="282"/>
      <c r="I41" s="282"/>
      <c r="J41" s="149"/>
      <c r="K41" s="283" t="str">
        <f>IF(B41="","",IF('Filtered Data'!D1="UA","",(IF($L$35&gt;=L41,"J","L"))))</f>
        <v/>
      </c>
      <c r="L41" s="355"/>
      <c r="M41" s="355"/>
      <c r="N41" s="355"/>
      <c r="O41" s="355"/>
      <c r="P41" s="284"/>
      <c r="Q41" s="345"/>
      <c r="R41" s="345"/>
      <c r="S41" s="342"/>
      <c r="T41" s="342"/>
      <c r="U41" s="342"/>
      <c r="V41" s="345"/>
      <c r="W41" s="34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1" t="s">
        <v>356</v>
      </c>
      <c r="C43" s="352"/>
      <c r="D43" s="352"/>
      <c r="E43" s="352"/>
      <c r="F43" s="352"/>
      <c r="G43" s="352"/>
      <c r="H43" s="352"/>
      <c r="I43" s="352"/>
      <c r="J43" s="352"/>
      <c r="K43" s="352"/>
      <c r="L43" s="352"/>
      <c r="M43" s="352"/>
      <c r="N43" s="352"/>
      <c r="O43" s="347" t="str">
        <f>W6&amp;" - "&amp;W12</f>
        <v>Collected household waste per person (kg) (Ex BVPI 84a) - 2019-20</v>
      </c>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8"/>
      <c r="AP43" s="85"/>
    </row>
    <row r="44" spans="2:16384">
      <c r="B44" s="353"/>
      <c r="C44" s="354"/>
      <c r="D44" s="354"/>
      <c r="E44" s="354"/>
      <c r="F44" s="354"/>
      <c r="G44" s="354"/>
      <c r="H44" s="354"/>
      <c r="I44" s="354"/>
      <c r="J44" s="354"/>
      <c r="K44" s="354"/>
      <c r="L44" s="354"/>
      <c r="M44" s="354"/>
      <c r="N44" s="354"/>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5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32">
        <f>IF('Filtered Data'!$H$8="..",L35,L35*100)</f>
        <v>501.3</v>
      </c>
      <c r="F48" s="332"/>
      <c r="G48" s="332"/>
      <c r="H48" s="332"/>
      <c r="I48" s="6"/>
      <c r="J48" s="6"/>
      <c r="K48" s="287">
        <f>IF('Filtered Data'!$H$8="..",K$32,K$32*100)</f>
        <v>390.54999999999995</v>
      </c>
      <c r="L48" s="287"/>
      <c r="M48" s="287">
        <f>IF('Filtered Data'!$H$8="..",T$32,T$32*100)</f>
        <v>420.9</v>
      </c>
      <c r="N48" s="287"/>
      <c r="O48" s="287">
        <f>IF('Filtered Data'!$H$8="..",AC$32,AC$32*100)</f>
        <v>445.79999999999995</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2">
        <f>IF('Filtered Data'!$H$8="..",L37,L37*100)</f>
        <v>418.71636363636361</v>
      </c>
      <c r="F49" s="332"/>
      <c r="G49" s="332"/>
      <c r="H49" s="332"/>
      <c r="I49" s="6"/>
      <c r="J49" s="6"/>
      <c r="K49" s="287">
        <f>IF('Filtered Data'!$H$8="..",K$32,K$32*100)</f>
        <v>390.54999999999995</v>
      </c>
      <c r="L49" s="287"/>
      <c r="M49" s="287">
        <f>IF('Filtered Data'!$H$8="..",T$32,T$32*100)</f>
        <v>420.9</v>
      </c>
      <c r="N49" s="287"/>
      <c r="O49" s="287">
        <f>IF('Filtered Data'!$H$8="..",AC$32,AC$32*100)</f>
        <v>445.79999999999995</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2">
        <f>IF('Filtered Data'!$H$8="..",L39,L39*100)</f>
        <v>442.06666666666666</v>
      </c>
      <c r="F50" s="332"/>
      <c r="G50" s="332"/>
      <c r="H50" s="332"/>
      <c r="I50" s="6"/>
      <c r="J50" s="6"/>
      <c r="K50" s="287">
        <f>IF('Filtered Data'!$H$8="..",K$32,K$32*100)</f>
        <v>390.54999999999995</v>
      </c>
      <c r="L50" s="287"/>
      <c r="M50" s="287">
        <f>IF('Filtered Data'!$H$8="..",T$32,T$32*100)</f>
        <v>420.9</v>
      </c>
      <c r="N50" s="287"/>
      <c r="O50" s="287">
        <f>IF('Filtered Data'!$H$8="..",AC$32,AC$32*100)</f>
        <v>445.79999999999995</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32">
        <f>IF('Filtered Data'!$H$8="..",L38,L38*100)</f>
        <v>451.5263157894737</v>
      </c>
      <c r="F51" s="332"/>
      <c r="G51" s="332"/>
      <c r="H51" s="332"/>
      <c r="I51" s="6"/>
      <c r="J51" s="6"/>
      <c r="K51" s="287">
        <f>IF('Filtered Data'!$H$8="..",K$32,K$32*100)</f>
        <v>390.54999999999995</v>
      </c>
      <c r="L51" s="287"/>
      <c r="M51" s="287">
        <f>IF('Filtered Data'!$H$8="..",T$32,T$32*100)</f>
        <v>420.9</v>
      </c>
      <c r="N51" s="287"/>
      <c r="O51" s="287">
        <f>IF('Filtered Data'!$H$8="..",AC$32,AC$32*100)</f>
        <v>445.79999999999995</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32">
        <f>IF('Filtered Data'!$H$8="..",L38,L38*100)</f>
        <v>451.5263157894737</v>
      </c>
      <c r="F52" s="332"/>
      <c r="G52" s="332"/>
      <c r="H52" s="332"/>
      <c r="I52" s="6"/>
      <c r="J52" s="6"/>
      <c r="K52" s="287">
        <f>IF('Filtered Data'!$H$8="..",K$32,K$32*100)</f>
        <v>390.54999999999995</v>
      </c>
      <c r="L52" s="287"/>
      <c r="M52" s="287">
        <f>IF('Filtered Data'!$H$8="..",T$32,T$32*100)</f>
        <v>420.9</v>
      </c>
      <c r="N52" s="287"/>
      <c r="O52" s="287">
        <f>IF('Filtered Data'!$H$8="..",AC$32,AC$32*100)</f>
        <v>445.79999999999995</v>
      </c>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2"/>
      <c r="F53" s="362"/>
      <c r="G53" s="362"/>
      <c r="H53" s="362"/>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6" t="str">
        <f>B3</f>
        <v>Waste Management Indicators</v>
      </c>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P59" s="85"/>
    </row>
    <row r="60" spans="2:42">
      <c r="AP60" s="85"/>
    </row>
    <row r="61" spans="2:42" ht="12" customHeight="1">
      <c r="B61" s="1" t="str">
        <f>W6&amp;" - "&amp;W12</f>
        <v>Collected household waste per person (kg) (Ex BVPI 84a) - 2019-20</v>
      </c>
      <c r="AP61" s="85"/>
    </row>
    <row r="62" spans="2:42" ht="12" customHeight="1">
      <c r="AP62" s="85"/>
    </row>
    <row r="63" spans="2:42" ht="12" customHeight="1">
      <c r="B63" s="1" t="s">
        <v>362</v>
      </c>
      <c r="AP63" s="85"/>
    </row>
    <row r="64" spans="2:42" ht="12" customHeight="1">
      <c r="AP64" s="85"/>
    </row>
    <row r="65" spans="2:42" ht="12" customHeight="1">
      <c r="B65" s="302" t="s">
        <v>353</v>
      </c>
      <c r="C65" s="302"/>
      <c r="D65" s="302"/>
      <c r="E65" s="293" t="s">
        <v>333</v>
      </c>
      <c r="F65" s="293"/>
      <c r="G65" s="293"/>
      <c r="H65" s="293"/>
      <c r="I65" s="293"/>
      <c r="J65" s="293"/>
      <c r="K65" s="293"/>
      <c r="L65" s="293"/>
      <c r="M65" s="293"/>
      <c r="N65" s="293"/>
      <c r="O65" s="293"/>
      <c r="P65" s="293"/>
      <c r="Q65" s="293"/>
      <c r="R65" s="293"/>
      <c r="S65" s="293"/>
      <c r="T65" s="293"/>
      <c r="U65" s="302" t="s">
        <v>363</v>
      </c>
      <c r="V65" s="302"/>
      <c r="W65" s="302"/>
      <c r="X65" s="302"/>
      <c r="Y65" s="24"/>
      <c r="Z65" s="24"/>
      <c r="AA65" s="24"/>
      <c r="AB65" s="24"/>
      <c r="AC65" s="23"/>
      <c r="AD65" s="24"/>
      <c r="AE65" s="24"/>
      <c r="AF65" s="24"/>
      <c r="AG65" s="24"/>
      <c r="AH65" s="11"/>
      <c r="AI65" s="24"/>
      <c r="AJ65" s="24"/>
      <c r="AK65" s="24"/>
      <c r="AL65" s="24"/>
      <c r="AP65" s="85"/>
    </row>
    <row r="66" spans="2:42" ht="12" customHeight="1">
      <c r="B66" s="337">
        <v>1</v>
      </c>
      <c r="C66" s="291"/>
      <c r="D66" s="291"/>
      <c r="E66" s="292" t="str">
        <f>VLOOKUP(B66,'Filtered Data'!K:L,2,FALSE)</f>
        <v>Portsmouth</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330.4</v>
      </c>
      <c r="V66" s="289"/>
      <c r="W66" s="289"/>
      <c r="X66" s="289"/>
      <c r="Y66" s="181" t="str">
        <f>IF((VLOOKUP(E66,classifications!C:K,9,FALSE))="Sparse","S","")</f>
        <v/>
      </c>
      <c r="Z66" s="181"/>
      <c r="AA66" s="181"/>
      <c r="AB66" s="181"/>
      <c r="AC66" s="181"/>
      <c r="AD66" s="300"/>
      <c r="AE66" s="300"/>
      <c r="AF66" s="300"/>
      <c r="AG66" s="300"/>
      <c r="AH66" s="300"/>
      <c r="AI66" s="300"/>
      <c r="AJ66" s="300"/>
      <c r="AK66" s="300"/>
      <c r="AL66" s="300"/>
      <c r="AP66" s="85"/>
    </row>
    <row r="67" spans="2:42" ht="12" customHeight="1">
      <c r="B67" s="337">
        <v>2</v>
      </c>
      <c r="C67" s="291"/>
      <c r="D67" s="291"/>
      <c r="E67" s="292" t="str">
        <f>VLOOKUP(B67,'Filtered Data'!K:L,2,FALSE)</f>
        <v>Southampton</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340.5</v>
      </c>
      <c r="V67" s="289"/>
      <c r="W67" s="289"/>
      <c r="X67" s="289"/>
      <c r="Y67" s="181" t="str">
        <f>IF((VLOOKUP(E67,classifications!C:K,9,FALSE))="Sparse","S","")</f>
        <v/>
      </c>
      <c r="Z67" s="181"/>
      <c r="AA67" s="181"/>
      <c r="AB67" s="181"/>
      <c r="AC67" s="181"/>
      <c r="AD67" s="300"/>
      <c r="AE67" s="300"/>
      <c r="AF67" s="300"/>
      <c r="AG67" s="300"/>
      <c r="AH67" s="300"/>
      <c r="AI67" s="300"/>
      <c r="AJ67" s="300"/>
      <c r="AK67" s="300"/>
      <c r="AL67" s="300"/>
      <c r="AP67" s="85"/>
    </row>
    <row r="68" spans="2:42" ht="12" customHeight="1">
      <c r="B68" s="337">
        <v>3</v>
      </c>
      <c r="C68" s="291"/>
      <c r="D68" s="291"/>
      <c r="E68" s="292" t="str">
        <f>VLOOKUP(B68,'Filtered Data'!K:L,2,FALSE)</f>
        <v>Nottingham</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343.8</v>
      </c>
      <c r="V68" s="289"/>
      <c r="W68" s="289"/>
      <c r="X68" s="289"/>
      <c r="Y68" s="181" t="str">
        <f>IF((VLOOKUP(E68,classifications!C:K,9,FALSE))="Sparse","S","")</f>
        <v/>
      </c>
      <c r="Z68" s="181"/>
      <c r="AA68" s="181"/>
      <c r="AB68" s="181"/>
      <c r="AC68" s="181"/>
      <c r="AD68" s="300"/>
      <c r="AE68" s="300"/>
      <c r="AF68" s="300"/>
      <c r="AG68" s="300"/>
      <c r="AH68" s="300"/>
      <c r="AI68" s="300"/>
      <c r="AJ68" s="300"/>
      <c r="AK68" s="300"/>
      <c r="AL68" s="300"/>
      <c r="AP68" s="85"/>
    </row>
    <row r="69" spans="2:42" ht="12" customHeight="1">
      <c r="B69" s="337">
        <v>4</v>
      </c>
      <c r="C69" s="291"/>
      <c r="D69" s="291"/>
      <c r="E69" s="292" t="str">
        <f>VLOOKUP(B69,'Filtered Data'!K:L,2,FALSE)</f>
        <v>Brighton &amp; Hove</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346.8</v>
      </c>
      <c r="V69" s="289"/>
      <c r="W69" s="289"/>
      <c r="X69" s="289"/>
      <c r="Y69" s="181" t="str">
        <f>IF((VLOOKUP(E69,classifications!C:K,9,FALSE))="Sparse","S","")</f>
        <v/>
      </c>
      <c r="Z69" s="181"/>
      <c r="AA69" s="181"/>
      <c r="AB69" s="181"/>
      <c r="AC69" s="181"/>
      <c r="AD69" s="300"/>
      <c r="AE69" s="300"/>
      <c r="AF69" s="300"/>
      <c r="AG69" s="300"/>
      <c r="AH69" s="300"/>
      <c r="AI69" s="300"/>
      <c r="AJ69" s="300"/>
      <c r="AK69" s="300"/>
      <c r="AL69" s="300"/>
      <c r="AP69" s="85"/>
    </row>
    <row r="70" spans="2:42" ht="12" customHeight="1">
      <c r="B70" s="337">
        <v>5</v>
      </c>
      <c r="C70" s="291"/>
      <c r="D70" s="291"/>
      <c r="E70" s="292" t="str">
        <f>VLOOKUP(B70,'Filtered Data'!K:L,2,FALSE)</f>
        <v>Luton</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350</v>
      </c>
      <c r="V70" s="289"/>
      <c r="W70" s="289"/>
      <c r="X70" s="289"/>
      <c r="Y70" s="181" t="str">
        <f>IF((VLOOKUP(E70,classifications!C:K,9,FALSE))="Sparse","S","")</f>
        <v/>
      </c>
      <c r="Z70" s="181"/>
      <c r="AA70" s="181"/>
      <c r="AB70" s="181"/>
      <c r="AC70" s="181"/>
      <c r="AD70" s="300"/>
      <c r="AE70" s="300"/>
      <c r="AF70" s="300"/>
      <c r="AG70" s="300"/>
      <c r="AH70" s="300"/>
      <c r="AI70" s="300"/>
      <c r="AJ70" s="300"/>
      <c r="AK70" s="300"/>
      <c r="AL70" s="300"/>
      <c r="AP70" s="85"/>
    </row>
    <row r="71" spans="2:42" ht="12" customHeight="1">
      <c r="B71" s="337">
        <v>6</v>
      </c>
      <c r="C71" s="291"/>
      <c r="D71" s="291"/>
      <c r="E71" s="292" t="str">
        <f>VLOOKUP(B71,'Filtered Data'!K:L,2,FALSE)</f>
        <v>Slough</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350.6</v>
      </c>
      <c r="V71" s="289"/>
      <c r="W71" s="289"/>
      <c r="X71" s="289"/>
      <c r="Y71" s="181" t="str">
        <f>IF((VLOOKUP(E71,classifications!C:K,9,FALSE))="Sparse","S","")</f>
        <v/>
      </c>
      <c r="Z71" s="181"/>
      <c r="AA71" s="181"/>
      <c r="AB71" s="181"/>
      <c r="AC71" s="181"/>
      <c r="AD71" s="300"/>
      <c r="AE71" s="300"/>
      <c r="AF71" s="300"/>
      <c r="AG71" s="300"/>
      <c r="AH71" s="300"/>
      <c r="AI71" s="300"/>
      <c r="AJ71" s="300"/>
      <c r="AK71" s="300"/>
      <c r="AL71" s="300"/>
      <c r="AP71" s="85"/>
    </row>
    <row r="72" spans="2:42" ht="12" customHeight="1">
      <c r="B72" s="337">
        <v>7</v>
      </c>
      <c r="C72" s="291"/>
      <c r="D72" s="291"/>
      <c r="E72" s="292" t="str">
        <f>VLOOKUP(B72,'Filtered Data'!K:L,2,FALSE)</f>
        <v>Blackburn with Darwen</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352.3</v>
      </c>
      <c r="V72" s="289"/>
      <c r="W72" s="289"/>
      <c r="X72" s="289"/>
      <c r="Y72" s="181" t="str">
        <f>IF((VLOOKUP(E72,classifications!C:K,9,FALSE))="Sparse","S","")</f>
        <v/>
      </c>
      <c r="Z72" s="181"/>
      <c r="AA72" s="181"/>
      <c r="AB72" s="181"/>
      <c r="AC72" s="181"/>
      <c r="AD72" s="300"/>
      <c r="AE72" s="300"/>
      <c r="AF72" s="300"/>
      <c r="AG72" s="300"/>
      <c r="AH72" s="300"/>
      <c r="AI72" s="300"/>
      <c r="AJ72" s="300"/>
      <c r="AK72" s="300"/>
      <c r="AL72" s="300"/>
      <c r="AP72" s="85"/>
    </row>
    <row r="73" spans="2:42" ht="12" customHeight="1">
      <c r="B73" s="337">
        <v>8</v>
      </c>
      <c r="C73" s="291"/>
      <c r="D73" s="291"/>
      <c r="E73" s="292" t="str">
        <f>VLOOKUP(B73,'Filtered Data'!K:L,2,FALSE)</f>
        <v>Reading</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352.9</v>
      </c>
      <c r="V73" s="289"/>
      <c r="W73" s="289"/>
      <c r="X73" s="289"/>
      <c r="Y73" s="181" t="str">
        <f>IF((VLOOKUP(E73,classifications!C:K,9,FALSE))="Sparse","S","")</f>
        <v/>
      </c>
      <c r="Z73" s="181"/>
      <c r="AA73" s="181"/>
      <c r="AB73" s="181"/>
      <c r="AC73" s="181"/>
      <c r="AD73" s="300"/>
      <c r="AE73" s="300"/>
      <c r="AF73" s="300"/>
      <c r="AG73" s="300"/>
      <c r="AH73" s="300"/>
      <c r="AI73" s="300"/>
      <c r="AJ73" s="300"/>
      <c r="AK73" s="300"/>
      <c r="AL73" s="300"/>
      <c r="AP73" s="85"/>
    </row>
    <row r="74" spans="2:42" ht="12" customHeight="1">
      <c r="B74" s="337">
        <v>9</v>
      </c>
      <c r="C74" s="291"/>
      <c r="D74" s="291"/>
      <c r="E74" s="292" t="str">
        <f>VLOOKUP(B74,'Filtered Data'!K:L,2,FALSE)</f>
        <v>Bristol</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354.8</v>
      </c>
      <c r="V74" s="289"/>
      <c r="W74" s="289"/>
      <c r="X74" s="289"/>
      <c r="Y74" s="181" t="str">
        <f>IF((VLOOKUP(E74,classifications!C:K,9,FALSE))="Sparse","S","")</f>
        <v/>
      </c>
      <c r="Z74" s="181"/>
      <c r="AA74" s="181"/>
      <c r="AB74" s="181"/>
      <c r="AC74" s="181"/>
      <c r="AD74" s="300"/>
      <c r="AE74" s="300"/>
      <c r="AF74" s="300"/>
      <c r="AG74" s="300"/>
      <c r="AH74" s="300"/>
      <c r="AI74" s="300"/>
      <c r="AJ74" s="300"/>
      <c r="AK74" s="300"/>
      <c r="AL74" s="300"/>
      <c r="AP74" s="85"/>
    </row>
    <row r="75" spans="2:42" ht="12" customHeight="1">
      <c r="B75" s="337">
        <v>10</v>
      </c>
      <c r="C75" s="291"/>
      <c r="D75" s="291"/>
      <c r="E75" s="292" t="str">
        <f>VLOOKUP(B75,'Filtered Data'!K:L,2,FALSE)</f>
        <v>Leicester</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357.3</v>
      </c>
      <c r="V75" s="289"/>
      <c r="W75" s="289"/>
      <c r="X75" s="289"/>
      <c r="Y75" s="181" t="str">
        <f>IF((VLOOKUP(E75,classifications!C:K,9,FALSE))="Sparse","S","")</f>
        <v/>
      </c>
      <c r="Z75" s="181"/>
      <c r="AA75" s="181"/>
      <c r="AB75" s="181"/>
      <c r="AC75" s="181"/>
      <c r="AD75" s="300"/>
      <c r="AE75" s="300"/>
      <c r="AF75" s="300"/>
      <c r="AG75" s="300"/>
      <c r="AH75" s="300"/>
      <c r="AI75" s="300"/>
      <c r="AJ75" s="300"/>
      <c r="AK75" s="300"/>
      <c r="AL75" s="300"/>
      <c r="AP75" s="85"/>
    </row>
    <row r="76" spans="2:42" ht="12" customHeight="1">
      <c r="B76" s="337">
        <v>11</v>
      </c>
      <c r="C76" s="291"/>
      <c r="D76" s="291"/>
      <c r="E76" s="292" t="str">
        <f>VLOOKUP(B76,'Filtered Data'!K:L,2,FALSE)</f>
        <v>Bath &amp; North East Somerset</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381.1</v>
      </c>
      <c r="V76" s="289"/>
      <c r="W76" s="289"/>
      <c r="X76" s="289"/>
      <c r="Y76" s="181" t="str">
        <f>IF((VLOOKUP(E76,classifications!C:K,9,FALSE))="Sparse","S","")</f>
        <v/>
      </c>
      <c r="Z76" s="181"/>
      <c r="AA76" s="181"/>
      <c r="AB76" s="181"/>
      <c r="AC76" s="181"/>
      <c r="AD76" s="300"/>
      <c r="AE76" s="300"/>
      <c r="AF76" s="300"/>
      <c r="AG76" s="300"/>
      <c r="AH76" s="300"/>
      <c r="AI76" s="300"/>
      <c r="AJ76" s="300"/>
      <c r="AK76" s="300"/>
      <c r="AL76" s="300"/>
      <c r="AP76" s="85"/>
    </row>
    <row r="77" spans="2:42" ht="12" customHeight="1">
      <c r="B77" s="337">
        <v>12</v>
      </c>
      <c r="C77" s="291"/>
      <c r="D77" s="291"/>
      <c r="E77" s="292" t="str">
        <f>VLOOKUP(B77,'Filtered Data'!K:L,2,FALSE)</f>
        <v>York</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383.4</v>
      </c>
      <c r="V77" s="289"/>
      <c r="W77" s="289"/>
      <c r="X77" s="289"/>
      <c r="Y77" s="181" t="str">
        <f>IF((VLOOKUP(E77,classifications!C:K,9,FALSE))="Sparse","S","")</f>
        <v/>
      </c>
      <c r="Z77" s="181"/>
      <c r="AA77" s="181"/>
      <c r="AB77" s="181"/>
      <c r="AC77" s="181"/>
      <c r="AD77" s="300"/>
      <c r="AE77" s="300"/>
      <c r="AF77" s="300"/>
      <c r="AG77" s="300"/>
      <c r="AH77" s="300"/>
      <c r="AI77" s="300"/>
      <c r="AJ77" s="300"/>
      <c r="AK77" s="300"/>
      <c r="AL77" s="300"/>
      <c r="AP77" s="85"/>
    </row>
    <row r="78" spans="2:42" ht="12" customHeight="1">
      <c r="B78" s="337">
        <v>13</v>
      </c>
      <c r="C78" s="291"/>
      <c r="D78" s="291"/>
      <c r="E78" s="292" t="str">
        <f>VLOOKUP(B78,'Filtered Data'!K:L,2,FALSE)</f>
        <v>Swindon</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386.9</v>
      </c>
      <c r="V78" s="289"/>
      <c r="W78" s="289"/>
      <c r="X78" s="289"/>
      <c r="Y78" s="181" t="str">
        <f>IF((VLOOKUP(E78,classifications!C:K,9,FALSE))="Sparse","S","")</f>
        <v/>
      </c>
      <c r="Z78" s="181"/>
      <c r="AA78" s="181"/>
      <c r="AB78" s="181"/>
      <c r="AC78" s="181"/>
      <c r="AD78" s="300"/>
      <c r="AE78" s="300"/>
      <c r="AF78" s="300"/>
      <c r="AG78" s="300"/>
      <c r="AH78" s="300"/>
      <c r="AI78" s="300"/>
      <c r="AJ78" s="300"/>
      <c r="AK78" s="300"/>
      <c r="AL78" s="300"/>
      <c r="AP78" s="85"/>
    </row>
    <row r="79" spans="2:42" ht="12" customHeight="1">
      <c r="B79" s="337">
        <v>14</v>
      </c>
      <c r="C79" s="291"/>
      <c r="D79" s="291"/>
      <c r="E79" s="292" t="str">
        <f>VLOOKUP(B79,'Filtered Data'!K:L,2,FALSE)</f>
        <v>Bracknell Forest</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389.9</v>
      </c>
      <c r="V79" s="289"/>
      <c r="W79" s="289"/>
      <c r="X79" s="289"/>
      <c r="Y79" s="181" t="str">
        <f>IF((VLOOKUP(E79,classifications!C:K,9,FALSE))="Sparse","S","")</f>
        <v/>
      </c>
      <c r="Z79" s="181"/>
      <c r="AA79" s="181"/>
      <c r="AB79" s="181"/>
      <c r="AC79" s="181"/>
      <c r="AD79" s="300"/>
      <c r="AE79" s="300"/>
      <c r="AF79" s="300"/>
      <c r="AG79" s="300"/>
      <c r="AH79" s="300"/>
      <c r="AI79" s="300"/>
      <c r="AJ79" s="300"/>
      <c r="AK79" s="300"/>
      <c r="AL79" s="300"/>
      <c r="AP79" s="85"/>
    </row>
    <row r="80" spans="2:42" ht="12" customHeight="1">
      <c r="B80" s="337">
        <v>15</v>
      </c>
      <c r="C80" s="291"/>
      <c r="D80" s="291"/>
      <c r="E80" s="292" t="str">
        <f>VLOOKUP(B80,'Filtered Data'!K:L,2,FALSE)</f>
        <v>Plymouth</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391.2</v>
      </c>
      <c r="V80" s="289"/>
      <c r="W80" s="289"/>
      <c r="X80" s="289"/>
      <c r="Y80" s="181" t="str">
        <f>IF((VLOOKUP(E80,classifications!C:K,9,FALSE))="Sparse","S","")</f>
        <v/>
      </c>
      <c r="Z80" s="181"/>
      <c r="AA80" s="181"/>
      <c r="AB80" s="181"/>
      <c r="AC80" s="181"/>
      <c r="AD80" s="300"/>
      <c r="AE80" s="300"/>
      <c r="AF80" s="300"/>
      <c r="AG80" s="300"/>
      <c r="AH80" s="300"/>
      <c r="AI80" s="300"/>
      <c r="AJ80" s="300"/>
      <c r="AK80" s="300"/>
      <c r="AL80" s="300"/>
      <c r="AP80" s="85"/>
    </row>
    <row r="81" spans="1:48" ht="12" customHeight="1">
      <c r="B81" s="337">
        <v>16</v>
      </c>
      <c r="C81" s="291"/>
      <c r="D81" s="291"/>
      <c r="E81" s="292" t="str">
        <f>VLOOKUP(B81,'Filtered Data'!K:L,2,FALSE)</f>
        <v>Herefordshire</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391.9</v>
      </c>
      <c r="V81" s="289"/>
      <c r="W81" s="289"/>
      <c r="X81" s="289"/>
      <c r="Y81" s="181" t="str">
        <f>IF((VLOOKUP(E81,classifications!C:K,9,FALSE))="Sparse","S","")</f>
        <v>S</v>
      </c>
      <c r="Z81" s="181"/>
      <c r="AA81" s="181"/>
      <c r="AB81" s="181"/>
      <c r="AC81" s="181"/>
      <c r="AD81" s="300"/>
      <c r="AE81" s="300"/>
      <c r="AF81" s="300"/>
      <c r="AG81" s="300"/>
      <c r="AH81" s="300"/>
      <c r="AI81" s="300"/>
      <c r="AJ81" s="300"/>
      <c r="AK81" s="300"/>
      <c r="AL81" s="300"/>
      <c r="AP81" s="85"/>
    </row>
    <row r="82" spans="1:48" ht="12" customHeight="1">
      <c r="B82" s="337">
        <v>17</v>
      </c>
      <c r="C82" s="291"/>
      <c r="D82" s="291"/>
      <c r="E82" s="292" t="str">
        <f>VLOOKUP(B82,'Filtered Data'!K:L,2,FALSE)</f>
        <v>Kingston upon Hull</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402</v>
      </c>
      <c r="V82" s="289"/>
      <c r="W82" s="289"/>
      <c r="X82" s="289"/>
      <c r="Y82" s="181" t="str">
        <f>IF((VLOOKUP(E82,classifications!C:K,9,FALSE))="Sparse","S","")</f>
        <v/>
      </c>
      <c r="Z82" s="181"/>
      <c r="AA82" s="181"/>
      <c r="AB82" s="181"/>
      <c r="AC82" s="181"/>
      <c r="AD82" s="300"/>
      <c r="AE82" s="300"/>
      <c r="AF82" s="300"/>
      <c r="AG82" s="300"/>
      <c r="AH82" s="300"/>
      <c r="AI82" s="300"/>
      <c r="AJ82" s="300"/>
      <c r="AK82" s="300"/>
      <c r="AL82" s="300"/>
      <c r="AP82" s="85"/>
    </row>
    <row r="83" spans="1:48" ht="12" customHeight="1">
      <c r="B83" s="337">
        <v>18</v>
      </c>
      <c r="C83" s="291"/>
      <c r="D83" s="291"/>
      <c r="E83" s="292" t="str">
        <f>VLOOKUP(B83,'Filtered Data'!K:L,2,FALSE)</f>
        <v>South Gloucestershire</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403.2</v>
      </c>
      <c r="V83" s="289"/>
      <c r="W83" s="289"/>
      <c r="X83" s="289"/>
      <c r="Y83" s="181" t="str">
        <f>IF((VLOOKUP(E83,classifications!C:K,9,FALSE))="Sparse","S","")</f>
        <v/>
      </c>
      <c r="Z83" s="181"/>
      <c r="AA83" s="181"/>
      <c r="AB83" s="181"/>
      <c r="AC83" s="181"/>
      <c r="AD83" s="300"/>
      <c r="AE83" s="300"/>
      <c r="AF83" s="300"/>
      <c r="AG83" s="300"/>
      <c r="AH83" s="300"/>
      <c r="AI83" s="300"/>
      <c r="AJ83" s="300"/>
      <c r="AK83" s="300"/>
      <c r="AL83" s="300"/>
      <c r="AP83" s="85"/>
    </row>
    <row r="84" spans="1:48" ht="12" customHeight="1">
      <c r="B84" s="337">
        <v>19</v>
      </c>
      <c r="C84" s="291"/>
      <c r="D84" s="291"/>
      <c r="E84" s="292" t="str">
        <f>VLOOKUP(B84,'Filtered Data'!K:L,2,FALSE)</f>
        <v>Stoke-on-Trent</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403.7</v>
      </c>
      <c r="V84" s="289"/>
      <c r="W84" s="289"/>
      <c r="X84" s="289"/>
      <c r="Y84" s="181" t="str">
        <f>IF((VLOOKUP(E84,classifications!C:K,9,FALSE))="Sparse","S","")</f>
        <v/>
      </c>
      <c r="Z84" s="181"/>
      <c r="AA84" s="181"/>
      <c r="AB84" s="181"/>
      <c r="AC84" s="181"/>
      <c r="AD84" s="300"/>
      <c r="AE84" s="300"/>
      <c r="AF84" s="300"/>
      <c r="AG84" s="300"/>
      <c r="AH84" s="300"/>
      <c r="AI84" s="300"/>
      <c r="AJ84" s="300"/>
      <c r="AK84" s="300"/>
      <c r="AL84" s="300"/>
      <c r="AP84" s="85"/>
    </row>
    <row r="85" spans="1:48" ht="12" customHeight="1">
      <c r="B85" s="337">
        <v>20</v>
      </c>
      <c r="C85" s="337"/>
      <c r="D85" s="337"/>
      <c r="E85" s="292" t="str">
        <f>VLOOKUP(B85,'Filtered Data'!K:L,2,FALSE)</f>
        <v>Darlington</v>
      </c>
      <c r="F85" s="292"/>
      <c r="G85" s="292"/>
      <c r="H85" s="292"/>
      <c r="I85" s="292"/>
      <c r="J85" s="292"/>
      <c r="K85" s="292"/>
      <c r="L85" s="292"/>
      <c r="M85" s="292"/>
      <c r="N85" s="292"/>
      <c r="O85" s="292"/>
      <c r="P85" s="292"/>
      <c r="Q85" s="292"/>
      <c r="R85" s="292"/>
      <c r="S85" s="292"/>
      <c r="T85" s="292"/>
      <c r="U85" s="289">
        <f>IF('Filtered Data'!$H$8="%.",(VLOOKUP(B85,'Filtered Data'!K:M,3,FALSE))/100,VLOOKUP(B85,'Filtered Data'!K:M,3,FALSE))</f>
        <v>407.6</v>
      </c>
      <c r="V85" s="289"/>
      <c r="W85" s="289"/>
      <c r="X85" s="289"/>
      <c r="Y85" s="181" t="str">
        <f>IF((VLOOKUP(E85,classifications!C:K,9,FALSE))="Sparse","S","")</f>
        <v/>
      </c>
      <c r="Z85" s="181"/>
      <c r="AA85" s="181"/>
      <c r="AB85" s="181"/>
      <c r="AC85" s="181"/>
      <c r="AD85" s="300"/>
      <c r="AE85" s="300"/>
      <c r="AF85" s="300"/>
      <c r="AG85" s="300"/>
      <c r="AH85" s="300"/>
      <c r="AI85" s="300"/>
      <c r="AJ85" s="300"/>
      <c r="AK85" s="300"/>
      <c r="AL85" s="300"/>
      <c r="AP85" s="85"/>
    </row>
    <row r="86" spans="1:48" ht="12" customHeight="1">
      <c r="A86" s="80"/>
      <c r="B86" s="364">
        <f>IF(Q37&lt;=MAX(B66:D85),"",Q37)</f>
        <v>54</v>
      </c>
      <c r="C86" s="364"/>
      <c r="D86" s="364"/>
      <c r="E86" s="363" t="str">
        <f>IF(B86="","",VLOOKUP(B86,'Filtered Data'!K:L,2,FALSE))</f>
        <v>Cheshire East</v>
      </c>
      <c r="F86" s="363"/>
      <c r="G86" s="363"/>
      <c r="H86" s="363"/>
      <c r="I86" s="363"/>
      <c r="J86" s="363"/>
      <c r="K86" s="363"/>
      <c r="L86" s="363"/>
      <c r="M86" s="363"/>
      <c r="N86" s="363"/>
      <c r="O86" s="363"/>
      <c r="P86" s="363"/>
      <c r="Q86" s="363"/>
      <c r="R86" s="363"/>
      <c r="S86" s="363"/>
      <c r="T86" s="363"/>
      <c r="U86" s="303">
        <f>IF(B86="","",L35)</f>
        <v>501.3</v>
      </c>
      <c r="V86" s="303"/>
      <c r="W86" s="303"/>
      <c r="X86" s="303"/>
      <c r="Y86" s="181" t="str">
        <f>IF(B86="","",IF((VLOOKUP(E86,classifications!C:K,9,FALSE))="Sparse","S",""))</f>
        <v>S</v>
      </c>
      <c r="Z86" s="181"/>
      <c r="AA86" s="181"/>
      <c r="AB86" s="181"/>
      <c r="AC86" s="181"/>
      <c r="AD86" s="301"/>
      <c r="AE86" s="301"/>
      <c r="AF86" s="301"/>
      <c r="AG86" s="301"/>
      <c r="AH86" s="301"/>
      <c r="AI86" s="301"/>
      <c r="AJ86" s="301"/>
      <c r="AK86" s="301"/>
      <c r="AL86" s="30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t="str">
        <f>IF('Filtered Data'!D1="UA",J9,J10)</f>
        <v>North West</v>
      </c>
      <c r="U89" s="1"/>
      <c r="AD89" s="1"/>
      <c r="AP89" s="85"/>
    </row>
    <row r="90" spans="1:48" ht="12" customHeight="1">
      <c r="B90" s="1"/>
      <c r="AP90" s="85"/>
    </row>
    <row r="91" spans="1:48" ht="12" customHeight="1">
      <c r="B91" s="302" t="str">
        <f>IF('Filtered Data'!D1="MD","",IF('Filtered Data'!D1="SC","","Rank"))</f>
        <v>Rank</v>
      </c>
      <c r="C91" s="302"/>
      <c r="D91" s="302"/>
      <c r="E91" s="293" t="str">
        <f>IF('Filtered Data'!D1="MD","",IF('Filtered Data'!D1="SC","","Authority"))</f>
        <v>Authority</v>
      </c>
      <c r="F91" s="293"/>
      <c r="G91" s="293"/>
      <c r="H91" s="293"/>
      <c r="I91" s="293"/>
      <c r="J91" s="293"/>
      <c r="K91" s="293"/>
      <c r="L91" s="293"/>
      <c r="M91" s="293"/>
      <c r="N91" s="293"/>
      <c r="O91" s="281"/>
      <c r="P91" s="281"/>
      <c r="Q91" s="281"/>
      <c r="R91" s="281"/>
      <c r="S91" s="281"/>
      <c r="T91" s="281"/>
      <c r="U91" s="302" t="str">
        <f>IF('Filtered Data'!D1="MD","",IF('Filtered Data'!D1="SC","","Value"))</f>
        <v>Value</v>
      </c>
      <c r="V91" s="302"/>
      <c r="W91" s="302"/>
      <c r="AA91" s="302"/>
      <c r="AB91" s="302"/>
      <c r="AC91" s="302"/>
      <c r="AD91" s="293"/>
      <c r="AE91" s="293"/>
      <c r="AF91" s="293"/>
      <c r="AG91" s="293"/>
      <c r="AH91" s="293"/>
      <c r="AI91" s="293"/>
      <c r="AJ91" s="293"/>
      <c r="AK91" s="293"/>
      <c r="AL91" s="293"/>
      <c r="AM91" s="293"/>
      <c r="AN91" s="302"/>
      <c r="AO91" s="302"/>
      <c r="AP91" s="302"/>
      <c r="AV91" s="85"/>
    </row>
    <row r="92" spans="1:48" ht="12" customHeight="1">
      <c r="B92" s="298">
        <f>IF('Filtered Data'!$D$1="MD","",IF('Filtered Data'!$D$1="SC","",IF('Filtered Data'!$D$1="UA",'Filtered Data'!AS11,'Filtered Data'!AL11)))</f>
        <v>1</v>
      </c>
      <c r="C92" s="299"/>
      <c r="D92" s="299"/>
      <c r="E92" s="363" t="str">
        <f>IF(B92="","",IF('Filtered Data'!$D$1="UA",VLOOKUP(B92,'Filtered Data'!AS:AU,2,FALSE),VLOOKUP(B92,'Filtered Data'!AL:AN,2,FALSE)))</f>
        <v>Blackburn with Darwen</v>
      </c>
      <c r="F92" s="363"/>
      <c r="G92" s="363"/>
      <c r="H92" s="363"/>
      <c r="I92" s="363"/>
      <c r="J92" s="363"/>
      <c r="K92" s="363"/>
      <c r="L92" s="363"/>
      <c r="M92" s="363"/>
      <c r="N92" s="363"/>
      <c r="O92" s="363"/>
      <c r="P92" s="363"/>
      <c r="Q92" s="363"/>
      <c r="R92" s="363"/>
      <c r="S92" s="363"/>
      <c r="T92" s="363"/>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352.3</v>
      </c>
      <c r="V92" s="289"/>
      <c r="W92" s="289"/>
      <c r="X92" s="289"/>
      <c r="Y92" s="182" t="str">
        <f>IF(E92="","",IF((VLOOKUP(E92,classifications!C:K,9,FALSE))="Sparse","S",""))</f>
        <v/>
      </c>
      <c r="AA92" s="290"/>
      <c r="AB92" s="291"/>
      <c r="AC92" s="291"/>
      <c r="AD92" s="292"/>
      <c r="AE92" s="292"/>
      <c r="AF92" s="292"/>
      <c r="AG92" s="292"/>
      <c r="AH92" s="292"/>
      <c r="AI92" s="292"/>
      <c r="AJ92" s="292"/>
      <c r="AK92" s="292"/>
      <c r="AL92" s="292"/>
      <c r="AM92" s="292"/>
      <c r="AN92" s="288"/>
      <c r="AO92" s="288"/>
      <c r="AP92" s="288"/>
      <c r="AQ92" s="288"/>
      <c r="AR92" s="182"/>
      <c r="AV92" s="85"/>
    </row>
    <row r="93" spans="1:48" ht="12" customHeight="1">
      <c r="B93" s="298">
        <f>IF('Filtered Data'!$D$1="MD","",IF('Filtered Data'!$D$1="SC","",IF('Filtered Data'!$D$1="UA",'Filtered Data'!AS12,'Filtered Data'!AL12)))</f>
        <v>2</v>
      </c>
      <c r="C93" s="299"/>
      <c r="D93" s="299"/>
      <c r="E93" s="363" t="str">
        <f>IF(B93="","",IF('Filtered Data'!$D$1="UA",VLOOKUP(B93,'Filtered Data'!AS:AU,2,FALSE),VLOOKUP(B93,'Filtered Data'!AL:AN,2,FALSE)))</f>
        <v>Warrington</v>
      </c>
      <c r="F93" s="363"/>
      <c r="G93" s="363"/>
      <c r="H93" s="363"/>
      <c r="I93" s="363"/>
      <c r="J93" s="363"/>
      <c r="K93" s="363"/>
      <c r="L93" s="363"/>
      <c r="M93" s="363"/>
      <c r="N93" s="363"/>
      <c r="O93" s="363"/>
      <c r="P93" s="363"/>
      <c r="Q93" s="363"/>
      <c r="R93" s="363"/>
      <c r="S93" s="363"/>
      <c r="T93" s="363"/>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417.9</v>
      </c>
      <c r="V93" s="289"/>
      <c r="W93" s="289"/>
      <c r="X93" s="289"/>
      <c r="Y93" s="182" t="str">
        <f>IF(E93="","",IF((VLOOKUP(E93,classifications!C:K,9,FALSE))="Sparse","S",""))</f>
        <v/>
      </c>
      <c r="AA93" s="290"/>
      <c r="AB93" s="291"/>
      <c r="AC93" s="291"/>
      <c r="AD93" s="292"/>
      <c r="AE93" s="292"/>
      <c r="AF93" s="292"/>
      <c r="AG93" s="292"/>
      <c r="AH93" s="292"/>
      <c r="AI93" s="292"/>
      <c r="AJ93" s="292"/>
      <c r="AK93" s="292"/>
      <c r="AL93" s="292"/>
      <c r="AM93" s="292"/>
      <c r="AN93" s="288"/>
      <c r="AO93" s="288"/>
      <c r="AP93" s="288"/>
      <c r="AQ93" s="288"/>
      <c r="AR93" s="182"/>
      <c r="AV93" s="85"/>
    </row>
    <row r="94" spans="1:48" ht="12" customHeight="1">
      <c r="B94" s="298">
        <f>IF('Filtered Data'!$D$1="MD","",IF('Filtered Data'!$D$1="SC","",IF('Filtered Data'!$D$1="UA",'Filtered Data'!AS13,'Filtered Data'!AL13)))</f>
        <v>3</v>
      </c>
      <c r="C94" s="299"/>
      <c r="D94" s="299"/>
      <c r="E94" s="363" t="str">
        <f>IF(B94="","",IF('Filtered Data'!$D$1="UA",VLOOKUP(B94,'Filtered Data'!AS:AU,2,FALSE),VLOOKUP(B94,'Filtered Data'!AL:AN,2,FALSE)))</f>
        <v>Halton</v>
      </c>
      <c r="F94" s="363"/>
      <c r="G94" s="363"/>
      <c r="H94" s="363"/>
      <c r="I94" s="363"/>
      <c r="J94" s="363"/>
      <c r="K94" s="363"/>
      <c r="L94" s="363"/>
      <c r="M94" s="363"/>
      <c r="N94" s="363"/>
      <c r="O94" s="363"/>
      <c r="P94" s="363"/>
      <c r="Q94" s="363"/>
      <c r="R94" s="363"/>
      <c r="S94" s="363"/>
      <c r="T94" s="363"/>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440</v>
      </c>
      <c r="V94" s="289"/>
      <c r="W94" s="289"/>
      <c r="X94" s="289"/>
      <c r="Y94" s="182" t="str">
        <f>IF(E94="","",IF((VLOOKUP(E94,classifications!C:K,9,FALSE))="Sparse","S",""))</f>
        <v/>
      </c>
      <c r="AA94" s="290"/>
      <c r="AB94" s="291"/>
      <c r="AC94" s="291"/>
      <c r="AD94" s="292"/>
      <c r="AE94" s="292"/>
      <c r="AF94" s="292"/>
      <c r="AG94" s="292"/>
      <c r="AH94" s="292"/>
      <c r="AI94" s="292"/>
      <c r="AJ94" s="292"/>
      <c r="AK94" s="292"/>
      <c r="AL94" s="292"/>
      <c r="AM94" s="292"/>
      <c r="AN94" s="288"/>
      <c r="AO94" s="288"/>
      <c r="AP94" s="288"/>
      <c r="AQ94" s="288"/>
      <c r="AR94" s="182"/>
      <c r="AV94" s="85"/>
    </row>
    <row r="95" spans="1:48" ht="12" customHeight="1">
      <c r="B95" s="298">
        <f>IF('Filtered Data'!$D$1="MD","",IF('Filtered Data'!$D$1="SC","",IF('Filtered Data'!$D$1="UA",'Filtered Data'!AS14,'Filtered Data'!AL14)))</f>
        <v>4</v>
      </c>
      <c r="C95" s="299"/>
      <c r="D95" s="299"/>
      <c r="E95" s="363" t="str">
        <f>IF(B95="","",IF('Filtered Data'!$D$1="UA",VLOOKUP(B95,'Filtered Data'!AS:AU,2,FALSE),VLOOKUP(B95,'Filtered Data'!AL:AN,2,FALSE)))</f>
        <v>Blackpool</v>
      </c>
      <c r="F95" s="363"/>
      <c r="G95" s="363"/>
      <c r="H95" s="363"/>
      <c r="I95" s="363"/>
      <c r="J95" s="363"/>
      <c r="K95" s="363"/>
      <c r="L95" s="363"/>
      <c r="M95" s="363"/>
      <c r="N95" s="363"/>
      <c r="O95" s="363"/>
      <c r="P95" s="363"/>
      <c r="Q95" s="363"/>
      <c r="R95" s="363"/>
      <c r="S95" s="363"/>
      <c r="T95" s="363"/>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460.5</v>
      </c>
      <c r="V95" s="289"/>
      <c r="W95" s="289"/>
      <c r="X95" s="289"/>
      <c r="Y95" s="182" t="str">
        <f>IF(E95="","",IF((VLOOKUP(E95,classifications!C:K,9,FALSE))="Sparse","S",""))</f>
        <v/>
      </c>
      <c r="AA95" s="290"/>
      <c r="AB95" s="291"/>
      <c r="AC95" s="291"/>
      <c r="AD95" s="292"/>
      <c r="AE95" s="292"/>
      <c r="AF95" s="292"/>
      <c r="AG95" s="292"/>
      <c r="AH95" s="292"/>
      <c r="AI95" s="292"/>
      <c r="AJ95" s="292"/>
      <c r="AK95" s="292"/>
      <c r="AL95" s="292"/>
      <c r="AM95" s="292"/>
      <c r="AN95" s="288"/>
      <c r="AO95" s="288"/>
      <c r="AP95" s="288"/>
      <c r="AQ95" s="288"/>
      <c r="AR95" s="182"/>
      <c r="AV95" s="85"/>
    </row>
    <row r="96" spans="1:48" ht="12" customHeight="1">
      <c r="B96" s="298">
        <f>IF('Filtered Data'!$D$1="MD","",IF('Filtered Data'!$D$1="SC","",IF('Filtered Data'!$D$1="UA",'Filtered Data'!AS15,'Filtered Data'!AL15)))</f>
        <v>5</v>
      </c>
      <c r="C96" s="299"/>
      <c r="D96" s="299"/>
      <c r="E96" s="363" t="str">
        <f>IF(B96="","",IF('Filtered Data'!$D$1="UA",VLOOKUP(B96,'Filtered Data'!AS:AU,2,FALSE),VLOOKUP(B96,'Filtered Data'!AL:AN,2,FALSE)))</f>
        <v>Cheshire West &amp; Chester</v>
      </c>
      <c r="F96" s="363"/>
      <c r="G96" s="363"/>
      <c r="H96" s="363"/>
      <c r="I96" s="363"/>
      <c r="J96" s="363"/>
      <c r="K96" s="363"/>
      <c r="L96" s="363"/>
      <c r="M96" s="363"/>
      <c r="N96" s="363"/>
      <c r="O96" s="363"/>
      <c r="P96" s="363"/>
      <c r="Q96" s="363"/>
      <c r="R96" s="363"/>
      <c r="S96" s="363"/>
      <c r="T96" s="363"/>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480.4</v>
      </c>
      <c r="V96" s="289"/>
      <c r="W96" s="289"/>
      <c r="X96" s="289"/>
      <c r="Y96" s="182" t="str">
        <f>IF(E96="","",IF((VLOOKUP(E96,classifications!C:K,9,FALSE))="Sparse","S",""))</f>
        <v/>
      </c>
      <c r="AA96" s="290"/>
      <c r="AB96" s="291"/>
      <c r="AC96" s="291"/>
      <c r="AD96" s="292"/>
      <c r="AE96" s="292"/>
      <c r="AF96" s="292"/>
      <c r="AG96" s="292"/>
      <c r="AH96" s="292"/>
      <c r="AI96" s="292"/>
      <c r="AJ96" s="292"/>
      <c r="AK96" s="292"/>
      <c r="AL96" s="292"/>
      <c r="AM96" s="292"/>
      <c r="AN96" s="288"/>
      <c r="AO96" s="288"/>
      <c r="AP96" s="288"/>
      <c r="AQ96" s="288"/>
      <c r="AR96" s="182"/>
      <c r="AV96" s="85"/>
    </row>
    <row r="97" spans="2:48" ht="12" customHeight="1">
      <c r="B97" s="298">
        <f>IF('Filtered Data'!$D$1="MD","",IF('Filtered Data'!$D$1="SC","",IF('Filtered Data'!$D$1="UA",'Filtered Data'!AS16,'Filtered Data'!AL16)))</f>
        <v>6</v>
      </c>
      <c r="C97" s="299"/>
      <c r="D97" s="299"/>
      <c r="E97" s="363" t="str">
        <f>IF(B97="","",IF('Filtered Data'!$D$1="UA",VLOOKUP(B97,'Filtered Data'!AS:AU,2,FALSE),VLOOKUP(B97,'Filtered Data'!AL:AN,2,FALSE)))</f>
        <v>Cheshire East</v>
      </c>
      <c r="F97" s="363"/>
      <c r="G97" s="363"/>
      <c r="H97" s="363"/>
      <c r="I97" s="363"/>
      <c r="J97" s="363"/>
      <c r="K97" s="363"/>
      <c r="L97" s="363"/>
      <c r="M97" s="363"/>
      <c r="N97" s="363"/>
      <c r="O97" s="363"/>
      <c r="P97" s="363"/>
      <c r="Q97" s="363"/>
      <c r="R97" s="363"/>
      <c r="S97" s="363"/>
      <c r="T97" s="363"/>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501.3</v>
      </c>
      <c r="V97" s="289"/>
      <c r="W97" s="289"/>
      <c r="X97" s="289"/>
      <c r="Y97" s="182" t="str">
        <f>IF(E97="","",IF((VLOOKUP(E97,classifications!C:K,9,FALSE))="Sparse","S",""))</f>
        <v>S</v>
      </c>
      <c r="AA97" s="290"/>
      <c r="AB97" s="291"/>
      <c r="AC97" s="291"/>
      <c r="AD97" s="292"/>
      <c r="AE97" s="292"/>
      <c r="AF97" s="292"/>
      <c r="AG97" s="292"/>
      <c r="AH97" s="292"/>
      <c r="AI97" s="292"/>
      <c r="AJ97" s="292"/>
      <c r="AK97" s="292"/>
      <c r="AL97" s="292"/>
      <c r="AM97" s="292"/>
      <c r="AN97" s="288"/>
      <c r="AO97" s="288"/>
      <c r="AP97" s="288"/>
      <c r="AQ97" s="288"/>
      <c r="AR97" s="182"/>
      <c r="AV97" s="85"/>
    </row>
    <row r="98" spans="2:48" ht="12" customHeight="1">
      <c r="B98" s="298" t="str">
        <f>IF('Filtered Data'!$D$1="MD","",IF('Filtered Data'!$D$1="SC","",IF('Filtered Data'!$D$1="UA",'Filtered Data'!AS17,'Filtered Data'!AL17)))</f>
        <v/>
      </c>
      <c r="C98" s="299"/>
      <c r="D98" s="299"/>
      <c r="E98" s="363" t="str">
        <f>IF(B98="","",IF('Filtered Data'!$D$1="UA",VLOOKUP(B98,'Filtered Data'!AS:AU,2,FALSE),VLOOKUP(B98,'Filtered Data'!AL:AN,2,FALSE)))</f>
        <v/>
      </c>
      <c r="F98" s="363"/>
      <c r="G98" s="363"/>
      <c r="H98" s="363"/>
      <c r="I98" s="363"/>
      <c r="J98" s="363"/>
      <c r="K98" s="363"/>
      <c r="L98" s="363"/>
      <c r="M98" s="363"/>
      <c r="N98" s="363"/>
      <c r="O98" s="363"/>
      <c r="P98" s="363"/>
      <c r="Q98" s="363"/>
      <c r="R98" s="363"/>
      <c r="S98" s="363"/>
      <c r="T98" s="363"/>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182"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182"/>
      <c r="AV98" s="85"/>
    </row>
    <row r="99" spans="2:48" ht="12" customHeight="1">
      <c r="B99" s="298" t="str">
        <f>IF('Filtered Data'!$D$1="MD","",IF('Filtered Data'!$D$1="SC","",IF('Filtered Data'!$D$1="UA",'Filtered Data'!AS18,'Filtered Data'!AL18)))</f>
        <v/>
      </c>
      <c r="C99" s="299"/>
      <c r="D99" s="299"/>
      <c r="E99" s="363" t="str">
        <f>IF(B99="","",IF('Filtered Data'!$D$1="UA",VLOOKUP(B99,'Filtered Data'!AS:AU,2,FALSE),VLOOKUP(B99,'Filtered Data'!AL:AN,2,FALSE)))</f>
        <v/>
      </c>
      <c r="F99" s="363"/>
      <c r="G99" s="363"/>
      <c r="H99" s="363"/>
      <c r="I99" s="363"/>
      <c r="J99" s="363"/>
      <c r="K99" s="363"/>
      <c r="L99" s="363"/>
      <c r="M99" s="363"/>
      <c r="N99" s="363"/>
      <c r="O99" s="363"/>
      <c r="P99" s="363"/>
      <c r="Q99" s="363"/>
      <c r="R99" s="363"/>
      <c r="S99" s="363"/>
      <c r="T99" s="363"/>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182"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182"/>
      <c r="AV99" s="85"/>
    </row>
    <row r="100" spans="2:48" ht="12" customHeight="1">
      <c r="B100" s="298" t="str">
        <f>IF('Filtered Data'!$D$1="MD","",IF('Filtered Data'!$D$1="SC","",IF('Filtered Data'!$D$1="UA",'Filtered Data'!AS19,'Filtered Data'!AL19)))</f>
        <v/>
      </c>
      <c r="C100" s="299"/>
      <c r="D100" s="299"/>
      <c r="E100" s="363" t="str">
        <f>IF(B100="","",IF('Filtered Data'!$D$1="UA",VLOOKUP(B100,'Filtered Data'!AS:AU,2,FALSE),VLOOKUP(B100,'Filtered Data'!AL:AN,2,FALSE)))</f>
        <v/>
      </c>
      <c r="F100" s="363"/>
      <c r="G100" s="363"/>
      <c r="H100" s="363"/>
      <c r="I100" s="363"/>
      <c r="J100" s="363"/>
      <c r="K100" s="363"/>
      <c r="L100" s="363"/>
      <c r="M100" s="363"/>
      <c r="N100" s="363"/>
      <c r="O100" s="363"/>
      <c r="P100" s="363"/>
      <c r="Q100" s="363"/>
      <c r="R100" s="363"/>
      <c r="S100" s="363"/>
      <c r="T100" s="363"/>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182"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182"/>
      <c r="AV100" s="85"/>
    </row>
    <row r="101" spans="2:48" ht="12" customHeight="1">
      <c r="B101" s="298" t="str">
        <f>IF('Filtered Data'!$D$1="MD","",IF('Filtered Data'!$D$1="SC","",IF('Filtered Data'!$D$1="UA",'Filtered Data'!AS20,'Filtered Data'!AL20)))</f>
        <v/>
      </c>
      <c r="C101" s="299"/>
      <c r="D101" s="299"/>
      <c r="E101" s="363" t="str">
        <f>IF(B101="","",IF('Filtered Data'!$D$1="UA",VLOOKUP(B101,'Filtered Data'!AS:AU,2,FALSE),VLOOKUP(B101,'Filtered Data'!AL:AN,2,FALSE)))</f>
        <v/>
      </c>
      <c r="F101" s="363"/>
      <c r="G101" s="363"/>
      <c r="H101" s="363"/>
      <c r="I101" s="363"/>
      <c r="J101" s="363"/>
      <c r="K101" s="363"/>
      <c r="L101" s="363"/>
      <c r="M101" s="363"/>
      <c r="N101" s="363"/>
      <c r="O101" s="363"/>
      <c r="P101" s="363"/>
      <c r="Q101" s="363"/>
      <c r="R101" s="363"/>
      <c r="S101" s="363"/>
      <c r="T101" s="363"/>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182"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182"/>
      <c r="AV101" s="85"/>
    </row>
    <row r="102" spans="2:48" ht="12" customHeight="1">
      <c r="B102" s="298" t="str">
        <f>IF('Filtered Data'!$D$1="MD","",IF('Filtered Data'!$D$1="SC","",IF('Filtered Data'!$D$1="UA",'Filtered Data'!AS21,'Filtered Data'!AL21)))</f>
        <v/>
      </c>
      <c r="C102" s="299"/>
      <c r="D102" s="299"/>
      <c r="E102" s="363" t="str">
        <f>IF(B102="","",IF('Filtered Data'!$D$1="UA",VLOOKUP(B102,'Filtered Data'!AS:AU,2,FALSE),VLOOKUP(B102,'Filtered Data'!AL:AN,2,FALSE)))</f>
        <v/>
      </c>
      <c r="F102" s="363"/>
      <c r="G102" s="363"/>
      <c r="H102" s="363"/>
      <c r="I102" s="363"/>
      <c r="J102" s="363"/>
      <c r="K102" s="363"/>
      <c r="L102" s="363"/>
      <c r="M102" s="363"/>
      <c r="N102" s="363"/>
      <c r="O102" s="363"/>
      <c r="P102" s="363"/>
      <c r="Q102" s="363"/>
      <c r="R102" s="363"/>
      <c r="S102" s="363"/>
      <c r="T102" s="363"/>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182" t="str">
        <f>IF(E102="","",IF((VLOOKUP(E102,classifications!C:K,9,FALSE))="Sparse","S",""))</f>
        <v/>
      </c>
      <c r="AA102" s="290"/>
      <c r="AB102" s="291"/>
      <c r="AC102" s="291"/>
      <c r="AD102" s="292"/>
      <c r="AE102" s="292"/>
      <c r="AF102" s="292"/>
      <c r="AG102" s="292"/>
      <c r="AH102" s="292"/>
      <c r="AI102" s="292"/>
      <c r="AJ102" s="292"/>
      <c r="AK102" s="292"/>
      <c r="AL102" s="292"/>
      <c r="AM102" s="292"/>
      <c r="AN102" s="288"/>
      <c r="AO102" s="288"/>
      <c r="AP102" s="288"/>
      <c r="AQ102" s="288"/>
      <c r="AR102" s="182"/>
      <c r="AV102" s="85"/>
    </row>
    <row r="103" spans="2:48" ht="12" customHeight="1">
      <c r="B103" s="298" t="str">
        <f>IF('Filtered Data'!$D$1="MD","",IF('Filtered Data'!$D$1="SC","",IF('Filtered Data'!$D$1="UA",'Filtered Data'!AS22,'Filtered Data'!AL22)))</f>
        <v/>
      </c>
      <c r="C103" s="299"/>
      <c r="D103" s="299"/>
      <c r="E103" s="363" t="str">
        <f>IF(B103="","",IF('Filtered Data'!$D$1="UA",VLOOKUP(B103,'Filtered Data'!AS:AU,2,FALSE),VLOOKUP(B103,'Filtered Data'!AL:AN,2,FALSE)))</f>
        <v/>
      </c>
      <c r="F103" s="363"/>
      <c r="G103" s="363"/>
      <c r="H103" s="363"/>
      <c r="I103" s="363"/>
      <c r="J103" s="363"/>
      <c r="K103" s="363"/>
      <c r="L103" s="363"/>
      <c r="M103" s="363"/>
      <c r="N103" s="363"/>
      <c r="O103" s="363"/>
      <c r="P103" s="363"/>
      <c r="Q103" s="363"/>
      <c r="R103" s="363"/>
      <c r="S103" s="363"/>
      <c r="T103" s="363"/>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182"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182"/>
      <c r="AV103" s="85"/>
    </row>
    <row r="104" spans="2:48" ht="12" customHeight="1">
      <c r="B104" s="298" t="str">
        <f>IF('Filtered Data'!$D$1="MD","",IF('Filtered Data'!$D$1="SC","",IF('Filtered Data'!$D$1="UA",'Filtered Data'!AS23,'Filtered Data'!AL23)))</f>
        <v/>
      </c>
      <c r="C104" s="299"/>
      <c r="D104" s="299"/>
      <c r="E104" s="363" t="str">
        <f>IF(B104="","",IF('Filtered Data'!$D$1="UA",VLOOKUP(B104,'Filtered Data'!AS:AU,2,FALSE),VLOOKUP(B104,'Filtered Data'!AL:AN,2,FALSE)))</f>
        <v/>
      </c>
      <c r="F104" s="363"/>
      <c r="G104" s="363"/>
      <c r="H104" s="363"/>
      <c r="I104" s="363"/>
      <c r="J104" s="363"/>
      <c r="K104" s="363"/>
      <c r="L104" s="363"/>
      <c r="M104" s="363"/>
      <c r="N104" s="363"/>
      <c r="O104" s="363"/>
      <c r="P104" s="363"/>
      <c r="Q104" s="363"/>
      <c r="R104" s="363"/>
      <c r="S104" s="363"/>
      <c r="T104" s="363"/>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182"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182"/>
      <c r="AV104" s="85"/>
    </row>
    <row r="105" spans="2:48" ht="12" customHeight="1">
      <c r="B105" s="298" t="str">
        <f>IF('Filtered Data'!$D$1="MD","",IF('Filtered Data'!$D$1="SC","",IF('Filtered Data'!$D$1="UA",'Filtered Data'!AS24,'Filtered Data'!AL24)))</f>
        <v/>
      </c>
      <c r="C105" s="299"/>
      <c r="D105" s="299"/>
      <c r="E105" s="363" t="str">
        <f>IF(B105="","",IF('Filtered Data'!$D$1="UA",VLOOKUP(B105,'Filtered Data'!AS:AU,2,FALSE),VLOOKUP(B105,'Filtered Data'!AL:AN,2,FALSE)))</f>
        <v/>
      </c>
      <c r="F105" s="363"/>
      <c r="G105" s="363"/>
      <c r="H105" s="363"/>
      <c r="I105" s="363"/>
      <c r="J105" s="363"/>
      <c r="K105" s="363"/>
      <c r="L105" s="363"/>
      <c r="M105" s="363"/>
      <c r="N105" s="363"/>
      <c r="O105" s="363"/>
      <c r="P105" s="363"/>
      <c r="Q105" s="363"/>
      <c r="R105" s="363"/>
      <c r="S105" s="363"/>
      <c r="T105" s="363"/>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182"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182"/>
      <c r="AV105" s="85"/>
    </row>
    <row r="106" spans="2:48" ht="12" customHeight="1">
      <c r="B106" s="298" t="str">
        <f>IF('Filtered Data'!$D$1="MD","",IF('Filtered Data'!$D$1="SC","",IF('Filtered Data'!$D$1="UA",'Filtered Data'!AS25,'Filtered Data'!AL25)))</f>
        <v/>
      </c>
      <c r="C106" s="299"/>
      <c r="D106" s="299"/>
      <c r="E106" s="363" t="str">
        <f>IF(B106="","",IF('Filtered Data'!$D$1="UA",VLOOKUP(B106,'Filtered Data'!AS:AU,2,FALSE),VLOOKUP(B106,'Filtered Data'!AL:AN,2,FALSE)))</f>
        <v/>
      </c>
      <c r="F106" s="363"/>
      <c r="G106" s="363"/>
      <c r="H106" s="363"/>
      <c r="I106" s="363"/>
      <c r="J106" s="363"/>
      <c r="K106" s="363"/>
      <c r="L106" s="363"/>
      <c r="M106" s="363"/>
      <c r="N106" s="363"/>
      <c r="O106" s="363"/>
      <c r="P106" s="363"/>
      <c r="Q106" s="363"/>
      <c r="R106" s="363"/>
      <c r="S106" s="363"/>
      <c r="T106" s="363"/>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182"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182"/>
      <c r="AV106" s="85"/>
    </row>
    <row r="107" spans="2:48" ht="12" customHeight="1">
      <c r="B107" s="298" t="str">
        <f>IF('Filtered Data'!$D$1="MD","",IF('Filtered Data'!$D$1="SC","",IF('Filtered Data'!$D$1="UA",'Filtered Data'!AS26,'Filtered Data'!AL26)))</f>
        <v/>
      </c>
      <c r="C107" s="299"/>
      <c r="D107" s="299"/>
      <c r="E107" s="363" t="str">
        <f>IF(B107="","",IF('Filtered Data'!$D$1="UA",VLOOKUP(B107,'Filtered Data'!AS:AU,2,FALSE),VLOOKUP(B107,'Filtered Data'!AL:AN,2,FALSE)))</f>
        <v/>
      </c>
      <c r="F107" s="363"/>
      <c r="G107" s="363"/>
      <c r="H107" s="363"/>
      <c r="I107" s="363"/>
      <c r="J107" s="363"/>
      <c r="K107" s="363"/>
      <c r="L107" s="363"/>
      <c r="M107" s="363"/>
      <c r="N107" s="363"/>
      <c r="O107" s="363"/>
      <c r="P107" s="363"/>
      <c r="Q107" s="363"/>
      <c r="R107" s="363"/>
      <c r="S107" s="363"/>
      <c r="T107" s="363"/>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182" t="str">
        <f>IF(E107="","",IF((VLOOKUP(E107,classifications!C:K,9,FALSE))="Sparse","S",""))</f>
        <v/>
      </c>
      <c r="AA107" s="290"/>
      <c r="AB107" s="291"/>
      <c r="AC107" s="291"/>
      <c r="AD107" s="292"/>
      <c r="AE107" s="292"/>
      <c r="AF107" s="292"/>
      <c r="AG107" s="292"/>
      <c r="AH107" s="292"/>
      <c r="AI107" s="292"/>
      <c r="AJ107" s="292"/>
      <c r="AK107" s="292"/>
      <c r="AL107" s="292"/>
      <c r="AM107" s="292"/>
      <c r="AN107" s="288"/>
      <c r="AO107" s="288"/>
      <c r="AP107" s="288"/>
      <c r="AQ107" s="288"/>
      <c r="AR107" s="182"/>
      <c r="AV107" s="85"/>
    </row>
    <row r="108" spans="2:48" ht="12" customHeight="1">
      <c r="B108" s="291"/>
      <c r="C108" s="291"/>
      <c r="D108" s="291"/>
      <c r="E108" s="293" t="str">
        <f>IF('Filtered Data'!D1="MD","",IF('Filtered Data'!D1="SC","","Average"))</f>
        <v>Average</v>
      </c>
      <c r="F108" s="293"/>
      <c r="G108" s="293"/>
      <c r="H108" s="293"/>
      <c r="I108" s="293"/>
      <c r="J108" s="293"/>
      <c r="K108" s="293"/>
      <c r="L108" s="293"/>
      <c r="M108" s="293"/>
      <c r="N108" s="293"/>
      <c r="O108" s="281"/>
      <c r="P108" s="281"/>
      <c r="Q108" s="281"/>
      <c r="R108" s="281"/>
      <c r="S108" s="281"/>
      <c r="T108" s="281"/>
      <c r="U108" s="360">
        <f>IF(ISERROR(AVERAGE(U92:U107)),"",AVERAGE(U92:U107))</f>
        <v>442.06666666666666</v>
      </c>
      <c r="V108" s="360"/>
      <c r="W108" s="360"/>
      <c r="X108" s="360"/>
      <c r="Y108" s="182"/>
      <c r="AA108" s="291"/>
      <c r="AB108" s="291"/>
      <c r="AC108" s="291"/>
      <c r="AD108" s="24"/>
      <c r="AE108" s="24"/>
      <c r="AF108" s="24"/>
      <c r="AG108" s="24"/>
      <c r="AH108" s="24"/>
      <c r="AI108" s="24"/>
      <c r="AJ108" s="24"/>
      <c r="AK108" s="24"/>
      <c r="AL108" s="24"/>
      <c r="AM108" s="27"/>
      <c r="AN108" s="361"/>
      <c r="AO108" s="361"/>
      <c r="AP108" s="361"/>
      <c r="AQ108" s="361"/>
      <c r="AV108" s="85"/>
    </row>
    <row r="109" spans="2:48" ht="12" customHeight="1">
      <c r="W109" s="22">
        <f>COUNT(AA92:AB107)</f>
        <v>0</v>
      </c>
    </row>
    <row r="110" spans="2:48" ht="19.5" customHeight="1">
      <c r="B110" s="356" t="str">
        <f>B3</f>
        <v>Waste Management Indicators</v>
      </c>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row>
    <row r="111" spans="2:48" ht="12" customHeight="1"/>
    <row r="112" spans="2:48"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ht="12" customHeight="1"/>
    <row r="114" spans="2:40" ht="12" customHeight="1">
      <c r="B114" s="294" t="str">
        <f>W6&amp;" - "&amp;W12</f>
        <v>Collected household waste per person (kg) (Ex BVPI 84a) - 2019-20</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6"/>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86">
        <f>IF('Filtered Data'!H8="..",L35,L35*100)</f>
        <v>501.3</v>
      </c>
      <c r="H118" s="286"/>
      <c r="I118" s="286"/>
      <c r="J118" s="286"/>
      <c r="K118" s="286"/>
      <c r="L118" s="6"/>
      <c r="M118" s="287">
        <f>K$48</f>
        <v>390.54999999999995</v>
      </c>
      <c r="N118" s="287"/>
      <c r="O118" s="287">
        <f>M$48</f>
        <v>420.9</v>
      </c>
      <c r="P118" s="287"/>
      <c r="Q118" s="287">
        <f>O$48</f>
        <v>445.79999999999995</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6">
        <f>IF('Filtered Data'!H8="%%",(AVERAGEIF('Filtered Data'!AA$10:AA$492,$F119,'Filtered Data'!M$10:M$492))*100,(AVERAGEIF('Filtered Data'!AA$10:AA$492,$F119,'Filtered Data'!M$10:M$492)))</f>
        <v>453.44545454545454</v>
      </c>
      <c r="H119" s="286"/>
      <c r="I119" s="286"/>
      <c r="J119" s="286"/>
      <c r="K119" s="286"/>
      <c r="L119" s="6"/>
      <c r="M119" s="287">
        <f>K$48</f>
        <v>390.54999999999995</v>
      </c>
      <c r="N119" s="287"/>
      <c r="O119" s="287">
        <f>M$48</f>
        <v>420.9</v>
      </c>
      <c r="P119" s="287"/>
      <c r="Q119" s="287">
        <f>O$48</f>
        <v>445.79999999999995</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6">
        <f>IF('Filtered Data'!H8="%%",(AVERAGEIF('Filtered Data'!AA$10:AA$492,$F120,'Filtered Data'!M$10:M$492))*100,(AVERAGEIF('Filtered Data'!AA$10:AA$492,$F120,'Filtered Data'!M$10:M$492)))</f>
        <v>401.39999999999992</v>
      </c>
      <c r="H120" s="286"/>
      <c r="I120" s="286"/>
      <c r="J120" s="286"/>
      <c r="K120" s="286"/>
      <c r="L120" s="6"/>
      <c r="M120" s="287">
        <f>K$48</f>
        <v>390.54999999999995</v>
      </c>
      <c r="N120" s="287"/>
      <c r="O120" s="287">
        <f>M$48</f>
        <v>420.9</v>
      </c>
      <c r="P120" s="287"/>
      <c r="Q120" s="287">
        <f>O$48</f>
        <v>445.79999999999995</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6">
        <f>IF('Filtered Data'!H8="%%",(AVERAGEIF('Filtered Data'!AA$10:AA$492,$F121,'Filtered Data'!M$10:M$492))*100,(AVERAGEIF('Filtered Data'!AA$10:AA$492,$F121,'Filtered Data'!M$10:M$492)))</f>
        <v>448.88749999999999</v>
      </c>
      <c r="H121" s="286"/>
      <c r="I121" s="286"/>
      <c r="J121" s="286"/>
      <c r="K121" s="286"/>
      <c r="L121" s="6"/>
      <c r="M121" s="287">
        <f>K$48</f>
        <v>390.54999999999995</v>
      </c>
      <c r="N121" s="287"/>
      <c r="O121" s="287">
        <f>M$48</f>
        <v>420.9</v>
      </c>
      <c r="P121" s="287"/>
      <c r="Q121" s="287">
        <f>O$48</f>
        <v>445.79999999999995</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6"/>
      <c r="H122" s="286"/>
      <c r="I122" s="286"/>
      <c r="J122" s="286"/>
      <c r="K122" s="286"/>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6"/>
      <c r="H123" s="286"/>
      <c r="I123" s="286"/>
      <c r="J123" s="286"/>
      <c r="K123" s="286"/>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6"/>
      <c r="H124" s="286"/>
      <c r="I124" s="286"/>
      <c r="J124" s="286"/>
      <c r="K124" s="286"/>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48"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69" t="s">
        <v>823</v>
      </c>
      <c r="U1" s="370"/>
      <c r="V1" s="370"/>
      <c r="W1" s="371"/>
      <c r="X1" s="87"/>
      <c r="AA1" s="369" t="s">
        <v>822</v>
      </c>
      <c r="AB1" s="370"/>
      <c r="AC1" s="370"/>
      <c r="AD1" s="371"/>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9"/>
      <c r="U2" s="370"/>
      <c r="V2" s="370"/>
      <c r="W2" s="371"/>
      <c r="X2" s="367"/>
      <c r="Y2" s="368"/>
      <c r="Z2" s="368"/>
      <c r="AA2" s="369"/>
      <c r="AB2" s="370"/>
      <c r="AC2" s="370"/>
      <c r="AD2" s="371"/>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Cheshire East</v>
      </c>
      <c r="F3" s="108" t="str">
        <f>VLOOKUP(D3,classifications!C:G,4,FALSE)</f>
        <v>UA</v>
      </c>
      <c r="G3" s="48" t="str">
        <f>VLOOKUP(D3,classifications!C:E,3,FALSE)</f>
        <v>North West</v>
      </c>
      <c r="H3" s="118" t="str">
        <f>VLOOKUP(D3,classifications!C:H,6,FALSE)</f>
        <v>Urban with Significant Rural (rural including hub towns 26-49%)</v>
      </c>
      <c r="I3" s="48" t="str">
        <f>VLOOKUP(D3,classifications!C:J,8,FALSE)</f>
        <v>Unitary</v>
      </c>
      <c r="J3" s="47" t="str">
        <f>VLOOKUP(D3,classifications!C:I,7,FALSE)</f>
        <v>Significant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Collected household waste per person (kg) (Ex BVPI 84a)</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330.4</v>
      </c>
      <c r="Q7" s="145">
        <f>IF(I8="A",MAX(N11:N355),MIN(N11:N355))</f>
        <v>504.9</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Cheshire East</v>
      </c>
      <c r="Q8" s="146">
        <f>VLOOKUP(D3,L11:N355,3,FALSE)</f>
        <v>501.3</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418.71636363636361</v>
      </c>
      <c r="N9" s="123"/>
      <c r="O9" s="126" t="s">
        <v>340</v>
      </c>
      <c r="P9" s="126" t="s">
        <v>351</v>
      </c>
      <c r="Q9" s="126" t="s">
        <v>352</v>
      </c>
      <c r="R9" s="128" t="s">
        <v>400</v>
      </c>
      <c r="S9" s="53"/>
      <c r="T9" s="230" t="s">
        <v>818</v>
      </c>
      <c r="U9" s="231">
        <f>IF($H$8="%.",(AVERAGE(U11:U355))/100,(AVERAGE(U11:U355)))</f>
        <v>465.33636363636361</v>
      </c>
      <c r="V9" s="232"/>
      <c r="W9" s="232"/>
      <c r="X9" s="121" t="str">
        <f>"Lower Level Ranking for Authorites in "&amp;H3&amp;" &amp; are a "&amp;F3</f>
        <v>Lower Level Ranking for Authorites in Urban with Significant Rural (rural including hub towns 26-49%) &amp; are a UA</v>
      </c>
      <c r="Y9" s="123">
        <f>IF($H$8="%.",(AVERAGE(Y11:Y355))/100,(AVERAGE(Y11:Y355)))</f>
        <v>451.5263157894737</v>
      </c>
      <c r="Z9" s="122"/>
      <c r="AA9" s="240" t="s">
        <v>379</v>
      </c>
      <c r="AB9" s="231">
        <f>IF($H$8="%.",(AVERAGE(AB11:AB355))/100,(AVERAGE(AB11:AB355)))</f>
        <v>448.88749999999999</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418.71636363636361</v>
      </c>
      <c r="AK9" s="122"/>
      <c r="AL9" s="70"/>
      <c r="AM9" s="31"/>
      <c r="AN9" s="31"/>
      <c r="AP9" s="121" t="str">
        <f>"Regional Ranking in for "&amp;F3</f>
        <v>Regional Ranking in for UA</v>
      </c>
      <c r="AQ9" s="123">
        <f>IF($H$8="%.",(AVERAGE(AQ11:AQ355))/100,(AVERAGE(AQ11:AQ355)))</f>
        <v>442.06666666666666</v>
      </c>
      <c r="AR9" s="122"/>
      <c r="AS9" s="122"/>
      <c r="AT9" s="122"/>
      <c r="AU9" s="122"/>
      <c r="AV9" s="49"/>
      <c r="AW9" s="115"/>
      <c r="AX9" s="178" t="str">
        <f>Profile!$W$6</f>
        <v>Collected household waste per person (kg) (Ex BVPI 84a)</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390.54999999999995</v>
      </c>
      <c r="P10" s="130">
        <f>QUARTILE(N:N,2)</f>
        <v>420.9</v>
      </c>
      <c r="Q10" s="130">
        <f>IF(I8="A",QUARTILE(N:N,3),QUARTILE(N:N,1))</f>
        <v>445.79999999999995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HLOOKUP($D$6,AX$10:ZX$355,ROW()-9,FALSE)</f>
        <v>318.89999999999998</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Portsmouth</v>
      </c>
      <c r="M11" s="153">
        <f t="shared" ref="M11:M74" si="3">IF(L11="","",IF(VLOOKUP(L11,C:D,2,FALSE)=$F$3,VLOOKUP(L11,C:H,6,FALSE),""))</f>
        <v>330.4</v>
      </c>
      <c r="N11" s="148">
        <f>IF(L11="","",IF($H$8="%%",M11*100,M11))</f>
        <v>330.4</v>
      </c>
      <c r="O11" s="131">
        <f>IF(I$8="A",IF(N11&gt;=$P$7,IF(N11&lt;=$O$10,N11,""),""),IF(N11&lt;=$P$7,IF(N11&gt;=$O$10,N11,""),""))</f>
        <v>330.4</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Urban with City and Town</v>
      </c>
      <c r="Y11" s="49" t="str">
        <f t="shared" ref="Y11:Y74" si="4">IF($D$1="UA",IF(X11="Largely Rural (rural including hub towns 50-79%) ",M11,IF(X11="Mainly Rural (rural including hub towns &gt;=80%) ",M11,IF(X11="Urban with Significant Rural (rural including hub towns 26-49%)",M11,""))),IF($D$1="SD",IF(X11=$H$3,M11,"")))</f>
        <v/>
      </c>
      <c r="Z11" s="57" t="str">
        <f>IF(Y11="","",IF(I$8="A",(RANK(Y11,Y$11:Y$355,1)+COUNTIF(Y$11:Y11,Y11)-1),(RANK(Y11,Y$11:Y$355)+COUNTIF(Y$11:Y11,Y11)-1)))</f>
        <v/>
      </c>
      <c r="AA11" s="242" t="str">
        <f>IF(L11="","",VLOOKUP($L11,classifications!C:I,7,FALSE))</f>
        <v>Predominantly Urban</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Cheshire East</v>
      </c>
      <c r="AG11" s="142">
        <f>VLOOKUP(Profile!$J$5,$C$11:$H$355,4,FALSE)</f>
        <v>501.3</v>
      </c>
      <c r="AH11" s="72" t="e">
        <f>AE11</f>
        <v>#N/A</v>
      </c>
      <c r="AI11" s="61" t="str">
        <f>IF(L11="","",VLOOKUP($L11,classifications!$C:$J,8,FALSE))</f>
        <v>Unitary</v>
      </c>
      <c r="AJ11" s="62">
        <f t="shared" ref="AJ11:AJ74" si="5">IF(AI11=$I$3,M11,"")</f>
        <v>330.4</v>
      </c>
      <c r="AK11" s="57">
        <f>IF(AJ11="","",IF(I$8="A",(RANK(AJ11,AJ$11:AJ$355,1)+COUNTIF(AJ$11:AJ11,AJ11)-1),(RANK(AJ11,AJ$11:AJ$355)+COUNTIF(AJ$11:AJ11,AJ11)-1)))</f>
        <v>1</v>
      </c>
      <c r="AL11" s="57">
        <v>1</v>
      </c>
      <c r="AM11" s="31" t="str">
        <f t="shared" ref="AM11:AM74" si="6">IF(ISNA(IF(AL11="","",INDEX(L$11:L$355,MATCH(AL11,AK$11:AK$355,0)))),"",(IF(AL11="","",INDEX(L$11:L$355,MATCH(AL11,AK$11:AK$355,0)))))</f>
        <v>Portsmouth</v>
      </c>
      <c r="AN11" s="31">
        <f t="shared" ref="AN11:AN74" si="7">(VLOOKUP(AM11,L:M,2,FALSE))</f>
        <v>330.4</v>
      </c>
      <c r="AP11" s="61" t="str">
        <f>IF(L11="","",VLOOKUP($L11,classifications!$C:$E,3,FALSE))</f>
        <v>South East</v>
      </c>
      <c r="AQ11" s="62" t="str">
        <f>IF(AP11=$G$3,$M11,"")</f>
        <v/>
      </c>
      <c r="AR11" s="57" t="str">
        <f>IF(AQ11="","",IF(I$8="A",(RANK(AQ11,AQ$11:AQ$355,1)+COUNTIF(AQ$11:AQ11,AQ11)-1),(RANK(AQ11,AQ$11:AQ$355)+COUNTIF(AQ$11:AQ11,AQ11)-1)))</f>
        <v/>
      </c>
      <c r="AS11" s="57">
        <v>1</v>
      </c>
      <c r="AT11" s="57" t="str">
        <f t="shared" ref="AT11:AT74" si="8">IF(AS11="","",INDEX(L$11:L$355,MATCH(AS11,AR$11:AR$355,0)))</f>
        <v>Blackburn with Darwen</v>
      </c>
      <c r="AU11" s="62">
        <f t="shared" ref="AU11:AU74" si="9">IF(AT11="","",VLOOKUP(AT11,L:M,2,FALSE))</f>
        <v>352.3</v>
      </c>
      <c r="AX11" s="44">
        <f>HLOOKUP($AX$9&amp;$AX$10,Data!$A$1:$ZZ$2000,(MATCH($C11,Data!$A$1:$A$2000,0)),FALSE)</f>
        <v>318.89999999999998</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380.7</v>
      </c>
      <c r="G12" s="105"/>
      <c r="H12" s="60" t="str">
        <f t="shared" si="1"/>
        <v/>
      </c>
      <c r="I12" s="112" t="str">
        <f>IF(H12="","",IF($I$8="A",(RANK(H12,H$11:H$355,1)+COUNTIF(H$11:H12,H12)-1),(RANK(H12,H$11:H$355)+COUNTIF(H$11:H12,H12)-1)))</f>
        <v/>
      </c>
      <c r="J12" s="58"/>
      <c r="K12" s="51">
        <f t="shared" ref="K12:K75" si="10">IF(K11="","",IF(K11+1&gt;(COUNT(H$11:H$355)),"",K11+1))</f>
        <v>2</v>
      </c>
      <c r="L12" s="59" t="str">
        <f t="shared" si="2"/>
        <v>Southampton</v>
      </c>
      <c r="M12" s="153">
        <f t="shared" si="3"/>
        <v>340.5</v>
      </c>
      <c r="N12" s="148">
        <f>IF(L12="","",IF($H$8="%%",M12*100,M12))</f>
        <v>340.5</v>
      </c>
      <c r="O12" s="131">
        <f t="shared" ref="O12:O74" si="11">IF(I$8="A",IF(N12&gt;=$P$7,IF(N12&lt;=$O$10,N12,""),""),IF(N12&lt;=$P$7,IF(N12&gt;=$O$10,N12,""),""))</f>
        <v>340.5</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IF(U12="","",IF($I$8="A",(RANK(U12,U$11:U$355)+COUNTIF(U$11:U12,U12)-1),(RANK(U12,U$11:U$355,1)+COUNTIF(U$11:U12,U12)-1)))</f>
        <v/>
      </c>
      <c r="W12" s="237"/>
      <c r="X12" s="61" t="str">
        <f>IF(L12="","",VLOOKUP($L12,classifications!$C:$J,6,FALSE))</f>
        <v>Urban with City and Town</v>
      </c>
      <c r="Y12" s="49" t="str">
        <f t="shared" si="4"/>
        <v/>
      </c>
      <c r="Z12" s="57" t="str">
        <f>IF(Y12="","",IF(I$8="A",(RANK(Y12,Y$11:Y$355,1)+COUNTIF(Y$11:Y12,Y12)-1),(RANK(Y12,Y$11:Y$355)+COUNTIF(Y$11:Y12,Y12)-1)))</f>
        <v/>
      </c>
      <c r="AA12" s="242" t="str">
        <f>IF(L12="","",VLOOKUP($L12,classifications!C:I,7,FALSE))</f>
        <v>Predominantly Urban</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Cheshire West &amp; Chester</v>
      </c>
      <c r="AG12" s="143">
        <f t="shared" ref="AG12:AG26" si="15">VLOOKUP(AF12,$C$11:$H$355,4,FALSE)</f>
        <v>480.4</v>
      </c>
      <c r="AH12" s="72" t="e">
        <f>AE12</f>
        <v>#N/A</v>
      </c>
      <c r="AI12" s="61" t="str">
        <f>IF(L12="","",VLOOKUP($L12,classifications!$C:$J,8,FALSE))</f>
        <v>Unitary</v>
      </c>
      <c r="AJ12" s="62">
        <f t="shared" si="5"/>
        <v>340.5</v>
      </c>
      <c r="AK12" s="57">
        <f>IF(AJ12="","",IF(I$8="A",(RANK(AJ12,AJ$11:AJ$355,1)+COUNTIF(AJ$11:AJ12,AJ12)-1),(RANK(AJ12,AJ$11:AJ$355)+COUNTIF(AJ$11:AJ12,AJ12)-1)))</f>
        <v>2</v>
      </c>
      <c r="AL12" s="52">
        <f t="shared" ref="AL12:AL75" si="16">IF(AL11="","",IF(AL11+1&gt;(COUNT(AJ$11:AJ$355)),"",AL11+1))</f>
        <v>2</v>
      </c>
      <c r="AM12" s="31" t="str">
        <f t="shared" si="6"/>
        <v>Southampton</v>
      </c>
      <c r="AN12" s="31">
        <f t="shared" si="7"/>
        <v>340.5</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Warrington</v>
      </c>
      <c r="AU12" s="62">
        <f t="shared" si="9"/>
        <v>417.9</v>
      </c>
      <c r="AX12" s="44">
        <f>HLOOKUP($AX$9&amp;$AX$10,Data!$A$1:$ZZ$2000,(MATCH($C12,Data!$A$1:$A$2000,0)),FALSE)</f>
        <v>380.7</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362.7</v>
      </c>
      <c r="G13" s="105"/>
      <c r="H13" s="60" t="str">
        <f t="shared" si="1"/>
        <v/>
      </c>
      <c r="I13" s="112" t="str">
        <f>IF(H13="","",IF($I$8="A",(RANK(H13,H$11:H$355,1)+COUNTIF(H$11:H13,H13)-1),(RANK(H13,H$11:H$355)+COUNTIF(H$11:H13,H13)-1)))</f>
        <v/>
      </c>
      <c r="J13" s="58"/>
      <c r="K13" s="51">
        <f t="shared" si="10"/>
        <v>3</v>
      </c>
      <c r="L13" s="59" t="str">
        <f t="shared" si="2"/>
        <v>Nottingham</v>
      </c>
      <c r="M13" s="153">
        <f t="shared" si="3"/>
        <v>343.8</v>
      </c>
      <c r="N13" s="148">
        <f>IF(L13="","",IF($H$8="%%",M13*100,M13))</f>
        <v>343.8</v>
      </c>
      <c r="O13" s="131">
        <f t="shared" si="11"/>
        <v>343.8</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Minor Conurbation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Shropshire</v>
      </c>
      <c r="AG13" s="143">
        <f t="shared" si="15"/>
        <v>489.9</v>
      </c>
      <c r="AH13" s="72" t="e">
        <f t="shared" ref="AH13:AH26" si="22">AE13</f>
        <v>#N/A</v>
      </c>
      <c r="AI13" s="61" t="str">
        <f>IF(L13="","",VLOOKUP($L13,classifications!$C:$J,8,FALSE))</f>
        <v>Unitary</v>
      </c>
      <c r="AJ13" s="62">
        <f>IF(AI13=$I$3,M13,"")</f>
        <v>343.8</v>
      </c>
      <c r="AK13" s="57">
        <f>IF(AJ13="","",IF(I$8="A",(RANK(AJ13,AJ$11:AJ$355,1)+COUNTIF(AJ$11:AJ13,AJ13)-1),(RANK(AJ13,AJ$11:AJ$355)+COUNTIF(AJ$11:AJ13,AJ13)-1)))</f>
        <v>3</v>
      </c>
      <c r="AL13" s="52">
        <f t="shared" si="16"/>
        <v>3</v>
      </c>
      <c r="AM13" s="31" t="str">
        <f t="shared" si="6"/>
        <v>Nottingham</v>
      </c>
      <c r="AN13" s="31">
        <f t="shared" si="7"/>
        <v>343.8</v>
      </c>
      <c r="AP13" s="61" t="str">
        <f>IF(L13="","",VLOOKUP($L13,classifications!$C:$E,3,FALSE))</f>
        <v>East Midlands</v>
      </c>
      <c r="AQ13" s="62" t="str">
        <f t="shared" si="17"/>
        <v/>
      </c>
      <c r="AR13" s="57" t="str">
        <f>IF(AQ13="","",IF(I$8="A",(RANK(AQ13,AQ$11:AQ$355,1)+COUNTIF(AQ$11:AQ13,AQ13)-1),(RANK(AQ13,AQ$11:AQ$355)+COUNTIF(AQ$11:AQ13,AQ13)-1)))</f>
        <v/>
      </c>
      <c r="AS13" s="52">
        <f t="shared" si="18"/>
        <v>3</v>
      </c>
      <c r="AT13" s="57" t="str">
        <f t="shared" si="8"/>
        <v>Halton</v>
      </c>
      <c r="AU13" s="62">
        <f t="shared" si="9"/>
        <v>440</v>
      </c>
      <c r="AX13" s="44">
        <f>HLOOKUP($AX$9&amp;$AX$10,Data!$A$1:$ZZ$2000,(MATCH($C13,Data!$A$1:$A$2000,0)),FALSE)</f>
        <v>362.7</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335.7</v>
      </c>
      <c r="G14" s="105"/>
      <c r="H14" s="60" t="str">
        <f t="shared" si="1"/>
        <v/>
      </c>
      <c r="I14" s="112" t="str">
        <f>IF(H14="","",IF($I$8="A",(RANK(H14,H$11:H$355,1)+COUNTIF(H$11:H14,H14)-1),(RANK(H14,H$11:H$355)+COUNTIF(H$11:H14,H14)-1)))</f>
        <v/>
      </c>
      <c r="J14" s="58"/>
      <c r="K14" s="51">
        <f t="shared" si="10"/>
        <v>4</v>
      </c>
      <c r="L14" s="59" t="str">
        <f t="shared" si="2"/>
        <v>Brighton &amp; Hove</v>
      </c>
      <c r="M14" s="153">
        <f t="shared" si="3"/>
        <v>346.8</v>
      </c>
      <c r="N14" s="148">
        <f t="shared" ref="N14:N75" si="23">IF(L14="","",IF($H$8="%%",M14*100,M14))</f>
        <v>346.8</v>
      </c>
      <c r="O14" s="131">
        <f t="shared" si="11"/>
        <v>346.8</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City and Town</v>
      </c>
      <c r="Y14" s="49" t="str">
        <f t="shared" si="4"/>
        <v/>
      </c>
      <c r="Z14" s="57" t="str">
        <f>IF(Y14="","",IF(I$8="A",(RANK(Y14,Y$11:Y$355,1)+COUNTIF(Y$11:Y14,Y14)-1),(RANK(Y14,Y$11:Y$355)+COUNTIF(Y$11:Y14,Y14)-1)))</f>
        <v/>
      </c>
      <c r="AA14" s="242" t="str">
        <f>IF(L14="","",VLOOKUP($L14,classifications!C:I,7,FALSE))</f>
        <v>Predominantly Urban</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Wiltshire</v>
      </c>
      <c r="AG14" s="143">
        <f t="shared" si="15"/>
        <v>428.9</v>
      </c>
      <c r="AH14" s="72" t="e">
        <f t="shared" si="22"/>
        <v>#N/A</v>
      </c>
      <c r="AI14" s="61" t="str">
        <f>IF(L14="","",VLOOKUP($L14,classifications!$C:$J,8,FALSE))</f>
        <v>Unitary</v>
      </c>
      <c r="AJ14" s="62">
        <f t="shared" si="5"/>
        <v>346.8</v>
      </c>
      <c r="AK14" s="57">
        <f>IF(AJ14="","",IF(I$8="A",(RANK(AJ14,AJ$11:AJ$355,1)+COUNTIF(AJ$11:AJ14,AJ14)-1),(RANK(AJ14,AJ$11:AJ$355)+COUNTIF(AJ$11:AJ14,AJ14)-1)))</f>
        <v>4</v>
      </c>
      <c r="AL14" s="52">
        <f t="shared" si="16"/>
        <v>4</v>
      </c>
      <c r="AM14" s="31" t="str">
        <f t="shared" si="6"/>
        <v>Brighton &amp; Hove</v>
      </c>
      <c r="AN14" s="31">
        <f t="shared" si="7"/>
        <v>346.8</v>
      </c>
      <c r="AP14" s="61" t="str">
        <f>IF(L14="","",VLOOKUP($L14,classifications!$C:$E,3,FALSE))</f>
        <v>South East</v>
      </c>
      <c r="AQ14" s="62" t="str">
        <f t="shared" si="17"/>
        <v/>
      </c>
      <c r="AR14" s="57" t="str">
        <f>IF(AQ14="","",IF(I$8="A",(RANK(AQ14,AQ$11:AQ$355,1)+COUNTIF(AQ$11:AQ14,AQ14)-1),(RANK(AQ14,AQ$11:AQ$355)+COUNTIF(AQ$11:AQ14,AQ14)-1)))</f>
        <v/>
      </c>
      <c r="AS14" s="52">
        <f t="shared" si="18"/>
        <v>4</v>
      </c>
      <c r="AT14" s="57" t="str">
        <f t="shared" si="8"/>
        <v>Blackpool</v>
      </c>
      <c r="AU14" s="62">
        <f t="shared" si="9"/>
        <v>460.5</v>
      </c>
      <c r="AX14" s="44">
        <f>HLOOKUP($AX$9&amp;$AX$10,Data!$A$1:$ZZ$2000,(MATCH($C14,Data!$A$1:$A$2000,0)),FALSE)</f>
        <v>335.7</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352.8</v>
      </c>
      <c r="G15" s="105"/>
      <c r="H15" s="60" t="str">
        <f t="shared" si="1"/>
        <v/>
      </c>
      <c r="I15" s="112" t="str">
        <f>IF(H15="","",IF($I$8="A",(RANK(H15,H$11:H$355,1)+COUNTIF(H$11:H15,H15)-1),(RANK(H15,H$11:H$355)+COUNTIF(H$11:H15,H15)-1)))</f>
        <v/>
      </c>
      <c r="J15" s="58"/>
      <c r="K15" s="51">
        <f t="shared" si="10"/>
        <v>5</v>
      </c>
      <c r="L15" s="59" t="str">
        <f t="shared" si="2"/>
        <v>Luton</v>
      </c>
      <c r="M15" s="153">
        <f t="shared" si="3"/>
        <v>350</v>
      </c>
      <c r="N15" s="148">
        <f t="shared" si="23"/>
        <v>350</v>
      </c>
      <c r="O15" s="131">
        <f t="shared" si="11"/>
        <v>350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Bath &amp; North East Somerset</v>
      </c>
      <c r="AG15" s="143">
        <f t="shared" si="15"/>
        <v>381.1</v>
      </c>
      <c r="AH15" s="72" t="e">
        <f t="shared" si="22"/>
        <v>#N/A</v>
      </c>
      <c r="AI15" s="61" t="str">
        <f>IF(L15="","",VLOOKUP($L15,classifications!$C:$J,8,FALSE))</f>
        <v>Unitary</v>
      </c>
      <c r="AJ15" s="62">
        <f t="shared" si="5"/>
        <v>350</v>
      </c>
      <c r="AK15" s="57">
        <f>IF(AJ15="","",IF(I$8="A",(RANK(AJ15,AJ$11:AJ$355,1)+COUNTIF(AJ$11:AJ15,AJ15)-1),(RANK(AJ15,AJ$11:AJ$355)+COUNTIF(AJ$11:AJ15,AJ15)-1)))</f>
        <v>5</v>
      </c>
      <c r="AL15" s="52">
        <f t="shared" si="16"/>
        <v>5</v>
      </c>
      <c r="AM15" s="31" t="str">
        <f t="shared" si="6"/>
        <v>Luton</v>
      </c>
      <c r="AN15" s="31">
        <f t="shared" si="7"/>
        <v>350</v>
      </c>
      <c r="AP15" s="61" t="str">
        <f>IF(L15="","",VLOOKUP($L15,classifications!$C:$E,3,FALSE))</f>
        <v>East of England</v>
      </c>
      <c r="AQ15" s="62" t="str">
        <f t="shared" si="17"/>
        <v/>
      </c>
      <c r="AR15" s="57" t="str">
        <f>IF(AQ15="","",IF(I$8="A",(RANK(AQ15,AQ$11:AQ$355,1)+COUNTIF(AQ$11:AQ15,AQ15)-1),(RANK(AQ15,AQ$11:AQ$355)+COUNTIF(AQ$11:AQ15,AQ15)-1)))</f>
        <v/>
      </c>
      <c r="AS15" s="52">
        <f t="shared" si="18"/>
        <v>5</v>
      </c>
      <c r="AT15" s="57" t="str">
        <f t="shared" si="8"/>
        <v>Cheshire West &amp; Chester</v>
      </c>
      <c r="AU15" s="62">
        <f t="shared" si="9"/>
        <v>480.4</v>
      </c>
      <c r="AX15" s="44">
        <f>HLOOKUP($AX$9&amp;$AX$10,Data!$A$1:$ZZ$2000,(MATCH($C15,Data!$A$1:$A$2000,0)),FALSE)</f>
        <v>352.8</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323.60000000000002</v>
      </c>
      <c r="G16" s="105"/>
      <c r="H16" s="60" t="str">
        <f t="shared" si="1"/>
        <v/>
      </c>
      <c r="I16" s="112" t="str">
        <f>IF(H16="","",IF($I$8="A",(RANK(H16,H$11:H$355,1)+COUNTIF(H$11:H16,H16)-1),(RANK(H16,H$11:H$355)+COUNTIF(H$11:H16,H16)-1)))</f>
        <v/>
      </c>
      <c r="J16" s="58"/>
      <c r="K16" s="51">
        <f t="shared" si="10"/>
        <v>6</v>
      </c>
      <c r="L16" s="59" t="str">
        <f t="shared" si="2"/>
        <v>Slough</v>
      </c>
      <c r="M16" s="153">
        <f t="shared" si="3"/>
        <v>350.6</v>
      </c>
      <c r="N16" s="148">
        <f t="shared" si="23"/>
        <v>350.6</v>
      </c>
      <c r="O16" s="131">
        <f t="shared" si="11"/>
        <v>350.6</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City and Town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Herefordshire</v>
      </c>
      <c r="AG16" s="143">
        <f t="shared" si="15"/>
        <v>391.9</v>
      </c>
      <c r="AH16" s="72" t="e">
        <f t="shared" si="22"/>
        <v>#N/A</v>
      </c>
      <c r="AI16" s="61" t="str">
        <f>IF(L16="","",VLOOKUP($L16,classifications!$C:$J,8,FALSE))</f>
        <v>Unitary</v>
      </c>
      <c r="AJ16" s="62">
        <f t="shared" si="5"/>
        <v>350.6</v>
      </c>
      <c r="AK16" s="57">
        <f>IF(AJ16="","",IF(I$8="A",(RANK(AJ16,AJ$11:AJ$355,1)+COUNTIF(AJ$11:AJ16,AJ16)-1),(RANK(AJ16,AJ$11:AJ$355)+COUNTIF(AJ$11:AJ16,AJ16)-1)))</f>
        <v>6</v>
      </c>
      <c r="AL16" s="52">
        <f t="shared" si="16"/>
        <v>6</v>
      </c>
      <c r="AM16" s="31" t="str">
        <f t="shared" si="6"/>
        <v>Slough</v>
      </c>
      <c r="AN16" s="31">
        <f t="shared" si="7"/>
        <v>350.6</v>
      </c>
      <c r="AP16" s="61" t="str">
        <f>IF(L16="","",VLOOKUP($L16,classifications!$C:$E,3,FALSE))</f>
        <v>South East</v>
      </c>
      <c r="AQ16" s="62" t="str">
        <f t="shared" si="17"/>
        <v/>
      </c>
      <c r="AR16" s="57" t="str">
        <f>IF(AQ16="","",IF(I$8="A",(RANK(AQ16,AQ$11:AQ$355,1)+COUNTIF(AQ$11:AQ16,AQ16)-1),(RANK(AQ16,AQ$11:AQ$355)+COUNTIF(AQ$11:AQ16,AQ16)-1)))</f>
        <v/>
      </c>
      <c r="AS16" s="52">
        <f t="shared" si="18"/>
        <v>6</v>
      </c>
      <c r="AT16" s="57" t="str">
        <f t="shared" si="8"/>
        <v>Cheshire East</v>
      </c>
      <c r="AU16" s="62">
        <f t="shared" si="9"/>
        <v>501.3</v>
      </c>
      <c r="AX16" s="44">
        <f>HLOOKUP($AX$9&amp;$AX$10,Data!$A$1:$ZZ$2000,(MATCH($C16,Data!$A$1:$A$2000,0)),FALSE)</f>
        <v>323.60000000000002</v>
      </c>
      <c r="AY16" s="156"/>
      <c r="AZ16" s="44"/>
    </row>
    <row r="17" spans="1:52">
      <c r="A17" s="84" t="str">
        <f>$D$1&amp;7</f>
        <v>UA7</v>
      </c>
      <c r="B17" s="85" t="str">
        <f>IF(ISERROR(VLOOKUP(A17,classifications!A:C,3,FALSE)),0,VLOOKUP(A17,classifications!A:C,3,FALSE))</f>
        <v>North Lincolnshire</v>
      </c>
      <c r="C17" s="31" t="s">
        <v>11</v>
      </c>
      <c r="D17" s="49" t="str">
        <f>VLOOKUP($C17,classifications!$C:$J,4,FALSE)</f>
        <v>SD</v>
      </c>
      <c r="E17" s="49">
        <f>VLOOKUP(C17,classifications!C:K,9,FALSE)</f>
        <v>0</v>
      </c>
      <c r="F17" s="59">
        <f t="shared" si="0"/>
        <v>310.7</v>
      </c>
      <c r="G17" s="105"/>
      <c r="H17" s="60" t="str">
        <f t="shared" si="1"/>
        <v/>
      </c>
      <c r="I17" s="112" t="str">
        <f>IF(H17="","",IF($I$8="A",(RANK(H17,H$11:H$355,1)+COUNTIF(H$11:H17,H17)-1),(RANK(H17,H$11:H$355)+COUNTIF(H$11:H17,H17)-1)))</f>
        <v/>
      </c>
      <c r="J17" s="58"/>
      <c r="K17" s="51">
        <f t="shared" si="10"/>
        <v>7</v>
      </c>
      <c r="L17" s="59" t="str">
        <f t="shared" si="2"/>
        <v>Blackburn with Darwen</v>
      </c>
      <c r="M17" s="153">
        <f t="shared" si="3"/>
        <v>352.3</v>
      </c>
      <c r="N17" s="148">
        <f t="shared" si="23"/>
        <v>352.3</v>
      </c>
      <c r="O17" s="131">
        <f t="shared" si="11"/>
        <v>352.3</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City and Town</v>
      </c>
      <c r="Y17" s="49" t="str">
        <f t="shared" si="4"/>
        <v/>
      </c>
      <c r="Z17" s="57" t="str">
        <f>IF(Y17="","",IF(I$8="A",(RANK(Y17,Y$11:Y$355,1)+COUNTIF(Y$11:Y17,Y17)-1),(RANK(Y17,Y$11:Y$355)+COUNTIF(Y$11:Y17,Y17)-1)))</f>
        <v/>
      </c>
      <c r="AA17" s="242" t="str">
        <f>IF(L17="","",VLOOKUP($L17,classifications!C:I,7,FALSE))</f>
        <v>Predominantly Urban</v>
      </c>
      <c r="AB17" s="236" t="str">
        <f t="shared" si="14"/>
        <v/>
      </c>
      <c r="AC17" s="236" t="str">
        <f>IF(AB17="","",IF($I$8="A",(RANK(AB17,AB$11:AB$355)+COUNTIF(AB$11:AB17,AB17)-1),(RANK(AB17,AB$11:AB$355,1)+COUNTIF(AB$11:AB17,AB17)-1)))</f>
        <v/>
      </c>
      <c r="AD17" s="236"/>
      <c r="AE17" s="71" t="e">
        <f>IF(I$8="A",(RANK(AG17,AG$11:AG$355,1)+COUNTIF(AG$11:AG17,AG17)-1),(RANK(AG17,AG$11:AG$355)+COUNTIF(AG$11:AG17,AG17)-1))</f>
        <v>#N/A</v>
      </c>
      <c r="AF17" s="6" t="str">
        <f>VLOOKUP(Profile!$J$5,Families!$C:$R,7,FALSE)</f>
        <v>Solihull</v>
      </c>
      <c r="AG17" s="143">
        <f t="shared" si="15"/>
        <v>424.6</v>
      </c>
      <c r="AH17" s="72" t="e">
        <f t="shared" si="22"/>
        <v>#N/A</v>
      </c>
      <c r="AI17" s="61" t="str">
        <f>IF(L17="","",VLOOKUP($L17,classifications!$C:$J,8,FALSE))</f>
        <v>Unitary</v>
      </c>
      <c r="AJ17" s="62">
        <f t="shared" si="5"/>
        <v>352.3</v>
      </c>
      <c r="AK17" s="57">
        <f>IF(AJ17="","",IF(I$8="A",(RANK(AJ17,AJ$11:AJ$355,1)+COUNTIF(AJ$11:AJ17,AJ17)-1),(RANK(AJ17,AJ$11:AJ$355)+COUNTIF(AJ$11:AJ17,AJ17)-1)))</f>
        <v>7</v>
      </c>
      <c r="AL17" s="52">
        <f t="shared" si="16"/>
        <v>7</v>
      </c>
      <c r="AM17" s="31" t="str">
        <f t="shared" si="6"/>
        <v>Blackburn with Darwen</v>
      </c>
      <c r="AN17" s="31">
        <f t="shared" si="7"/>
        <v>352.3</v>
      </c>
      <c r="AP17" s="61" t="str">
        <f>IF(L17="","",VLOOKUP($L17,classifications!$C:$E,3,FALSE))</f>
        <v>North West</v>
      </c>
      <c r="AQ17" s="62">
        <f t="shared" si="17"/>
        <v>352.3</v>
      </c>
      <c r="AR17" s="57">
        <f>IF(AQ17="","",IF(I$8="A",(RANK(AQ17,AQ$11:AQ$355,1)+COUNTIF(AQ$11:AQ17,AQ17)-1),(RANK(AQ17,AQ$11:AQ$355)+COUNTIF(AQ$11:AQ17,AQ17)-1)))</f>
        <v>1</v>
      </c>
      <c r="AS17" s="52" t="str">
        <f t="shared" si="18"/>
        <v/>
      </c>
      <c r="AT17" s="57" t="str">
        <f t="shared" si="8"/>
        <v/>
      </c>
      <c r="AU17" s="62" t="str">
        <f t="shared" si="9"/>
        <v/>
      </c>
      <c r="AX17" s="44">
        <f>HLOOKUP($AX$9&amp;$AX$10,Data!$A$1:$ZZ$2000,(MATCH($C17,Data!$A$1:$A$2000,0)),FALSE)</f>
        <v>310.7</v>
      </c>
      <c r="AY17" s="156"/>
      <c r="AZ17" s="44"/>
    </row>
    <row r="18" spans="1:52">
      <c r="A18" s="84" t="str">
        <f>$D$1&amp;8</f>
        <v>UA8</v>
      </c>
      <c r="B18" s="85" t="str">
        <f>IF(ISERROR(VLOOKUP(A18,classifications!A:C,3,FALSE)),0,VLOOKUP(A18,classifications!A:C,3,FALSE))</f>
        <v>North Somerset</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Reading</v>
      </c>
      <c r="M18" s="153">
        <f t="shared" si="3"/>
        <v>352.9</v>
      </c>
      <c r="N18" s="148">
        <f t="shared" si="23"/>
        <v>352.9</v>
      </c>
      <c r="O18" s="131">
        <f t="shared" si="11"/>
        <v>352.9</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Stockport</v>
      </c>
      <c r="AG18" s="143">
        <f t="shared" si="15"/>
        <v>339.5</v>
      </c>
      <c r="AH18" s="72" t="e">
        <f t="shared" si="22"/>
        <v>#N/A</v>
      </c>
      <c r="AI18" s="61" t="str">
        <f>IF(L18="","",VLOOKUP($L18,classifications!$C:$J,8,FALSE))</f>
        <v>Unitary</v>
      </c>
      <c r="AJ18" s="62">
        <f t="shared" si="5"/>
        <v>352.9</v>
      </c>
      <c r="AK18" s="57">
        <f>IF(AJ18="","",IF(I$8="A",(RANK(AJ18,AJ$11:AJ$355,1)+COUNTIF(AJ$11:AJ18,AJ18)-1),(RANK(AJ18,AJ$11:AJ$355)+COUNTIF(AJ$11:AJ18,AJ18)-1)))</f>
        <v>8</v>
      </c>
      <c r="AL18" s="52">
        <f t="shared" si="16"/>
        <v>8</v>
      </c>
      <c r="AM18" s="31" t="str">
        <f t="shared" si="6"/>
        <v>Reading</v>
      </c>
      <c r="AN18" s="31">
        <f t="shared" si="7"/>
        <v>352.9</v>
      </c>
      <c r="AP18" s="61" t="str">
        <f>IF(L18="","",VLOOKUP($L18,classifications!$C:$E,3,FALSE))</f>
        <v>South East</v>
      </c>
      <c r="AQ18" s="62" t="str">
        <f t="shared" si="17"/>
        <v/>
      </c>
      <c r="AR18" s="57" t="str">
        <f>IF(AQ18="","",IF(I$8="A",(RANK(AQ18,AQ$11:AQ$355,1)+COUNTIF(AQ$11:AQ18,AQ18)-1),(RANK(AQ18,AQ$11:AQ$355)+COUNTIF(AQ$11:AQ18,AQ18)-1)))</f>
        <v/>
      </c>
      <c r="AS18" s="52" t="str">
        <f t="shared" si="18"/>
        <v/>
      </c>
      <c r="AT18" s="57" t="str">
        <f t="shared" si="8"/>
        <v/>
      </c>
      <c r="AU18" s="62" t="str">
        <f t="shared" si="9"/>
        <v/>
      </c>
      <c r="AX18" s="44" t="str">
        <f>HLOOKUP($AX$9&amp;$AX$10,Data!$A$1:$ZZ$2000,(MATCH($C18,Data!$A$1:$A$2000,0)),FALSE)</f>
        <v>-</v>
      </c>
      <c r="AY18" s="156"/>
      <c r="AZ18" s="44"/>
    </row>
    <row r="19" spans="1:52">
      <c r="A19" s="84" t="str">
        <f>$D$1&amp;9</f>
        <v>UA9</v>
      </c>
      <c r="B19" s="85" t="str">
        <f>IF(ISERROR(VLOOKUP(A19,classifications!A:C,3,FALSE)),0,VLOOKUP(A19,classifications!A:C,3,FALSE))</f>
        <v>Northumberland</v>
      </c>
      <c r="C19" s="31" t="s">
        <v>338</v>
      </c>
      <c r="D19" s="49" t="str">
        <f>VLOOKUP($C19,classifications!$C:$J,4,FALSE)</f>
        <v>L</v>
      </c>
      <c r="E19" s="49">
        <f>VLOOKUP(C19,classifications!C:K,9,FALSE)</f>
        <v>0</v>
      </c>
      <c r="F19" s="59">
        <f t="shared" si="0"/>
        <v>422.9</v>
      </c>
      <c r="G19" s="105"/>
      <c r="H19" s="60" t="str">
        <f t="shared" si="1"/>
        <v/>
      </c>
      <c r="I19" s="112" t="str">
        <f>IF(H19="","",IF($I$8="A",(RANK(H19,H$11:H$355,1)+COUNTIF(H$11:H19,H19)-1),(RANK(H19,H$11:H$355)+COUNTIF(H$11:H19,H19)-1)))</f>
        <v/>
      </c>
      <c r="J19" s="58"/>
      <c r="K19" s="51">
        <f t="shared" si="10"/>
        <v>9</v>
      </c>
      <c r="L19" s="59" t="str">
        <f t="shared" si="2"/>
        <v>Bristol</v>
      </c>
      <c r="M19" s="153">
        <f t="shared" si="3"/>
        <v>354.8</v>
      </c>
      <c r="N19" s="148">
        <f t="shared" si="23"/>
        <v>354.8</v>
      </c>
      <c r="O19" s="131">
        <f t="shared" si="11"/>
        <v>354.8</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Central Bedfordshire</v>
      </c>
      <c r="AG19" s="143">
        <f t="shared" si="15"/>
        <v>417.4</v>
      </c>
      <c r="AH19" s="72" t="e">
        <f t="shared" si="22"/>
        <v>#N/A</v>
      </c>
      <c r="AI19" s="61" t="str">
        <f>IF(L19="","",VLOOKUP($L19,classifications!$C:$J,8,FALSE))</f>
        <v>Unitary</v>
      </c>
      <c r="AJ19" s="62">
        <f t="shared" si="5"/>
        <v>354.8</v>
      </c>
      <c r="AK19" s="57">
        <f>IF(AJ19="","",IF(I$8="A",(RANK(AJ19,AJ$11:AJ$355,1)+COUNTIF(AJ$11:AJ19,AJ19)-1),(RANK(AJ19,AJ$11:AJ$355)+COUNTIF(AJ$11:AJ19,AJ19)-1)))</f>
        <v>9</v>
      </c>
      <c r="AL19" s="52">
        <f t="shared" si="16"/>
        <v>9</v>
      </c>
      <c r="AM19" s="31" t="str">
        <f t="shared" si="6"/>
        <v>Bristol</v>
      </c>
      <c r="AN19" s="31">
        <f t="shared" si="7"/>
        <v>354.8</v>
      </c>
      <c r="AP19" s="61" t="str">
        <f>IF(L19="","",VLOOKUP($L19,classifications!$C:$E,3,FALSE))</f>
        <v>South West</v>
      </c>
      <c r="AQ19" s="62" t="str">
        <f t="shared" si="17"/>
        <v/>
      </c>
      <c r="AR19" s="57" t="str">
        <f>IF(AQ19="","",IF(I$8="A",(RANK(AQ19,AQ$11:AQ$355,1)+COUNTIF(AQ$11:AQ19,AQ19)-1),(RANK(AQ19,AQ$11:AQ$355)+COUNTIF(AQ$11:AQ19,AQ19)-1)))</f>
        <v/>
      </c>
      <c r="AS19" s="52" t="str">
        <f t="shared" si="18"/>
        <v/>
      </c>
      <c r="AT19" s="57" t="str">
        <f t="shared" si="8"/>
        <v/>
      </c>
      <c r="AU19" s="62" t="str">
        <f t="shared" si="9"/>
        <v/>
      </c>
      <c r="AX19" s="44">
        <f>HLOOKUP($AX$9&amp;$AX$10,Data!$A$1:$ZZ$2000,(MATCH($C19,Data!$A$1:$A$2000,0)),FALSE)</f>
        <v>422.9</v>
      </c>
      <c r="AY19" s="156"/>
      <c r="AZ19" s="44"/>
    </row>
    <row r="20" spans="1:52">
      <c r="A20" s="84" t="str">
        <f>$D$1&amp;10</f>
        <v>UA10</v>
      </c>
      <c r="B20" s="85" t="str">
        <f>IF(ISERROR(VLOOKUP(A20,classifications!A:C,3,FALSE)),0,VLOOKUP(A20,classifications!A:C,3,FALSE))</f>
        <v>Rutland</v>
      </c>
      <c r="C20" s="31" t="s">
        <v>196</v>
      </c>
      <c r="D20" s="49" t="str">
        <f>VLOOKUP($C20,classifications!$C:$J,4,FALSE)</f>
        <v>L</v>
      </c>
      <c r="E20" s="49">
        <f>VLOOKUP(C20,classifications!C:K,9,FALSE)</f>
        <v>0</v>
      </c>
      <c r="F20" s="59">
        <f t="shared" si="0"/>
        <v>354.9</v>
      </c>
      <c r="G20" s="105"/>
      <c r="H20" s="60" t="str">
        <f t="shared" si="1"/>
        <v/>
      </c>
      <c r="I20" s="112" t="str">
        <f>IF(H20="","",IF($I$8="A",(RANK(H20,H$11:H$355,1)+COUNTIF(H$11:H20,H20)-1),(RANK(H20,H$11:H$355)+COUNTIF(H$11:H20,H20)-1)))</f>
        <v/>
      </c>
      <c r="J20" s="58"/>
      <c r="K20" s="51">
        <f t="shared" si="10"/>
        <v>10</v>
      </c>
      <c r="L20" s="59" t="str">
        <f t="shared" si="2"/>
        <v>Leicester</v>
      </c>
      <c r="M20" s="153">
        <f t="shared" si="3"/>
        <v>357.3</v>
      </c>
      <c r="N20" s="148">
        <f t="shared" si="23"/>
        <v>357.3</v>
      </c>
      <c r="O20" s="131">
        <f t="shared" si="11"/>
        <v>357.3</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City and Town</v>
      </c>
      <c r="Y20" s="49" t="str">
        <f t="shared" si="4"/>
        <v/>
      </c>
      <c r="Z20" s="57" t="str">
        <f>IF(Y20="","",IF(I$8="A",(RANK(Y20,Y$11:Y$355,1)+COUNTIF(Y$11:Y20,Y20)-1),(RANK(Y20,Y$11:Y$355)+COUNTIF(Y$11:Y20,Y20)-1)))</f>
        <v/>
      </c>
      <c r="AA20" s="242" t="str">
        <f>IF(L20="","",VLOOKUP($L20,classifications!C:I,7,FALSE))</f>
        <v>Predominantly Urban</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North Somerset</v>
      </c>
      <c r="AG20" s="143">
        <f t="shared" si="15"/>
        <v>453.7</v>
      </c>
      <c r="AH20" s="72" t="e">
        <f t="shared" si="22"/>
        <v>#N/A</v>
      </c>
      <c r="AI20" s="61" t="str">
        <f>IF(L20="","",VLOOKUP($L20,classifications!$C:$J,8,FALSE))</f>
        <v>Unitary</v>
      </c>
      <c r="AJ20" s="62">
        <f t="shared" si="5"/>
        <v>357.3</v>
      </c>
      <c r="AK20" s="57">
        <f>IF(AJ20="","",IF(I$8="A",(RANK(AJ20,AJ$11:AJ$355,1)+COUNTIF(AJ$11:AJ20,AJ20)-1),(RANK(AJ20,AJ$11:AJ$355)+COUNTIF(AJ$11:AJ20,AJ20)-1)))</f>
        <v>10</v>
      </c>
      <c r="AL20" s="52">
        <f t="shared" si="16"/>
        <v>10</v>
      </c>
      <c r="AM20" s="31" t="str">
        <f t="shared" si="6"/>
        <v>Leicester</v>
      </c>
      <c r="AN20" s="31">
        <f t="shared" si="7"/>
        <v>357.3</v>
      </c>
      <c r="AP20" s="61" t="str">
        <f>IF(L20="","",VLOOKUP($L20,classifications!$C:$E,3,FALSE))</f>
        <v>East Midlands</v>
      </c>
      <c r="AQ20" s="62" t="str">
        <f t="shared" si="17"/>
        <v/>
      </c>
      <c r="AR20" s="57" t="str">
        <f>IF(AQ20="","",IF(I$8="A",(RANK(AQ20,AQ$11:AQ$355,1)+COUNTIF(AQ$11:AQ20,AQ20)-1),(RANK(AQ20,AQ$11:AQ$355)+COUNTIF(AQ$11:AQ20,AQ20)-1)))</f>
        <v/>
      </c>
      <c r="AS20" s="52" t="str">
        <f t="shared" si="18"/>
        <v/>
      </c>
      <c r="AT20" s="57" t="str">
        <f t="shared" si="8"/>
        <v/>
      </c>
      <c r="AU20" s="62" t="str">
        <f t="shared" si="9"/>
        <v/>
      </c>
      <c r="AX20" s="44">
        <f>HLOOKUP($AX$9&amp;$AX$10,Data!$A$1:$ZZ$2000,(MATCH($C20,Data!$A$1:$A$2000,0)),FALSE)</f>
        <v>354.9</v>
      </c>
      <c r="AY20" s="156"/>
      <c r="AZ20" s="44"/>
    </row>
    <row r="21" spans="1:52">
      <c r="A21" s="84" t="str">
        <f>$D$1&amp;11</f>
        <v>UA11</v>
      </c>
      <c r="B21" s="85" t="str">
        <f>IF(ISERROR(VLOOKUP(A21,classifications!A:C,3,FALSE)),0,VLOOKUP(A21,classifications!A:C,3,FALSE))</f>
        <v>Shropshire</v>
      </c>
      <c r="C21" s="31" t="s">
        <v>222</v>
      </c>
      <c r="D21" s="49" t="str">
        <f>VLOOKUP($C21,classifications!$C:$J,4,FALSE)</f>
        <v>MD</v>
      </c>
      <c r="E21" s="49">
        <f>VLOOKUP(C21,classifications!C:K,9,FALSE)</f>
        <v>0</v>
      </c>
      <c r="F21" s="59">
        <f t="shared" si="0"/>
        <v>408.9</v>
      </c>
      <c r="G21" s="105"/>
      <c r="H21" s="60" t="str">
        <f t="shared" si="1"/>
        <v/>
      </c>
      <c r="I21" s="112" t="str">
        <f>IF(H21="","",IF($I$8="A",(RANK(H21,H$11:H$355,1)+COUNTIF(H$11:H21,H21)-1),(RANK(H21,H$11:H$355)+COUNTIF(H$11:H21,H21)-1)))</f>
        <v/>
      </c>
      <c r="J21" s="58"/>
      <c r="K21" s="51">
        <f t="shared" si="10"/>
        <v>11</v>
      </c>
      <c r="L21" s="59" t="str">
        <f t="shared" si="2"/>
        <v>Bath &amp; North East Somerset</v>
      </c>
      <c r="M21" s="153">
        <f t="shared" si="3"/>
        <v>381.1</v>
      </c>
      <c r="N21" s="148">
        <f t="shared" si="23"/>
        <v>381.1</v>
      </c>
      <c r="O21" s="131">
        <f t="shared" si="11"/>
        <v>381.1</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Significant Rural (rural including hub towns 26-49%)</v>
      </c>
      <c r="Y21" s="49">
        <f t="shared" si="4"/>
        <v>381.1</v>
      </c>
      <c r="Z21" s="57">
        <f>IF(Y21="","",IF(I$8="A",(RANK(Y21,Y$11:Y$355,1)+COUNTIF(Y$11:Y21,Y21)-1),(RANK(Y21,Y$11:Y$355)+COUNTIF(Y$11:Y21,Y21)-1)))</f>
        <v>1</v>
      </c>
      <c r="AA21" s="242" t="str">
        <f>IF(L21="","",VLOOKUP($L21,classifications!C:I,7,FALSE))</f>
        <v>Significant Rural</v>
      </c>
      <c r="AB21" s="236">
        <f t="shared" si="14"/>
        <v>381.1</v>
      </c>
      <c r="AC21" s="236">
        <f>IF(AB21="","",IF($I$8="A",(RANK(AB21,AB$11:AB$355)+COUNTIF(AB$11:AB21,AB21)-1),(RANK(AB21,AB$11:AB$355,1)+COUNTIF(AB$11:AB21,AB21)-1)))</f>
        <v>8</v>
      </c>
      <c r="AD21" s="236"/>
      <c r="AE21" s="71" t="e">
        <f>IF(I$8="A",(RANK(AG21,AG$11:AG$355,1)+COUNTIF(AG$11:AG21,AG21)-1),(RANK(AG21,AG$11:AG$355)+COUNTIF(AG$11:AG21,AG21)-1))</f>
        <v>#N/A</v>
      </c>
      <c r="AF21" s="6" t="str">
        <f>VLOOKUP(Profile!$J$5,Families!$C:$R,11,FALSE)</f>
        <v>East Riding of Yorkshire</v>
      </c>
      <c r="AG21" s="143">
        <f t="shared" si="15"/>
        <v>499.7</v>
      </c>
      <c r="AH21" s="72" t="e">
        <f t="shared" si="22"/>
        <v>#N/A</v>
      </c>
      <c r="AI21" s="61" t="str">
        <f>IF(L21="","",VLOOKUP($L21,classifications!$C:$J,8,FALSE))</f>
        <v>Unitary</v>
      </c>
      <c r="AJ21" s="62">
        <f t="shared" si="5"/>
        <v>381.1</v>
      </c>
      <c r="AK21" s="57">
        <f>IF(AJ21="","",IF(I$8="A",(RANK(AJ21,AJ$11:AJ$355,1)+COUNTIF(AJ$11:AJ21,AJ21)-1),(RANK(AJ21,AJ$11:AJ$355)+COUNTIF(AJ$11:AJ21,AJ21)-1)))</f>
        <v>11</v>
      </c>
      <c r="AL21" s="52">
        <f t="shared" si="16"/>
        <v>11</v>
      </c>
      <c r="AM21" s="31" t="str">
        <f t="shared" si="6"/>
        <v>Bath &amp; North East Somerset</v>
      </c>
      <c r="AN21" s="31">
        <f t="shared" si="7"/>
        <v>381.1</v>
      </c>
      <c r="AP21" s="61" t="str">
        <f>IF(L21="","",VLOOKUP($L21,classifications!$C:$E,3,FALSE))</f>
        <v>South West</v>
      </c>
      <c r="AQ21" s="62" t="str">
        <f t="shared" si="17"/>
        <v/>
      </c>
      <c r="AR21" s="57" t="str">
        <f>IF(AQ21="","",IF(I$8="A",(RANK(AQ21,AQ$11:AQ$355,1)+COUNTIF(AQ$11:AQ21,AQ21)-1),(RANK(AQ21,AQ$11:AQ$355)+COUNTIF(AQ$11:AQ21,AQ21)-1)))</f>
        <v/>
      </c>
      <c r="AS21" s="52" t="str">
        <f t="shared" si="18"/>
        <v/>
      </c>
      <c r="AT21" s="57" t="str">
        <f t="shared" si="8"/>
        <v/>
      </c>
      <c r="AU21" s="62" t="str">
        <f t="shared" si="9"/>
        <v/>
      </c>
      <c r="AX21" s="44">
        <f>HLOOKUP($AX$9&amp;$AX$10,Data!$A$1:$ZZ$2000,(MATCH($C21,Data!$A$1:$A$2000,0)),FALSE)</f>
        <v>408.9</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352.6</v>
      </c>
      <c r="G22" s="105"/>
      <c r="H22" s="60" t="str">
        <f t="shared" si="1"/>
        <v/>
      </c>
      <c r="I22" s="112" t="str">
        <f>IF(H22="","",IF($I$8="A",(RANK(H22,H$11:H$355,1)+COUNTIF(H$11:H22,H22)-1),(RANK(H22,H$11:H$355)+COUNTIF(H$11:H22,H22)-1)))</f>
        <v/>
      </c>
      <c r="J22" s="58"/>
      <c r="K22" s="51">
        <f t="shared" si="10"/>
        <v>12</v>
      </c>
      <c r="L22" s="59" t="str">
        <f t="shared" si="2"/>
        <v>York</v>
      </c>
      <c r="M22" s="153">
        <f t="shared" si="3"/>
        <v>383.4</v>
      </c>
      <c r="N22" s="148">
        <f t="shared" si="23"/>
        <v>383.4</v>
      </c>
      <c r="O22" s="131">
        <f t="shared" si="11"/>
        <v>383.4</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City and Town</v>
      </c>
      <c r="Y22" s="49" t="str">
        <f t="shared" si="4"/>
        <v/>
      </c>
      <c r="Z22" s="57" t="str">
        <f>IF(Y22="","",IF(I$8="A",(RANK(Y22,Y$11:Y$355,1)+COUNTIF(Y$11:Y22,Y22)-1),(RANK(Y22,Y$11:Y$355)+COUNTIF(Y$11:Y22,Y22)-1)))</f>
        <v/>
      </c>
      <c r="AA22" s="242" t="str">
        <f>IF(L22="","",VLOOKUP($L22,classifications!C:I,7,FALSE))</f>
        <v>Predominantly Urban</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York</v>
      </c>
      <c r="AG22" s="143">
        <f t="shared" si="15"/>
        <v>383.4</v>
      </c>
      <c r="AH22" s="72" t="e">
        <f t="shared" si="22"/>
        <v>#N/A</v>
      </c>
      <c r="AI22" s="61" t="str">
        <f>IF(L22="","",VLOOKUP($L22,classifications!$C:$J,8,FALSE))</f>
        <v>Unitary</v>
      </c>
      <c r="AJ22" s="62">
        <f t="shared" si="5"/>
        <v>383.4</v>
      </c>
      <c r="AK22" s="57">
        <f>IF(AJ22="","",IF(I$8="A",(RANK(AJ22,AJ$11:AJ$355,1)+COUNTIF(AJ$11:AJ22,AJ22)-1),(RANK(AJ22,AJ$11:AJ$355)+COUNTIF(AJ$11:AJ22,AJ22)-1)))</f>
        <v>12</v>
      </c>
      <c r="AL22" s="52">
        <f t="shared" si="16"/>
        <v>12</v>
      </c>
      <c r="AM22" s="31" t="str">
        <f t="shared" si="6"/>
        <v>York</v>
      </c>
      <c r="AN22" s="31">
        <f t="shared" si="7"/>
        <v>383.4</v>
      </c>
      <c r="AP22" s="61" t="str">
        <f>IF(L22="","",VLOOKUP($L22,classifications!$C:$E,3,FALSE))</f>
        <v>Yorkshire &amp; Humberside</v>
      </c>
      <c r="AQ22" s="62" t="str">
        <f t="shared" si="17"/>
        <v/>
      </c>
      <c r="AR22" s="57" t="str">
        <f>IF(AQ22="","",IF(I$8="A",(RANK(AQ22,AQ$11:AQ$355,1)+COUNTIF(AQ$11:AQ22,AQ22)-1),(RANK(AQ22,AQ$11:AQ$355)+COUNTIF(AQ$11:AQ22,AQ22)-1)))</f>
        <v/>
      </c>
      <c r="AS22" s="52" t="str">
        <f t="shared" si="18"/>
        <v/>
      </c>
      <c r="AT22" s="57" t="str">
        <f t="shared" si="8"/>
        <v/>
      </c>
      <c r="AU22" s="62" t="str">
        <f t="shared" si="9"/>
        <v/>
      </c>
      <c r="AX22" s="44">
        <f>HLOOKUP($AX$9&amp;$AX$10,Data!$A$1:$ZZ$2000,(MATCH($C22,Data!$A$1:$A$2000,0)),FALSE)</f>
        <v>352.6</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416.4</v>
      </c>
      <c r="G23" s="105"/>
      <c r="H23" s="60" t="str">
        <f t="shared" si="1"/>
        <v/>
      </c>
      <c r="I23" s="112" t="str">
        <f>IF(H23="","",IF($I$8="A",(RANK(H23,H$11:H$355,1)+COUNTIF(H$11:H23,H23)-1),(RANK(H23,H$11:H$355)+COUNTIF(H$11:H23,H23)-1)))</f>
        <v/>
      </c>
      <c r="J23" s="58"/>
      <c r="K23" s="51">
        <f t="shared" si="10"/>
        <v>13</v>
      </c>
      <c r="L23" s="59" t="str">
        <f t="shared" si="2"/>
        <v>Swindon</v>
      </c>
      <c r="M23" s="153">
        <f t="shared" si="3"/>
        <v>386.9</v>
      </c>
      <c r="N23" s="148">
        <f t="shared" si="23"/>
        <v>386.9</v>
      </c>
      <c r="O23" s="131">
        <f t="shared" si="11"/>
        <v>386.9</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Poole</v>
      </c>
      <c r="AG23" s="143" t="e">
        <f t="shared" si="15"/>
        <v>#N/A</v>
      </c>
      <c r="AH23" s="72" t="e">
        <f t="shared" si="22"/>
        <v>#N/A</v>
      </c>
      <c r="AI23" s="61" t="str">
        <f>IF(L23="","",VLOOKUP($L23,classifications!$C:$J,8,FALSE))</f>
        <v>Unitary</v>
      </c>
      <c r="AJ23" s="62">
        <f t="shared" si="5"/>
        <v>386.9</v>
      </c>
      <c r="AK23" s="57">
        <f>IF(AJ23="","",IF(I$8="A",(RANK(AJ23,AJ$11:AJ$355,1)+COUNTIF(AJ$11:AJ23,AJ23)-1),(RANK(AJ23,AJ$11:AJ$355)+COUNTIF(AJ$11:AJ23,AJ23)-1)))</f>
        <v>13</v>
      </c>
      <c r="AL23" s="52">
        <f t="shared" si="16"/>
        <v>13</v>
      </c>
      <c r="AM23" s="31" t="str">
        <f t="shared" si="6"/>
        <v>Swindon</v>
      </c>
      <c r="AN23" s="31">
        <f t="shared" si="7"/>
        <v>386.9</v>
      </c>
      <c r="AP23" s="61" t="str">
        <f>IF(L23="","",VLOOKUP($L23,classifications!$C:$E,3,FALSE))</f>
        <v>South West</v>
      </c>
      <c r="AQ23" s="62" t="str">
        <f t="shared" si="17"/>
        <v/>
      </c>
      <c r="AR23" s="57" t="str">
        <f>IF(AQ23="","",IF(I$8="A",(RANK(AQ23,AQ$11:AQ$355,1)+COUNTIF(AQ$11:AQ23,AQ23)-1),(RANK(AQ23,AQ$11:AQ$355)+COUNTIF(AQ$11:AQ23,AQ23)-1)))</f>
        <v/>
      </c>
      <c r="AS23" s="52" t="str">
        <f t="shared" si="18"/>
        <v/>
      </c>
      <c r="AT23" s="57" t="str">
        <f t="shared" si="8"/>
        <v/>
      </c>
      <c r="AU23" s="62" t="str">
        <f t="shared" si="9"/>
        <v/>
      </c>
      <c r="AX23" s="44">
        <f>HLOOKUP($AX$9&amp;$AX$10,Data!$A$1:$ZZ$2000,(MATCH($C23,Data!$A$1:$A$2000,0)),FALSE)</f>
        <v>416.4</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342</v>
      </c>
      <c r="G24" s="105"/>
      <c r="H24" s="60" t="str">
        <f t="shared" si="1"/>
        <v/>
      </c>
      <c r="I24" s="112" t="str">
        <f>IF(H24="","",IF($I$8="A",(RANK(H24,H$11:H$355,1)+COUNTIF(H$11:H24,H24)-1),(RANK(H24,H$11:H$355)+COUNTIF(H$11:H24,H24)-1)))</f>
        <v/>
      </c>
      <c r="J24" s="58"/>
      <c r="K24" s="51">
        <f t="shared" si="10"/>
        <v>14</v>
      </c>
      <c r="L24" s="59" t="str">
        <f t="shared" si="2"/>
        <v>Bracknell Forest</v>
      </c>
      <c r="M24" s="153">
        <f t="shared" si="3"/>
        <v>389.9</v>
      </c>
      <c r="N24" s="148">
        <f t="shared" si="23"/>
        <v>389.9</v>
      </c>
      <c r="O24" s="131">
        <f t="shared" si="11"/>
        <v>389.9</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Bedford</v>
      </c>
      <c r="AG24" s="143">
        <f t="shared" si="15"/>
        <v>420.9</v>
      </c>
      <c r="AH24" s="72" t="e">
        <f t="shared" si="22"/>
        <v>#N/A</v>
      </c>
      <c r="AI24" s="61" t="str">
        <f>IF(L24="","",VLOOKUP($L24,classifications!$C:$J,8,FALSE))</f>
        <v>Unitary</v>
      </c>
      <c r="AJ24" s="62">
        <f t="shared" si="5"/>
        <v>389.9</v>
      </c>
      <c r="AK24" s="57">
        <f>IF(AJ24="","",IF(I$8="A",(RANK(AJ24,AJ$11:AJ$355,1)+COUNTIF(AJ$11:AJ24,AJ24)-1),(RANK(AJ24,AJ$11:AJ$355)+COUNTIF(AJ$11:AJ24,AJ24)-1)))</f>
        <v>14</v>
      </c>
      <c r="AL24" s="52">
        <f t="shared" si="16"/>
        <v>14</v>
      </c>
      <c r="AM24" s="31" t="str">
        <f t="shared" si="6"/>
        <v>Bracknell Forest</v>
      </c>
      <c r="AN24" s="31">
        <f t="shared" si="7"/>
        <v>389.9</v>
      </c>
      <c r="AP24" s="61" t="str">
        <f>IF(L24="","",VLOOKUP($L24,classifications!$C:$E,3,FALSE))</f>
        <v>South East</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342</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378.2</v>
      </c>
      <c r="G25" s="105"/>
      <c r="H25" s="60" t="str">
        <f t="shared" si="1"/>
        <v/>
      </c>
      <c r="I25" s="112" t="str">
        <f>IF(H25="","",IF($I$8="A",(RANK(H25,H$11:H$355,1)+COUNTIF(H$11:H25,H25)-1),(RANK(H25,H$11:H$355)+COUNTIF(H$11:H25,H25)-1)))</f>
        <v/>
      </c>
      <c r="J25" s="58"/>
      <c r="K25" s="51">
        <f t="shared" si="10"/>
        <v>15</v>
      </c>
      <c r="L25" s="59" t="str">
        <f t="shared" si="2"/>
        <v>Plymouth</v>
      </c>
      <c r="M25" s="153">
        <f t="shared" si="3"/>
        <v>391.2</v>
      </c>
      <c r="N25" s="148">
        <f t="shared" si="23"/>
        <v>391.2</v>
      </c>
      <c r="O25" s="131" t="str">
        <f t="shared" si="11"/>
        <v/>
      </c>
      <c r="P25" s="131">
        <f t="shared" si="19"/>
        <v>391.2</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South Gloucestershire</v>
      </c>
      <c r="AG25" s="143">
        <f t="shared" si="15"/>
        <v>403.2</v>
      </c>
      <c r="AH25" s="72" t="e">
        <f t="shared" si="22"/>
        <v>#N/A</v>
      </c>
      <c r="AI25" s="61" t="str">
        <f>IF(L25="","",VLOOKUP($L25,classifications!$C:$J,8,FALSE))</f>
        <v>Unitary</v>
      </c>
      <c r="AJ25" s="62">
        <f t="shared" si="5"/>
        <v>391.2</v>
      </c>
      <c r="AK25" s="57">
        <f>IF(AJ25="","",IF(I$8="A",(RANK(AJ25,AJ$11:AJ$355,1)+COUNTIF(AJ$11:AJ25,AJ25)-1),(RANK(AJ25,AJ$11:AJ$355)+COUNTIF(AJ$11:AJ25,AJ25)-1)))</f>
        <v>15</v>
      </c>
      <c r="AL25" s="52">
        <f t="shared" si="16"/>
        <v>15</v>
      </c>
      <c r="AM25" s="31" t="str">
        <f t="shared" si="6"/>
        <v>Plymouth</v>
      </c>
      <c r="AN25" s="31">
        <f t="shared" si="7"/>
        <v>391.2</v>
      </c>
      <c r="AP25" s="61" t="str">
        <f>IF(L25="","",VLOOKUP($L25,classifications!$C:$E,3,FALSE))</f>
        <v>South West</v>
      </c>
      <c r="AQ25" s="62" t="str">
        <f t="shared" si="17"/>
        <v/>
      </c>
      <c r="AR25" s="57" t="str">
        <f>IF(AQ25="","",IF(I$8="A",(RANK(AQ25,AQ$11:AQ$355,1)+COUNTIF(AQ$11:AQ25,AQ25)-1),(RANK(AQ25,AQ$11:AQ$355)+COUNTIF(AQ$11:AQ25,AQ25)-1)))</f>
        <v/>
      </c>
      <c r="AS25" s="52" t="str">
        <f t="shared" si="18"/>
        <v/>
      </c>
      <c r="AT25" s="57" t="str">
        <f t="shared" si="8"/>
        <v/>
      </c>
      <c r="AU25" s="62" t="str">
        <f t="shared" si="9"/>
        <v/>
      </c>
      <c r="AX25" s="44">
        <f>HLOOKUP($AX$9&amp;$AX$10,Data!$A$1:$ZZ$2000,(MATCH($C25,Data!$A$1:$A$2000,0)),FALSE)</f>
        <v>378.2</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381.1</v>
      </c>
      <c r="G26" s="105"/>
      <c r="H26" s="60">
        <f t="shared" si="1"/>
        <v>381.1</v>
      </c>
      <c r="I26" s="112">
        <f>IF(H26="","",IF($I$8="A",(RANK(H26,H$11:H$355,1)+COUNTIF(H$11:H26,H26)-1),(RANK(H26,H$11:H$355)+COUNTIF(H$11:H26,H26)-1)))</f>
        <v>11</v>
      </c>
      <c r="J26" s="58"/>
      <c r="K26" s="51">
        <f t="shared" si="10"/>
        <v>16</v>
      </c>
      <c r="L26" s="59" t="str">
        <f t="shared" si="2"/>
        <v>Herefordshire</v>
      </c>
      <c r="M26" s="153">
        <f t="shared" si="3"/>
        <v>391.9</v>
      </c>
      <c r="N26" s="148">
        <f t="shared" si="23"/>
        <v>391.9</v>
      </c>
      <c r="O26" s="131" t="str">
        <f t="shared" si="11"/>
        <v/>
      </c>
      <c r="P26" s="131">
        <f t="shared" si="19"/>
        <v>391.9</v>
      </c>
      <c r="Q26" s="131" t="str">
        <f t="shared" si="20"/>
        <v/>
      </c>
      <c r="R26" s="127" t="str">
        <f t="shared" si="21"/>
        <v/>
      </c>
      <c r="S26" s="60" t="str">
        <f t="shared" si="12"/>
        <v/>
      </c>
      <c r="T26" s="228" t="str">
        <f>IF(L26="","",VLOOKUP(L26,classifications!C:K,9,FALSE))</f>
        <v>Sparse</v>
      </c>
      <c r="U26" s="235">
        <f t="shared" si="13"/>
        <v>391.9</v>
      </c>
      <c r="V26" s="236">
        <f>IF(U26="","",IF($I$8="A",(RANK(U26,U$11:U$355)+COUNTIF(U$11:U26,U26)-1),(RANK(U26,U$11:U$355,1)+COUNTIF(U$11:U26,U26)-1)))</f>
        <v>11</v>
      </c>
      <c r="W26" s="237"/>
      <c r="X26" s="61" t="str">
        <f>IF(L26="","",VLOOKUP($L26,classifications!$C:$J,6,FALSE))</f>
        <v xml:space="preserve">Largely Rural (rural including hub towns 50-79%) </v>
      </c>
      <c r="Y26" s="49">
        <f t="shared" si="4"/>
        <v>391.9</v>
      </c>
      <c r="Z26" s="57">
        <f>IF(Y26="","",IF(I$8="A",(RANK(Y26,Y$11:Y$355,1)+COUNTIF(Y$11:Y26,Y26)-1),(RANK(Y26,Y$11:Y$355)+COUNTIF(Y$11:Y26,Y26)-1)))</f>
        <v>2</v>
      </c>
      <c r="AA26" s="242" t="str">
        <f>IF(L26="","",VLOOKUP($L26,classifications!C:I,7,FALSE))</f>
        <v>Predominantly Rural</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Warrington</v>
      </c>
      <c r="AG26" s="143">
        <f t="shared" si="15"/>
        <v>417.9</v>
      </c>
      <c r="AH26" s="72" t="e">
        <f t="shared" si="22"/>
        <v>#N/A</v>
      </c>
      <c r="AI26" s="61" t="str">
        <f>IF(L26="","",VLOOKUP($L26,classifications!$C:$J,8,FALSE))</f>
        <v>Unitary</v>
      </c>
      <c r="AJ26" s="62">
        <f t="shared" si="5"/>
        <v>391.9</v>
      </c>
      <c r="AK26" s="57">
        <f>IF(AJ26="","",IF(I$8="A",(RANK(AJ26,AJ$11:AJ$355,1)+COUNTIF(AJ$11:AJ26,AJ26)-1),(RANK(AJ26,AJ$11:AJ$355)+COUNTIF(AJ$11:AJ26,AJ26)-1)))</f>
        <v>16</v>
      </c>
      <c r="AL26" s="52">
        <f t="shared" si="16"/>
        <v>16</v>
      </c>
      <c r="AM26" s="31" t="str">
        <f t="shared" si="6"/>
        <v>Herefordshire</v>
      </c>
      <c r="AN26" s="31">
        <f t="shared" si="7"/>
        <v>391.9</v>
      </c>
      <c r="AP26" s="61" t="str">
        <f>IF(L26="","",VLOOKUP($L26,classifications!$C:$E,3,FALSE))</f>
        <v>West Midlands</v>
      </c>
      <c r="AQ26" s="62" t="str">
        <f t="shared" si="17"/>
        <v/>
      </c>
      <c r="AR26" s="57" t="str">
        <f>IF(AQ26="","",IF(I$8="A",(RANK(AQ26,AQ$11:AQ$355,1)+COUNTIF(AQ$11:AQ26,AQ26)-1),(RANK(AQ26,AQ$11:AQ$355)+COUNTIF(AQ$11:AQ26,AQ26)-1)))</f>
        <v/>
      </c>
      <c r="AS26" s="52" t="str">
        <f t="shared" si="18"/>
        <v/>
      </c>
      <c r="AT26" s="57" t="str">
        <f t="shared" si="8"/>
        <v/>
      </c>
      <c r="AU26" s="62" t="str">
        <f t="shared" si="9"/>
        <v/>
      </c>
      <c r="AX26" s="44">
        <f>HLOOKUP($AX$9&amp;$AX$10,Data!$A$1:$ZZ$2000,(MATCH($C26,Data!$A$1:$A$2000,0)),FALSE)</f>
        <v>381.1</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420.9</v>
      </c>
      <c r="G27" s="105"/>
      <c r="H27" s="60">
        <f t="shared" si="1"/>
        <v>420.9</v>
      </c>
      <c r="I27" s="112">
        <f>IF(H27="","",IF($I$8="A",(RANK(H27,H$11:H$355,1)+COUNTIF(H$11:H27,H27)-1),(RANK(H27,H$11:H$355)+COUNTIF(H$11:H27,H27)-1)))</f>
        <v>28</v>
      </c>
      <c r="J27" s="58"/>
      <c r="K27" s="51">
        <f t="shared" si="10"/>
        <v>17</v>
      </c>
      <c r="L27" s="59" t="str">
        <f t="shared" si="2"/>
        <v>Kingston upon Hull</v>
      </c>
      <c r="M27" s="153">
        <f t="shared" si="3"/>
        <v>402</v>
      </c>
      <c r="N27" s="148">
        <f t="shared" si="23"/>
        <v>402</v>
      </c>
      <c r="O27" s="131" t="str">
        <f t="shared" si="11"/>
        <v/>
      </c>
      <c r="P27" s="131">
        <f t="shared" si="19"/>
        <v>402</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402</v>
      </c>
      <c r="AK27" s="57">
        <f>IF(AJ27="","",IF(I$8="A",(RANK(AJ27,AJ$11:AJ$355,1)+COUNTIF(AJ$11:AJ27,AJ27)-1),(RANK(AJ27,AJ$11:AJ$355)+COUNTIF(AJ$11:AJ27,AJ27)-1)))</f>
        <v>17</v>
      </c>
      <c r="AL27" s="52">
        <f t="shared" si="16"/>
        <v>17</v>
      </c>
      <c r="AM27" s="31" t="str">
        <f t="shared" si="6"/>
        <v>Kingston upon Hull</v>
      </c>
      <c r="AN27" s="31">
        <f t="shared" si="7"/>
        <v>402</v>
      </c>
      <c r="AP27" s="61" t="str">
        <f>IF(L27="","",VLOOKUP($L27,classifications!$C:$E,3,FALSE))</f>
        <v>Yorkshire &amp; Humberside</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420.9</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380.5</v>
      </c>
      <c r="G28" s="105"/>
      <c r="H28" s="60" t="str">
        <f t="shared" si="1"/>
        <v/>
      </c>
      <c r="I28" s="112" t="str">
        <f>IF(H28="","",IF($I$8="A",(RANK(H28,H$11:H$355,1)+COUNTIF(H$11:H28,H28)-1),(RANK(H28,H$11:H$355)+COUNTIF(H$11:H28,H28)-1)))</f>
        <v/>
      </c>
      <c r="J28" s="58"/>
      <c r="K28" s="51">
        <f t="shared" si="10"/>
        <v>18</v>
      </c>
      <c r="L28" s="59" t="str">
        <f t="shared" si="2"/>
        <v>South Gloucestershire</v>
      </c>
      <c r="M28" s="153">
        <f t="shared" si="3"/>
        <v>403.2</v>
      </c>
      <c r="N28" s="148">
        <f t="shared" si="23"/>
        <v>403.2</v>
      </c>
      <c r="O28" s="131" t="str">
        <f t="shared" si="11"/>
        <v/>
      </c>
      <c r="P28" s="131">
        <f t="shared" si="19"/>
        <v>403.2</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City and Town</v>
      </c>
      <c r="Y28" s="49" t="str">
        <f t="shared" si="4"/>
        <v/>
      </c>
      <c r="Z28" s="57" t="str">
        <f>IF(Y28="","",IF(I$8="A",(RANK(Y28,Y$11:Y$355,1)+COUNTIF(Y$11:Y28,Y28)-1),(RANK(Y28,Y$11:Y$355)+COUNTIF(Y$11:Y28,Y28)-1)))</f>
        <v/>
      </c>
      <c r="AA28" s="242" t="str">
        <f>IF(L28="","",VLOOKUP($L28,classifications!C:I,7,FALSE))</f>
        <v>Predominantly Urban</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403.2</v>
      </c>
      <c r="AK28" s="57">
        <f>IF(AJ28="","",IF(I$8="A",(RANK(AJ28,AJ$11:AJ$355,1)+COUNTIF(AJ$11:AJ28,AJ28)-1),(RANK(AJ28,AJ$11:AJ$355)+COUNTIF(AJ$11:AJ28,AJ28)-1)))</f>
        <v>18</v>
      </c>
      <c r="AL28" s="52">
        <f t="shared" si="16"/>
        <v>18</v>
      </c>
      <c r="AM28" s="31" t="str">
        <f t="shared" si="6"/>
        <v>South Gloucestershire</v>
      </c>
      <c r="AN28" s="31">
        <f t="shared" si="7"/>
        <v>403.2</v>
      </c>
      <c r="AP28" s="61" t="str">
        <f>IF(L28="","",VLOOKUP($L28,classifications!$C:$E,3,FALSE))</f>
        <v>South West</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380.5</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358.9</v>
      </c>
      <c r="G29" s="105"/>
      <c r="H29" s="60" t="str">
        <f t="shared" si="1"/>
        <v/>
      </c>
      <c r="I29" s="112" t="str">
        <f>IF(H29="","",IF($I$8="A",(RANK(H29,H$11:H$355,1)+COUNTIF(H$11:H29,H29)-1),(RANK(H29,H$11:H$355)+COUNTIF(H$11:H29,H29)-1)))</f>
        <v/>
      </c>
      <c r="J29" s="58"/>
      <c r="K29" s="51">
        <f t="shared" si="10"/>
        <v>19</v>
      </c>
      <c r="L29" s="59" t="str">
        <f t="shared" si="2"/>
        <v>Stoke-on-Trent</v>
      </c>
      <c r="M29" s="153">
        <f t="shared" si="3"/>
        <v>403.7</v>
      </c>
      <c r="N29" s="148">
        <f t="shared" si="23"/>
        <v>403.7</v>
      </c>
      <c r="O29" s="131" t="str">
        <f t="shared" si="11"/>
        <v/>
      </c>
      <c r="P29" s="131">
        <f t="shared" si="19"/>
        <v>403.7</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403.7</v>
      </c>
      <c r="AK29" s="57">
        <f>IF(AJ29="","",IF(I$8="A",(RANK(AJ29,AJ$11:AJ$355,1)+COUNTIF(AJ$11:AJ29,AJ29)-1),(RANK(AJ29,AJ$11:AJ$355)+COUNTIF(AJ$11:AJ29,AJ29)-1)))</f>
        <v>19</v>
      </c>
      <c r="AL29" s="52">
        <f t="shared" si="16"/>
        <v>19</v>
      </c>
      <c r="AM29" s="31" t="str">
        <f t="shared" si="6"/>
        <v>Stoke-on-Trent</v>
      </c>
      <c r="AN29" s="31">
        <f t="shared" si="7"/>
        <v>403.7</v>
      </c>
      <c r="AP29" s="61" t="str">
        <f>IF(L29="","",VLOOKUP($L29,classifications!$C:$E,3,FALSE))</f>
        <v>West Midlands</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358.9</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349.5</v>
      </c>
      <c r="G30" s="105"/>
      <c r="H30" s="60" t="str">
        <f t="shared" si="1"/>
        <v/>
      </c>
      <c r="I30" s="112" t="str">
        <f>IF(H30="","",IF($I$8="A",(RANK(H30,H$11:H$355,1)+COUNTIF(H$11:H30,H30)-1),(RANK(H30,H$11:H$355)+COUNTIF(H$11:H30,H30)-1)))</f>
        <v/>
      </c>
      <c r="J30" s="58"/>
      <c r="K30" s="51">
        <f t="shared" si="10"/>
        <v>20</v>
      </c>
      <c r="L30" s="59" t="str">
        <f t="shared" si="2"/>
        <v>Darlington</v>
      </c>
      <c r="M30" s="153">
        <f t="shared" si="3"/>
        <v>407.6</v>
      </c>
      <c r="N30" s="148">
        <f t="shared" si="23"/>
        <v>407.6</v>
      </c>
      <c r="O30" s="131" t="str">
        <f t="shared" si="11"/>
        <v/>
      </c>
      <c r="P30" s="131">
        <f t="shared" si="19"/>
        <v>407.6</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Unitary</v>
      </c>
      <c r="AJ30" s="62">
        <f t="shared" si="5"/>
        <v>407.6</v>
      </c>
      <c r="AK30" s="57">
        <f>IF(AJ30="","",IF(I$8="A",(RANK(AJ30,AJ$11:AJ$355,1)+COUNTIF(AJ$11:AJ30,AJ30)-1),(RANK(AJ30,AJ$11:AJ$355)+COUNTIF(AJ$11:AJ30,AJ30)-1)))</f>
        <v>20</v>
      </c>
      <c r="AL30" s="52">
        <f t="shared" si="16"/>
        <v>20</v>
      </c>
      <c r="AM30" s="31" t="str">
        <f t="shared" si="6"/>
        <v>Darlington</v>
      </c>
      <c r="AN30" s="31">
        <f t="shared" si="7"/>
        <v>407.6</v>
      </c>
      <c r="AP30" s="61" t="str">
        <f>IF(L30="","",VLOOKUP($L30,classifications!$C:$E,3,FALSE))</f>
        <v>NE</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349.5</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352.3</v>
      </c>
      <c r="G31" s="105"/>
      <c r="H31" s="60">
        <f t="shared" si="1"/>
        <v>352.3</v>
      </c>
      <c r="I31" s="112">
        <f>IF(H31="","",IF($I$8="A",(RANK(H31,H$11:H$355,1)+COUNTIF(H$11:H31,H31)-1),(RANK(H31,H$11:H$355)+COUNTIF(H$11:H31,H31)-1)))</f>
        <v>7</v>
      </c>
      <c r="J31" s="58"/>
      <c r="K31" s="51">
        <f t="shared" si="10"/>
        <v>21</v>
      </c>
      <c r="L31" s="59" t="str">
        <f t="shared" si="2"/>
        <v>Redcar &amp; Cleveland</v>
      </c>
      <c r="M31" s="153">
        <f t="shared" si="3"/>
        <v>407.7</v>
      </c>
      <c r="N31" s="148">
        <f t="shared" si="23"/>
        <v>407.7</v>
      </c>
      <c r="O31" s="131" t="str">
        <f t="shared" si="11"/>
        <v/>
      </c>
      <c r="P31" s="131">
        <f t="shared" si="19"/>
        <v>407.7</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Significant Rural (rural including hub towns 26-49%)</v>
      </c>
      <c r="Y31" s="49">
        <f t="shared" si="4"/>
        <v>407.7</v>
      </c>
      <c r="Z31" s="57">
        <f>IF(Y31="","",IF(I$8="A",(RANK(Y31,Y$11:Y$355,1)+COUNTIF(Y$11:Y31,Y31)-1),(RANK(Y31,Y$11:Y$355)+COUNTIF(Y$11:Y31,Y31)-1)))</f>
        <v>3</v>
      </c>
      <c r="AA31" s="242" t="str">
        <f>IF(L31="","",VLOOKUP($L31,classifications!C:I,7,FALSE))</f>
        <v>Significant Rural</v>
      </c>
      <c r="AB31" s="236">
        <f t="shared" si="14"/>
        <v>407.7</v>
      </c>
      <c r="AC31" s="236">
        <f>IF(AB31="","",IF($I$8="A",(RANK(AB31,AB$11:AB$355)+COUNTIF(AB$11:AB31,AB31)-1),(RANK(AB31,AB$11:AB$355,1)+COUNTIF(AB$11:AB31,AB31)-1)))</f>
        <v>7</v>
      </c>
      <c r="AD31" s="236"/>
      <c r="AE31" s="51"/>
      <c r="AF31" s="6"/>
      <c r="AG31" s="143"/>
      <c r="AH31" s="52"/>
      <c r="AI31" s="61" t="str">
        <f>IF(L31="","",VLOOKUP($L31,classifications!$C:$J,8,FALSE))</f>
        <v>Unitary</v>
      </c>
      <c r="AJ31" s="62">
        <f t="shared" si="5"/>
        <v>407.7</v>
      </c>
      <c r="AK31" s="57">
        <f>IF(AJ31="","",IF(I$8="A",(RANK(AJ31,AJ$11:AJ$355,1)+COUNTIF(AJ$11:AJ31,AJ31)-1),(RANK(AJ31,AJ$11:AJ$355)+COUNTIF(AJ$11:AJ31,AJ31)-1)))</f>
        <v>21</v>
      </c>
      <c r="AL31" s="52">
        <f t="shared" si="16"/>
        <v>21</v>
      </c>
      <c r="AM31" s="31" t="str">
        <f t="shared" si="6"/>
        <v>Redcar &amp; Cleveland</v>
      </c>
      <c r="AN31" s="31">
        <f t="shared" si="7"/>
        <v>407.7</v>
      </c>
      <c r="AP31" s="61" t="str">
        <f>IF(L31="","",VLOOKUP($L31,classifications!$C:$E,3,FALSE))</f>
        <v>NE</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352.3</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460.5</v>
      </c>
      <c r="G32" s="105"/>
      <c r="H32" s="60">
        <f t="shared" si="1"/>
        <v>460.5</v>
      </c>
      <c r="I32" s="112">
        <f>IF(H32="","",IF($I$8="A",(RANK(H32,H$11:H$355,1)+COUNTIF(H$11:H32,H32)-1),(RANK(H32,H$11:H$355)+COUNTIF(H$11:H32,H32)-1)))</f>
        <v>46</v>
      </c>
      <c r="J32" s="58"/>
      <c r="K32" s="51">
        <f t="shared" si="10"/>
        <v>22</v>
      </c>
      <c r="L32" s="59" t="str">
        <f t="shared" si="2"/>
        <v>Wokingham</v>
      </c>
      <c r="M32" s="153">
        <f t="shared" si="3"/>
        <v>408.8</v>
      </c>
      <c r="N32" s="148">
        <f t="shared" si="23"/>
        <v>408.8</v>
      </c>
      <c r="O32" s="131" t="str">
        <f t="shared" si="11"/>
        <v/>
      </c>
      <c r="P32" s="131">
        <f t="shared" si="19"/>
        <v>408.8</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City and Town</v>
      </c>
      <c r="Y32" s="49" t="str">
        <f t="shared" si="4"/>
        <v/>
      </c>
      <c r="Z32" s="57" t="str">
        <f>IF(Y32="","",IF(I$8="A",(RANK(Y32,Y$11:Y$355,1)+COUNTIF(Y$11:Y32,Y32)-1),(RANK(Y32,Y$11:Y$355)+COUNTIF(Y$11:Y32,Y32)-1)))</f>
        <v/>
      </c>
      <c r="AA32" s="242" t="str">
        <f>IF(L32="","",VLOOKUP($L32,classifications!C:I,7,FALSE))</f>
        <v>Predominantly Urban</v>
      </c>
      <c r="AB32" s="236" t="str">
        <f t="shared" si="14"/>
        <v/>
      </c>
      <c r="AC32" s="236" t="str">
        <f>IF(AB32="","",IF($I$8="A",(RANK(AB32,AB$11:AB$355)+COUNTIF(AB$11:AB32,AB32)-1),(RANK(AB32,AB$11:AB$355,1)+COUNTIF(AB$11:AB32,AB32)-1)))</f>
        <v/>
      </c>
      <c r="AD32" s="236"/>
      <c r="AE32" s="51"/>
      <c r="AG32" s="143"/>
      <c r="AH32" s="52"/>
      <c r="AI32" s="61" t="str">
        <f>IF(L32="","",VLOOKUP($L32,classifications!$C:$J,8,FALSE))</f>
        <v>Unitary</v>
      </c>
      <c r="AJ32" s="62">
        <f t="shared" si="5"/>
        <v>408.8</v>
      </c>
      <c r="AK32" s="57">
        <f>IF(AJ32="","",IF(I$8="A",(RANK(AJ32,AJ$11:AJ$355,1)+COUNTIF(AJ$11:AJ32,AJ32)-1),(RANK(AJ32,AJ$11:AJ$355)+COUNTIF(AJ$11:AJ32,AJ32)-1)))</f>
        <v>22</v>
      </c>
      <c r="AL32" s="52">
        <f t="shared" si="16"/>
        <v>22</v>
      </c>
      <c r="AM32" s="31" t="str">
        <f t="shared" si="6"/>
        <v>Wokingham</v>
      </c>
      <c r="AN32" s="31">
        <f t="shared" si="7"/>
        <v>408.8</v>
      </c>
      <c r="AP32" s="61" t="str">
        <f>IF(L32="","",VLOOKUP($L32,classifications!$C:$E,3,FALSE))</f>
        <v>South East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460.5</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408.3</v>
      </c>
      <c r="G33" s="105"/>
      <c r="H33" s="60" t="str">
        <f t="shared" si="1"/>
        <v/>
      </c>
      <c r="I33" s="112" t="str">
        <f>IF(H33="","",IF($I$8="A",(RANK(H33,H$11:H$355,1)+COUNTIF(H$11:H33,H33)-1),(RANK(H33,H$11:H$355)+COUNTIF(H$11:H33,H33)-1)))</f>
        <v/>
      </c>
      <c r="J33" s="58"/>
      <c r="K33" s="51">
        <f t="shared" si="10"/>
        <v>23</v>
      </c>
      <c r="L33" s="59" t="str">
        <f t="shared" si="2"/>
        <v>Peterborough</v>
      </c>
      <c r="M33" s="153">
        <f t="shared" si="3"/>
        <v>413.3</v>
      </c>
      <c r="N33" s="148">
        <f t="shared" si="23"/>
        <v>413.3</v>
      </c>
      <c r="O33" s="131" t="str">
        <f t="shared" si="11"/>
        <v/>
      </c>
      <c r="P33" s="131">
        <f t="shared" si="19"/>
        <v>413.3</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413.3</v>
      </c>
      <c r="AK33" s="57">
        <f>IF(AJ33="","",IF(I$8="A",(RANK(AJ33,AJ$11:AJ$355,1)+COUNTIF(AJ$11:AJ33,AJ33)-1),(RANK(AJ33,AJ$11:AJ$355)+COUNTIF(AJ$11:AJ33,AJ33)-1)))</f>
        <v>23</v>
      </c>
      <c r="AL33" s="52">
        <f t="shared" si="16"/>
        <v>23</v>
      </c>
      <c r="AM33" s="31" t="str">
        <f t="shared" si="6"/>
        <v>Peterborough</v>
      </c>
      <c r="AN33" s="31">
        <f t="shared" si="7"/>
        <v>413.3</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408.3</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305.3</v>
      </c>
      <c r="G34" s="105"/>
      <c r="H34" s="60" t="str">
        <f t="shared" si="1"/>
        <v/>
      </c>
      <c r="I34" s="112" t="str">
        <f>IF(H34="","",IF($I$8="A",(RANK(H34,H$11:H$355,1)+COUNTIF(H$11:H34,H34)-1),(RANK(H34,H$11:H$355)+COUNTIF(H$11:H34,H34)-1)))</f>
        <v/>
      </c>
      <c r="J34" s="58"/>
      <c r="K34" s="51">
        <f t="shared" si="10"/>
        <v>24</v>
      </c>
      <c r="L34" s="59" t="str">
        <f t="shared" si="2"/>
        <v>Hartlepool</v>
      </c>
      <c r="M34" s="153">
        <f t="shared" si="3"/>
        <v>414.4</v>
      </c>
      <c r="N34" s="148">
        <f t="shared" si="23"/>
        <v>414.4</v>
      </c>
      <c r="O34" s="131" t="str">
        <f t="shared" si="11"/>
        <v/>
      </c>
      <c r="P34" s="131">
        <f t="shared" si="19"/>
        <v>414.4</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Unitary</v>
      </c>
      <c r="AJ34" s="62">
        <f t="shared" si="5"/>
        <v>414.4</v>
      </c>
      <c r="AK34" s="57">
        <f>IF(AJ34="","",IF(I$8="A",(RANK(AJ34,AJ$11:AJ$355,1)+COUNTIF(AJ$11:AJ34,AJ34)-1),(RANK(AJ34,AJ$11:AJ$355)+COUNTIF(AJ$11:AJ34,AJ34)-1)))</f>
        <v>24</v>
      </c>
      <c r="AL34" s="52">
        <f t="shared" si="16"/>
        <v>24</v>
      </c>
      <c r="AM34" s="31" t="str">
        <f t="shared" si="6"/>
        <v>Hartlepool</v>
      </c>
      <c r="AN34" s="31">
        <f t="shared" si="7"/>
        <v>414.4</v>
      </c>
      <c r="AP34" s="61" t="str">
        <f>IF(L34="","",VLOOKUP($L34,classifications!$C:$E,3,FALSE))</f>
        <v>NE</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305.3</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390.5</v>
      </c>
      <c r="G35" s="105"/>
      <c r="H35" s="60" t="str">
        <f t="shared" si="1"/>
        <v/>
      </c>
      <c r="I35" s="112" t="str">
        <f>IF(H35="","",IF($I$8="A",(RANK(H35,H$11:H$355,1)+COUNTIF(H$11:H35,H35)-1),(RANK(H35,H$11:H$355)+COUNTIF(H$11:H35,H35)-1)))</f>
        <v/>
      </c>
      <c r="J35" s="58"/>
      <c r="K35" s="51">
        <f t="shared" si="10"/>
        <v>25</v>
      </c>
      <c r="L35" s="59" t="str">
        <f t="shared" si="2"/>
        <v>Central Bedfordshire</v>
      </c>
      <c r="M35" s="153">
        <f t="shared" si="3"/>
        <v>417.4</v>
      </c>
      <c r="N35" s="148">
        <f t="shared" si="23"/>
        <v>417.4</v>
      </c>
      <c r="O35" s="131" t="str">
        <f t="shared" si="11"/>
        <v/>
      </c>
      <c r="P35" s="131">
        <f t="shared" si="19"/>
        <v>417.4</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 xml:space="preserve">Largely Rural (rural including hub towns 50-79%) </v>
      </c>
      <c r="Y35" s="49">
        <f t="shared" si="4"/>
        <v>417.4</v>
      </c>
      <c r="Z35" s="57">
        <f>IF(Y35="","",IF(I$8="A",(RANK(Y35,Y$11:Y$355,1)+COUNTIF(Y$11:Y35,Y35)-1),(RANK(Y35,Y$11:Y$355)+COUNTIF(Y$11:Y35,Y35)-1)))</f>
        <v>4</v>
      </c>
      <c r="AA35" s="242" t="str">
        <f>IF(L35="","",VLOOKUP($L35,classifications!C:I,7,FALSE))</f>
        <v>Predominantly Rural</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Unitary</v>
      </c>
      <c r="AJ35" s="62">
        <f t="shared" si="5"/>
        <v>417.4</v>
      </c>
      <c r="AK35" s="57">
        <f>IF(AJ35="","",IF(I$8="A",(RANK(AJ35,AJ$11:AJ$355,1)+COUNTIF(AJ$11:AJ35,AJ35)-1),(RANK(AJ35,AJ$11:AJ$355)+COUNTIF(AJ$11:AJ35,AJ35)-1)))</f>
        <v>25</v>
      </c>
      <c r="AL35" s="52">
        <f t="shared" si="16"/>
        <v>25</v>
      </c>
      <c r="AM35" s="31" t="str">
        <f t="shared" si="6"/>
        <v>Central Bedfordshire</v>
      </c>
      <c r="AN35" s="31">
        <f t="shared" si="7"/>
        <v>417.4</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390.5</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437.9</v>
      </c>
      <c r="G36" s="105"/>
      <c r="H36" s="60">
        <f t="shared" si="1"/>
        <v>437.9</v>
      </c>
      <c r="I36" s="112">
        <f>IF(H36="","",IF($I$8="A",(RANK(H36,H$11:H$355,1)+COUNTIF(H$11:H36,H36)-1),(RANK(H36,H$11:H$355)+COUNTIF(H$11:H36,H36)-1)))</f>
        <v>36</v>
      </c>
      <c r="J36" s="58"/>
      <c r="K36" s="51">
        <f t="shared" si="10"/>
        <v>26</v>
      </c>
      <c r="L36" s="59" t="str">
        <f t="shared" si="2"/>
        <v>Southend-on-Sea</v>
      </c>
      <c r="M36" s="153">
        <f t="shared" si="3"/>
        <v>417.6</v>
      </c>
      <c r="N36" s="148">
        <f t="shared" si="23"/>
        <v>417.6</v>
      </c>
      <c r="O36" s="131" t="str">
        <f t="shared" si="11"/>
        <v/>
      </c>
      <c r="P36" s="131">
        <f t="shared" si="19"/>
        <v>417.6</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417.6</v>
      </c>
      <c r="AK36" s="57">
        <f>IF(AJ36="","",IF(I$8="A",(RANK(AJ36,AJ$11:AJ$355,1)+COUNTIF(AJ$11:AJ36,AJ36)-1),(RANK(AJ36,AJ$11:AJ$355)+COUNTIF(AJ$11:AJ36,AJ36)-1)))</f>
        <v>26</v>
      </c>
      <c r="AL36" s="52">
        <f t="shared" si="16"/>
        <v>26</v>
      </c>
      <c r="AM36" s="31" t="str">
        <f t="shared" si="6"/>
        <v>Southend-on-Sea</v>
      </c>
      <c r="AN36" s="31">
        <f t="shared" si="7"/>
        <v>417.6</v>
      </c>
      <c r="AP36" s="61" t="str">
        <f>IF(L36="","",VLOOKUP($L36,classifications!$C:$E,3,FALSE))</f>
        <v>East of England</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437.9</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389.9</v>
      </c>
      <c r="G37" s="105"/>
      <c r="H37" s="60">
        <f t="shared" si="1"/>
        <v>389.9</v>
      </c>
      <c r="I37" s="112">
        <f>IF(H37="","",IF($I$8="A",(RANK(H37,H$11:H$355,1)+COUNTIF(H$11:H37,H37)-1),(RANK(H37,H$11:H$355)+COUNTIF(H$11:H37,H37)-1)))</f>
        <v>14</v>
      </c>
      <c r="J37" s="58"/>
      <c r="K37" s="51">
        <f t="shared" si="10"/>
        <v>27</v>
      </c>
      <c r="L37" s="59" t="str">
        <f t="shared" si="2"/>
        <v>Warrington</v>
      </c>
      <c r="M37" s="153">
        <f t="shared" si="3"/>
        <v>417.9</v>
      </c>
      <c r="N37" s="148">
        <f t="shared" si="23"/>
        <v>417.9</v>
      </c>
      <c r="O37" s="131" t="str">
        <f t="shared" si="11"/>
        <v/>
      </c>
      <c r="P37" s="131">
        <f t="shared" si="19"/>
        <v>417.9</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417.9</v>
      </c>
      <c r="AK37" s="57">
        <f>IF(AJ37="","",IF(I$8="A",(RANK(AJ37,AJ$11:AJ$355,1)+COUNTIF(AJ$11:AJ37,AJ37)-1),(RANK(AJ37,AJ$11:AJ$355)+COUNTIF(AJ$11:AJ37,AJ37)-1)))</f>
        <v>27</v>
      </c>
      <c r="AL37" s="52">
        <f t="shared" si="16"/>
        <v>27</v>
      </c>
      <c r="AM37" s="31" t="str">
        <f t="shared" si="6"/>
        <v>Warrington</v>
      </c>
      <c r="AN37" s="31">
        <f t="shared" si="7"/>
        <v>417.9</v>
      </c>
      <c r="AP37" s="61" t="str">
        <f>IF(L37="","",VLOOKUP($L37,classifications!$C:$E,3,FALSE))</f>
        <v>North West</v>
      </c>
      <c r="AQ37" s="62">
        <f t="shared" si="17"/>
        <v>417.9</v>
      </c>
      <c r="AR37" s="57">
        <f>IF(AQ37="","",IF(I$8="A",(RANK(AQ37,AQ$11:AQ$355,1)+COUNTIF(AQ$11:AQ37,AQ37)-1),(RANK(AQ37,AQ$11:AQ$355)+COUNTIF(AQ$11:AQ37,AQ37)-1)))</f>
        <v>2</v>
      </c>
      <c r="AS37" s="52" t="str">
        <f t="shared" si="18"/>
        <v/>
      </c>
      <c r="AT37" s="57" t="str">
        <f t="shared" si="8"/>
        <v/>
      </c>
      <c r="AU37" s="62" t="str">
        <f t="shared" si="9"/>
        <v/>
      </c>
      <c r="AX37" s="44">
        <f>HLOOKUP($AX$9&amp;$AX$10,Data!$A$1:$ZZ$2000,(MATCH($C37,Data!$A$1:$A$2000,0)),FALSE)</f>
        <v>389.9</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360.6</v>
      </c>
      <c r="G38" s="105"/>
      <c r="H38" s="60" t="str">
        <f t="shared" si="1"/>
        <v/>
      </c>
      <c r="I38" s="112" t="str">
        <f>IF(H38="","",IF($I$8="A",(RANK(H38,H$11:H$355,1)+COUNTIF(H$11:H38,H38)-1),(RANK(H38,H$11:H$355)+COUNTIF(H$11:H38,H38)-1)))</f>
        <v/>
      </c>
      <c r="J38" s="58"/>
      <c r="K38" s="51">
        <f t="shared" si="10"/>
        <v>28</v>
      </c>
      <c r="L38" s="59" t="str">
        <f t="shared" si="2"/>
        <v>Bedford</v>
      </c>
      <c r="M38" s="153">
        <f t="shared" si="3"/>
        <v>420.9</v>
      </c>
      <c r="N38" s="148">
        <f t="shared" si="23"/>
        <v>420.9</v>
      </c>
      <c r="O38" s="131" t="str">
        <f t="shared" si="11"/>
        <v/>
      </c>
      <c r="P38" s="131">
        <f t="shared" si="19"/>
        <v>420.9</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Significant Rural (rural including hub towns 26-49%)</v>
      </c>
      <c r="Y38" s="49">
        <f t="shared" si="4"/>
        <v>420.9</v>
      </c>
      <c r="Z38" s="57">
        <f>IF(Y38="","",IF(I$8="A",(RANK(Y38,Y$11:Y$355,1)+COUNTIF(Y$11:Y38,Y38)-1),(RANK(Y38,Y$11:Y$355)+COUNTIF(Y$11:Y38,Y38)-1)))</f>
        <v>5</v>
      </c>
      <c r="AA38" s="242" t="str">
        <f>IF(L38="","",VLOOKUP($L38,classifications!C:I,7,FALSE))</f>
        <v>Significant Rural</v>
      </c>
      <c r="AB38" s="236">
        <f t="shared" si="14"/>
        <v>420.9</v>
      </c>
      <c r="AC38" s="236">
        <f>IF(AB38="","",IF($I$8="A",(RANK(AB38,AB$11:AB$355)+COUNTIF(AB$11:AB38,AB38)-1),(RANK(AB38,AB$11:AB$355,1)+COUNTIF(AB$11:AB38,AB38)-1)))</f>
        <v>6</v>
      </c>
      <c r="AD38" s="236"/>
      <c r="AE38" s="51" t="str">
        <f t="shared" si="24"/>
        <v/>
      </c>
      <c r="AG38" s="143"/>
      <c r="AH38" s="52"/>
      <c r="AI38" s="61" t="str">
        <f>IF(L38="","",VLOOKUP($L38,classifications!$C:$J,8,FALSE))</f>
        <v>Unitary</v>
      </c>
      <c r="AJ38" s="62">
        <f t="shared" si="5"/>
        <v>420.9</v>
      </c>
      <c r="AK38" s="57">
        <f>IF(AJ38="","",IF(I$8="A",(RANK(AJ38,AJ$11:AJ$355,1)+COUNTIF(AJ$11:AJ38,AJ38)-1),(RANK(AJ38,AJ$11:AJ$355)+COUNTIF(AJ$11:AJ38,AJ38)-1)))</f>
        <v>28</v>
      </c>
      <c r="AL38" s="52">
        <f t="shared" si="16"/>
        <v>28</v>
      </c>
      <c r="AM38" s="31" t="str">
        <f t="shared" si="6"/>
        <v>Bedford</v>
      </c>
      <c r="AN38" s="31">
        <f t="shared" si="7"/>
        <v>420.9</v>
      </c>
      <c r="AP38" s="61" t="str">
        <f>IF(L38="","",VLOOKUP($L38,classifications!$C:$E,3,FALSE))</f>
        <v>East of England</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360.6</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387.7</v>
      </c>
      <c r="G39" s="105"/>
      <c r="H39" s="60" t="str">
        <f t="shared" si="1"/>
        <v/>
      </c>
      <c r="I39" s="112" t="str">
        <f>IF(H39="","",IF($I$8="A",(RANK(H39,H$11:H$355,1)+COUNTIF(H$11:H39,H39)-1),(RANK(H39,H$11:H$355)+COUNTIF(H$11:H39,H39)-1)))</f>
        <v/>
      </c>
      <c r="J39" s="58"/>
      <c r="K39" s="51">
        <f t="shared" si="10"/>
        <v>29</v>
      </c>
      <c r="L39" s="59" t="str">
        <f t="shared" si="2"/>
        <v>Windsor &amp; Maidenhead</v>
      </c>
      <c r="M39" s="153">
        <f t="shared" si="3"/>
        <v>425.7</v>
      </c>
      <c r="N39" s="148">
        <f t="shared" si="23"/>
        <v>425.7</v>
      </c>
      <c r="O39" s="131" t="str">
        <f t="shared" si="11"/>
        <v/>
      </c>
      <c r="P39" s="131" t="str">
        <f t="shared" si="19"/>
        <v/>
      </c>
      <c r="Q39" s="131">
        <f t="shared" si="20"/>
        <v>425.7</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425.7</v>
      </c>
      <c r="AK39" s="57">
        <f>IF(AJ39="","",IF(I$8="A",(RANK(AJ39,AJ$11:AJ$355,1)+COUNTIF(AJ$11:AJ39,AJ39)-1),(RANK(AJ39,AJ$11:AJ$355)+COUNTIF(AJ$11:AJ39,AJ39)-1)))</f>
        <v>29</v>
      </c>
      <c r="AL39" s="52">
        <f t="shared" si="16"/>
        <v>29</v>
      </c>
      <c r="AM39" s="31" t="str">
        <f t="shared" si="6"/>
        <v>Windsor &amp; Maidenhead</v>
      </c>
      <c r="AN39" s="31">
        <f t="shared" si="7"/>
        <v>425.7</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387.7</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364.7</v>
      </c>
      <c r="G40" s="105"/>
      <c r="H40" s="60" t="str">
        <f t="shared" si="1"/>
        <v/>
      </c>
      <c r="I40" s="112" t="str">
        <f>IF(H40="","",IF($I$8="A",(RANK(H40,H$11:H$355,1)+COUNTIF(H$11:H40,H40)-1),(RANK(H40,H$11:H$355)+COUNTIF(H$11:H40,H40)-1)))</f>
        <v/>
      </c>
      <c r="J40" s="58"/>
      <c r="K40" s="51">
        <f t="shared" si="10"/>
        <v>30</v>
      </c>
      <c r="L40" s="59" t="str">
        <f t="shared" si="2"/>
        <v>Stockton-on-Tees</v>
      </c>
      <c r="M40" s="153">
        <f t="shared" si="3"/>
        <v>425.8</v>
      </c>
      <c r="N40" s="148">
        <f t="shared" si="23"/>
        <v>425.8</v>
      </c>
      <c r="O40" s="131" t="str">
        <f t="shared" si="11"/>
        <v/>
      </c>
      <c r="P40" s="131" t="str">
        <f t="shared" si="19"/>
        <v/>
      </c>
      <c r="Q40" s="131">
        <f t="shared" si="20"/>
        <v>425.8</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425.8</v>
      </c>
      <c r="AK40" s="57">
        <f>IF(AJ40="","",IF(I$8="A",(RANK(AJ40,AJ$11:AJ$355,1)+COUNTIF(AJ$11:AJ40,AJ40)-1),(RANK(AJ40,AJ$11:AJ$355)+COUNTIF(AJ$11:AJ40,AJ40)-1)))</f>
        <v>30</v>
      </c>
      <c r="AL40" s="52">
        <f t="shared" si="16"/>
        <v>30</v>
      </c>
      <c r="AM40" s="31" t="str">
        <f t="shared" si="6"/>
        <v>Stockton-on-Tees</v>
      </c>
      <c r="AN40" s="31">
        <f t="shared" si="7"/>
        <v>425.8</v>
      </c>
      <c r="AP40" s="61" t="str">
        <f>IF(L40="","",VLOOKUP($L40,classifications!$C:$E,3,FALSE))</f>
        <v>NE</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364.7</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288.7</v>
      </c>
      <c r="G41" s="105"/>
      <c r="H41" s="60" t="str">
        <f t="shared" si="1"/>
        <v/>
      </c>
      <c r="I41" s="112" t="str">
        <f>IF(H41="","",IF($I$8="A",(RANK(H41,H$11:H$355,1)+COUNTIF(H$11:H41,H41)-1),(RANK(H41,H$11:H$355)+COUNTIF(H$11:H41,H41)-1)))</f>
        <v/>
      </c>
      <c r="J41" s="58"/>
      <c r="K41" s="51">
        <f t="shared" si="10"/>
        <v>31</v>
      </c>
      <c r="L41" s="59" t="str">
        <f t="shared" si="2"/>
        <v>Derby</v>
      </c>
      <c r="M41" s="153">
        <f t="shared" si="3"/>
        <v>426.8</v>
      </c>
      <c r="N41" s="148">
        <f t="shared" si="23"/>
        <v>426.8</v>
      </c>
      <c r="O41" s="131" t="str">
        <f t="shared" si="11"/>
        <v/>
      </c>
      <c r="P41" s="131" t="str">
        <f t="shared" si="19"/>
        <v/>
      </c>
      <c r="Q41" s="131">
        <f t="shared" si="20"/>
        <v>426.8</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City and Town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Unitary</v>
      </c>
      <c r="AJ41" s="62">
        <f t="shared" si="5"/>
        <v>426.8</v>
      </c>
      <c r="AK41" s="57">
        <f>IF(AJ41="","",IF(I$8="A",(RANK(AJ41,AJ$11:AJ$355,1)+COUNTIF(AJ$11:AJ41,AJ41)-1),(RANK(AJ41,AJ$11:AJ$355)+COUNTIF(AJ$11:AJ41,AJ41)-1)))</f>
        <v>31</v>
      </c>
      <c r="AL41" s="52">
        <f t="shared" si="16"/>
        <v>31</v>
      </c>
      <c r="AM41" s="31" t="str">
        <f t="shared" si="6"/>
        <v>Derby</v>
      </c>
      <c r="AN41" s="31">
        <f t="shared" si="7"/>
        <v>426.8</v>
      </c>
      <c r="AP41" s="61" t="str">
        <f>IF(L41="","",VLOOKUP($L41,classifications!$C:$E,3,FALSE))</f>
        <v>East Midlands</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288.7</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361.5</v>
      </c>
      <c r="G42" s="105"/>
      <c r="H42" s="60" t="str">
        <f t="shared" si="1"/>
        <v/>
      </c>
      <c r="I42" s="112" t="str">
        <f>IF(H42="","",IF($I$8="A",(RANK(H42,H$11:H$355,1)+COUNTIF(H$11:H42,H42)-1),(RANK(H42,H$11:H$355)+COUNTIF(H$11:H42,H42)-1)))</f>
        <v/>
      </c>
      <c r="J42" s="58"/>
      <c r="K42" s="51">
        <f t="shared" si="10"/>
        <v>32</v>
      </c>
      <c r="L42" s="59" t="str">
        <f t="shared" si="2"/>
        <v>Wiltshire</v>
      </c>
      <c r="M42" s="153">
        <f t="shared" si="3"/>
        <v>428.9</v>
      </c>
      <c r="N42" s="148">
        <f t="shared" si="23"/>
        <v>428.9</v>
      </c>
      <c r="O42" s="131" t="str">
        <f t="shared" si="11"/>
        <v/>
      </c>
      <c r="P42" s="131" t="str">
        <f t="shared" si="19"/>
        <v/>
      </c>
      <c r="Q42" s="131">
        <f t="shared" si="20"/>
        <v>428.9</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 xml:space="preserve">Largely Rural (rural including hub towns 50-79%) </v>
      </c>
      <c r="Y42" s="49">
        <f t="shared" si="4"/>
        <v>428.9</v>
      </c>
      <c r="Z42" s="57">
        <f>IF(Y42="","",IF(I$8="A",(RANK(Y42,Y$11:Y$355,1)+COUNTIF(Y$11:Y42,Y42)-1),(RANK(Y42,Y$11:Y$355)+COUNTIF(Y$11:Y42,Y42)-1)))</f>
        <v>6</v>
      </c>
      <c r="AA42" s="242" t="str">
        <f>IF(L42="","",VLOOKUP($L42,classifications!C:I,7,FALSE))</f>
        <v>Predominantly Rural</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428.9</v>
      </c>
      <c r="AK42" s="57">
        <f>IF(AJ42="","",IF(I$8="A",(RANK(AJ42,AJ$11:AJ$355,1)+COUNTIF(AJ$11:AJ42,AJ42)-1),(RANK(AJ42,AJ$11:AJ$355)+COUNTIF(AJ$11:AJ42,AJ42)-1)))</f>
        <v>32</v>
      </c>
      <c r="AL42" s="52">
        <f t="shared" si="16"/>
        <v>32</v>
      </c>
      <c r="AM42" s="31" t="str">
        <f t="shared" si="6"/>
        <v>Wiltshire</v>
      </c>
      <c r="AN42" s="31">
        <f t="shared" si="7"/>
        <v>428.9</v>
      </c>
      <c r="AP42" s="61" t="str">
        <f>IF(L42="","",VLOOKUP($L42,classifications!$C:$E,3,FALSE))</f>
        <v>South West</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361.5</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346.8</v>
      </c>
      <c r="G43" s="105"/>
      <c r="H43" s="60">
        <f t="shared" si="1"/>
        <v>346.8</v>
      </c>
      <c r="I43" s="112">
        <f>IF(H43="","",IF($I$8="A",(RANK(H43,H$11:H$355,1)+COUNTIF(H$11:H43,H43)-1),(RANK(H43,H$11:H$355)+COUNTIF(H$11:H43,H43)-1)))</f>
        <v>4</v>
      </c>
      <c r="J43" s="58"/>
      <c r="K43" s="51">
        <f t="shared" si="10"/>
        <v>33</v>
      </c>
      <c r="L43" s="59" t="str">
        <f t="shared" si="2"/>
        <v>Torbay</v>
      </c>
      <c r="M43" s="153">
        <f t="shared" si="3"/>
        <v>431.3</v>
      </c>
      <c r="N43" s="148">
        <f t="shared" si="23"/>
        <v>431.3</v>
      </c>
      <c r="O43" s="131" t="str">
        <f t="shared" si="11"/>
        <v/>
      </c>
      <c r="P43" s="131" t="str">
        <f t="shared" si="19"/>
        <v/>
      </c>
      <c r="Q43" s="131">
        <f t="shared" si="20"/>
        <v>431.3</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City and Town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431.3</v>
      </c>
      <c r="AK43" s="57">
        <f>IF(AJ43="","",IF(I$8="A",(RANK(AJ43,AJ$11:AJ$355,1)+COUNTIF(AJ$11:AJ43,AJ43)-1),(RANK(AJ43,AJ$11:AJ$355)+COUNTIF(AJ$11:AJ43,AJ43)-1)))</f>
        <v>33</v>
      </c>
      <c r="AL43" s="52">
        <f t="shared" si="16"/>
        <v>33</v>
      </c>
      <c r="AM43" s="31" t="str">
        <f t="shared" si="6"/>
        <v>Torbay</v>
      </c>
      <c r="AN43" s="31">
        <f t="shared" si="7"/>
        <v>431.3</v>
      </c>
      <c r="AP43" s="61" t="str">
        <f>IF(L43="","",VLOOKUP($L43,classifications!$C:$E,3,FALSE))</f>
        <v>South West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346.8</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354.8</v>
      </c>
      <c r="G44" s="105"/>
      <c r="H44" s="60">
        <f t="shared" si="1"/>
        <v>354.8</v>
      </c>
      <c r="I44" s="112">
        <f>IF(H44="","",IF($I$8="A",(RANK(H44,H$11:H$355,1)+COUNTIF(H$11:H44,H44)-1),(RANK(H44,H$11:H$355)+COUNTIF(H$11:H44,H44)-1)))</f>
        <v>9</v>
      </c>
      <c r="J44" s="58"/>
      <c r="K44" s="51">
        <f t="shared" si="10"/>
        <v>34</v>
      </c>
      <c r="L44" s="59" t="str">
        <f t="shared" si="2"/>
        <v>Durham</v>
      </c>
      <c r="M44" s="153">
        <f t="shared" si="3"/>
        <v>433.5</v>
      </c>
      <c r="N44" s="148">
        <f t="shared" si="23"/>
        <v>433.5</v>
      </c>
      <c r="O44" s="131" t="str">
        <f t="shared" si="11"/>
        <v/>
      </c>
      <c r="P44" s="131" t="str">
        <f t="shared" si="19"/>
        <v/>
      </c>
      <c r="Q44" s="131">
        <f t="shared" si="20"/>
        <v>433.5</v>
      </c>
      <c r="R44" s="127" t="str">
        <f t="shared" si="21"/>
        <v/>
      </c>
      <c r="S44" s="60" t="str">
        <f t="shared" si="12"/>
        <v/>
      </c>
      <c r="T44" s="228" t="str">
        <f>IF(L44="","",VLOOKUP(L44,classifications!C:K,9,FALSE))</f>
        <v>Sparse</v>
      </c>
      <c r="U44" s="235">
        <f t="shared" si="25"/>
        <v>433.5</v>
      </c>
      <c r="V44" s="236">
        <f>IF(U44="","",IF($I$8="A",(RANK(U44,U$11:U$355)+COUNTIF(U$11:U44,U44)-1),(RANK(U44,U$11:U$355,1)+COUNTIF(U$11:U44,U44)-1)))</f>
        <v>10</v>
      </c>
      <c r="W44" s="237"/>
      <c r="X44" s="61" t="str">
        <f>IF(L44="","",VLOOKUP($L44,classifications!$C:$J,6,FALSE))</f>
        <v xml:space="preserve">Largely Rural (rural including hub towns 50-79%) </v>
      </c>
      <c r="Y44" s="49">
        <f t="shared" si="4"/>
        <v>433.5</v>
      </c>
      <c r="Z44" s="57">
        <f>IF(Y44="","",IF(I$8="A",(RANK(Y44,Y$11:Y$355,1)+COUNTIF(Y$11:Y44,Y44)-1),(RANK(Y44,Y$11:Y$355)+COUNTIF(Y$11:Y44,Y44)-1)))</f>
        <v>7</v>
      </c>
      <c r="AA44" s="242" t="str">
        <f>IF(L44="","",VLOOKUP($L44,classifications!C:I,7,FALSE))</f>
        <v>Predominantly Rural</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433.5</v>
      </c>
      <c r="AK44" s="57">
        <f>IF(AJ44="","",IF(I$8="A",(RANK(AJ44,AJ$11:AJ$355,1)+COUNTIF(AJ$11:AJ44,AJ44)-1),(RANK(AJ44,AJ$11:AJ$355)+COUNTIF(AJ$11:AJ44,AJ44)-1)))</f>
        <v>34</v>
      </c>
      <c r="AL44" s="52">
        <f t="shared" si="16"/>
        <v>34</v>
      </c>
      <c r="AM44" s="31" t="str">
        <f t="shared" si="6"/>
        <v>Durham</v>
      </c>
      <c r="AN44" s="31">
        <f t="shared" si="7"/>
        <v>433.5</v>
      </c>
      <c r="AP44" s="61" t="str">
        <f>IF(L44="","",VLOOKUP($L44,classifications!$C:$E,3,FALSE))</f>
        <v>NE</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354.8</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379.5</v>
      </c>
      <c r="G45" s="105"/>
      <c r="H45" s="60" t="str">
        <f t="shared" si="1"/>
        <v/>
      </c>
      <c r="I45" s="112" t="str">
        <f>IF(H45="","",IF($I$8="A",(RANK(H45,H$11:H$355,1)+COUNTIF(H$11:H45,H45)-1),(RANK(H45,H$11:H$355)+COUNTIF(H$11:H45,H45)-1)))</f>
        <v/>
      </c>
      <c r="J45" s="58"/>
      <c r="K45" s="51">
        <f t="shared" si="10"/>
        <v>35</v>
      </c>
      <c r="L45" s="59" t="str">
        <f t="shared" si="2"/>
        <v>Medway</v>
      </c>
      <c r="M45" s="153">
        <f t="shared" si="3"/>
        <v>435.5</v>
      </c>
      <c r="N45" s="148">
        <f t="shared" si="23"/>
        <v>435.5</v>
      </c>
      <c r="O45" s="131" t="str">
        <f t="shared" si="11"/>
        <v/>
      </c>
      <c r="P45" s="131" t="str">
        <f t="shared" si="19"/>
        <v/>
      </c>
      <c r="Q45" s="131">
        <f t="shared" si="20"/>
        <v>435.5</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Unitary</v>
      </c>
      <c r="AJ45" s="62">
        <f t="shared" si="5"/>
        <v>435.5</v>
      </c>
      <c r="AK45" s="57">
        <f>IF(AJ45="","",IF(I$8="A",(RANK(AJ45,AJ$11:AJ$355,1)+COUNTIF(AJ$11:AJ45,AJ45)-1),(RANK(AJ45,AJ$11:AJ$355)+COUNTIF(AJ$11:AJ45,AJ45)-1)))</f>
        <v>35</v>
      </c>
      <c r="AL45" s="52">
        <f t="shared" si="16"/>
        <v>35</v>
      </c>
      <c r="AM45" s="31" t="str">
        <f t="shared" si="6"/>
        <v>Medway</v>
      </c>
      <c r="AN45" s="31">
        <f t="shared" si="7"/>
        <v>435.5</v>
      </c>
      <c r="AP45" s="61" t="str">
        <f>IF(L45="","",VLOOKUP($L45,classifications!$C:$E,3,FALSE))</f>
        <v>South East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379.5</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371</v>
      </c>
      <c r="G46" s="105"/>
      <c r="H46" s="60" t="str">
        <f t="shared" si="1"/>
        <v/>
      </c>
      <c r="I46" s="112" t="str">
        <f>IF(H46="","",IF($I$8="A",(RANK(H46,H$11:H$355,1)+COUNTIF(H$11:H46,H46)-1),(RANK(H46,H$11:H$355)+COUNTIF(H$11:H46,H46)-1)))</f>
        <v/>
      </c>
      <c r="J46" s="58"/>
      <c r="K46" s="51">
        <f t="shared" si="10"/>
        <v>36</v>
      </c>
      <c r="L46" s="59" t="str">
        <f t="shared" si="2"/>
        <v>Bournemouth, Christchurch and Poole</v>
      </c>
      <c r="M46" s="153">
        <f t="shared" si="3"/>
        <v>437.9</v>
      </c>
      <c r="N46" s="148">
        <f t="shared" si="23"/>
        <v>437.9</v>
      </c>
      <c r="O46" s="131" t="str">
        <f t="shared" si="11"/>
        <v/>
      </c>
      <c r="P46" s="131" t="str">
        <f t="shared" si="19"/>
        <v/>
      </c>
      <c r="Q46" s="131">
        <f t="shared" si="20"/>
        <v>437.9</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f>IF(L46="","",VLOOKUP($L46,classifications!$C:$J,6,FALSE))</f>
        <v>0</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437.9</v>
      </c>
      <c r="AK46" s="57">
        <f>IF(AJ46="","",IF(I$8="A",(RANK(AJ46,AJ$11:AJ$355,1)+COUNTIF(AJ$11:AJ46,AJ46)-1),(RANK(AJ46,AJ$11:AJ$355)+COUNTIF(AJ$11:AJ46,AJ46)-1)))</f>
        <v>36</v>
      </c>
      <c r="AL46" s="52">
        <f t="shared" si="16"/>
        <v>36</v>
      </c>
      <c r="AM46" s="31" t="str">
        <f t="shared" si="6"/>
        <v>Bournemouth, Christchurch and Poole</v>
      </c>
      <c r="AN46" s="31">
        <f t="shared" si="7"/>
        <v>437.9</v>
      </c>
      <c r="AP46" s="61" t="str">
        <f>IF(L46="","",VLOOKUP($L46,classifications!$C:$E,3,FALSE))</f>
        <v>South West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371</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397.3</v>
      </c>
      <c r="G47" s="105"/>
      <c r="H47" s="60" t="str">
        <f t="shared" si="1"/>
        <v/>
      </c>
      <c r="I47" s="112" t="str">
        <f>IF(H47="","",IF($I$8="A",(RANK(H47,H$11:H$355,1)+COUNTIF(H$11:H47,H47)-1),(RANK(H47,H$11:H$355)+COUNTIF(H$11:H47,H47)-1)))</f>
        <v/>
      </c>
      <c r="J47" s="58"/>
      <c r="K47" s="51">
        <f t="shared" si="10"/>
        <v>37</v>
      </c>
      <c r="L47" s="59" t="str">
        <f t="shared" si="2"/>
        <v>Halton</v>
      </c>
      <c r="M47" s="153">
        <f t="shared" si="3"/>
        <v>440</v>
      </c>
      <c r="N47" s="148">
        <f t="shared" si="23"/>
        <v>440</v>
      </c>
      <c r="O47" s="131" t="str">
        <f t="shared" si="11"/>
        <v/>
      </c>
      <c r="P47" s="131" t="str">
        <f t="shared" si="19"/>
        <v/>
      </c>
      <c r="Q47" s="131">
        <f t="shared" si="20"/>
        <v>440</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City and Town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Unitary</v>
      </c>
      <c r="AJ47" s="62">
        <f t="shared" si="5"/>
        <v>440</v>
      </c>
      <c r="AK47" s="57">
        <f>IF(AJ47="","",IF(I$8="A",(RANK(AJ47,AJ$11:AJ$355,1)+COUNTIF(AJ$11:AJ47,AJ47)-1),(RANK(AJ47,AJ$11:AJ$355)+COUNTIF(AJ$11:AJ47,AJ47)-1)))</f>
        <v>37</v>
      </c>
      <c r="AL47" s="52">
        <f t="shared" si="16"/>
        <v>37</v>
      </c>
      <c r="AM47" s="31" t="str">
        <f t="shared" si="6"/>
        <v>Halton</v>
      </c>
      <c r="AN47" s="31">
        <f t="shared" si="7"/>
        <v>440</v>
      </c>
      <c r="AP47" s="61" t="str">
        <f>IF(L47="","",VLOOKUP($L47,classifications!$C:$E,3,FALSE))</f>
        <v>North West</v>
      </c>
      <c r="AQ47" s="62">
        <f t="shared" si="17"/>
        <v>440</v>
      </c>
      <c r="AR47" s="57">
        <f>IF(AQ47="","",IF(I$8="A",(RANK(AQ47,AQ$11:AQ$355,1)+COUNTIF(AQ$11:AQ47,AQ47)-1),(RANK(AQ47,AQ$11:AQ$355)+COUNTIF(AQ$11:AQ47,AQ47)-1)))</f>
        <v>3</v>
      </c>
      <c r="AS47" s="52" t="str">
        <f t="shared" si="18"/>
        <v/>
      </c>
      <c r="AT47" s="57" t="str">
        <f t="shared" si="8"/>
        <v/>
      </c>
      <c r="AU47" s="62" t="str">
        <f t="shared" si="9"/>
        <v/>
      </c>
      <c r="AX47" s="44">
        <f>HLOOKUP($AX$9&amp;$AX$10,Data!$A$1:$ZZ$2000,(MATCH($C47,Data!$A$1:$A$2000,0)),FALSE)</f>
        <v>397.3</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362.6</v>
      </c>
      <c r="G48" s="105"/>
      <c r="H48" s="60" t="str">
        <f t="shared" si="1"/>
        <v/>
      </c>
      <c r="I48" s="112" t="str">
        <f>IF(H48="","",IF($I$8="A",(RANK(H48,H$11:H$355,1)+COUNTIF(H$11:H48,H48)-1),(RANK(H48,H$11:H$355)+COUNTIF(H$11:H48,H48)-1)))</f>
        <v/>
      </c>
      <c r="J48" s="58"/>
      <c r="K48" s="51">
        <f t="shared" si="10"/>
        <v>38</v>
      </c>
      <c r="L48" s="59" t="str">
        <f t="shared" si="2"/>
        <v>Isle of Wight</v>
      </c>
      <c r="M48" s="153">
        <f t="shared" si="3"/>
        <v>440.4</v>
      </c>
      <c r="N48" s="148">
        <f t="shared" si="23"/>
        <v>440.4</v>
      </c>
      <c r="O48" s="131" t="str">
        <f t="shared" si="11"/>
        <v/>
      </c>
      <c r="P48" s="131" t="str">
        <f t="shared" si="19"/>
        <v/>
      </c>
      <c r="Q48" s="131">
        <f t="shared" si="20"/>
        <v>440.4</v>
      </c>
      <c r="R48" s="127" t="str">
        <f t="shared" si="21"/>
        <v/>
      </c>
      <c r="S48" s="60" t="str">
        <f t="shared" si="12"/>
        <v/>
      </c>
      <c r="T48" s="228" t="str">
        <f>IF(L48="","",VLOOKUP(L48,classifications!C:K,9,FALSE))</f>
        <v>Sparse</v>
      </c>
      <c r="U48" s="235">
        <f t="shared" si="25"/>
        <v>440.4</v>
      </c>
      <c r="V48" s="236">
        <f>IF(U48="","",IF($I$8="A",(RANK(U48,U$11:U$355)+COUNTIF(U$11:U48,U48)-1),(RANK(U48,U$11:U$355,1)+COUNTIF(U$11:U48,U48)-1)))</f>
        <v>9</v>
      </c>
      <c r="W48" s="237"/>
      <c r="X48" s="61" t="str">
        <f>IF(L48="","",VLOOKUP($L48,classifications!$C:$J,6,FALSE))</f>
        <v xml:space="preserve">Mainly Rural (rural including hub towns &gt;=80%) </v>
      </c>
      <c r="Y48" s="49">
        <f t="shared" si="4"/>
        <v>440.4</v>
      </c>
      <c r="Z48" s="57">
        <f>IF(Y48="","",IF(I$8="A",(RANK(Y48,Y$11:Y$355,1)+COUNTIF(Y$11:Y48,Y48)-1),(RANK(Y48,Y$11:Y$355)+COUNTIF(Y$11:Y48,Y48)-1)))</f>
        <v>8</v>
      </c>
      <c r="AA48" s="242" t="str">
        <f>IF(L48="","",VLOOKUP($L48,classifications!C:I,7,FALSE))</f>
        <v>Predominantly Rural</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440.4</v>
      </c>
      <c r="AK48" s="57">
        <f>IF(AJ48="","",IF(I$8="A",(RANK(AJ48,AJ$11:AJ$355,1)+COUNTIF(AJ$11:AJ48,AJ48)-1),(RANK(AJ48,AJ$11:AJ$355)+COUNTIF(AJ$11:AJ48,AJ48)-1)))</f>
        <v>38</v>
      </c>
      <c r="AL48" s="52">
        <f t="shared" si="16"/>
        <v>38</v>
      </c>
      <c r="AM48" s="31" t="str">
        <f t="shared" si="6"/>
        <v>Isle of Wight</v>
      </c>
      <c r="AN48" s="31">
        <f t="shared" si="7"/>
        <v>440.4</v>
      </c>
      <c r="AP48" s="61" t="str">
        <f>IF(L48="","",VLOOKUP($L48,classifications!$C:$E,3,FALSE))</f>
        <v>South East</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362.6</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369.8</v>
      </c>
      <c r="G49" s="105"/>
      <c r="H49" s="60" t="str">
        <f t="shared" si="1"/>
        <v/>
      </c>
      <c r="I49" s="112" t="str">
        <f>IF(H49="","",IF($I$8="A",(RANK(H49,H$11:H$355,1)+COUNTIF(H$11:H49,H49)-1),(RANK(H49,H$11:H$355)+COUNTIF(H$11:H49,H49)-1)))</f>
        <v/>
      </c>
      <c r="J49" s="58"/>
      <c r="K49" s="51">
        <f t="shared" si="10"/>
        <v>39</v>
      </c>
      <c r="L49" s="59" t="str">
        <f t="shared" si="2"/>
        <v>Milton Keynes</v>
      </c>
      <c r="M49" s="153">
        <f t="shared" si="3"/>
        <v>441.2</v>
      </c>
      <c r="N49" s="148">
        <f t="shared" si="23"/>
        <v>441.2</v>
      </c>
      <c r="O49" s="131" t="str">
        <f t="shared" si="11"/>
        <v/>
      </c>
      <c r="P49" s="131" t="str">
        <f t="shared" si="19"/>
        <v/>
      </c>
      <c r="Q49" s="131">
        <f t="shared" si="20"/>
        <v>441.2</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441.2</v>
      </c>
      <c r="AK49" s="57">
        <f>IF(AJ49="","",IF(I$8="A",(RANK(AJ49,AJ$11:AJ$355,1)+COUNTIF(AJ$11:AJ49,AJ49)-1),(RANK(AJ49,AJ$11:AJ$355)+COUNTIF(AJ$11:AJ49,AJ49)-1)))</f>
        <v>39</v>
      </c>
      <c r="AL49" s="52">
        <f t="shared" si="16"/>
        <v>39</v>
      </c>
      <c r="AM49" s="31" t="str">
        <f t="shared" si="6"/>
        <v>Milton Keynes</v>
      </c>
      <c r="AN49" s="31">
        <f t="shared" si="7"/>
        <v>441.2</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369.8</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407.7</v>
      </c>
      <c r="G50" s="105"/>
      <c r="H50" s="60" t="str">
        <f t="shared" si="1"/>
        <v/>
      </c>
      <c r="I50" s="112" t="str">
        <f>IF(H50="","",IF($I$8="A",(RANK(H50,H$11:H$355,1)+COUNTIF(H$11:H50,H50)-1),(RANK(H50,H$11:H$355)+COUNTIF(H$11:H50,H50)-1)))</f>
        <v/>
      </c>
      <c r="J50" s="58"/>
      <c r="K50" s="51">
        <f t="shared" si="10"/>
        <v>40</v>
      </c>
      <c r="L50" s="59" t="str">
        <f t="shared" si="2"/>
        <v>Thurrock</v>
      </c>
      <c r="M50" s="153">
        <f t="shared" si="3"/>
        <v>441.4</v>
      </c>
      <c r="N50" s="148">
        <f t="shared" si="23"/>
        <v>441.4</v>
      </c>
      <c r="O50" s="131" t="str">
        <f t="shared" si="11"/>
        <v/>
      </c>
      <c r="P50" s="131" t="str">
        <f t="shared" si="19"/>
        <v/>
      </c>
      <c r="Q50" s="131">
        <f t="shared" si="20"/>
        <v>441.4</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Major Conurbation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Unitary</v>
      </c>
      <c r="AJ50" s="62">
        <f t="shared" si="5"/>
        <v>441.4</v>
      </c>
      <c r="AK50" s="57">
        <f>IF(AJ50="","",IF(I$8="A",(RANK(AJ50,AJ$11:AJ$355,1)+COUNTIF(AJ$11:AJ50,AJ50)-1),(RANK(AJ50,AJ$11:AJ$355)+COUNTIF(AJ$11:AJ50,AJ50)-1)))</f>
        <v>40</v>
      </c>
      <c r="AL50" s="52">
        <f t="shared" si="16"/>
        <v>40</v>
      </c>
      <c r="AM50" s="31" t="str">
        <f t="shared" si="6"/>
        <v>Thurrock</v>
      </c>
      <c r="AN50" s="31">
        <f t="shared" si="7"/>
        <v>441.4</v>
      </c>
      <c r="AP50" s="61" t="str">
        <f>IF(L50="","",VLOOKUP($L50,classifications!$C:$E,3,FALSE))</f>
        <v>East of England</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407.7</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325.60000000000002</v>
      </c>
      <c r="G51" s="105"/>
      <c r="H51" s="60" t="str">
        <f t="shared" si="1"/>
        <v/>
      </c>
      <c r="I51" s="112" t="str">
        <f>IF(H51="","",IF($I$8="A",(RANK(H51,H$11:H$355,1)+COUNTIF(H$11:H51,H51)-1),(RANK(H51,H$11:H$355)+COUNTIF(H$11:H51,H51)-1)))</f>
        <v/>
      </c>
      <c r="J51" s="58"/>
      <c r="K51" s="51">
        <f t="shared" si="10"/>
        <v>41</v>
      </c>
      <c r="L51" s="59" t="str">
        <f t="shared" si="2"/>
        <v>North East Lincolnshire</v>
      </c>
      <c r="M51" s="153">
        <f t="shared" si="3"/>
        <v>444.4</v>
      </c>
      <c r="N51" s="148">
        <f t="shared" si="23"/>
        <v>444.4</v>
      </c>
      <c r="O51" s="131" t="str">
        <f t="shared" si="11"/>
        <v/>
      </c>
      <c r="P51" s="131" t="str">
        <f t="shared" si="19"/>
        <v/>
      </c>
      <c r="Q51" s="131">
        <f t="shared" si="20"/>
        <v>444.4</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City and Town</v>
      </c>
      <c r="Y51" s="49" t="str">
        <f t="shared" si="4"/>
        <v/>
      </c>
      <c r="Z51" s="57" t="str">
        <f>IF(Y51="","",IF(I$8="A",(RANK(Y51,Y$11:Y$355,1)+COUNTIF(Y$11:Y51,Y51)-1),(RANK(Y51,Y$11:Y$355)+COUNTIF(Y$11:Y51,Y51)-1)))</f>
        <v/>
      </c>
      <c r="AA51" s="242" t="str">
        <f>IF(L51="","",VLOOKUP($L51,classifications!C:I,7,FALSE))</f>
        <v>Predominantly Urban</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444.4</v>
      </c>
      <c r="AK51" s="57">
        <f>IF(AJ51="","",IF(I$8="A",(RANK(AJ51,AJ$11:AJ$355,1)+COUNTIF(AJ$11:AJ51,AJ51)-1),(RANK(AJ51,AJ$11:AJ$355)+COUNTIF(AJ$11:AJ51,AJ51)-1)))</f>
        <v>41</v>
      </c>
      <c r="AL51" s="52">
        <f t="shared" si="16"/>
        <v>41</v>
      </c>
      <c r="AM51" s="31" t="str">
        <f t="shared" si="6"/>
        <v>North East Lincolnshire</v>
      </c>
      <c r="AN51" s="31">
        <f t="shared" si="7"/>
        <v>444.4</v>
      </c>
      <c r="AP51" s="61" t="str">
        <f>IF(L51="","",VLOOKUP($L51,classifications!$C:$E,3,FALSE))</f>
        <v>Yorkshire &amp; Humberside</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325.60000000000002</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318.89999999999998</v>
      </c>
      <c r="G52" s="105"/>
      <c r="H52" s="60" t="str">
        <f t="shared" si="1"/>
        <v/>
      </c>
      <c r="I52" s="112" t="str">
        <f>IF(H52="","",IF($I$8="A",(RANK(H52,H$11:H$355,1)+COUNTIF(H$11:H52,H52)-1),(RANK(H52,H$11:H$355)+COUNTIF(H$11:H52,H52)-1)))</f>
        <v/>
      </c>
      <c r="J52" s="58"/>
      <c r="K52" s="51">
        <f t="shared" si="10"/>
        <v>42</v>
      </c>
      <c r="L52" s="59" t="str">
        <f t="shared" si="2"/>
        <v>Middlesbrough</v>
      </c>
      <c r="M52" s="153">
        <f t="shared" si="3"/>
        <v>447.2</v>
      </c>
      <c r="N52" s="148">
        <f t="shared" si="23"/>
        <v>447.2</v>
      </c>
      <c r="O52" s="131" t="str">
        <f t="shared" si="11"/>
        <v/>
      </c>
      <c r="P52" s="131" t="str">
        <f t="shared" si="19"/>
        <v/>
      </c>
      <c r="Q52" s="131" t="str">
        <f t="shared" si="20"/>
        <v/>
      </c>
      <c r="R52" s="127">
        <f t="shared" si="21"/>
        <v>447.2</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447.2</v>
      </c>
      <c r="AK52" s="57">
        <f>IF(AJ52="","",IF(I$8="A",(RANK(AJ52,AJ$11:AJ$355,1)+COUNTIF(AJ$11:AJ52,AJ52)-1),(RANK(AJ52,AJ$11:AJ$355)+COUNTIF(AJ$11:AJ52,AJ52)-1)))</f>
        <v>42</v>
      </c>
      <c r="AL52" s="52">
        <f t="shared" si="16"/>
        <v>42</v>
      </c>
      <c r="AM52" s="31" t="str">
        <f t="shared" si="6"/>
        <v>Middlesbrough</v>
      </c>
      <c r="AN52" s="31">
        <f t="shared" si="7"/>
        <v>447.2</v>
      </c>
      <c r="AP52" s="61" t="str">
        <f>IF(L52="","",VLOOKUP($L52,classifications!$C:$E,3,FALSE))</f>
        <v>NE</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318.89999999999998</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382.6</v>
      </c>
      <c r="G53" s="105"/>
      <c r="H53" s="60" t="str">
        <f t="shared" si="1"/>
        <v/>
      </c>
      <c r="I53" s="112" t="str">
        <f>IF(H53="","",IF($I$8="A",(RANK(H53,H$11:H$355,1)+COUNTIF(H$11:H53,H53)-1),(RANK(H53,H$11:H$355)+COUNTIF(H$11:H53,H53)-1)))</f>
        <v/>
      </c>
      <c r="J53" s="58"/>
      <c r="K53" s="51">
        <f t="shared" si="10"/>
        <v>43</v>
      </c>
      <c r="L53" s="59" t="str">
        <f t="shared" si="2"/>
        <v>North Somerset</v>
      </c>
      <c r="M53" s="153">
        <f t="shared" si="3"/>
        <v>453.7</v>
      </c>
      <c r="N53" s="148">
        <f t="shared" si="23"/>
        <v>453.7</v>
      </c>
      <c r="O53" s="131" t="str">
        <f t="shared" si="11"/>
        <v/>
      </c>
      <c r="P53" s="131" t="str">
        <f t="shared" si="19"/>
        <v/>
      </c>
      <c r="Q53" s="131" t="str">
        <f t="shared" si="20"/>
        <v/>
      </c>
      <c r="R53" s="127">
        <f t="shared" si="21"/>
        <v>453.7</v>
      </c>
      <c r="S53" s="60" t="str">
        <f t="shared" si="12"/>
        <v/>
      </c>
      <c r="T53" s="228" t="str">
        <f>IF(L53="","",VLOOKUP(L53,classifications!C:K,9,FALSE))</f>
        <v>Sparse</v>
      </c>
      <c r="U53" s="235">
        <f t="shared" si="25"/>
        <v>453.7</v>
      </c>
      <c r="V53" s="236">
        <f>IF(U53="","",IF($I$8="A",(RANK(U53,U$11:U$355)+COUNTIF(U$11:U53,U53)-1),(RANK(U53,U$11:U$355,1)+COUNTIF(U$11:U53,U53)-1)))</f>
        <v>8</v>
      </c>
      <c r="W53" s="237"/>
      <c r="X53" s="61" t="str">
        <f>IF(L53="","",VLOOKUP($L53,classifications!$C:$J,6,FALSE))</f>
        <v>Urban with Significant Rural (rural including hub towns 26-49%)</v>
      </c>
      <c r="Y53" s="49">
        <f t="shared" si="4"/>
        <v>453.7</v>
      </c>
      <c r="Z53" s="57">
        <f>IF(Y53="","",IF(I$8="A",(RANK(Y53,Y$11:Y$355,1)+COUNTIF(Y$11:Y53,Y53)-1),(RANK(Y53,Y$11:Y$355)+COUNTIF(Y$11:Y53,Y53)-1)))</f>
        <v>9</v>
      </c>
      <c r="AA53" s="242" t="str">
        <f>IF(L53="","",VLOOKUP($L53,classifications!C:I,7,FALSE))</f>
        <v>Significant Rural</v>
      </c>
      <c r="AB53" s="236">
        <f t="shared" si="14"/>
        <v>453.7</v>
      </c>
      <c r="AC53" s="236">
        <f>IF(AB53="","",IF($I$8="A",(RANK(AB53,AB$11:AB$355)+COUNTIF(AB$11:AB53,AB53)-1),(RANK(AB53,AB$11:AB$355,1)+COUNTIF(AB$11:AB53,AB53)-1)))</f>
        <v>5</v>
      </c>
      <c r="AD53" s="236"/>
      <c r="AE53" s="51" t="str">
        <f t="shared" si="24"/>
        <v/>
      </c>
      <c r="AG53" s="143"/>
      <c r="AH53" s="52"/>
      <c r="AI53" s="61" t="str">
        <f>IF(L53="","",VLOOKUP($L53,classifications!$C:$J,8,FALSE))</f>
        <v>Unitary</v>
      </c>
      <c r="AJ53" s="62">
        <f t="shared" si="5"/>
        <v>453.7</v>
      </c>
      <c r="AK53" s="57">
        <f>IF(AJ53="","",IF(I$8="A",(RANK(AJ53,AJ$11:AJ$355,1)+COUNTIF(AJ$11:AJ53,AJ53)-1),(RANK(AJ53,AJ$11:AJ$355)+COUNTIF(AJ$11:AJ53,AJ53)-1)))</f>
        <v>43</v>
      </c>
      <c r="AL53" s="52">
        <f t="shared" si="16"/>
        <v>43</v>
      </c>
      <c r="AM53" s="31" t="str">
        <f t="shared" si="6"/>
        <v>North Somerset</v>
      </c>
      <c r="AN53" s="31">
        <f t="shared" si="7"/>
        <v>453.7</v>
      </c>
      <c r="AP53" s="61" t="str">
        <f>IF(L53="","",VLOOKUP($L53,classifications!$C:$E,3,FALSE))</f>
        <v>South West</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382.6</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Dorset</v>
      </c>
      <c r="M54" s="153">
        <f t="shared" si="3"/>
        <v>454.1</v>
      </c>
      <c r="N54" s="148">
        <f t="shared" si="23"/>
        <v>454.1</v>
      </c>
      <c r="O54" s="131" t="str">
        <f t="shared" si="11"/>
        <v/>
      </c>
      <c r="P54" s="131" t="str">
        <f t="shared" si="19"/>
        <v/>
      </c>
      <c r="Q54" s="131" t="str">
        <f t="shared" si="20"/>
        <v/>
      </c>
      <c r="R54" s="127">
        <f t="shared" si="21"/>
        <v>454.1</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 xml:space="preserve">Largely Rural (rural including hub towns 50-79%) </v>
      </c>
      <c r="Y54" s="49">
        <f t="shared" si="4"/>
        <v>454.1</v>
      </c>
      <c r="Z54" s="57">
        <f>IF(Y54="","",IF(I$8="A",(RANK(Y54,Y$11:Y$355,1)+COUNTIF(Y$11:Y54,Y54)-1),(RANK(Y54,Y$11:Y$355)+COUNTIF(Y$11:Y54,Y54)-1)))</f>
        <v>10</v>
      </c>
      <c r="AA54" s="242" t="str">
        <f>IF(L54="","",VLOOKUP($L54,classifications!C:I,7,FALSE))</f>
        <v>Predominantly Rural</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454.1</v>
      </c>
      <c r="AK54" s="57">
        <f>IF(AJ54="","",IF(I$8="A",(RANK(AJ54,AJ$11:AJ$355,1)+COUNTIF(AJ$11:AJ54,AJ54)-1),(RANK(AJ54,AJ$11:AJ$355)+COUNTIF(AJ$11:AJ54,AJ54)-1)))</f>
        <v>44</v>
      </c>
      <c r="AL54" s="52">
        <f t="shared" si="16"/>
        <v>44</v>
      </c>
      <c r="AM54" s="31" t="str">
        <f t="shared" si="6"/>
        <v>Dorset</v>
      </c>
      <c r="AN54" s="31">
        <f t="shared" si="7"/>
        <v>454.1</v>
      </c>
      <c r="AP54" s="61" t="str">
        <f>IF(L54="","",VLOOKUP($L54,classifications!$C:$E,3,FALSE))</f>
        <v>South West</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441.5</v>
      </c>
      <c r="G55" s="105"/>
      <c r="H55" s="60" t="str">
        <f t="shared" si="1"/>
        <v/>
      </c>
      <c r="I55" s="112" t="str">
        <f>IF(H55="","",IF($I$8="A",(RANK(H55,H$11:H$355,1)+COUNTIF(H$11:H55,H55)-1),(RANK(H55,H$11:H$355)+COUNTIF(H$11:H55,H55)-1)))</f>
        <v/>
      </c>
      <c r="J55" s="58"/>
      <c r="K55" s="51">
        <f t="shared" si="10"/>
        <v>45</v>
      </c>
      <c r="L55" s="59" t="str">
        <f t="shared" si="2"/>
        <v>Cornwall</v>
      </c>
      <c r="M55" s="153">
        <f t="shared" si="3"/>
        <v>457.6</v>
      </c>
      <c r="N55" s="148">
        <f t="shared" si="23"/>
        <v>457.6</v>
      </c>
      <c r="O55" s="131" t="str">
        <f t="shared" si="11"/>
        <v/>
      </c>
      <c r="P55" s="131" t="str">
        <f t="shared" si="19"/>
        <v/>
      </c>
      <c r="Q55" s="131" t="str">
        <f t="shared" si="20"/>
        <v/>
      </c>
      <c r="R55" s="127">
        <f t="shared" si="21"/>
        <v>457.6</v>
      </c>
      <c r="S55" s="60" t="str">
        <f t="shared" si="12"/>
        <v/>
      </c>
      <c r="T55" s="228" t="str">
        <f>IF(L55="","",VLOOKUP(L55,classifications!C:K,9,FALSE))</f>
        <v>Sparse</v>
      </c>
      <c r="U55" s="235">
        <f t="shared" si="25"/>
        <v>457.6</v>
      </c>
      <c r="V55" s="236">
        <f>IF(U55="","",IF($I$8="A",(RANK(U55,U$11:U$355)+COUNTIF(U$11:U55,U55)-1),(RANK(U55,U$11:U$355,1)+COUNTIF(U$11:U55,U55)-1)))</f>
        <v>7</v>
      </c>
      <c r="W55" s="237"/>
      <c r="X55" s="61" t="str">
        <f>IF(L55="","",VLOOKUP($L55,classifications!$C:$J,6,FALSE))</f>
        <v xml:space="preserve">Mainly Rural (rural including hub towns &gt;=80%) </v>
      </c>
      <c r="Y55" s="49">
        <f t="shared" si="4"/>
        <v>457.6</v>
      </c>
      <c r="Z55" s="57">
        <f>IF(Y55="","",IF(I$8="A",(RANK(Y55,Y$11:Y$355,1)+COUNTIF(Y$11:Y55,Y55)-1),(RANK(Y55,Y$11:Y$355)+COUNTIF(Y$11:Y55,Y55)-1)))</f>
        <v>11</v>
      </c>
      <c r="AA55" s="242" t="str">
        <f>IF(L55="","",VLOOKUP($L55,classifications!C:I,7,FALSE))</f>
        <v>Predominantly Rural</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457.6</v>
      </c>
      <c r="AK55" s="57">
        <f>IF(AJ55="","",IF(I$8="A",(RANK(AJ55,AJ$11:AJ$355,1)+COUNTIF(AJ$11:AJ55,AJ55)-1),(RANK(AJ55,AJ$11:AJ$355)+COUNTIF(AJ$11:AJ55,AJ55)-1)))</f>
        <v>45</v>
      </c>
      <c r="AL55" s="52">
        <f t="shared" si="16"/>
        <v>45</v>
      </c>
      <c r="AM55" s="31" t="str">
        <f t="shared" si="6"/>
        <v>Cornwall</v>
      </c>
      <c r="AN55" s="31">
        <f t="shared" si="7"/>
        <v>457.6</v>
      </c>
      <c r="AP55" s="61" t="str">
        <f>IF(L55="","",VLOOKUP($L55,classifications!$C:$E,3,FALSE))</f>
        <v>South West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441.5</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216.7</v>
      </c>
      <c r="G56" s="105"/>
      <c r="H56" s="60" t="str">
        <f t="shared" si="1"/>
        <v/>
      </c>
      <c r="I56" s="112" t="str">
        <f>IF(H56="","",IF($I$8="A",(RANK(H56,H$11:H$355,1)+COUNTIF(H$11:H56,H56)-1),(RANK(H56,H$11:H$355)+COUNTIF(H$11:H56,H56)-1)))</f>
        <v/>
      </c>
      <c r="J56" s="58"/>
      <c r="K56" s="51">
        <f t="shared" si="10"/>
        <v>46</v>
      </c>
      <c r="L56" s="59" t="str">
        <f t="shared" si="2"/>
        <v>Blackpool</v>
      </c>
      <c r="M56" s="153">
        <f t="shared" si="3"/>
        <v>460.5</v>
      </c>
      <c r="N56" s="148">
        <f t="shared" si="23"/>
        <v>460.5</v>
      </c>
      <c r="O56" s="131" t="str">
        <f t="shared" si="11"/>
        <v/>
      </c>
      <c r="P56" s="131" t="str">
        <f t="shared" si="19"/>
        <v/>
      </c>
      <c r="Q56" s="131" t="str">
        <f t="shared" si="20"/>
        <v/>
      </c>
      <c r="R56" s="127">
        <f t="shared" si="21"/>
        <v>460.5</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City and Town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Unitary</v>
      </c>
      <c r="AJ56" s="62">
        <f t="shared" si="5"/>
        <v>460.5</v>
      </c>
      <c r="AK56" s="57">
        <f>IF(AJ56="","",IF(I$8="A",(RANK(AJ56,AJ$11:AJ$355,1)+COUNTIF(AJ$11:AJ56,AJ56)-1),(RANK(AJ56,AJ$11:AJ$355)+COUNTIF(AJ$11:AJ56,AJ56)-1)))</f>
        <v>46</v>
      </c>
      <c r="AL56" s="52">
        <f t="shared" si="16"/>
        <v>46</v>
      </c>
      <c r="AM56" s="31" t="str">
        <f t="shared" si="6"/>
        <v>Blackpool</v>
      </c>
      <c r="AN56" s="31">
        <f t="shared" si="7"/>
        <v>460.5</v>
      </c>
      <c r="AP56" s="61" t="str">
        <f>IF(L56="","",VLOOKUP($L56,classifications!$C:$E,3,FALSE))</f>
        <v>North West</v>
      </c>
      <c r="AQ56" s="62">
        <f t="shared" si="17"/>
        <v>460.5</v>
      </c>
      <c r="AR56" s="57">
        <f>IF(AQ56="","",IF(I$8="A",(RANK(AQ56,AQ$11:AQ$355,1)+COUNTIF(AQ$11:AQ56,AQ56)-1),(RANK(AQ56,AQ$11:AQ$355)+COUNTIF(AQ$11:AQ56,AQ56)-1)))</f>
        <v>4</v>
      </c>
      <c r="AS56" s="52" t="str">
        <f t="shared" si="18"/>
        <v/>
      </c>
      <c r="AT56" s="57" t="str">
        <f t="shared" si="8"/>
        <v/>
      </c>
      <c r="AU56" s="62" t="str">
        <f t="shared" si="9"/>
        <v/>
      </c>
      <c r="AX56" s="44">
        <f>HLOOKUP($AX$9&amp;$AX$10,Data!$A$1:$ZZ$2000,(MATCH($C56,Data!$A$1:$A$2000,0)),FALSE)</f>
        <v>216.7</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382</v>
      </c>
      <c r="G57" s="105"/>
      <c r="H57" s="60" t="str">
        <f t="shared" si="1"/>
        <v/>
      </c>
      <c r="I57" s="112" t="str">
        <f>IF(H57="","",IF($I$8="A",(RANK(H57,H$11:H$355,1)+COUNTIF(H$11:H57,H57)-1),(RANK(H57,H$11:H$355)+COUNTIF(H$11:H57,H57)-1)))</f>
        <v/>
      </c>
      <c r="J57" s="58"/>
      <c r="K57" s="51">
        <f t="shared" si="10"/>
        <v>47</v>
      </c>
      <c r="L57" s="59" t="str">
        <f t="shared" si="2"/>
        <v>Northumberland</v>
      </c>
      <c r="M57" s="153">
        <f t="shared" si="3"/>
        <v>469.6</v>
      </c>
      <c r="N57" s="148">
        <f t="shared" si="23"/>
        <v>469.6</v>
      </c>
      <c r="O57" s="131" t="str">
        <f t="shared" si="11"/>
        <v/>
      </c>
      <c r="P57" s="131" t="str">
        <f t="shared" si="19"/>
        <v/>
      </c>
      <c r="Q57" s="131" t="str">
        <f t="shared" si="20"/>
        <v/>
      </c>
      <c r="R57" s="127">
        <f t="shared" si="21"/>
        <v>469.6</v>
      </c>
      <c r="S57" s="60" t="str">
        <f t="shared" si="12"/>
        <v/>
      </c>
      <c r="T57" s="228" t="str">
        <f>IF(L57="","",VLOOKUP(L57,classifications!C:K,9,FALSE))</f>
        <v>Sparse</v>
      </c>
      <c r="U57" s="235">
        <f t="shared" si="25"/>
        <v>469.6</v>
      </c>
      <c r="V57" s="236">
        <f>IF(U57="","",IF($I$8="A",(RANK(U57,U$11:U$355)+COUNTIF(U$11:U57,U57)-1),(RANK(U57,U$11:U$355,1)+COUNTIF(U$11:U57,U57)-1)))</f>
        <v>6</v>
      </c>
      <c r="W57" s="237"/>
      <c r="X57" s="61" t="str">
        <f>IF(L57="","",VLOOKUP($L57,classifications!$C:$J,6,FALSE))</f>
        <v xml:space="preserve">Largely Rural (rural including hub towns 50-79%) </v>
      </c>
      <c r="Y57" s="49">
        <f t="shared" si="4"/>
        <v>469.6</v>
      </c>
      <c r="Z57" s="57">
        <f>IF(Y57="","",IF(I$8="A",(RANK(Y57,Y$11:Y$355,1)+COUNTIF(Y$11:Y57,Y57)-1),(RANK(Y57,Y$11:Y$355)+COUNTIF(Y$11:Y57,Y57)-1)))</f>
        <v>12</v>
      </c>
      <c r="AA57" s="242" t="str">
        <f>IF(L57="","",VLOOKUP($L57,classifications!C:I,7,FALSE))</f>
        <v>Predominantly Rural</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469.6</v>
      </c>
      <c r="AK57" s="57">
        <f>IF(AJ57="","",IF(I$8="A",(RANK(AJ57,AJ$11:AJ$355,1)+COUNTIF(AJ$11:AJ57,AJ57)-1),(RANK(AJ57,AJ$11:AJ$355)+COUNTIF(AJ$11:AJ57,AJ57)-1)))</f>
        <v>47</v>
      </c>
      <c r="AL57" s="52">
        <f t="shared" si="16"/>
        <v>47</v>
      </c>
      <c r="AM57" s="31" t="str">
        <f t="shared" si="6"/>
        <v>Northumberland</v>
      </c>
      <c r="AN57" s="31">
        <f t="shared" si="7"/>
        <v>469.6</v>
      </c>
      <c r="AP57" s="61" t="str">
        <f>IF(L57="","",VLOOKUP($L57,classifications!$C:$E,3,FALSE))</f>
        <v>NE</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382</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325.10000000000002</v>
      </c>
      <c r="G58" s="105"/>
      <c r="H58" s="60" t="str">
        <f t="shared" si="1"/>
        <v/>
      </c>
      <c r="I58" s="112" t="str">
        <f>IF(H58="","",IF($I$8="A",(RANK(H58,H$11:H$355,1)+COUNTIF(H$11:H58,H58)-1),(RANK(H58,H$11:H$355)+COUNTIF(H$11:H58,H58)-1)))</f>
        <v/>
      </c>
      <c r="J58" s="58"/>
      <c r="K58" s="51">
        <f t="shared" si="10"/>
        <v>48</v>
      </c>
      <c r="L58" s="59" t="str">
        <f t="shared" si="2"/>
        <v>West Berkshire</v>
      </c>
      <c r="M58" s="153">
        <f t="shared" si="3"/>
        <v>469.8</v>
      </c>
      <c r="N58" s="148">
        <f t="shared" si="23"/>
        <v>469.8</v>
      </c>
      <c r="O58" s="131" t="str">
        <f t="shared" si="11"/>
        <v/>
      </c>
      <c r="P58" s="131" t="str">
        <f t="shared" si="19"/>
        <v/>
      </c>
      <c r="Q58" s="131" t="str">
        <f t="shared" si="20"/>
        <v/>
      </c>
      <c r="R58" s="127">
        <f t="shared" si="21"/>
        <v>469.8</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Significant Rural (rural including hub towns 26-49%)</v>
      </c>
      <c r="Y58" s="49">
        <f t="shared" si="4"/>
        <v>469.8</v>
      </c>
      <c r="Z58" s="57">
        <f>IF(Y58="","",IF(I$8="A",(RANK(Y58,Y$11:Y$355,1)+COUNTIF(Y$11:Y58,Y58)-1),(RANK(Y58,Y$11:Y$355)+COUNTIF(Y$11:Y58,Y58)-1)))</f>
        <v>13</v>
      </c>
      <c r="AA58" s="242" t="str">
        <f>IF(L58="","",VLOOKUP($L58,classifications!C:I,7,FALSE))</f>
        <v>Significant Rural</v>
      </c>
      <c r="AB58" s="236">
        <f t="shared" si="14"/>
        <v>469.8</v>
      </c>
      <c r="AC58" s="236">
        <f>IF(AB58="","",IF($I$8="A",(RANK(AB58,AB$11:AB$355)+COUNTIF(AB$11:AB58,AB58)-1),(RANK(AB58,AB$11:AB$355,1)+COUNTIF(AB$11:AB58,AB58)-1)))</f>
        <v>4</v>
      </c>
      <c r="AD58" s="236"/>
      <c r="AE58" s="51" t="str">
        <f t="shared" si="24"/>
        <v/>
      </c>
      <c r="AG58" s="143"/>
      <c r="AH58" s="52"/>
      <c r="AI58" s="61" t="str">
        <f>IF(L58="","",VLOOKUP($L58,classifications!$C:$J,8,FALSE))</f>
        <v>Unitary</v>
      </c>
      <c r="AJ58" s="62">
        <f t="shared" si="5"/>
        <v>469.8</v>
      </c>
      <c r="AK58" s="57">
        <f>IF(AJ58="","",IF(I$8="A",(RANK(AJ58,AJ$11:AJ$355,1)+COUNTIF(AJ$11:AJ58,AJ58)-1),(RANK(AJ58,AJ$11:AJ$355)+COUNTIF(AJ$11:AJ58,AJ58)-1)))</f>
        <v>48</v>
      </c>
      <c r="AL58" s="52">
        <f t="shared" si="16"/>
        <v>48</v>
      </c>
      <c r="AM58" s="31" t="str">
        <f t="shared" si="6"/>
        <v>West Berkshire</v>
      </c>
      <c r="AN58" s="31">
        <f t="shared" si="7"/>
        <v>469.8</v>
      </c>
      <c r="AP58" s="61" t="str">
        <f>IF(L58="","",VLOOKUP($L58,classifications!$C:$E,3,FALSE))</f>
        <v>South East</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325.10000000000002</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391</v>
      </c>
      <c r="G59" s="105"/>
      <c r="H59" s="60" t="str">
        <f t="shared" si="1"/>
        <v/>
      </c>
      <c r="I59" s="112" t="str">
        <f>IF(H59="","",IF($I$8="A",(RANK(H59,H$11:H$355,1)+COUNTIF(H$11:H59,H59)-1),(RANK(H59,H$11:H$355)+COUNTIF(H$11:H59,H59)-1)))</f>
        <v/>
      </c>
      <c r="J59" s="58"/>
      <c r="K59" s="51">
        <f t="shared" si="10"/>
        <v>49</v>
      </c>
      <c r="L59" s="59" t="str">
        <f t="shared" si="2"/>
        <v>Telford &amp; Wrekin</v>
      </c>
      <c r="M59" s="153">
        <f t="shared" si="3"/>
        <v>473.4</v>
      </c>
      <c r="N59" s="148">
        <f t="shared" si="23"/>
        <v>473.4</v>
      </c>
      <c r="O59" s="131" t="str">
        <f t="shared" si="11"/>
        <v/>
      </c>
      <c r="P59" s="131" t="str">
        <f t="shared" si="19"/>
        <v/>
      </c>
      <c r="Q59" s="131" t="str">
        <f t="shared" si="20"/>
        <v/>
      </c>
      <c r="R59" s="127">
        <f t="shared" si="21"/>
        <v>473.4</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City and Town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473.4</v>
      </c>
      <c r="AK59" s="57">
        <f>IF(AJ59="","",IF(I$8="A",(RANK(AJ59,AJ$11:AJ$355,1)+COUNTIF(AJ$11:AJ59,AJ59)-1),(RANK(AJ59,AJ$11:AJ$355)+COUNTIF(AJ$11:AJ59,AJ59)-1)))</f>
        <v>49</v>
      </c>
      <c r="AL59" s="52">
        <f t="shared" si="16"/>
        <v>49</v>
      </c>
      <c r="AM59" s="31" t="str">
        <f t="shared" si="6"/>
        <v>Telford &amp; Wrekin</v>
      </c>
      <c r="AN59" s="31">
        <f t="shared" si="7"/>
        <v>473.4</v>
      </c>
      <c r="AP59" s="61" t="str">
        <f>IF(L59="","",VLOOKUP($L59,classifications!$C:$E,3,FALSE))</f>
        <v>West Midlands</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391</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345.9</v>
      </c>
      <c r="G60" s="105"/>
      <c r="H60" s="60" t="str">
        <f t="shared" si="1"/>
        <v/>
      </c>
      <c r="I60" s="112" t="str">
        <f>IF(H60="","",IF($I$8="A",(RANK(H60,H$11:H$355,1)+COUNTIF(H$11:H60,H60)-1),(RANK(H60,H$11:H$355)+COUNTIF(H$11:H60,H60)-1)))</f>
        <v/>
      </c>
      <c r="J60" s="58"/>
      <c r="K60" s="51">
        <f t="shared" si="10"/>
        <v>50</v>
      </c>
      <c r="L60" s="59" t="str">
        <f t="shared" si="2"/>
        <v>North Lincolnshire</v>
      </c>
      <c r="M60" s="153">
        <f t="shared" si="3"/>
        <v>476.2</v>
      </c>
      <c r="N60" s="148">
        <f t="shared" si="23"/>
        <v>476.2</v>
      </c>
      <c r="O60" s="131" t="str">
        <f t="shared" si="11"/>
        <v/>
      </c>
      <c r="P60" s="131" t="str">
        <f t="shared" si="19"/>
        <v/>
      </c>
      <c r="Q60" s="131" t="str">
        <f t="shared" si="20"/>
        <v/>
      </c>
      <c r="R60" s="127">
        <f t="shared" si="21"/>
        <v>476.2</v>
      </c>
      <c r="S60" s="60" t="str">
        <f t="shared" si="12"/>
        <v/>
      </c>
      <c r="T60" s="228" t="str">
        <f>IF(L60="","",VLOOKUP(L60,classifications!C:K,9,FALSE))</f>
        <v>Sparse</v>
      </c>
      <c r="U60" s="235">
        <f t="shared" si="25"/>
        <v>476.2</v>
      </c>
      <c r="V60" s="236">
        <f>IF(U60="","",IF($I$8="A",(RANK(U60,U$11:U$355)+COUNTIF(U$11:U60,U60)-1),(RANK(U60,U$11:U$355,1)+COUNTIF(U$11:U60,U60)-1)))</f>
        <v>5</v>
      </c>
      <c r="W60" s="237"/>
      <c r="X60" s="61" t="str">
        <f>IF(L60="","",VLOOKUP($L60,classifications!$C:$J,6,FALSE))</f>
        <v>Urban with Significant Rural (rural including hub towns 26-49%)</v>
      </c>
      <c r="Y60" s="49">
        <f t="shared" si="4"/>
        <v>476.2</v>
      </c>
      <c r="Z60" s="57">
        <f>IF(Y60="","",IF(I$8="A",(RANK(Y60,Y$11:Y$355,1)+COUNTIF(Y$11:Y60,Y60)-1),(RANK(Y60,Y$11:Y$355)+COUNTIF(Y$11:Y60,Y60)-1)))</f>
        <v>14</v>
      </c>
      <c r="AA60" s="242" t="str">
        <f>IF(L60="","",VLOOKUP($L60,classifications!C:I,7,FALSE))</f>
        <v>Significant Rural</v>
      </c>
      <c r="AB60" s="236">
        <f t="shared" si="14"/>
        <v>476.2</v>
      </c>
      <c r="AC60" s="236">
        <f>IF(AB60="","",IF($I$8="A",(RANK(AB60,AB$11:AB$355)+COUNTIF(AB$11:AB60,AB60)-1),(RANK(AB60,AB$11:AB$355,1)+COUNTIF(AB$11:AB60,AB60)-1)))</f>
        <v>3</v>
      </c>
      <c r="AD60" s="236"/>
      <c r="AE60" s="51" t="str">
        <f t="shared" si="24"/>
        <v/>
      </c>
      <c r="AG60" s="143"/>
      <c r="AH60" s="52"/>
      <c r="AI60" s="61" t="str">
        <f>IF(L60="","",VLOOKUP($L60,classifications!$C:$J,8,FALSE))</f>
        <v>Unitary</v>
      </c>
      <c r="AJ60" s="62">
        <f t="shared" si="5"/>
        <v>476.2</v>
      </c>
      <c r="AK60" s="57">
        <f>IF(AJ60="","",IF(I$8="A",(RANK(AJ60,AJ$11:AJ$355,1)+COUNTIF(AJ$11:AJ60,AJ60)-1),(RANK(AJ60,AJ$11:AJ$355)+COUNTIF(AJ$11:AJ60,AJ60)-1)))</f>
        <v>50</v>
      </c>
      <c r="AL60" s="52">
        <f t="shared" si="16"/>
        <v>50</v>
      </c>
      <c r="AM60" s="31" t="str">
        <f t="shared" si="6"/>
        <v>North Lincolnshire</v>
      </c>
      <c r="AN60" s="31">
        <f t="shared" si="7"/>
        <v>476.2</v>
      </c>
      <c r="AP60" s="61" t="str">
        <f>IF(L60="","",VLOOKUP($L60,classifications!$C:$E,3,FALSE))</f>
        <v>Yorkshire &amp; Humberside</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345.9</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417.4</v>
      </c>
      <c r="G61" s="105"/>
      <c r="H61" s="60">
        <f t="shared" si="1"/>
        <v>417.4</v>
      </c>
      <c r="I61" s="112">
        <f>IF(H61="","",IF($I$8="A",(RANK(H61,H$11:H$355,1)+COUNTIF(H$11:H61,H61)-1),(RANK(H61,H$11:H$355)+COUNTIF(H$11:H61,H61)-1)))</f>
        <v>25</v>
      </c>
      <c r="J61" s="58"/>
      <c r="K61" s="51">
        <f t="shared" si="10"/>
        <v>51</v>
      </c>
      <c r="L61" s="59" t="str">
        <f t="shared" si="2"/>
        <v>Cheshire West &amp; Chester</v>
      </c>
      <c r="M61" s="153">
        <f t="shared" si="3"/>
        <v>480.4</v>
      </c>
      <c r="N61" s="148">
        <f t="shared" si="23"/>
        <v>480.4</v>
      </c>
      <c r="O61" s="131" t="str">
        <f t="shared" si="11"/>
        <v/>
      </c>
      <c r="P61" s="131" t="str">
        <f t="shared" si="19"/>
        <v/>
      </c>
      <c r="Q61" s="131" t="str">
        <f t="shared" si="20"/>
        <v/>
      </c>
      <c r="R61" s="127">
        <f t="shared" si="21"/>
        <v>480.4</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Significant Rural (rural including hub towns 26-49%)</v>
      </c>
      <c r="Y61" s="49">
        <f t="shared" si="4"/>
        <v>480.4</v>
      </c>
      <c r="Z61" s="57">
        <f>IF(Y61="","",IF(I$8="A",(RANK(Y61,Y$11:Y$355,1)+COUNTIF(Y$11:Y61,Y61)-1),(RANK(Y61,Y$11:Y$355)+COUNTIF(Y$11:Y61,Y61)-1)))</f>
        <v>15</v>
      </c>
      <c r="AA61" s="242" t="str">
        <f>IF(L61="","",VLOOKUP($L61,classifications!C:I,7,FALSE))</f>
        <v>Significant Rural</v>
      </c>
      <c r="AB61" s="236">
        <f t="shared" si="14"/>
        <v>480.4</v>
      </c>
      <c r="AC61" s="236">
        <f>IF(AB61="","",IF($I$8="A",(RANK(AB61,AB$11:AB$355)+COUNTIF(AB$11:AB61,AB61)-1),(RANK(AB61,AB$11:AB$355,1)+COUNTIF(AB$11:AB61,AB61)-1)))</f>
        <v>2</v>
      </c>
      <c r="AD61" s="236"/>
      <c r="AE61" s="51" t="str">
        <f t="shared" si="24"/>
        <v/>
      </c>
      <c r="AG61" s="143"/>
      <c r="AH61" s="52"/>
      <c r="AI61" s="61" t="str">
        <f>IF(L61="","",VLOOKUP($L61,classifications!$C:$J,8,FALSE))</f>
        <v>Unitary</v>
      </c>
      <c r="AJ61" s="62">
        <f t="shared" si="5"/>
        <v>480.4</v>
      </c>
      <c r="AK61" s="57">
        <f>IF(AJ61="","",IF(I$8="A",(RANK(AJ61,AJ$11:AJ$355,1)+COUNTIF(AJ$11:AJ61,AJ61)-1),(RANK(AJ61,AJ$11:AJ$355)+COUNTIF(AJ$11:AJ61,AJ61)-1)))</f>
        <v>51</v>
      </c>
      <c r="AL61" s="52">
        <f t="shared" si="16"/>
        <v>51</v>
      </c>
      <c r="AM61" s="31" t="str">
        <f t="shared" si="6"/>
        <v>Cheshire West &amp; Chester</v>
      </c>
      <c r="AN61" s="31">
        <f t="shared" si="7"/>
        <v>480.4</v>
      </c>
      <c r="AP61" s="61" t="str">
        <f>IF(L61="","",VLOOKUP($L61,classifications!$C:$E,3,FALSE))</f>
        <v>North West</v>
      </c>
      <c r="AQ61" s="62">
        <f t="shared" si="17"/>
        <v>480.4</v>
      </c>
      <c r="AR61" s="57">
        <f>IF(AQ61="","",IF(I$8="A",(RANK(AQ61,AQ$11:AQ$355,1)+COUNTIF(AQ$11:AQ61,AQ61)-1),(RANK(AQ61,AQ$11:AQ$355)+COUNTIF(AQ$11:AQ61,AQ61)-1)))</f>
        <v>5</v>
      </c>
      <c r="AS61" s="52" t="str">
        <f t="shared" si="18"/>
        <v/>
      </c>
      <c r="AT61" s="57" t="str">
        <f t="shared" si="8"/>
        <v/>
      </c>
      <c r="AU61" s="62" t="str">
        <f t="shared" si="9"/>
        <v/>
      </c>
      <c r="AX61" s="44">
        <f>HLOOKUP($AX$9&amp;$AX$10,Data!$A$1:$ZZ$2000,(MATCH($C61,Data!$A$1:$A$2000,0)),FALSE)</f>
        <v>417.4</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325.8</v>
      </c>
      <c r="G62" s="105"/>
      <c r="H62" s="60" t="str">
        <f t="shared" si="1"/>
        <v/>
      </c>
      <c r="I62" s="112" t="str">
        <f>IF(H62="","",IF($I$8="A",(RANK(H62,H$11:H$355,1)+COUNTIF(H$11:H62,H62)-1),(RANK(H62,H$11:H$355)+COUNTIF(H$11:H62,H62)-1)))</f>
        <v/>
      </c>
      <c r="J62" s="58"/>
      <c r="K62" s="51">
        <f t="shared" si="10"/>
        <v>52</v>
      </c>
      <c r="L62" s="59" t="str">
        <f t="shared" si="2"/>
        <v>Shropshire</v>
      </c>
      <c r="M62" s="153">
        <f t="shared" si="3"/>
        <v>489.9</v>
      </c>
      <c r="N62" s="148">
        <f t="shared" si="23"/>
        <v>489.9</v>
      </c>
      <c r="O62" s="131" t="str">
        <f t="shared" si="11"/>
        <v/>
      </c>
      <c r="P62" s="131" t="str">
        <f t="shared" si="19"/>
        <v/>
      </c>
      <c r="Q62" s="131" t="str">
        <f t="shared" si="20"/>
        <v/>
      </c>
      <c r="R62" s="127">
        <f t="shared" si="21"/>
        <v>489.9</v>
      </c>
      <c r="S62" s="60" t="str">
        <f t="shared" si="12"/>
        <v/>
      </c>
      <c r="T62" s="228" t="str">
        <f>IF(L62="","",VLOOKUP(L62,classifications!C:K,9,FALSE))</f>
        <v>Sparse</v>
      </c>
      <c r="U62" s="235">
        <f t="shared" si="25"/>
        <v>489.9</v>
      </c>
      <c r="V62" s="236">
        <f>IF(U62="","",IF($I$8="A",(RANK(U62,U$11:U$355)+COUNTIF(U$11:U62,U62)-1),(RANK(U62,U$11:U$355,1)+COUNTIF(U$11:U62,U62)-1)))</f>
        <v>4</v>
      </c>
      <c r="W62" s="237"/>
      <c r="X62" s="61" t="str">
        <f>IF(L62="","",VLOOKUP($L62,classifications!$C:$J,6,FALSE))</f>
        <v xml:space="preserve">Largely Rural (rural including hub towns 50-79%) </v>
      </c>
      <c r="Y62" s="49">
        <f t="shared" si="4"/>
        <v>489.9</v>
      </c>
      <c r="Z62" s="57">
        <f>IF(Y62="","",IF(I$8="A",(RANK(Y62,Y$11:Y$355,1)+COUNTIF(Y$11:Y62,Y62)-1),(RANK(Y62,Y$11:Y$355)+COUNTIF(Y$11:Y62,Y62)-1)))</f>
        <v>16</v>
      </c>
      <c r="AA62" s="242" t="str">
        <f>IF(L62="","",VLOOKUP($L62,classifications!C:I,7,FALSE))</f>
        <v>Predominantly Rural</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489.9</v>
      </c>
      <c r="AK62" s="57">
        <f>IF(AJ62="","",IF(I$8="A",(RANK(AJ62,AJ$11:AJ$355,1)+COUNTIF(AJ$11:AJ62,AJ62)-1),(RANK(AJ62,AJ$11:AJ$355)+COUNTIF(AJ$11:AJ62,AJ62)-1)))</f>
        <v>52</v>
      </c>
      <c r="AL62" s="52">
        <f t="shared" si="16"/>
        <v>52</v>
      </c>
      <c r="AM62" s="31" t="str">
        <f t="shared" si="6"/>
        <v>Shropshire</v>
      </c>
      <c r="AN62" s="31">
        <f t="shared" si="7"/>
        <v>489.9</v>
      </c>
      <c r="AP62" s="61" t="str">
        <f>IF(L62="","",VLOOKUP($L62,classifications!$C:$E,3,FALSE))</f>
        <v>West Midlands</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325.8</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380.4</v>
      </c>
      <c r="G63" s="105"/>
      <c r="H63" s="60" t="str">
        <f t="shared" si="1"/>
        <v/>
      </c>
      <c r="I63" s="112" t="str">
        <f>IF(H63="","",IF($I$8="A",(RANK(H63,H$11:H$355,1)+COUNTIF(H$11:H63,H63)-1),(RANK(H63,H$11:H$355)+COUNTIF(H$11:H63,H63)-1)))</f>
        <v/>
      </c>
      <c r="J63" s="58"/>
      <c r="K63" s="51">
        <f t="shared" si="10"/>
        <v>53</v>
      </c>
      <c r="L63" s="59" t="str">
        <f t="shared" si="2"/>
        <v>East Riding of Yorkshire</v>
      </c>
      <c r="M63" s="153">
        <f t="shared" si="3"/>
        <v>499.7</v>
      </c>
      <c r="N63" s="148">
        <f t="shared" si="23"/>
        <v>499.7</v>
      </c>
      <c r="O63" s="131" t="str">
        <f t="shared" si="11"/>
        <v/>
      </c>
      <c r="P63" s="131" t="str">
        <f t="shared" si="19"/>
        <v/>
      </c>
      <c r="Q63" s="131" t="str">
        <f t="shared" si="20"/>
        <v/>
      </c>
      <c r="R63" s="127">
        <f t="shared" si="21"/>
        <v>499.7</v>
      </c>
      <c r="S63" s="60" t="str">
        <f t="shared" si="12"/>
        <v/>
      </c>
      <c r="T63" s="228" t="str">
        <f>IF(L63="","",VLOOKUP(L63,classifications!C:K,9,FALSE))</f>
        <v>Sparse</v>
      </c>
      <c r="U63" s="235">
        <f t="shared" si="25"/>
        <v>499.7</v>
      </c>
      <c r="V63" s="236">
        <f>IF(U63="","",IF($I$8="A",(RANK(U63,U$11:U$355)+COUNTIF(U$11:U63,U63)-1),(RANK(U63,U$11:U$355,1)+COUNTIF(U$11:U63,U63)-1)))</f>
        <v>3</v>
      </c>
      <c r="W63" s="237"/>
      <c r="X63" s="61" t="str">
        <f>IF(L63="","",VLOOKUP($L63,classifications!$C:$J,6,FALSE))</f>
        <v xml:space="preserve">Largely Rural (rural including hub towns 50-79%) </v>
      </c>
      <c r="Y63" s="49">
        <f t="shared" si="4"/>
        <v>499.7</v>
      </c>
      <c r="Z63" s="57">
        <f>IF(Y63="","",IF(I$8="A",(RANK(Y63,Y$11:Y$355,1)+COUNTIF(Y$11:Y63,Y63)-1),(RANK(Y63,Y$11:Y$355)+COUNTIF(Y$11:Y63,Y63)-1)))</f>
        <v>17</v>
      </c>
      <c r="AA63" s="242" t="str">
        <f>IF(L63="","",VLOOKUP($L63,classifications!C:I,7,FALSE))</f>
        <v>Predominantly Rural</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499.7</v>
      </c>
      <c r="AK63" s="57">
        <f>IF(AJ63="","",IF(I$8="A",(RANK(AJ63,AJ$11:AJ$355,1)+COUNTIF(AJ$11:AJ63,AJ63)-1),(RANK(AJ63,AJ$11:AJ$355)+COUNTIF(AJ$11:AJ63,AJ63)-1)))</f>
        <v>53</v>
      </c>
      <c r="AL63" s="52">
        <f t="shared" si="16"/>
        <v>53</v>
      </c>
      <c r="AM63" s="31" t="str">
        <f t="shared" si="6"/>
        <v>East Riding of Yorkshire</v>
      </c>
      <c r="AN63" s="31">
        <f t="shared" si="7"/>
        <v>499.7</v>
      </c>
      <c r="AP63" s="61" t="str">
        <f>IF(L63="","",VLOOKUP($L63,classifications!$C:$E,3,FALSE))</f>
        <v>Yorkshire &amp; Humberside</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380.4</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422.2</v>
      </c>
      <c r="G64" s="105"/>
      <c r="H64" s="60" t="str">
        <f t="shared" si="1"/>
        <v/>
      </c>
      <c r="I64" s="112" t="str">
        <f>IF(H64="","",IF($I$8="A",(RANK(H64,H$11:H$355,1)+COUNTIF(H$11:H64,H64)-1),(RANK(H64,H$11:H$355)+COUNTIF(H$11:H64,H64)-1)))</f>
        <v/>
      </c>
      <c r="J64" s="58"/>
      <c r="K64" s="51">
        <f t="shared" si="10"/>
        <v>54</v>
      </c>
      <c r="L64" s="59" t="str">
        <f t="shared" si="2"/>
        <v>Cheshire East</v>
      </c>
      <c r="M64" s="153">
        <f t="shared" si="3"/>
        <v>501.3</v>
      </c>
      <c r="N64" s="148">
        <f t="shared" si="23"/>
        <v>501.3</v>
      </c>
      <c r="O64" s="131" t="str">
        <f t="shared" si="11"/>
        <v/>
      </c>
      <c r="P64" s="131" t="str">
        <f t="shared" si="19"/>
        <v/>
      </c>
      <c r="Q64" s="131" t="str">
        <f t="shared" si="20"/>
        <v/>
      </c>
      <c r="R64" s="127">
        <f t="shared" si="21"/>
        <v>501.3</v>
      </c>
      <c r="S64" s="60" t="str">
        <f t="shared" si="12"/>
        <v>u</v>
      </c>
      <c r="T64" s="228" t="str">
        <f>IF(L64="","",VLOOKUP(L64,classifications!C:K,9,FALSE))</f>
        <v>Sparse</v>
      </c>
      <c r="U64" s="235">
        <f t="shared" si="25"/>
        <v>501.3</v>
      </c>
      <c r="V64" s="236">
        <f>IF(U64="","",IF($I$8="A",(RANK(U64,U$11:U$355)+COUNTIF(U$11:U64,U64)-1),(RANK(U64,U$11:U$355,1)+COUNTIF(U$11:U64,U64)-1)))</f>
        <v>2</v>
      </c>
      <c r="W64" s="237"/>
      <c r="X64" s="61" t="str">
        <f>IF(L64="","",VLOOKUP($L64,classifications!$C:$J,6,FALSE))</f>
        <v>Urban with Significant Rural (rural including hub towns 26-49%)</v>
      </c>
      <c r="Y64" s="49">
        <f t="shared" si="4"/>
        <v>501.3</v>
      </c>
      <c r="Z64" s="57">
        <f>IF(Y64="","",IF(I$8="A",(RANK(Y64,Y$11:Y$355,1)+COUNTIF(Y$11:Y64,Y64)-1),(RANK(Y64,Y$11:Y$355)+COUNTIF(Y$11:Y64,Y64)-1)))</f>
        <v>18</v>
      </c>
      <c r="AA64" s="242" t="str">
        <f>IF(L64="","",VLOOKUP($L64,classifications!C:I,7,FALSE))</f>
        <v>Significant Rural</v>
      </c>
      <c r="AB64" s="236">
        <f t="shared" si="14"/>
        <v>501.3</v>
      </c>
      <c r="AC64" s="236">
        <f>IF(AB64="","",IF($I$8="A",(RANK(AB64,AB$11:AB$355)+COUNTIF(AB$11:AB64,AB64)-1),(RANK(AB64,AB$11:AB$355,1)+COUNTIF(AB$11:AB64,AB64)-1)))</f>
        <v>1</v>
      </c>
      <c r="AD64" s="236"/>
      <c r="AE64" s="51" t="str">
        <f t="shared" si="24"/>
        <v/>
      </c>
      <c r="AG64" s="143"/>
      <c r="AH64" s="52"/>
      <c r="AI64" s="61" t="str">
        <f>IF(L64="","",VLOOKUP($L64,classifications!$C:$J,8,FALSE))</f>
        <v>Unitary</v>
      </c>
      <c r="AJ64" s="62">
        <f t="shared" si="5"/>
        <v>501.3</v>
      </c>
      <c r="AK64" s="57">
        <f>IF(AJ64="","",IF(I$8="A",(RANK(AJ64,AJ$11:AJ$355,1)+COUNTIF(AJ$11:AJ64,AJ64)-1),(RANK(AJ64,AJ$11:AJ$355)+COUNTIF(AJ$11:AJ64,AJ64)-1)))</f>
        <v>54</v>
      </c>
      <c r="AL64" s="52">
        <f t="shared" si="16"/>
        <v>54</v>
      </c>
      <c r="AM64" s="31" t="str">
        <f t="shared" si="6"/>
        <v>Cheshire East</v>
      </c>
      <c r="AN64" s="31">
        <f t="shared" si="7"/>
        <v>501.3</v>
      </c>
      <c r="AP64" s="61" t="str">
        <f>IF(L64="","",VLOOKUP($L64,classifications!$C:$E,3,FALSE))</f>
        <v>North West</v>
      </c>
      <c r="AQ64" s="62">
        <f t="shared" si="17"/>
        <v>501.3</v>
      </c>
      <c r="AR64" s="57">
        <f>IF(AQ64="","",IF(I$8="A",(RANK(AQ64,AQ$11:AQ$355,1)+COUNTIF(AQ$11:AQ64,AQ64)-1),(RANK(AQ64,AQ$11:AQ$355)+COUNTIF(AQ$11:AQ64,AQ64)-1)))</f>
        <v>6</v>
      </c>
      <c r="AS64" s="52" t="str">
        <f t="shared" si="18"/>
        <v/>
      </c>
      <c r="AT64" s="57" t="str">
        <f t="shared" si="8"/>
        <v/>
      </c>
      <c r="AU64" s="62" t="str">
        <f t="shared" si="9"/>
        <v/>
      </c>
      <c r="AX64" s="44">
        <f>HLOOKUP($AX$9&amp;$AX$10,Data!$A$1:$ZZ$2000,(MATCH($C64,Data!$A$1:$A$2000,0)),FALSE)</f>
        <v>422.2</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0"/>
        <v>409.1</v>
      </c>
      <c r="G65" s="105"/>
      <c r="H65" s="60" t="str">
        <f t="shared" si="1"/>
        <v/>
      </c>
      <c r="I65" s="112" t="str">
        <f>IF(H65="","",IF($I$8="A",(RANK(H65,H$11:H$355,1)+COUNTIF(H$11:H65,H65)-1),(RANK(H65,H$11:H$355)+COUNTIF(H$11:H65,H65)-1)))</f>
        <v/>
      </c>
      <c r="J65" s="58"/>
      <c r="K65" s="51">
        <f t="shared" si="10"/>
        <v>55</v>
      </c>
      <c r="L65" s="59" t="str">
        <f t="shared" si="2"/>
        <v>Rutland</v>
      </c>
      <c r="M65" s="153">
        <f t="shared" si="3"/>
        <v>504.9</v>
      </c>
      <c r="N65" s="148">
        <f t="shared" si="23"/>
        <v>504.9</v>
      </c>
      <c r="O65" s="131" t="str">
        <f t="shared" si="11"/>
        <v/>
      </c>
      <c r="P65" s="131" t="str">
        <f t="shared" si="19"/>
        <v/>
      </c>
      <c r="Q65" s="131" t="str">
        <f t="shared" si="20"/>
        <v/>
      </c>
      <c r="R65" s="127">
        <f t="shared" si="21"/>
        <v>504.9</v>
      </c>
      <c r="S65" s="60" t="str">
        <f t="shared" si="12"/>
        <v/>
      </c>
      <c r="T65" s="228" t="str">
        <f>IF(L65="","",VLOOKUP(L65,classifications!C:K,9,FALSE))</f>
        <v>Sparse</v>
      </c>
      <c r="U65" s="235">
        <f t="shared" si="25"/>
        <v>504.9</v>
      </c>
      <c r="V65" s="236">
        <f>IF(U65="","",IF($I$8="A",(RANK(U65,U$11:U$355)+COUNTIF(U$11:U65,U65)-1),(RANK(U65,U$11:U$355,1)+COUNTIF(U$11:U65,U65)-1)))</f>
        <v>1</v>
      </c>
      <c r="W65" s="237"/>
      <c r="X65" s="61" t="str">
        <f>IF(L65="","",VLOOKUP($L65,classifications!$C:$J,6,FALSE))</f>
        <v xml:space="preserve">Mainly Rural (rural including hub towns &gt;=80%) </v>
      </c>
      <c r="Y65" s="49">
        <f t="shared" si="4"/>
        <v>504.9</v>
      </c>
      <c r="Z65" s="57">
        <f>IF(Y65="","",IF(I$8="A",(RANK(Y65,Y$11:Y$355,1)+COUNTIF(Y$11:Y65,Y65)-1),(RANK(Y65,Y$11:Y$355)+COUNTIF(Y$11:Y65,Y65)-1)))</f>
        <v>19</v>
      </c>
      <c r="AA65" s="242" t="str">
        <f>IF(L65="","",VLOOKUP($L65,classifications!C:I,7,FALSE))</f>
        <v>Predominantly Rural</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504.9</v>
      </c>
      <c r="AK65" s="57">
        <f>IF(AJ65="","",IF(I$8="A",(RANK(AJ65,AJ$11:AJ$355,1)+COUNTIF(AJ$11:AJ65,AJ65)-1),(RANK(AJ65,AJ$11:AJ$355)+COUNTIF(AJ$11:AJ65,AJ65)-1)))</f>
        <v>55</v>
      </c>
      <c r="AL65" s="52">
        <f t="shared" si="16"/>
        <v>55</v>
      </c>
      <c r="AM65" s="31" t="str">
        <f t="shared" si="6"/>
        <v>Rutland</v>
      </c>
      <c r="AN65" s="31">
        <f t="shared" si="7"/>
        <v>504.9</v>
      </c>
      <c r="AP65" s="61" t="str">
        <f>IF(L65="","",VLOOKUP($L65,classifications!$C:$E,3,FALSE))</f>
        <v>East Midlands</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409.1</v>
      </c>
      <c r="AY65" s="156"/>
      <c r="AZ65" s="44"/>
    </row>
    <row r="66" spans="1:52">
      <c r="A66" s="84" t="str">
        <f>$D$1&amp;56</f>
        <v>UA56</v>
      </c>
      <c r="B66" s="85">
        <f>IF(ISERROR(VLOOKUP(A66,classifications!A:C,3,FALSE)),0,VLOOKUP(A66,classifications!A:C,3,FALSE))</f>
        <v>0</v>
      </c>
      <c r="C66" s="31" t="s">
        <v>304</v>
      </c>
      <c r="D66" s="49" t="str">
        <f>VLOOKUP($C66,classifications!$C:$J,4,FALSE)</f>
        <v>UA</v>
      </c>
      <c r="E66" s="49" t="str">
        <f>VLOOKUP(C66,classifications!C:K,9,FALSE)</f>
        <v>Sparse</v>
      </c>
      <c r="F66" s="59">
        <f t="shared" si="0"/>
        <v>501.3</v>
      </c>
      <c r="G66" s="105"/>
      <c r="H66" s="60">
        <f t="shared" si="1"/>
        <v>501.3</v>
      </c>
      <c r="I66" s="112">
        <f>IF(H66="","",IF($I$8="A",(RANK(H66,H$11:H$355,1)+COUNTIF(H$11:H66,H66)-1),(RANK(H66,H$11:H$355)+COUNTIF(H$11:H66,H66)-1)))</f>
        <v>54</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501.3</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480.4</v>
      </c>
      <c r="G67" s="105"/>
      <c r="H67" s="60">
        <f t="shared" si="1"/>
        <v>480.4</v>
      </c>
      <c r="I67" s="112">
        <f>IF(H67="","",IF($I$8="A",(RANK(H67,H$11:H$355,1)+COUNTIF(H$11:H67,H67)-1),(RANK(H67,H$11:H$355)+COUNTIF(H$11:H67,H67)-1)))</f>
        <v>51</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480.4</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384.8</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384.8</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365.1</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365.1</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368.3</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368.3</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407.1</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407.1</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286.5</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286.5</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373.6</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373.6</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457.6</v>
      </c>
      <c r="G76" s="105"/>
      <c r="H76" s="60">
        <f t="shared" si="27"/>
        <v>457.6</v>
      </c>
      <c r="I76" s="112">
        <f>IF(H76="","",IF($I$8="A",(RANK(H76,H$11:H$355,1)+COUNTIF(H$11:H76,H76)-1),(RANK(H76,H$11:H$355)+COUNTIF(H$11:H76,H76)-1)))</f>
        <v>45</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457.6</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443.8</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443.8</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344.7</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344.7</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365.1</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365.1</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292.7</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292.7</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306.39999999999998</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306.39999999999998</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470.8</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470.8</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349.5</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349.5</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407.6</v>
      </c>
      <c r="G84" s="105"/>
      <c r="H84" s="60">
        <f t="shared" si="27"/>
        <v>407.6</v>
      </c>
      <c r="I84" s="112">
        <f>IF(H84="","",IF($I$8="A",(RANK(H84,H$11:H$355,1)+COUNTIF(H$11:H84,H84)-1),(RANK(H84,H$11:H$355)+COUNTIF(H$11:H84,H84)-1)))</f>
        <v>20</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407.6</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331.8</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331.8</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383.4</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383.4</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426.8</v>
      </c>
      <c r="G87" s="105"/>
      <c r="H87" s="60">
        <f t="shared" si="27"/>
        <v>426.8</v>
      </c>
      <c r="I87" s="112">
        <f>IF(H87="","",IF($I$8="A",(RANK(H87,H$11:H$355,1)+COUNTIF(H$11:H87,H87)-1),(RANK(H87,H$11:H$355)+COUNTIF(H$11:H87,H87)-1)))</f>
        <v>31</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426.8</v>
      </c>
      <c r="AY87" s="156"/>
      <c r="AZ87" s="44"/>
    </row>
    <row r="88" spans="1:52">
      <c r="A88" s="84" t="str">
        <f>$D$1&amp;78</f>
        <v>UA78</v>
      </c>
      <c r="B88" s="85">
        <f>IF(ISERROR(VLOOKUP(A88,classifications!A:C,3,FALSE)),0,VLOOKUP(A88,classifications!A:C,3,FALSE))</f>
        <v>0</v>
      </c>
      <c r="C88" s="31" t="s">
        <v>307</v>
      </c>
      <c r="D88" s="49" t="str">
        <f>VLOOKUP($C88,classifications!$C:$J,4,FALSE)</f>
        <v>SC</v>
      </c>
      <c r="E88" s="49" t="str">
        <f>VLOOKUP(C88,classifications!C:K,9,FALSE)</f>
        <v>Sparse</v>
      </c>
      <c r="F88" s="59">
        <f t="shared" si="26"/>
        <v>458.4</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458.4</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379.6</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379.6</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436.4</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436.4</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431.6</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431.6</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454.1</v>
      </c>
      <c r="G92" s="105"/>
      <c r="H92" s="60">
        <f t="shared" si="27"/>
        <v>454.1</v>
      </c>
      <c r="I92" s="112">
        <f>IF(H92="","",IF($I$8="A",(RANK(H92,H$11:H$355,1)+COUNTIF(H$11:H92,H92)-1),(RANK(H92,H$11:H$355)+COUNTIF(H$11:H92,H92)-1)))</f>
        <v>44</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454.1</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302.5</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302.5</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433.5</v>
      </c>
      <c r="G94" s="105"/>
      <c r="H94" s="60">
        <f t="shared" si="27"/>
        <v>433.5</v>
      </c>
      <c r="I94" s="112">
        <f>IF(H94="","",IF($I$8="A",(RANK(H94,H$11:H$355,1)+COUNTIF(H$11:H94,H94)-1),(RANK(H94,H$11:H$355)+COUNTIF(H$11:H94,H94)-1)))</f>
        <v>34</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433.5</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378.6</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378.6</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244.2</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244.2</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355.2</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355.2</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302.5</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302.5</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300.7</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300.7</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363</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363</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379</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379</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316.5</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316.5</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499.7</v>
      </c>
      <c r="G103" s="105"/>
      <c r="H103" s="60">
        <f t="shared" si="27"/>
        <v>499.7</v>
      </c>
      <c r="I103" s="112">
        <f>IF(H103="","",IF($I$8="A",(RANK(H103,H$11:H$355,1)+COUNTIF(H$11:H103,H103)-1),(RANK(H103,H$11:H$355)+COUNTIF(H$11:H103,H103)-1)))</f>
        <v>53</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499.7</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394.9</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394.9</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429.9</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429.9</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331.1</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331.1</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319.8</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319.8</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388.3</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388.3</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390</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390</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353.5</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353.5</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405</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405</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370.4</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370.4</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407.6</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407.6</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439.1</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439.1</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271.10000000000002</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271.10000000000002</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301.39999999999998</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301.39999999999998</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397.8</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397.8</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379.4</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379.4</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397.4</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397.4</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428.2</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428.2</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375.6</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375.6</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348.5</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348.5</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442.4</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442.4</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283.89999999999998</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283.89999999999998</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301.7</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301.7</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380.7</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380.7</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354.9</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354.9</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338.2</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338.2</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301.10000000000002</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301.10000000000002</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440</v>
      </c>
      <c r="G130" s="105"/>
      <c r="H130" s="60">
        <f t="shared" si="27"/>
        <v>440</v>
      </c>
      <c r="I130" s="112">
        <f>IF(H130="","",IF($I$8="A",(RANK(H130,H$11:H$355,1)+COUNTIF(H$11:H130,H130)-1),(RANK(H130,H$11:H$355)+COUNTIF(H$11:H130,H130)-1)))</f>
        <v>37</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440</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376.9</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376.9</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246.1</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246.1</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428.9</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428.9</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365.8</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365.8</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308.3</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308.3</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308.89999999999998</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308.89999999999998</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328.2</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328.2</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359.4</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359.4</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331.8</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331.8</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414.4</v>
      </c>
      <c r="G140" s="105"/>
      <c r="H140" s="60">
        <f t="shared" si="50"/>
        <v>414.4</v>
      </c>
      <c r="I140" s="112">
        <f>IF(H140="","",IF($I$8="A",(RANK(H140,H$11:H$355,1)+COUNTIF(H$11:H140,H140)-1),(RANK(H140,H$11:H$355)+COUNTIF(H$11:H140,H140)-1)))</f>
        <v>24</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414.4</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324.10000000000002</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324.10000000000002</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324.89999999999998</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324.89999999999998</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395.4</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395.4</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391.9</v>
      </c>
      <c r="G144" s="105"/>
      <c r="H144" s="60">
        <f t="shared" si="50"/>
        <v>391.9</v>
      </c>
      <c r="I144" s="112">
        <f>IF(H144="","",IF($I$8="A",(RANK(H144,H$11:H$355,1)+COUNTIF(H$11:H144,H144)-1),(RANK(H144,H$11:H$355)+COUNTIF(H$11:H144,H144)-1)))</f>
        <v>16</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391.9</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401.3</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401.3</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358.4</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358.4</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376.2</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376.2</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323.39999999999998</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323.39999999999998</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389.5</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389.5</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355.3</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355.3</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321.7</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321.7</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380.9</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380.9</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281.2</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281.2</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383.1</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383.1</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440.4</v>
      </c>
      <c r="G155" s="105"/>
      <c r="H155" s="60">
        <f t="shared" si="50"/>
        <v>440.4</v>
      </c>
      <c r="I155" s="112">
        <f>IF(H155="","",IF($I$8="A",(RANK(H155,H$11:H$355,1)+COUNTIF(H$11:H155,H155)-1),(RANK(H155,H$11:H$355)+COUNTIF(H$11:H155,H155)-1)))</f>
        <v>38</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440.4</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224.1</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224.1</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422.4</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422.4</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388.7</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388.7</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402</v>
      </c>
      <c r="G162" s="105"/>
      <c r="H162" s="60">
        <f t="shared" si="50"/>
        <v>402</v>
      </c>
      <c r="I162" s="112">
        <f>IF(H162="","",IF($I$8="A",(RANK(H162,H$11:H$355,1)+COUNTIF(H$11:H162,H162)-1),(RANK(H162,H$11:H$355)+COUNTIF(H$11:H162,H162)-1)))</f>
        <v>17</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402</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366</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366</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365.2</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365.2</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235.2</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235.2</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439.7</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439.7</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325</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325</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378.8</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378.8</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357.3</v>
      </c>
      <c r="G170" s="105"/>
      <c r="H170" s="60">
        <f t="shared" si="50"/>
        <v>357.3</v>
      </c>
      <c r="I170" s="112">
        <f>IF(H170="","",IF($I$8="A",(RANK(H170,H$11:H$355,1)+COUNTIF(H$11:H170,H170)-1),(RANK(H170,H$11:H$355)+COUNTIF(H$11:H170,H170)-1)))</f>
        <v>10</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357.3</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436</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436</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288.39999999999998</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288.39999999999998</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319.89999999999998</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319.89999999999998</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398.6</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398.6</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356.8</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356.8</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458.8</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458.8</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351.5</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351.5</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350</v>
      </c>
      <c r="G178" s="105"/>
      <c r="H178" s="60">
        <f t="shared" si="50"/>
        <v>350</v>
      </c>
      <c r="I178" s="112">
        <f>IF(H178="","",IF($I$8="A",(RANK(H178,H$11:H$355,1)+COUNTIF(H$11:H178,H178)-1),(RANK(H178,H$11:H$355)+COUNTIF(H$11:H178,H178)-1)))</f>
        <v>5</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350</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335.6</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335.6</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355.8</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355.8</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321</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321</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288.39999999999998</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288.39999999999998</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410.4</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410.4</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435.5</v>
      </c>
      <c r="G184" s="105"/>
      <c r="H184" s="60">
        <f t="shared" si="50"/>
        <v>435.5</v>
      </c>
      <c r="I184" s="112">
        <f>IF(H184="","",IF($I$8="A",(RANK(H184,H$11:H$355,1)+COUNTIF(H$11:H184,H184)-1),(RANK(H184,H$11:H$355)+COUNTIF(H$11:H184,H184)-1)))</f>
        <v>35</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435.5</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402.3</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402.3</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334.3</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334.3</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339.3</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339.3</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357.1</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357.1</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319.3</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319.3</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447.2</v>
      </c>
      <c r="G191" s="105"/>
      <c r="H191" s="60">
        <f t="shared" si="50"/>
        <v>447.2</v>
      </c>
      <c r="I191" s="112">
        <f>IF(H191="","",IF($I$8="A",(RANK(H191,H$11:H$355,1)+COUNTIF(H$11:H191,H191)-1),(RANK(H191,H$11:H$355)+COUNTIF(H$11:H191,H191)-1)))</f>
        <v>42</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447.2</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441.2</v>
      </c>
      <c r="G192" s="105"/>
      <c r="H192" s="60">
        <f t="shared" si="50"/>
        <v>441.2</v>
      </c>
      <c r="I192" s="112">
        <f>IF(H192="","",IF($I$8="A",(RANK(H192,H$11:H$355,1)+COUNTIF(H$11:H192,H192)-1),(RANK(H192,H$11:H$355)+COUNTIF(H$11:H192,H192)-1)))</f>
        <v>39</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441.2</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396.5</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396.5</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318.8</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318.8</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373</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373</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364.9</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364.9</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357.5</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357.5</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339.9</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339.9</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429.6</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429.6</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383.9</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383.9</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398.8</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398.8</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444.4</v>
      </c>
      <c r="G202" s="105"/>
      <c r="H202" s="60">
        <f t="shared" si="50"/>
        <v>444.4</v>
      </c>
      <c r="I202" s="112">
        <f>IF(H202="","",IF($I$8="A",(RANK(H202,H$11:H$355,1)+COUNTIF(H$11:H202,H202)-1),(RANK(H202,H$11:H$355)+COUNTIF(H$11:H202,H202)-1)))</f>
        <v>41</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444.4</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343.6</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343.6</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399.9</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399.9</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476.2</v>
      </c>
      <c r="G205" s="105"/>
      <c r="H205" s="60">
        <f t="shared" si="73"/>
        <v>476.2</v>
      </c>
      <c r="I205" s="112">
        <f>IF(H205="","",IF($I$8="A",(RANK(H205,H$11:H$355,1)+COUNTIF(H$11:H205,H205)-1),(RANK(H205,H$11:H$355)+COUNTIF(H$11:H205,H205)-1)))</f>
        <v>50</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476.2</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408.4</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408.4</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453.7</v>
      </c>
      <c r="G207" s="105"/>
      <c r="H207" s="60">
        <f t="shared" si="73"/>
        <v>453.7</v>
      </c>
      <c r="I207" s="112">
        <f>IF(H207="","",IF($I$8="A",(RANK(H207,H$11:H$355,1)+COUNTIF(H$11:H207,H207)-1),(RANK(H207,H$11:H$355)+COUNTIF(H$11:H207,H207)-1)))</f>
        <v>43</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453.7</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409.7</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409.7</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417.8</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417.8</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401</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401</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465.8</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465.8</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357.3</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357.3</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441.4</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441.4</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469.6</v>
      </c>
      <c r="G214" s="105"/>
      <c r="H214" s="60">
        <f t="shared" si="73"/>
        <v>469.6</v>
      </c>
      <c r="I214" s="112">
        <f>IF(H214="","",IF($I$8="A",(RANK(H214,H$11:H$355,1)+COUNTIF(H$11:H214,H214)-1),(RANK(H214,H$11:H$355)+COUNTIF(H$11:H214,H214)-1)))</f>
        <v>47</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469.6</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316.3</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316.3</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343.8</v>
      </c>
      <c r="G216" s="105"/>
      <c r="H216" s="60">
        <f t="shared" si="73"/>
        <v>343.8</v>
      </c>
      <c r="I216" s="112">
        <f>IF(H216="","",IF($I$8="A",(RANK(H216,H$11:H$355,1)+COUNTIF(H$11:H216,H216)-1),(RANK(H216,H$11:H$355)+COUNTIF(H$11:H216,H216)-1)))</f>
        <v>3</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343.8</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460.6</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460.6</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357.8</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357.8</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301.5</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301.5</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303.10000000000002</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303.10000000000002</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281</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281</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412</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412</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355.7</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355.7</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413.3</v>
      </c>
      <c r="G224" s="105"/>
      <c r="H224" s="60">
        <f t="shared" si="73"/>
        <v>413.3</v>
      </c>
      <c r="I224" s="112">
        <f>IF(H224="","",IF($I$8="A",(RANK(H224,H$11:H$355,1)+COUNTIF(H$11:H224,H224)-1),(RANK(H224,H$11:H$355)+COUNTIF(H$11:H224,H224)-1)))</f>
        <v>23</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413.3</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391.2</v>
      </c>
      <c r="G225" s="105"/>
      <c r="H225" s="60">
        <f t="shared" si="73"/>
        <v>391.2</v>
      </c>
      <c r="I225" s="112">
        <f>IF(H225="","",IF($I$8="A",(RANK(H225,H$11:H$355,1)+COUNTIF(H$11:H225,H225)-1),(RANK(H225,H$11:H$355)+COUNTIF(H$11:H225,H225)-1)))</f>
        <v>15</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391.2</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330.4</v>
      </c>
      <c r="G226" s="105"/>
      <c r="H226" s="60">
        <f t="shared" si="73"/>
        <v>330.4</v>
      </c>
      <c r="I226" s="112">
        <f>IF(H226="","",IF($I$8="A",(RANK(H226,H$11:H$355,1)+COUNTIF(H$11:H226,H226)-1),(RANK(H226,H$11:H$355)+COUNTIF(H$11:H226,H226)-1)))</f>
        <v>1</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330.4</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357.7</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357.7</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352.9</v>
      </c>
      <c r="G228" s="105"/>
      <c r="H228" s="60">
        <f t="shared" si="73"/>
        <v>352.9</v>
      </c>
      <c r="I228" s="112">
        <f>IF(H228="","",IF($I$8="A",(RANK(H228,H$11:H$355,1)+COUNTIF(H$11:H228,H228)-1),(RANK(H228,H$11:H$355)+COUNTIF(H$11:H228,H228)-1)))</f>
        <v>8</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352.9</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344.2</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344.2</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407.7</v>
      </c>
      <c r="G230" s="105"/>
      <c r="H230" s="60">
        <f t="shared" si="73"/>
        <v>407.7</v>
      </c>
      <c r="I230" s="112">
        <f>IF(H230="","",IF($I$8="A",(RANK(H230,H$11:H$355,1)+COUNTIF(H$11:H230,H230)-1),(RANK(H230,H$11:H$355)+COUNTIF(H$11:H230,H230)-1)))</f>
        <v>21</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407.7</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308</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308</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353.3</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353.3</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394.3</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394.3</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375.7</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375.7</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344.5</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344.5</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308.89999999999998</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308.89999999999998</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366</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366</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335.2</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335.2</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382.3</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382.3</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389.9</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389.9</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364.7</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364.7</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305</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305</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390.7</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390.7</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329.4</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329.4</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504.9</v>
      </c>
      <c r="G245" s="105"/>
      <c r="H245" s="60">
        <f t="shared" si="73"/>
        <v>504.9</v>
      </c>
      <c r="I245" s="112">
        <f>IF(H245="","",IF($I$8="A",(RANK(H245,H$11:H$355,1)+COUNTIF(H$11:H245,H245)-1),(RANK(H245,H$11:H$355)+COUNTIF(H$11:H245,H245)-1)))</f>
        <v>55</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504.9</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387.9</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387.9</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299.7</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299.7</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389.8</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389.8</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404.5</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404.5</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400</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400</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416.1</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416.1</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373</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373</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318.10000000000002</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318.10000000000002</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327.10000000000002</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327.10000000000002</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489.9</v>
      </c>
      <c r="G256" s="105"/>
      <c r="H256" s="60">
        <f t="shared" si="73"/>
        <v>489.9</v>
      </c>
      <c r="I256" s="112">
        <f>IF(H256="","",IF($I$8="A",(RANK(H256,H$11:H$355,1)+COUNTIF(H$11:H256,H256)-1),(RANK(H256,H$11:H$355)+COUNTIF(H$11:H256,H256)-1)))</f>
        <v>52</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489.9</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350.6</v>
      </c>
      <c r="G257" s="105"/>
      <c r="H257" s="60">
        <f t="shared" si="73"/>
        <v>350.6</v>
      </c>
      <c r="I257" s="112">
        <f>IF(H257="","",IF($I$8="A",(RANK(H257,H$11:H$355,1)+COUNTIF(H$11:H257,H257)-1),(RANK(H257,H$11:H$355)+COUNTIF(H$11:H257,H257)-1)))</f>
        <v>6</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350.6</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424.6</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424.6</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f t="shared" si="72"/>
        <v>327.2</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327.2</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392.9</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392.9</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403.2</v>
      </c>
      <c r="G263" s="105"/>
      <c r="H263" s="60">
        <f t="shared" si="73"/>
        <v>403.2</v>
      </c>
      <c r="I263" s="112">
        <f>IF(H263="","",IF($I$8="A",(RANK(H263,H$11:H$355,1)+COUNTIF(H$11:H263,H263)-1),(RANK(H263,H$11:H$355)+COUNTIF(H$11:H263,H263)-1)))</f>
        <v>18</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403.2</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370.3</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370.3</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336.4</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336.4</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381.3</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381.3</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427.1</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427.1</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364.5</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364.5</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425.6</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425.6</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362.5</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362.5</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370.1</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370.1</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395</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395</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441.8</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441.8</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340.5</v>
      </c>
      <c r="G275" s="105"/>
      <c r="H275" s="60">
        <f t="shared" si="97"/>
        <v>340.5</v>
      </c>
      <c r="I275" s="112">
        <f>IF(H275="","",IF($I$8="A",(RANK(H275,H$11:H$355,1)+COUNTIF(H$11:H275,H275)-1),(RANK(H275,H$11:H$355)+COUNTIF(H$11:H275,H275)-1)))</f>
        <v>2</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340.5</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417.6</v>
      </c>
      <c r="G276" s="105"/>
      <c r="H276" s="60">
        <f t="shared" si="97"/>
        <v>417.6</v>
      </c>
      <c r="I276" s="112">
        <f>IF(H276="","",IF($I$8="A",(RANK(H276,H$11:H$355,1)+COUNTIF(H$11:H276,H276)-1),(RANK(H276,H$11:H$355)+COUNTIF(H$11:H276,H276)-1)))</f>
        <v>26</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417.6</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345.8</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345.8</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344.8</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344.8</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374.6</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374.6</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355.4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355.4</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400.8</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400.8</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459.5</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459.5</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388.8</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388.8</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347.5</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347.5</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339.5</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339.5</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425.8</v>
      </c>
      <c r="G287" s="105"/>
      <c r="H287" s="60">
        <f t="shared" si="97"/>
        <v>425.8</v>
      </c>
      <c r="I287" s="112">
        <f>IF(H287="","",IF($I$8="A",(RANK(H287,H$11:H$355,1)+COUNTIF(H$11:H287,H287)-1),(RANK(H287,H$11:H$355)+COUNTIF(H$11:H287,H287)-1)))</f>
        <v>30</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425.8</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403.7</v>
      </c>
      <c r="G288" s="105"/>
      <c r="H288" s="60">
        <f t="shared" si="97"/>
        <v>403.7</v>
      </c>
      <c r="I288" s="112">
        <f>IF(H288="","",IF($I$8="A",(RANK(H288,H$11:H$355,1)+COUNTIF(H$11:H288,H288)-1),(RANK(H288,H$11:H$355)+COUNTIF(H$11:H288,H288)-1)))</f>
        <v>19</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403.7</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443.4</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443.4</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295.10000000000002</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295.10000000000002</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453.4</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453.4</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390.7</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390.7</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408.1</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408.1</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424</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424</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358.2</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358.2</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352.7</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352.7</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363.6</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363.6</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386.9</v>
      </c>
      <c r="G298" s="105"/>
      <c r="H298" s="60">
        <f t="shared" si="97"/>
        <v>386.9</v>
      </c>
      <c r="I298" s="112">
        <f>IF(H298="","",IF($I$8="A",(RANK(H298,H$11:H$355,1)+COUNTIF(H$11:H298,H298)-1),(RANK(H298,H$11:H$355)+COUNTIF(H$11:H298,H298)-1)))</f>
        <v>13</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386.9</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302.60000000000002</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302.60000000000002</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386.3</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386.3</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371</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371</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361.8</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361.8</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473.4</v>
      </c>
      <c r="G304" s="105"/>
      <c r="H304" s="60">
        <f t="shared" si="97"/>
        <v>473.4</v>
      </c>
      <c r="I304" s="112">
        <f>IF(H304="","",IF($I$8="A",(RANK(H304,H$11:H$355,1)+COUNTIF(H$11:H304,H304)-1),(RANK(H304,H$11:H$355)+COUNTIF(H$11:H304,H304)-1)))</f>
        <v>49</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473.4</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298.8</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298.8</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336.4</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336.4</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364.3</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364.3</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334.3</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334.3</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349.5</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349.5</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441.4</v>
      </c>
      <c r="G310" s="105"/>
      <c r="H310" s="60">
        <f t="shared" si="97"/>
        <v>441.4</v>
      </c>
      <c r="I310" s="112">
        <f>IF(H310="","",IF($I$8="A",(RANK(H310,H$11:H$355,1)+COUNTIF(H$11:H310,H310)-1),(RANK(H310,H$11:H$355)+COUNTIF(H$11:H310,H310)-1)))</f>
        <v>40</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441.4</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375.7</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375.7</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431.3</v>
      </c>
      <c r="G312" s="105"/>
      <c r="H312" s="60">
        <f t="shared" si="97"/>
        <v>431.3</v>
      </c>
      <c r="I312" s="112">
        <f>IF(H312="","",IF($I$8="A",(RANK(H312,H$11:H$355,1)+COUNTIF(H$11:H312,H312)-1),(RANK(H312,H$11:H$355)+COUNTIF(H$11:H312,H312)-1)))</f>
        <v>33</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431.3</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353</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353</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226.8</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226.8</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330.7</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330.7</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359.4</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359.4</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344.2</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344.2</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335.9</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335.9</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437.4</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437.4</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389.5</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389.5</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343.3</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343.3</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284.39999999999998</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284.39999999999998</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417.9</v>
      </c>
      <c r="G323" s="105"/>
      <c r="H323" s="60">
        <f t="shared" si="97"/>
        <v>417.9</v>
      </c>
      <c r="I323" s="112">
        <f>IF(H323="","",IF($I$8="A",(RANK(H323,H$11:H$355,1)+COUNTIF(H$11:H323,H323)-1),(RANK(H323,H$11:H$355)+COUNTIF(H$11:H323,H323)-1)))</f>
        <v>27</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417.9</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367.3</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367.3</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440.3</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440.3</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331.2</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331.2</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353.1</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353.1</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366.3</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366.3</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377.6</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377.6</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308.10000000000002</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308.10000000000002</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469.8</v>
      </c>
      <c r="G331" s="105"/>
      <c r="H331" s="60">
        <f t="shared" ref="H331:H355" si="120">IF(D331=$D$1,HLOOKUP($D$6,$AX$10:$ZZ$355,ROW()-9,FALSE),"")</f>
        <v>469.8</v>
      </c>
      <c r="I331" s="112">
        <f>IF(H331="","",IF($I$8="A",(RANK(H331,H$11:H$355,1)+COUNTIF(H$11:H331,H331)-1),(RANK(H331,H$11:H$355)+COUNTIF(H$11:H331,H331)-1)))</f>
        <v>48</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469.8</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307.10000000000002</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307.10000000000002</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388.6</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388.6</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408.4</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408.4</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392.1</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392.1</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435</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435</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337.8</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337.8</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403.6</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403.6</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428.9</v>
      </c>
      <c r="G341" s="105"/>
      <c r="H341" s="60">
        <f t="shared" si="120"/>
        <v>428.9</v>
      </c>
      <c r="I341" s="112">
        <f>IF(H341="","",IF($I$8="A",(RANK(H341,H$11:H$355,1)+COUNTIF(H$11:H341,H341)-1),(RANK(H341,H$11:H$355)+COUNTIF(H$11:H341,H341)-1)))</f>
        <v>32</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428.9</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307</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307</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425.7</v>
      </c>
      <c r="G343" s="105"/>
      <c r="H343" s="60">
        <f t="shared" si="120"/>
        <v>425.7</v>
      </c>
      <c r="I343" s="112">
        <f>IF(H343="","",IF($I$8="A",(RANK(H343,H$11:H$355,1)+COUNTIF(H$11:H343,H343)-1),(RANK(H343,H$11:H$355)+COUNTIF(H$11:H343,H343)-1)))</f>
        <v>29</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425.7</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371.6</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371.6</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368</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368</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408.8</v>
      </c>
      <c r="G346" s="105"/>
      <c r="H346" s="60">
        <f t="shared" si="120"/>
        <v>408.8</v>
      </c>
      <c r="I346" s="112">
        <f>IF(H346="","",IF($I$8="A",(RANK(H346,H$11:H$355,1)+COUNTIF(H$11:H346,H346)-1),(RANK(H346,H$11:H$355)+COUNTIF(H$11:H346,H346)-1)))</f>
        <v>22</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408.8</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393.1</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393.1</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309.39999999999998</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309.39999999999998</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456.7</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456.7</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336.2</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336.2</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375.7</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375.7</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f t="shared" si="119"/>
        <v>352</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352</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370.1</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370.1</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354.7</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354.7</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383.4</v>
      </c>
      <c r="G355" s="105"/>
      <c r="H355" s="60">
        <f t="shared" si="120"/>
        <v>383.4</v>
      </c>
      <c r="I355" s="112">
        <f>IF(H355="","",IF($I$8="A",(RANK(H355,H$11:H$355,1)+COUNTIF(H$11:H355,H355)-1),(RANK(H355,H$11:H$355)+COUNTIF(H$11:H355,H355)-1)))</f>
        <v>12</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383.4</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66" t="s">
        <v>895</v>
      </c>
      <c r="C2" t="s">
        <v>821</v>
      </c>
      <c r="D2" t="s">
        <v>821</v>
      </c>
      <c r="E2" t="s">
        <v>888</v>
      </c>
      <c r="F2" t="s">
        <v>896</v>
      </c>
      <c r="G2" t="s">
        <v>885</v>
      </c>
      <c r="H2" t="s">
        <v>886</v>
      </c>
      <c r="I2" t="s">
        <v>887</v>
      </c>
      <c r="J2" t="s">
        <v>890</v>
      </c>
      <c r="K2" t="s">
        <v>897</v>
      </c>
      <c r="L2" t="s">
        <v>898</v>
      </c>
      <c r="M2" t="s">
        <v>906</v>
      </c>
      <c r="N2" t="s">
        <v>908</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AP6" sqref="AP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4"/>
      <c r="W3" s="374"/>
      <c r="X3" s="179"/>
      <c r="Y3" s="179"/>
    </row>
    <row r="4" spans="1:77" ht="60" customHeight="1">
      <c r="A4" s="372"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3"/>
      <c r="B5" s="188" t="s">
        <v>364</v>
      </c>
      <c r="C5" t="s">
        <v>896</v>
      </c>
      <c r="D5" t="s">
        <v>885</v>
      </c>
      <c r="E5" t="s">
        <v>886</v>
      </c>
      <c r="F5" t="s">
        <v>887</v>
      </c>
      <c r="G5" t="s">
        <v>890</v>
      </c>
      <c r="H5" t="s">
        <v>897</v>
      </c>
      <c r="I5" t="s">
        <v>898</v>
      </c>
      <c r="J5" t="s">
        <v>906</v>
      </c>
      <c r="K5" t="s">
        <v>908</v>
      </c>
      <c r="L5" t="s">
        <v>914</v>
      </c>
      <c r="M5" t="s">
        <v>896</v>
      </c>
      <c r="N5" t="s">
        <v>885</v>
      </c>
      <c r="O5" t="s">
        <v>886</v>
      </c>
      <c r="P5" t="s">
        <v>887</v>
      </c>
      <c r="Q5" t="s">
        <v>890</v>
      </c>
      <c r="R5" t="s">
        <v>897</v>
      </c>
      <c r="S5" t="s">
        <v>898</v>
      </c>
      <c r="T5" t="s">
        <v>906</v>
      </c>
      <c r="U5" t="s">
        <v>908</v>
      </c>
      <c r="V5" t="s">
        <v>914</v>
      </c>
      <c r="W5" t="s">
        <v>896</v>
      </c>
      <c r="X5" t="s">
        <v>885</v>
      </c>
      <c r="Y5" t="s">
        <v>886</v>
      </c>
      <c r="Z5" t="s">
        <v>887</v>
      </c>
      <c r="AA5" t="s">
        <v>890</v>
      </c>
      <c r="AB5" t="s">
        <v>897</v>
      </c>
      <c r="AC5" t="s">
        <v>898</v>
      </c>
      <c r="AD5" t="s">
        <v>906</v>
      </c>
      <c r="AE5" t="s">
        <v>908</v>
      </c>
      <c r="AF5" t="s">
        <v>914</v>
      </c>
      <c r="AG5" t="s">
        <v>896</v>
      </c>
      <c r="AH5" s="157" t="s">
        <v>885</v>
      </c>
      <c r="AI5" s="157" t="s">
        <v>886</v>
      </c>
      <c r="AJ5" s="157" t="s">
        <v>887</v>
      </c>
      <c r="AK5" s="157" t="s">
        <v>890</v>
      </c>
      <c r="AL5" s="157" t="s">
        <v>897</v>
      </c>
      <c r="AM5" s="157" t="s">
        <v>898</v>
      </c>
      <c r="AN5" s="157" t="s">
        <v>906</v>
      </c>
      <c r="AO5" s="157" t="s">
        <v>908</v>
      </c>
      <c r="AP5" s="164" t="s">
        <v>914</v>
      </c>
    </row>
    <row r="6" spans="1:77" ht="14.7" customHeight="1">
      <c r="A6" s="373"/>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909</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909</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909</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909</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909</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909</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909</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57" t="s">
        <v>899</v>
      </c>
      <c r="AA14" s="164" t="s">
        <v>899</v>
      </c>
      <c r="AB14" s="164" t="s">
        <v>899</v>
      </c>
      <c r="AC14" s="164" t="s">
        <v>899</v>
      </c>
      <c r="AD14" s="164" t="s">
        <v>899</v>
      </c>
      <c r="AE14" s="157" t="s">
        <v>899</v>
      </c>
      <c r="AF14" s="157" t="s">
        <v>899</v>
      </c>
      <c r="AG14" s="157" t="s">
        <v>899</v>
      </c>
      <c r="AH14" s="157" t="s">
        <v>899</v>
      </c>
      <c r="AI14" s="157" t="s">
        <v>899</v>
      </c>
      <c r="AJ14" s="157" t="s">
        <v>899</v>
      </c>
      <c r="AK14" s="157" t="s">
        <v>899</v>
      </c>
      <c r="AL14" s="157"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909</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909</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909</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909</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909</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909</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909</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909</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909</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909</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909</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909</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909</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909</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909</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909</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909</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909</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909</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909</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v>441.6</v>
      </c>
      <c r="J49">
        <v>450.2</v>
      </c>
      <c r="K49" s="279">
        <v>434.3</v>
      </c>
      <c r="L49" s="165">
        <v>374.6</v>
      </c>
      <c r="M49" s="165">
        <v>0.41099999999999998</v>
      </c>
      <c r="N49" s="179">
        <v>0.437</v>
      </c>
      <c r="O49">
        <v>0.60599999999999998</v>
      </c>
      <c r="P49">
        <v>0.60099999999999998</v>
      </c>
      <c r="Q49" s="279">
        <v>0.60399999999999998</v>
      </c>
      <c r="R49" s="165">
        <v>0.46300000000000002</v>
      </c>
      <c r="S49" s="165">
        <v>0.497</v>
      </c>
      <c r="T49" s="165">
        <v>0.48</v>
      </c>
      <c r="U49" s="198">
        <v>0.496</v>
      </c>
      <c r="V49" s="166">
        <v>0.55800000000000005</v>
      </c>
      <c r="W49" s="166">
        <v>0.53500000000000003</v>
      </c>
      <c r="X49" s="179">
        <v>0.49099999999999999</v>
      </c>
      <c r="Y49" s="179">
        <v>0.16400000000000001</v>
      </c>
      <c r="Z49" s="157">
        <v>0.17100000000000001</v>
      </c>
      <c r="AA49" s="157">
        <v>0.161</v>
      </c>
      <c r="AB49" s="157">
        <v>0.16700000000000001</v>
      </c>
      <c r="AC49" s="157">
        <v>6.2E-2</v>
      </c>
      <c r="AD49" s="157">
        <v>3.6999999999999998E-2</v>
      </c>
      <c r="AE49" s="157">
        <v>0.02</v>
      </c>
      <c r="AF49" s="157">
        <v>1.2999999999999999E-2</v>
      </c>
      <c r="AG49" s="157">
        <v>388.8</v>
      </c>
      <c r="AH49" s="157">
        <v>379.6</v>
      </c>
      <c r="AI49" s="157">
        <v>374.8</v>
      </c>
      <c r="AJ49" s="157">
        <v>382.4</v>
      </c>
      <c r="AK49" s="157">
        <v>382.5</v>
      </c>
      <c r="AL49" s="157">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909</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909</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909</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909</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909</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909</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909</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909</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909</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v>446.9</v>
      </c>
      <c r="I64">
        <v>446.2</v>
      </c>
      <c r="J64">
        <v>427.4</v>
      </c>
      <c r="K64" s="279">
        <v>434.6</v>
      </c>
      <c r="L64" s="165">
        <v>463.1</v>
      </c>
      <c r="M64" s="165">
        <v>0.39600000000000002</v>
      </c>
      <c r="N64" s="179">
        <v>0.39800000000000002</v>
      </c>
      <c r="O64">
        <v>0.40400000000000003</v>
      </c>
      <c r="P64">
        <v>0.41499999999999998</v>
      </c>
      <c r="Q64" s="279">
        <v>0.42299999999999999</v>
      </c>
      <c r="R64" s="165">
        <v>0.45500000000000002</v>
      </c>
      <c r="S64" s="165">
        <v>0.46</v>
      </c>
      <c r="T64" s="165">
        <v>0.46300000000000002</v>
      </c>
      <c r="U64" s="198">
        <v>0.441</v>
      </c>
      <c r="V64" s="166">
        <v>0.434</v>
      </c>
      <c r="W64" s="166" t="s">
        <v>899</v>
      </c>
      <c r="X64" s="179" t="s">
        <v>899</v>
      </c>
      <c r="Y64" s="179" t="s">
        <v>899</v>
      </c>
      <c r="Z64" s="157" t="s">
        <v>899</v>
      </c>
      <c r="AA64" s="157" t="s">
        <v>899</v>
      </c>
      <c r="AB64" s="157" t="s">
        <v>899</v>
      </c>
      <c r="AC64" s="157" t="s">
        <v>899</v>
      </c>
      <c r="AD64" s="157" t="s">
        <v>899</v>
      </c>
      <c r="AE64" s="157" t="s">
        <v>909</v>
      </c>
      <c r="AF64" s="157">
        <v>0</v>
      </c>
      <c r="AG64" s="157">
        <v>413</v>
      </c>
      <c r="AH64" s="157">
        <v>399.4</v>
      </c>
      <c r="AI64" s="157">
        <v>384.3</v>
      </c>
      <c r="AJ64" s="157">
        <v>392.3</v>
      </c>
      <c r="AK64" s="157">
        <v>392.6</v>
      </c>
      <c r="AL64" s="157">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909</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v>456.6</v>
      </c>
      <c r="D66">
        <v>446.3</v>
      </c>
      <c r="E66">
        <v>448.1</v>
      </c>
      <c r="F66">
        <v>382.8</v>
      </c>
      <c r="G66">
        <v>380.6</v>
      </c>
      <c r="H66" t="s">
        <v>899</v>
      </c>
      <c r="I66" t="s">
        <v>899</v>
      </c>
      <c r="J66" t="s">
        <v>899</v>
      </c>
      <c r="K66" t="s">
        <v>899</v>
      </c>
      <c r="L66" t="s">
        <v>899</v>
      </c>
      <c r="M66">
        <v>0.47</v>
      </c>
      <c r="N66">
        <v>0.47199999999999998</v>
      </c>
      <c r="O66">
        <v>0.45400000000000001</v>
      </c>
      <c r="P66">
        <v>0.53300000000000003</v>
      </c>
      <c r="Q66" s="279">
        <v>0.57399999999999995</v>
      </c>
      <c r="R66" s="165" t="s">
        <v>899</v>
      </c>
      <c r="S66" s="165" t="s">
        <v>899</v>
      </c>
      <c r="T66" s="165" t="s">
        <v>899</v>
      </c>
      <c r="U66" s="278" t="s">
        <v>899</v>
      </c>
      <c r="V66" s="166" t="s">
        <v>899</v>
      </c>
      <c r="W66" s="166" t="s">
        <v>899</v>
      </c>
      <c r="X66" s="179" t="s">
        <v>899</v>
      </c>
      <c r="Y66" s="179" t="s">
        <v>899</v>
      </c>
      <c r="Z66" s="157" t="s">
        <v>899</v>
      </c>
      <c r="AA66" s="164" t="s">
        <v>899</v>
      </c>
      <c r="AB66" s="164" t="s">
        <v>899</v>
      </c>
      <c r="AC66" s="164" t="s">
        <v>899</v>
      </c>
      <c r="AD66" s="164" t="s">
        <v>899</v>
      </c>
      <c r="AE66" s="157" t="s">
        <v>899</v>
      </c>
      <c r="AF66" s="157" t="s">
        <v>899</v>
      </c>
      <c r="AG66" s="157">
        <v>363.5</v>
      </c>
      <c r="AH66" s="157">
        <v>355.8</v>
      </c>
      <c r="AI66" s="157">
        <v>342.1</v>
      </c>
      <c r="AJ66" s="157">
        <v>341.6</v>
      </c>
      <c r="AK66" s="157">
        <v>370.7</v>
      </c>
      <c r="AL66" s="157"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909</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909</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909</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909</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909</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909</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909</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909</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909</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909</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909</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s="279">
        <v>0.42399999999999999</v>
      </c>
      <c r="R90" s="165">
        <v>0.41699999999999998</v>
      </c>
      <c r="S90" s="165">
        <v>0.44700000000000001</v>
      </c>
      <c r="T90" s="165">
        <v>0.47299999999999998</v>
      </c>
      <c r="U90" s="279">
        <v>0.47</v>
      </c>
      <c r="V90" s="201">
        <v>0.47099999999999997</v>
      </c>
      <c r="W90" s="201" t="s">
        <v>899</v>
      </c>
      <c r="X90" s="179" t="s">
        <v>899</v>
      </c>
      <c r="Y90" s="179" t="s">
        <v>899</v>
      </c>
      <c r="Z90" s="157" t="s">
        <v>899</v>
      </c>
      <c r="AA90" s="164" t="s">
        <v>899</v>
      </c>
      <c r="AB90" s="164" t="s">
        <v>899</v>
      </c>
      <c r="AC90" s="164" t="s">
        <v>899</v>
      </c>
      <c r="AD90" s="164" t="s">
        <v>899</v>
      </c>
      <c r="AE90" s="157" t="s">
        <v>909</v>
      </c>
      <c r="AF90" s="157">
        <v>0</v>
      </c>
      <c r="AG90" s="157">
        <v>367.5</v>
      </c>
      <c r="AH90" s="157">
        <v>331.2</v>
      </c>
      <c r="AI90" s="157">
        <v>280.89999999999998</v>
      </c>
      <c r="AJ90" s="157">
        <v>295.60000000000002</v>
      </c>
      <c r="AK90" s="157">
        <v>293</v>
      </c>
      <c r="AL90" s="157">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909</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909</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909</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909</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909</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909</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909</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909</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909</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909</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909</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909</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909</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909</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909</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909</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909</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909</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909</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909</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909</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909</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909</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909</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909</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909</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909</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909</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909</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909</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909</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909</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909</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909</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909</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909</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909</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909</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909</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909</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909</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909</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909</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909</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909</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909</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909</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909</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909</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909</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909</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909</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s="279">
        <v>0.27600000000000002</v>
      </c>
      <c r="R162" s="165">
        <v>0.28499999999999998</v>
      </c>
      <c r="S162" s="165">
        <v>0.30099999999999999</v>
      </c>
      <c r="T162" s="165">
        <v>0.27200000000000002</v>
      </c>
      <c r="U162" s="278">
        <v>0.24299999999999999</v>
      </c>
      <c r="V162" s="166">
        <v>0.26700000000000002</v>
      </c>
      <c r="W162" s="166">
        <v>4.5999999999999999E-2</v>
      </c>
      <c r="X162" s="179">
        <v>4.9000000000000002E-2</v>
      </c>
      <c r="Y162" s="179">
        <v>5.3999999999999999E-2</v>
      </c>
      <c r="Z162" s="157">
        <v>6.9000000000000006E-2</v>
      </c>
      <c r="AA162" s="164">
        <v>9.8000000000000004E-2</v>
      </c>
      <c r="AB162" s="164">
        <v>0.112</v>
      </c>
      <c r="AC162" s="164">
        <v>5.8999999999999997E-2</v>
      </c>
      <c r="AD162" s="164">
        <v>2.9000000000000001E-2</v>
      </c>
      <c r="AE162" s="157">
        <v>8.4000000000000005E-2</v>
      </c>
      <c r="AF162" s="157">
        <v>3.1E-2</v>
      </c>
      <c r="AG162" s="157">
        <v>420.9</v>
      </c>
      <c r="AH162" s="157">
        <v>405.3</v>
      </c>
      <c r="AI162" s="157">
        <v>383.5</v>
      </c>
      <c r="AJ162" s="157">
        <v>398.1</v>
      </c>
      <c r="AK162" s="157">
        <v>400</v>
      </c>
      <c r="AL162" s="157">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909</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909</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909</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909</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0.18099999999999999</v>
      </c>
      <c r="N171" s="179">
        <v>0.17199999999999999</v>
      </c>
      <c r="O171">
        <v>0.2</v>
      </c>
      <c r="P171">
        <v>0.17699999999999999</v>
      </c>
      <c r="Q171" s="199">
        <v>0.17100000000000001</v>
      </c>
      <c r="R171" s="165">
        <v>0.18</v>
      </c>
      <c r="S171" s="165">
        <v>0.17699999999999999</v>
      </c>
      <c r="T171" s="165">
        <v>0.218</v>
      </c>
      <c r="U171" s="198">
        <v>0.28000000000000003</v>
      </c>
      <c r="V171" s="166">
        <v>0.26600000000000001</v>
      </c>
      <c r="W171" s="166">
        <v>9.7000000000000003E-2</v>
      </c>
      <c r="X171" s="179">
        <v>9.4E-2</v>
      </c>
      <c r="Y171" s="179">
        <v>8.5999999999999993E-2</v>
      </c>
      <c r="Z171" s="157">
        <v>7.9000000000000001E-2</v>
      </c>
      <c r="AA171" s="157">
        <v>3.0000000000000001E-3</v>
      </c>
      <c r="AB171" s="157">
        <v>6.0000000000000001E-3</v>
      </c>
      <c r="AC171" s="157">
        <v>7.0000000000000001E-3</v>
      </c>
      <c r="AD171" s="157">
        <v>4.0000000000000001E-3</v>
      </c>
      <c r="AE171" s="157">
        <v>3.0000000000000001E-3</v>
      </c>
      <c r="AF171" s="157">
        <v>0</v>
      </c>
      <c r="AG171" s="157">
        <v>419.6</v>
      </c>
      <c r="AH171" s="157">
        <v>410.1</v>
      </c>
      <c r="AI171" s="157">
        <v>396.5</v>
      </c>
      <c r="AJ171" s="157">
        <v>377</v>
      </c>
      <c r="AK171" s="157">
        <v>373.5</v>
      </c>
      <c r="AL171" s="157">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909</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909</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v>561.9</v>
      </c>
      <c r="J174">
        <v>578</v>
      </c>
      <c r="K174" s="279">
        <v>585.1</v>
      </c>
      <c r="L174" s="165">
        <v>568.20000000000005</v>
      </c>
      <c r="M174" s="165">
        <v>0.52900000000000003</v>
      </c>
      <c r="N174" s="179">
        <v>0.52800000000000002</v>
      </c>
      <c r="O174">
        <v>0.51300000000000001</v>
      </c>
      <c r="P174">
        <v>0.496</v>
      </c>
      <c r="Q174" s="199">
        <v>0.496</v>
      </c>
      <c r="R174" s="165">
        <v>0.47</v>
      </c>
      <c r="S174" s="165">
        <v>0.46700000000000003</v>
      </c>
      <c r="T174" s="165">
        <v>0.435</v>
      </c>
      <c r="U174" s="198">
        <v>0.41899999999999998</v>
      </c>
      <c r="V174" s="166">
        <v>0.438</v>
      </c>
      <c r="W174" s="166">
        <v>0.46800000000000003</v>
      </c>
      <c r="X174" s="179">
        <v>0.46400000000000002</v>
      </c>
      <c r="Y174" s="179">
        <v>0.47099999999999997</v>
      </c>
      <c r="Z174" s="157">
        <v>0.252</v>
      </c>
      <c r="AA174" s="157">
        <v>4.1000000000000002E-2</v>
      </c>
      <c r="AB174" s="157">
        <v>3.5999999999999997E-2</v>
      </c>
      <c r="AC174" s="157">
        <v>0.04</v>
      </c>
      <c r="AD174" s="157">
        <v>3.7999999999999999E-2</v>
      </c>
      <c r="AE174" s="157">
        <v>4.1000000000000002E-2</v>
      </c>
      <c r="AF174" s="157">
        <v>3.2000000000000001E-2</v>
      </c>
      <c r="AG174" s="157">
        <v>491.9</v>
      </c>
      <c r="AH174" s="157">
        <v>477.4</v>
      </c>
      <c r="AI174" s="157">
        <v>467.4</v>
      </c>
      <c r="AJ174" s="157">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909</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909</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909</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909</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909</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909</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909</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s="279">
        <v>0.375</v>
      </c>
      <c r="R185" s="165">
        <v>0.34799999999999998</v>
      </c>
      <c r="S185" s="165">
        <v>0.35699999999999998</v>
      </c>
      <c r="T185" s="165">
        <v>0.37</v>
      </c>
      <c r="U185" s="278">
        <v>0.38500000000000001</v>
      </c>
      <c r="V185" s="166">
        <v>0.42199999999999999</v>
      </c>
      <c r="W185" s="166">
        <v>0.61699999999999999</v>
      </c>
      <c r="X185" s="179">
        <v>0.55700000000000005</v>
      </c>
      <c r="Y185" s="179">
        <v>0.501</v>
      </c>
      <c r="Z185" s="157">
        <v>0.52400000000000002</v>
      </c>
      <c r="AA185" s="164">
        <v>0.55700000000000005</v>
      </c>
      <c r="AB185" s="164">
        <v>0.63100000000000001</v>
      </c>
      <c r="AC185" s="164">
        <v>0.56200000000000006</v>
      </c>
      <c r="AD185" s="164">
        <v>0.56799999999999995</v>
      </c>
      <c r="AE185" s="157">
        <v>0.35299999999999998</v>
      </c>
      <c r="AF185" s="157">
        <v>0.10299999999999999</v>
      </c>
      <c r="AG185" s="157">
        <v>353.3</v>
      </c>
      <c r="AH185" s="157">
        <v>332.2</v>
      </c>
      <c r="AI185" s="157">
        <v>335.8</v>
      </c>
      <c r="AJ185" s="157">
        <v>335.7</v>
      </c>
      <c r="AK185" s="157">
        <v>356.3</v>
      </c>
      <c r="AL185" s="157">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909</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909</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909</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909</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909</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909</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909</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909</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909</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909</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909</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909</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909</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909</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909</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s="279">
        <v>0.41599999999999998</v>
      </c>
      <c r="R210" s="165">
        <v>0.40300000000000002</v>
      </c>
      <c r="S210" s="165">
        <v>0.41499999999999998</v>
      </c>
      <c r="T210" s="165">
        <v>0.39900000000000002</v>
      </c>
      <c r="U210" s="278">
        <v>0.39300000000000002</v>
      </c>
      <c r="V210" s="166">
        <v>0.40200000000000002</v>
      </c>
      <c r="W210" s="166" t="s">
        <v>899</v>
      </c>
      <c r="X210" s="179" t="s">
        <v>899</v>
      </c>
      <c r="Y210" s="179" t="s">
        <v>899</v>
      </c>
      <c r="Z210" s="157" t="s">
        <v>899</v>
      </c>
      <c r="AA210" s="164" t="s">
        <v>899</v>
      </c>
      <c r="AB210" s="164" t="s">
        <v>899</v>
      </c>
      <c r="AC210" s="164" t="s">
        <v>899</v>
      </c>
      <c r="AD210" s="164" t="s">
        <v>899</v>
      </c>
      <c r="AE210" s="157" t="s">
        <v>909</v>
      </c>
      <c r="AF210" s="157">
        <v>0</v>
      </c>
      <c r="AG210" s="157">
        <v>368.4</v>
      </c>
      <c r="AH210" s="157">
        <v>366.6</v>
      </c>
      <c r="AI210" s="157">
        <v>383.2</v>
      </c>
      <c r="AJ210" s="157">
        <v>357.5</v>
      </c>
      <c r="AK210" s="157">
        <v>362.4</v>
      </c>
      <c r="AL210" s="157">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909</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909</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909</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909</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909</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909</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909</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909</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909</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909</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909</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909</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v>485.3</v>
      </c>
      <c r="K233" s="278">
        <v>467.1</v>
      </c>
      <c r="L233" s="196">
        <v>484.5</v>
      </c>
      <c r="M233" s="196">
        <v>0.41699999999999998</v>
      </c>
      <c r="N233" s="179">
        <v>0.432</v>
      </c>
      <c r="O233">
        <v>0.41599999999999998</v>
      </c>
      <c r="P233">
        <v>0.41399999999999998</v>
      </c>
      <c r="Q233" s="198">
        <v>0.377</v>
      </c>
      <c r="R233" s="196">
        <v>0.52400000000000002</v>
      </c>
      <c r="S233" s="196">
        <v>0.41299999999999998</v>
      </c>
      <c r="T233" s="196">
        <v>0.377</v>
      </c>
      <c r="U233" s="198">
        <v>0.39200000000000002</v>
      </c>
      <c r="V233" s="166">
        <v>0.38200000000000001</v>
      </c>
      <c r="W233" s="166" t="s">
        <v>899</v>
      </c>
      <c r="X233" s="179" t="s">
        <v>899</v>
      </c>
      <c r="Y233" s="179" t="s">
        <v>899</v>
      </c>
      <c r="Z233" s="157" t="s">
        <v>899</v>
      </c>
      <c r="AA233" s="157" t="s">
        <v>899</v>
      </c>
      <c r="AB233" s="157" t="s">
        <v>899</v>
      </c>
      <c r="AC233" s="157" t="s">
        <v>899</v>
      </c>
      <c r="AD233" s="157" t="s">
        <v>899</v>
      </c>
      <c r="AE233" s="157" t="s">
        <v>909</v>
      </c>
      <c r="AF233" s="157">
        <v>0</v>
      </c>
      <c r="AG233" s="157">
        <v>379.7</v>
      </c>
      <c r="AH233" s="157">
        <v>367.6</v>
      </c>
      <c r="AI233" s="157">
        <v>356.6</v>
      </c>
      <c r="AJ233" s="157">
        <v>354.1</v>
      </c>
      <c r="AK233" s="157">
        <v>340.4</v>
      </c>
      <c r="AL233" s="157">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909</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909</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909</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909</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909</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909</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909</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909</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v>508.7</v>
      </c>
      <c r="J243">
        <v>505.1</v>
      </c>
      <c r="K243" s="279">
        <v>505.5</v>
      </c>
      <c r="L243" s="165">
        <v>504.9</v>
      </c>
      <c r="M243" s="165">
        <v>0.56799999999999995</v>
      </c>
      <c r="N243" s="179">
        <v>0.61299999999999999</v>
      </c>
      <c r="O243">
        <v>0.59799999999999998</v>
      </c>
      <c r="P243">
        <v>0.6</v>
      </c>
      <c r="Q243" s="279">
        <v>0.59099999999999997</v>
      </c>
      <c r="R243" s="165">
        <v>0.58099999999999996</v>
      </c>
      <c r="S243" s="165">
        <v>0.59299999999999997</v>
      </c>
      <c r="T243" s="165">
        <v>0.57799999999999996</v>
      </c>
      <c r="U243" s="198">
        <v>0.56000000000000005</v>
      </c>
      <c r="V243" s="166">
        <v>0.56399999999999995</v>
      </c>
      <c r="W243" s="166">
        <v>0.40799999999999997</v>
      </c>
      <c r="X243" s="179">
        <v>0.36099999999999999</v>
      </c>
      <c r="Y243" s="179">
        <v>0.36599999999999999</v>
      </c>
      <c r="Z243" s="157">
        <v>0.36299999999999999</v>
      </c>
      <c r="AA243" s="157">
        <v>0</v>
      </c>
      <c r="AB243" s="157">
        <v>1E-3</v>
      </c>
      <c r="AC243" s="157">
        <v>1E-3</v>
      </c>
      <c r="AD243" s="157">
        <v>0</v>
      </c>
      <c r="AE243" s="157">
        <v>0</v>
      </c>
      <c r="AF243" s="157">
        <v>0</v>
      </c>
      <c r="AG243" s="157">
        <v>504.9</v>
      </c>
      <c r="AH243" s="157">
        <v>480</v>
      </c>
      <c r="AI243" s="157">
        <v>502.6</v>
      </c>
      <c r="AJ243" s="157">
        <v>523</v>
      </c>
      <c r="AK243" s="157">
        <v>523</v>
      </c>
      <c r="AL243" s="157">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909</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909</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909</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909</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909</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909</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v>767.4</v>
      </c>
      <c r="K254" s="279">
        <v>756.3</v>
      </c>
      <c r="L254" s="165">
        <v>732.6</v>
      </c>
      <c r="M254" s="165">
        <v>0.314</v>
      </c>
      <c r="N254" s="179">
        <v>0.307</v>
      </c>
      <c r="O254">
        <v>0.29899999999999999</v>
      </c>
      <c r="P254">
        <v>0.29399999999999998</v>
      </c>
      <c r="Q254" s="199">
        <v>0.29199999999999998</v>
      </c>
      <c r="R254" s="165">
        <v>0.26800000000000002</v>
      </c>
      <c r="S254" s="165">
        <v>0.26300000000000001</v>
      </c>
      <c r="T254" s="165">
        <v>0.23899999999999999</v>
      </c>
      <c r="U254" s="198">
        <v>0.23300000000000001</v>
      </c>
      <c r="V254" s="166">
        <v>0.24</v>
      </c>
      <c r="W254" s="166">
        <v>7.0999999999999994E-2</v>
      </c>
      <c r="X254" s="179">
        <v>6.4000000000000001E-2</v>
      </c>
      <c r="Y254" s="179">
        <v>9.9000000000000005E-2</v>
      </c>
      <c r="Z254" s="157">
        <v>5.8000000000000003E-2</v>
      </c>
      <c r="AA254" s="157">
        <v>6.2E-2</v>
      </c>
      <c r="AB254" s="157">
        <v>8.0000000000000002E-3</v>
      </c>
      <c r="AC254" s="157">
        <v>2.4E-2</v>
      </c>
      <c r="AD254" s="157">
        <v>0.03</v>
      </c>
      <c r="AE254" s="157">
        <v>0</v>
      </c>
      <c r="AF254" s="157">
        <v>8.9999999999999993E-3</v>
      </c>
      <c r="AG254" s="157">
        <v>420.4</v>
      </c>
      <c r="AH254" s="157">
        <v>383.8</v>
      </c>
      <c r="AI254" s="157">
        <v>338.1</v>
      </c>
      <c r="AJ254" s="157">
        <v>351</v>
      </c>
      <c r="AK254" s="157">
        <v>361.1</v>
      </c>
      <c r="AL254" s="157">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909</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909</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909</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909</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909</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909</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909</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909</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909</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909</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909</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909</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909</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909</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909</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v>522.20000000000005</v>
      </c>
      <c r="K281" s="279">
        <v>497.7</v>
      </c>
      <c r="L281" s="165">
        <v>492.9</v>
      </c>
      <c r="M281" s="165">
        <v>0.39100000000000001</v>
      </c>
      <c r="N281" s="179">
        <v>0.4</v>
      </c>
      <c r="O281">
        <v>0.36799999999999999</v>
      </c>
      <c r="P281">
        <v>0.374</v>
      </c>
      <c r="Q281" s="199">
        <v>0.38200000000000001</v>
      </c>
      <c r="R281" s="165">
        <v>0.39400000000000002</v>
      </c>
      <c r="S281" s="165">
        <v>0.39800000000000002</v>
      </c>
      <c r="T281" s="165">
        <v>0.38300000000000001</v>
      </c>
      <c r="U281" s="198">
        <v>0.4</v>
      </c>
      <c r="V281" s="166">
        <v>0.39500000000000002</v>
      </c>
      <c r="W281" s="166" t="s">
        <v>899</v>
      </c>
      <c r="X281" s="179" t="s">
        <v>899</v>
      </c>
      <c r="Y281" s="179" t="s">
        <v>899</v>
      </c>
      <c r="Z281" s="157" t="s">
        <v>899</v>
      </c>
      <c r="AA281" s="157" t="s">
        <v>899</v>
      </c>
      <c r="AB281" s="157" t="s">
        <v>899</v>
      </c>
      <c r="AC281" s="157" t="s">
        <v>899</v>
      </c>
      <c r="AD281" s="157" t="s">
        <v>899</v>
      </c>
      <c r="AE281" s="157" t="s">
        <v>909</v>
      </c>
      <c r="AF281" s="157">
        <v>0</v>
      </c>
      <c r="AG281" s="157">
        <v>382.7</v>
      </c>
      <c r="AH281" s="157">
        <v>369.8</v>
      </c>
      <c r="AI281" s="157">
        <v>357.9</v>
      </c>
      <c r="AJ281" s="157">
        <v>363.8</v>
      </c>
      <c r="AK281" s="157">
        <v>375.9</v>
      </c>
      <c r="AL281" s="157">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909</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909</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909</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909</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909</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909</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909</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909</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909</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909</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909</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909</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909</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909</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909</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909</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909</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909</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s="279">
        <v>0.503</v>
      </c>
      <c r="R312" s="165">
        <v>0.502</v>
      </c>
      <c r="S312" s="165">
        <v>0.51500000000000001</v>
      </c>
      <c r="T312" s="165">
        <v>0.48599999999999999</v>
      </c>
      <c r="U312" s="278">
        <v>0.47099999999999997</v>
      </c>
      <c r="V312" s="166">
        <v>0.47899999999999998</v>
      </c>
      <c r="W312" s="166" t="s">
        <v>899</v>
      </c>
      <c r="X312" s="179" t="s">
        <v>899</v>
      </c>
      <c r="Y312" s="179" t="s">
        <v>899</v>
      </c>
      <c r="Z312" s="157" t="s">
        <v>899</v>
      </c>
      <c r="AA312" s="164" t="s">
        <v>899</v>
      </c>
      <c r="AB312" s="164" t="s">
        <v>899</v>
      </c>
      <c r="AC312" s="164" t="s">
        <v>899</v>
      </c>
      <c r="AD312" s="164" t="s">
        <v>899</v>
      </c>
      <c r="AE312" s="157" t="s">
        <v>909</v>
      </c>
      <c r="AF312" s="157">
        <v>0</v>
      </c>
      <c r="AG312" s="157">
        <v>377.1</v>
      </c>
      <c r="AH312" s="157">
        <v>362.3</v>
      </c>
      <c r="AI312" s="157">
        <v>345.8</v>
      </c>
      <c r="AJ312" s="157">
        <v>342.7</v>
      </c>
      <c r="AK312" s="157">
        <v>356</v>
      </c>
      <c r="AL312" s="157">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909</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v>647.4</v>
      </c>
      <c r="K316" s="279">
        <v>637.4</v>
      </c>
      <c r="L316" s="165">
        <v>618.70000000000005</v>
      </c>
      <c r="M316" s="165">
        <v>0.27300000000000002</v>
      </c>
      <c r="N316" s="179">
        <v>0.27100000000000002</v>
      </c>
      <c r="O316">
        <v>0.308</v>
      </c>
      <c r="P316">
        <v>0.32600000000000001</v>
      </c>
      <c r="Q316" s="199">
        <v>0.35499999999999998</v>
      </c>
      <c r="R316" s="165">
        <v>0.34599999999999997</v>
      </c>
      <c r="S316" s="165">
        <v>0.34399999999999997</v>
      </c>
      <c r="T316" s="165">
        <v>0.32500000000000001</v>
      </c>
      <c r="U316" s="198">
        <v>0.316</v>
      </c>
      <c r="V316" s="166">
        <v>0.32300000000000001</v>
      </c>
      <c r="W316" s="166" t="s">
        <v>899</v>
      </c>
      <c r="X316" s="179" t="s">
        <v>899</v>
      </c>
      <c r="Y316" s="179" t="s">
        <v>899</v>
      </c>
      <c r="Z316" s="157" t="s">
        <v>899</v>
      </c>
      <c r="AA316" s="157" t="s">
        <v>899</v>
      </c>
      <c r="AB316" s="157" t="s">
        <v>899</v>
      </c>
      <c r="AC316" s="157" t="s">
        <v>899</v>
      </c>
      <c r="AD316" s="157" t="s">
        <v>899</v>
      </c>
      <c r="AE316" s="157" t="s">
        <v>909</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909</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s="279">
        <v>0.505</v>
      </c>
      <c r="R318" s="165">
        <v>0.52700000000000002</v>
      </c>
      <c r="S318" s="165">
        <v>0.54300000000000004</v>
      </c>
      <c r="T318" s="165">
        <v>0.42799999999999999</v>
      </c>
      <c r="U318" s="278">
        <v>0.442</v>
      </c>
      <c r="V318" s="166">
        <v>0.47499999999999998</v>
      </c>
      <c r="W318" s="166">
        <v>0.53400000000000003</v>
      </c>
      <c r="X318" s="179">
        <v>0.53500000000000003</v>
      </c>
      <c r="Y318" s="179">
        <v>0.50900000000000001</v>
      </c>
      <c r="Z318" s="157">
        <v>0.02</v>
      </c>
      <c r="AA318" s="164">
        <v>1.7999999999999999E-2</v>
      </c>
      <c r="AB318" s="164">
        <v>1.9E-2</v>
      </c>
      <c r="AC318" s="164">
        <v>2.8000000000000001E-2</v>
      </c>
      <c r="AD318" s="164">
        <v>0.435</v>
      </c>
      <c r="AE318" s="157">
        <v>0.16700000000000001</v>
      </c>
      <c r="AF318" s="157">
        <v>5.0000000000000001E-3</v>
      </c>
      <c r="AG318" s="157">
        <v>477</v>
      </c>
      <c r="AH318" s="157">
        <v>463.9</v>
      </c>
      <c r="AI318" s="157">
        <v>448.1</v>
      </c>
      <c r="AJ318" s="157">
        <v>434.9</v>
      </c>
      <c r="AK318" s="157">
        <v>436.1</v>
      </c>
      <c r="AL318" s="157">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909</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909</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909</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909</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909</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909</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909</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909</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909</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v>363.7</v>
      </c>
      <c r="J330">
        <v>358.1</v>
      </c>
      <c r="K330" s="279">
        <v>365.1</v>
      </c>
      <c r="L330" s="165">
        <v>375.6</v>
      </c>
      <c r="M330" s="165">
        <v>0.42399999999999999</v>
      </c>
      <c r="N330" s="179">
        <v>0.61199999999999999</v>
      </c>
      <c r="O330">
        <v>0.60099999999999998</v>
      </c>
      <c r="P330">
        <v>0.57399999999999995</v>
      </c>
      <c r="Q330" s="199">
        <v>0.59499999999999997</v>
      </c>
      <c r="R330" s="165">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909</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909</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909</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909</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909</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909</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909</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909</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909</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909</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31"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104</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
        <v>307</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
        <v>310</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
        <v>311</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
        <v>317</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SD65</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SD66</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SD66</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SD66</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SD67</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SD67</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SD67</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SD67</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SD68</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SD69</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
        <v>330</v>
      </c>
      <c r="K316" s="44" t="s">
        <v>335</v>
      </c>
    </row>
    <row r="317" spans="1:11" ht="14.4">
      <c r="A317" s="28" t="str">
        <f>F317&amp;(COUNTIFS(F$2:F317,F317,K$2:K317,"Sparse"))</f>
        <v>SD71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SD75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SD75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SD75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
        <v>332</v>
      </c>
      <c r="K340" s="44" t="s">
        <v>335</v>
      </c>
    </row>
    <row r="341" spans="1:12" ht="14.4">
      <c r="A341" s="28" t="str">
        <f>F341&amp;(COUNTIFS(F$2:F341,F341,K$2:K341,"Sparse"))</f>
        <v>SD75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E30" sqref="E3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5" t="s">
        <v>856</v>
      </c>
      <c r="G20" s="375"/>
      <c r="H20" s="247" t="s">
        <v>800</v>
      </c>
      <c r="I20" s="248" t="s">
        <v>792</v>
      </c>
    </row>
    <row r="21" spans="1:12">
      <c r="C21" s="245"/>
      <c r="E21" s="261" t="s">
        <v>848</v>
      </c>
      <c r="F21" s="375"/>
      <c r="G21" s="375"/>
      <c r="H21" s="8" t="s">
        <v>810</v>
      </c>
      <c r="I21" s="10" t="s">
        <v>821</v>
      </c>
    </row>
    <row r="22" spans="1:12" ht="36">
      <c r="C22" s="245"/>
      <c r="E22" s="262" t="s">
        <v>849</v>
      </c>
      <c r="F22" s="375"/>
      <c r="G22" s="375"/>
    </row>
    <row r="23" spans="1:12">
      <c r="C23" s="245"/>
      <c r="E23" s="263">
        <v>87</v>
      </c>
      <c r="F23" s="375"/>
      <c r="G23" s="375"/>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01D7C9-FD4D-4C05-82B0-CAFDFD193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2021-03-11T14:46:43Z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