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67" documentId="8_{D72D0546-B95A-4B51-9EBD-180D7ACEF93B}" xr6:coauthVersionLast="47" xr6:coauthVersionMax="47" xr10:uidLastSave="{B4717ACB-3046-4921-8940-9B110D57CF48}"/>
  <workbookProtection workbookAlgorithmName="SHA-512" workbookHashValue="PVbiigpenIpJLbsLNnGLnM8swFKZWXSDDYtC/DoppRzYaeNIOk+wAtD6yZ+WLVKLmioJpapMANLbwSFo8Mk6hQ==" workbookSaltValue="u4WLnDl8fTxfYS0jXjv+X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E90" i="16"/>
  <c r="H90" i="16"/>
  <c r="I90" i="16" s="1"/>
  <c r="D91" i="16"/>
  <c r="H91" i="16" s="1"/>
  <c r="I91" i="16" s="1"/>
  <c r="E91" i="16"/>
  <c r="D92" i="16"/>
  <c r="E92" i="16"/>
  <c r="D93" i="16"/>
  <c r="H93" i="16" s="1"/>
  <c r="I93" i="16" s="1"/>
  <c r="E93" i="16"/>
  <c r="D94" i="16"/>
  <c r="H94" i="16" s="1"/>
  <c r="I94" i="16" s="1"/>
  <c r="E94" i="16"/>
  <c r="D95" i="16"/>
  <c r="H95" i="16" s="1"/>
  <c r="I95" i="16" s="1"/>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H125" i="16" s="1"/>
  <c r="I125" i="16" s="1"/>
  <c r="E125" i="16"/>
  <c r="D126" i="16"/>
  <c r="E126" i="16"/>
  <c r="D127" i="16"/>
  <c r="H127" i="16" s="1"/>
  <c r="I127" i="16" s="1"/>
  <c r="E127" i="16"/>
  <c r="D128" i="16"/>
  <c r="H128" i="16" s="1"/>
  <c r="I128" i="16" s="1"/>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H138" i="16" s="1"/>
  <c r="I138" i="16" s="1"/>
  <c r="E138" i="16"/>
  <c r="D139" i="16"/>
  <c r="E139" i="16"/>
  <c r="D140" i="16"/>
  <c r="E140" i="16"/>
  <c r="D141" i="16"/>
  <c r="H141" i="16" s="1"/>
  <c r="I141" i="16" s="1"/>
  <c r="E141" i="16"/>
  <c r="D142" i="16"/>
  <c r="H142" i="16" s="1"/>
  <c r="I142" i="16" s="1"/>
  <c r="E142" i="16"/>
  <c r="D143" i="16"/>
  <c r="E143" i="16"/>
  <c r="D144" i="16"/>
  <c r="E144" i="16"/>
  <c r="D145" i="16"/>
  <c r="E145" i="16"/>
  <c r="D146" i="16"/>
  <c r="H146" i="16" s="1"/>
  <c r="I146" i="16" s="1"/>
  <c r="E146" i="16"/>
  <c r="D147" i="16"/>
  <c r="E147" i="16"/>
  <c r="D148" i="16"/>
  <c r="E148" i="16"/>
  <c r="D149" i="16"/>
  <c r="H149" i="16" s="1"/>
  <c r="I149" i="16" s="1"/>
  <c r="E149" i="16"/>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H166" i="16" s="1"/>
  <c r="I166" i="16" s="1"/>
  <c r="E166" i="16"/>
  <c r="D167" i="16"/>
  <c r="H167" i="16" s="1"/>
  <c r="I167" i="16" s="1"/>
  <c r="E167" i="16"/>
  <c r="D168" i="16"/>
  <c r="E168" i="16"/>
  <c r="D169" i="16"/>
  <c r="E169" i="16"/>
  <c r="D170" i="16"/>
  <c r="H170" i="16" s="1"/>
  <c r="I170" i="16" s="1"/>
  <c r="E170" i="16"/>
  <c r="D171" i="16"/>
  <c r="E171" i="16"/>
  <c r="D172" i="16"/>
  <c r="E172" i="16"/>
  <c r="D173" i="16"/>
  <c r="E173" i="16"/>
  <c r="D174" i="16"/>
  <c r="H174" i="16" s="1"/>
  <c r="I174" i="16" s="1"/>
  <c r="E174" i="16"/>
  <c r="D175" i="16"/>
  <c r="H175" i="16" s="1"/>
  <c r="I175" i="16" s="1"/>
  <c r="E175" i="16"/>
  <c r="D176" i="16"/>
  <c r="E176" i="16"/>
  <c r="D177" i="16"/>
  <c r="E177" i="16"/>
  <c r="D178" i="16"/>
  <c r="E178" i="16"/>
  <c r="D179" i="16"/>
  <c r="H179" i="16" s="1"/>
  <c r="I179" i="16" s="1"/>
  <c r="E179" i="16"/>
  <c r="D180" i="16"/>
  <c r="E180" i="16"/>
  <c r="D181" i="16"/>
  <c r="H181" i="16" s="1"/>
  <c r="I181" i="16" s="1"/>
  <c r="E181" i="16"/>
  <c r="D182" i="16"/>
  <c r="E182" i="16"/>
  <c r="D183" i="16"/>
  <c r="E183" i="16"/>
  <c r="D184" i="16"/>
  <c r="H184" i="16" s="1"/>
  <c r="I184" i="16" s="1"/>
  <c r="E184" i="16"/>
  <c r="D185" i="16"/>
  <c r="E185" i="16"/>
  <c r="D186" i="16"/>
  <c r="E186" i="16"/>
  <c r="D187" i="16"/>
  <c r="E187" i="16"/>
  <c r="D188" i="16"/>
  <c r="H188" i="16" s="1"/>
  <c r="I188" i="16" s="1"/>
  <c r="E188" i="16"/>
  <c r="D189" i="16"/>
  <c r="H189" i="16" s="1"/>
  <c r="I189" i="16" s="1"/>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H199" i="16" s="1"/>
  <c r="I199" i="16" s="1"/>
  <c r="E199" i="16"/>
  <c r="D200" i="16"/>
  <c r="E200" i="16"/>
  <c r="D201" i="16"/>
  <c r="E201" i="16"/>
  <c r="D202" i="16"/>
  <c r="H202" i="16" s="1"/>
  <c r="I202" i="16" s="1"/>
  <c r="E202" i="16"/>
  <c r="D203" i="16"/>
  <c r="E203" i="16"/>
  <c r="D204" i="16"/>
  <c r="H204" i="16" s="1"/>
  <c r="I204" i="16" s="1"/>
  <c r="E204" i="16"/>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H215" i="16" s="1"/>
  <c r="I215" i="16" s="1"/>
  <c r="E215" i="16"/>
  <c r="D216" i="16"/>
  <c r="E216" i="16"/>
  <c r="D217" i="16"/>
  <c r="E217" i="16"/>
  <c r="D218" i="16"/>
  <c r="E218" i="16"/>
  <c r="D219" i="16"/>
  <c r="H219" i="16" s="1"/>
  <c r="I219" i="16" s="1"/>
  <c r="E219" i="16"/>
  <c r="D220" i="16"/>
  <c r="H220" i="16" s="1"/>
  <c r="I220" i="16" s="1"/>
  <c r="E220" i="16"/>
  <c r="D221" i="16"/>
  <c r="H221" i="16" s="1"/>
  <c r="I221" i="16" s="1"/>
  <c r="E221" i="16"/>
  <c r="D222" i="16"/>
  <c r="E222" i="16"/>
  <c r="D223" i="16"/>
  <c r="H223" i="16" s="1"/>
  <c r="I223" i="16" s="1"/>
  <c r="E223" i="16"/>
  <c r="D224" i="16"/>
  <c r="H224" i="16" s="1"/>
  <c r="I224" i="16" s="1"/>
  <c r="E224" i="16"/>
  <c r="D225" i="16"/>
  <c r="H225" i="16" s="1"/>
  <c r="I225" i="16" s="1"/>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H240" i="16" s="1"/>
  <c r="I240" i="16" s="1"/>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H251" i="16" s="1"/>
  <c r="I251" i="16" s="1"/>
  <c r="E251" i="16"/>
  <c r="D252" i="16"/>
  <c r="H252" i="16" s="1"/>
  <c r="I252" i="16" s="1"/>
  <c r="E252" i="16"/>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H268" i="16" s="1"/>
  <c r="I268" i="16" s="1"/>
  <c r="E268" i="16"/>
  <c r="D269" i="16"/>
  <c r="H269" i="16" s="1"/>
  <c r="I269" i="16" s="1"/>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H279" i="16" s="1"/>
  <c r="I279" i="16" s="1"/>
  <c r="E279" i="16"/>
  <c r="D280" i="16"/>
  <c r="H280" i="16" s="1"/>
  <c r="I280" i="16" s="1"/>
  <c r="E280" i="16"/>
  <c r="D281" i="16"/>
  <c r="H281" i="16" s="1"/>
  <c r="I281" i="16" s="1"/>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H291" i="16" s="1"/>
  <c r="I291" i="16" s="1"/>
  <c r="E291" i="16"/>
  <c r="D292" i="16"/>
  <c r="H292" i="16" s="1"/>
  <c r="I292" i="16" s="1"/>
  <c r="E292" i="16"/>
  <c r="D293" i="16"/>
  <c r="E293" i="16"/>
  <c r="D294" i="16"/>
  <c r="E294" i="16"/>
  <c r="D295" i="16"/>
  <c r="E295" i="16"/>
  <c r="D296" i="16"/>
  <c r="H296" i="16" s="1"/>
  <c r="I296" i="16" s="1"/>
  <c r="E296" i="16"/>
  <c r="D297" i="16"/>
  <c r="E297" i="16"/>
  <c r="D298" i="16"/>
  <c r="E298" i="16"/>
  <c r="D299" i="16"/>
  <c r="E299" i="16"/>
  <c r="D300" i="16"/>
  <c r="E300" i="16"/>
  <c r="D301" i="16"/>
  <c r="E301" i="16"/>
  <c r="D302" i="16"/>
  <c r="H302" i="16" s="1"/>
  <c r="I302" i="16" s="1"/>
  <c r="E302" i="16"/>
  <c r="D303" i="16"/>
  <c r="E303" i="16"/>
  <c r="D304" i="16"/>
  <c r="H304" i="16" s="1"/>
  <c r="I304" i="16" s="1"/>
  <c r="E304" i="16"/>
  <c r="D305" i="16"/>
  <c r="E305" i="16"/>
  <c r="D306" i="16"/>
  <c r="H306" i="16" s="1"/>
  <c r="I306" i="16" s="1"/>
  <c r="E306" i="16"/>
  <c r="D307" i="16"/>
  <c r="H307" i="16" s="1"/>
  <c r="I307" i="16" s="1"/>
  <c r="E307" i="16"/>
  <c r="D308" i="16"/>
  <c r="E308" i="16"/>
  <c r="D309" i="16"/>
  <c r="E309" i="16"/>
  <c r="D310" i="16"/>
  <c r="E310" i="16"/>
  <c r="D311" i="16"/>
  <c r="H311" i="16" s="1"/>
  <c r="I311" i="16" s="1"/>
  <c r="E311" i="16"/>
  <c r="D312" i="16"/>
  <c r="H312" i="16" s="1"/>
  <c r="I312" i="16" s="1"/>
  <c r="E312" i="16"/>
  <c r="D313" i="16"/>
  <c r="H313" i="16" s="1"/>
  <c r="I313" i="16" s="1"/>
  <c r="E313" i="16"/>
  <c r="D314" i="16"/>
  <c r="H314" i="16" s="1"/>
  <c r="I314" i="16" s="1"/>
  <c r="E314" i="16"/>
  <c r="D315" i="16"/>
  <c r="H315" i="16" s="1"/>
  <c r="I315" i="16" s="1"/>
  <c r="E315" i="16"/>
  <c r="D316" i="16"/>
  <c r="E316" i="16"/>
  <c r="D317" i="16"/>
  <c r="E317" i="16"/>
  <c r="D318" i="16"/>
  <c r="E318" i="16"/>
  <c r="D319" i="16"/>
  <c r="E319" i="16"/>
  <c r="D320" i="16"/>
  <c r="E320" i="16"/>
  <c r="D321" i="16"/>
  <c r="E321" i="16"/>
  <c r="D322" i="16"/>
  <c r="H322" i="16" s="1"/>
  <c r="I322" i="16" s="1"/>
  <c r="E322" i="16"/>
  <c r="D323" i="16"/>
  <c r="E323" i="16"/>
  <c r="D324" i="16"/>
  <c r="E324" i="16"/>
  <c r="D325" i="16"/>
  <c r="E325" i="16"/>
  <c r="D326" i="16"/>
  <c r="E326" i="16"/>
  <c r="D327" i="16"/>
  <c r="E327" i="16"/>
  <c r="D328" i="16"/>
  <c r="H328" i="16" s="1"/>
  <c r="I328" i="16" s="1"/>
  <c r="E328" i="16"/>
  <c r="D329" i="16"/>
  <c r="H329" i="16" s="1"/>
  <c r="I329" i="16" s="1"/>
  <c r="E329" i="16"/>
  <c r="D330" i="16"/>
  <c r="H330" i="16" s="1"/>
  <c r="I330" i="16" s="1"/>
  <c r="E330" i="16"/>
  <c r="D331" i="16"/>
  <c r="E331" i="16"/>
  <c r="D332" i="16"/>
  <c r="H332" i="16" s="1"/>
  <c r="I332" i="16" s="1"/>
  <c r="E332" i="16"/>
  <c r="D333" i="16"/>
  <c r="H333" i="16" s="1"/>
  <c r="I333" i="16" s="1"/>
  <c r="E333" i="16"/>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H343" i="16" s="1"/>
  <c r="I343" i="16" s="1"/>
  <c r="E343" i="16"/>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AX12" i="16" s="1"/>
  <c r="F12" i="16" s="1"/>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F240" i="16" s="1"/>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225" i="16"/>
  <c r="F107" i="16"/>
  <c r="F231"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AG18" i="16" s="1"/>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AG16" i="16" s="1"/>
  <c r="H197" i="16"/>
  <c r="T39" i="8"/>
  <c r="D50" i="8"/>
  <c r="K89" i="8"/>
  <c r="H168" i="16"/>
  <c r="H317" i="16"/>
  <c r="F317" i="16"/>
  <c r="H284" i="16"/>
  <c r="H143" i="16"/>
  <c r="H112" i="16"/>
  <c r="H208" i="16"/>
  <c r="H327" i="16"/>
  <c r="F196" i="16"/>
  <c r="H89" i="16"/>
  <c r="H217" i="16"/>
  <c r="F254" i="16"/>
  <c r="H287" i="16"/>
  <c r="H338" i="16"/>
  <c r="H276" i="16"/>
  <c r="F103" i="16"/>
  <c r="H173" i="16"/>
  <c r="H164" i="16"/>
  <c r="F87" i="16"/>
  <c r="H87" i="16"/>
  <c r="H121" i="16"/>
  <c r="F25" i="16"/>
  <c r="AG17" i="16" s="1"/>
  <c r="F55" i="16"/>
  <c r="F53" i="16"/>
  <c r="F56" i="16"/>
  <c r="F82" i="16"/>
  <c r="F50"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I19" i="16"/>
  <c r="I21" i="16"/>
  <c r="I34" i="16"/>
  <c r="I53" i="16"/>
  <c r="I38" i="16"/>
  <c r="I81" i="16"/>
  <c r="I29" i="16"/>
  <c r="I46" i="16"/>
  <c r="I41" i="16"/>
  <c r="I56" i="16"/>
  <c r="I84" i="16"/>
  <c r="I76" i="16"/>
  <c r="I72" i="16"/>
  <c r="I70" i="16"/>
  <c r="I75" i="16"/>
  <c r="I37" i="16"/>
  <c r="I61" i="16"/>
  <c r="I27" i="16"/>
  <c r="I43" i="16"/>
  <c r="I67" i="16"/>
  <c r="I32" i="16"/>
  <c r="I66" i="16"/>
  <c r="I78" i="16"/>
  <c r="I26" i="16"/>
  <c r="I31" i="16"/>
  <c r="I36" i="16"/>
  <c r="I44" i="16"/>
  <c r="AG13" i="16" l="1"/>
  <c r="AG23" i="16"/>
  <c r="AG12" i="16"/>
  <c r="AG22" i="16"/>
  <c r="AG19"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AE11" i="16"/>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L13" i="16"/>
  <c r="X13" i="16" s="1"/>
  <c r="K88" i="16" l="1"/>
  <c r="L87" i="16"/>
  <c r="X86" i="16"/>
  <c r="Y86" i="16" s="1"/>
  <c r="AA86" i="16"/>
  <c r="AB86" i="16" s="1"/>
  <c r="AC86" i="16" s="1"/>
  <c r="M86" i="16"/>
  <c r="N86" i="16" s="1"/>
  <c r="AI86" i="16"/>
  <c r="S86" i="16"/>
  <c r="T86" i="16"/>
  <c r="U86" i="16" s="1"/>
  <c r="V86" i="16" s="1"/>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AJ86" i="16"/>
  <c r="Y11" i="16"/>
  <c r="Y13" i="16"/>
  <c r="Y12" i="16"/>
  <c r="AQ86" i="16"/>
  <c r="AA87" i="16"/>
  <c r="S87" i="16"/>
  <c r="T87" i="16"/>
  <c r="U87" i="16" s="1"/>
  <c r="V87" i="16" s="1"/>
  <c r="AP87" i="16"/>
  <c r="X87" i="16"/>
  <c r="M87" i="16"/>
  <c r="N87" i="16" s="1"/>
  <c r="AI87" i="16"/>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Y87" i="16" l="1"/>
  <c r="AJ87" i="16"/>
  <c r="AB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AP90" i="16"/>
  <c r="S90" i="16"/>
  <c r="T90" i="16"/>
  <c r="AA90" i="16"/>
  <c r="M90" i="16"/>
  <c r="N90" i="16" s="1"/>
  <c r="Y16" i="16"/>
  <c r="AQ16" i="16"/>
  <c r="AB16" i="16"/>
  <c r="U16" i="16"/>
  <c r="AJ16" i="16"/>
  <c r="L18" i="16"/>
  <c r="AI17" i="16"/>
  <c r="S17" i="16"/>
  <c r="AA17" i="16"/>
  <c r="AP17" i="16"/>
  <c r="X17" i="16"/>
  <c r="M17" i="16"/>
  <c r="N17" i="16" s="1"/>
  <c r="T17" i="16"/>
  <c r="U90" i="16" l="1"/>
  <c r="Y90" i="16"/>
  <c r="AB90" i="16"/>
  <c r="AQ90" i="16"/>
  <c r="L92" i="16"/>
  <c r="K93" i="16"/>
  <c r="X91" i="16"/>
  <c r="AA91" i="16"/>
  <c r="M91" i="16"/>
  <c r="N91" i="16" s="1"/>
  <c r="AI91" i="16"/>
  <c r="AJ91" i="16" s="1"/>
  <c r="AK91" i="16" s="1"/>
  <c r="S91" i="16"/>
  <c r="AP91" i="16"/>
  <c r="T91" i="16"/>
  <c r="U91" i="16" s="1"/>
  <c r="V91" i="16" s="1"/>
  <c r="Y17" i="16"/>
  <c r="AQ17" i="16"/>
  <c r="U17" i="16"/>
  <c r="AB17" i="16"/>
  <c r="AJ17" i="16"/>
  <c r="L19" i="16"/>
  <c r="AP18" i="16"/>
  <c r="X18" i="16"/>
  <c r="M18" i="16"/>
  <c r="N18" i="16" s="1"/>
  <c r="T18" i="16"/>
  <c r="AI18" i="16"/>
  <c r="S18" i="16"/>
  <c r="AA18" i="16"/>
  <c r="Y91" i="16" l="1"/>
  <c r="AB91" i="16"/>
  <c r="AQ91" i="16"/>
  <c r="L93" i="16"/>
  <c r="K94" i="16"/>
  <c r="S92" i="16"/>
  <c r="AP92" i="16"/>
  <c r="X92" i="16"/>
  <c r="AA92" i="16"/>
  <c r="M92" i="16"/>
  <c r="N92" i="16" s="1"/>
  <c r="AI92" i="16"/>
  <c r="AJ92" i="16" s="1"/>
  <c r="AK92" i="16" s="1"/>
  <c r="T92" i="16"/>
  <c r="U92" i="16" s="1"/>
  <c r="V92" i="16" s="1"/>
  <c r="Y18" i="16"/>
  <c r="U18" i="16"/>
  <c r="AB18" i="16"/>
  <c r="AJ18" i="16"/>
  <c r="AQ18" i="16"/>
  <c r="AI19" i="16"/>
  <c r="AP19" i="16"/>
  <c r="X19" i="16"/>
  <c r="M19" i="16"/>
  <c r="N19" i="16" s="1"/>
  <c r="T19" i="16"/>
  <c r="S19" i="16"/>
  <c r="AA19" i="16"/>
  <c r="L20" i="16"/>
  <c r="Y92" i="16" l="1"/>
  <c r="AB92" i="16"/>
  <c r="Y19" i="16"/>
  <c r="AQ92" i="16"/>
  <c r="L94" i="16"/>
  <c r="K95" i="16"/>
  <c r="T93" i="16"/>
  <c r="M93" i="16"/>
  <c r="N93" i="16" s="1"/>
  <c r="AI93" i="16"/>
  <c r="S93" i="16"/>
  <c r="AP93" i="16"/>
  <c r="X93" i="16"/>
  <c r="AA93" i="16"/>
  <c r="AQ19" i="16"/>
  <c r="AB19" i="16"/>
  <c r="U19" i="16"/>
  <c r="AJ19" i="16"/>
  <c r="AI20" i="16"/>
  <c r="S20" i="16"/>
  <c r="AA20" i="16"/>
  <c r="AP20" i="16"/>
  <c r="X20" i="16"/>
  <c r="M20" i="16"/>
  <c r="N20" i="16" s="1"/>
  <c r="T20" i="16"/>
  <c r="L21" i="16"/>
  <c r="AQ93" i="16" l="1"/>
  <c r="AJ93" i="16"/>
  <c r="Y20" i="16"/>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AJ95" i="16" s="1"/>
  <c r="AK95" i="16" s="1"/>
  <c r="S95" i="16"/>
  <c r="T95" i="16"/>
  <c r="AP95" i="16"/>
  <c r="AA95" i="16"/>
  <c r="X95" i="16"/>
  <c r="L96" i="16"/>
  <c r="K97" i="16"/>
  <c r="AB21" i="16"/>
  <c r="U21" i="16"/>
  <c r="AJ21" i="16"/>
  <c r="AQ21" i="16"/>
  <c r="AP22" i="16"/>
  <c r="X22" i="16"/>
  <c r="M22" i="16"/>
  <c r="N22" i="16" s="1"/>
  <c r="T22" i="16"/>
  <c r="AI22" i="16"/>
  <c r="S22" i="16"/>
  <c r="AA22" i="16"/>
  <c r="L23" i="16"/>
  <c r="U95" i="16" l="1"/>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A97" i="16"/>
  <c r="S97" i="16"/>
  <c r="AI97" i="16"/>
  <c r="AJ97" i="16" s="1"/>
  <c r="AK97" i="16" s="1"/>
  <c r="M97" i="16"/>
  <c r="N97" i="16" s="1"/>
  <c r="L98" i="16"/>
  <c r="K99" i="16"/>
  <c r="Y23" i="16"/>
  <c r="U23" i="16"/>
  <c r="AB23" i="16"/>
  <c r="AJ23" i="16"/>
  <c r="AQ23" i="16"/>
  <c r="AI24" i="16"/>
  <c r="S24" i="16"/>
  <c r="AA24" i="16"/>
  <c r="AP24" i="16"/>
  <c r="X24" i="16"/>
  <c r="M24" i="16"/>
  <c r="N24" i="16" s="1"/>
  <c r="T24" i="16"/>
  <c r="L25" i="16"/>
  <c r="AQ97" i="16" l="1"/>
  <c r="Y97" i="16"/>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AI103" i="16"/>
  <c r="AJ103" i="16" s="1"/>
  <c r="AK103" i="16" s="1"/>
  <c r="AP103" i="16"/>
  <c r="M103" i="16"/>
  <c r="N103" i="16" s="1"/>
  <c r="L104" i="16"/>
  <c r="K105" i="16"/>
  <c r="Y29" i="16"/>
  <c r="AB29" i="16"/>
  <c r="AQ29" i="16"/>
  <c r="AJ29" i="16"/>
  <c r="U29" i="16"/>
  <c r="L31" i="16"/>
  <c r="AP30" i="16"/>
  <c r="X30" i="16"/>
  <c r="M30" i="16"/>
  <c r="N30" i="16" s="1"/>
  <c r="T30" i="16"/>
  <c r="AI30" i="16"/>
  <c r="S30" i="16"/>
  <c r="AA30" i="16"/>
  <c r="U103" i="16" l="1"/>
  <c r="AQ103" i="16"/>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P105" i="16"/>
  <c r="Y31" i="16"/>
  <c r="AB31" i="16"/>
  <c r="U31" i="16"/>
  <c r="AJ31" i="16"/>
  <c r="AQ31" i="16"/>
  <c r="L33" i="16"/>
  <c r="AI32" i="16"/>
  <c r="AA32" i="16"/>
  <c r="AP32" i="16"/>
  <c r="X32" i="16"/>
  <c r="M32" i="16"/>
  <c r="N32" i="16" s="1"/>
  <c r="T32" i="16"/>
  <c r="S32" i="16"/>
  <c r="AJ105" i="16" l="1"/>
  <c r="AQ105" i="16"/>
  <c r="AB105" i="16"/>
  <c r="Y105" i="16"/>
  <c r="U105" i="16"/>
  <c r="AA106" i="16"/>
  <c r="S106" i="16"/>
  <c r="T106" i="16"/>
  <c r="AI106" i="16"/>
  <c r="X106" i="16"/>
  <c r="AP106" i="16"/>
  <c r="M106" i="16"/>
  <c r="N106" i="16" s="1"/>
  <c r="L107" i="16"/>
  <c r="K108" i="16"/>
  <c r="Y32" i="16"/>
  <c r="U32" i="16"/>
  <c r="AB32" i="16"/>
  <c r="AQ32" i="16"/>
  <c r="AJ32" i="16"/>
  <c r="L34" i="16"/>
  <c r="AI33" i="16"/>
  <c r="S33" i="16"/>
  <c r="AA33" i="16"/>
  <c r="AP33" i="16"/>
  <c r="X33" i="16"/>
  <c r="M33" i="16"/>
  <c r="N33" i="16" s="1"/>
  <c r="T33" i="16"/>
  <c r="AJ106" i="16" l="1"/>
  <c r="AQ106" i="16"/>
  <c r="Y106" i="16"/>
  <c r="U106" i="16"/>
  <c r="AB106" i="16"/>
  <c r="L108" i="16"/>
  <c r="K109" i="16"/>
  <c r="M107" i="16"/>
  <c r="N107" i="16" s="1"/>
  <c r="AI107" i="16"/>
  <c r="AJ107" i="16" s="1"/>
  <c r="AK107" i="16" s="1"/>
  <c r="S107" i="16"/>
  <c r="X107" i="16"/>
  <c r="AP107" i="16"/>
  <c r="T107" i="16"/>
  <c r="AA107" i="16"/>
  <c r="Y33" i="16"/>
  <c r="AQ33" i="16"/>
  <c r="U33" i="16"/>
  <c r="AB33" i="16"/>
  <c r="AJ33" i="16"/>
  <c r="T34" i="16"/>
  <c r="M34" i="16"/>
  <c r="N34" i="16" s="1"/>
  <c r="X34" i="16"/>
  <c r="AA34" i="16"/>
  <c r="AI34" i="16"/>
  <c r="AP34" i="16"/>
  <c r="S34" i="16"/>
  <c r="L35" i="16"/>
  <c r="U107" i="16" l="1"/>
  <c r="Y107" i="16"/>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K111" i="16"/>
  <c r="L110" i="16"/>
  <c r="Y35" i="16"/>
  <c r="AQ35" i="16"/>
  <c r="AB35" i="16"/>
  <c r="U35" i="16"/>
  <c r="AJ35" i="16"/>
  <c r="L37" i="16"/>
  <c r="X36" i="16"/>
  <c r="M36" i="16"/>
  <c r="N36" i="16" s="1"/>
  <c r="AI36" i="16"/>
  <c r="T36" i="16"/>
  <c r="S36" i="16"/>
  <c r="AP36" i="16"/>
  <c r="AA36" i="16"/>
  <c r="AJ109" i="16" l="1"/>
  <c r="Y109" i="16"/>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AJ111" i="16" s="1"/>
  <c r="AK111" i="16" s="1"/>
  <c r="T111" i="16"/>
  <c r="AP111" i="16"/>
  <c r="X111" i="16"/>
  <c r="S111" i="16"/>
  <c r="Y37" i="16"/>
  <c r="AQ37" i="16"/>
  <c r="U37" i="16"/>
  <c r="AB37" i="16"/>
  <c r="AJ37" i="16"/>
  <c r="L39" i="16"/>
  <c r="S38" i="16"/>
  <c r="AP38" i="16"/>
  <c r="AA38" i="16"/>
  <c r="X38" i="16"/>
  <c r="M38" i="16"/>
  <c r="N38" i="16" s="1"/>
  <c r="AI38" i="16"/>
  <c r="T38" i="16"/>
  <c r="U111" i="16" l="1"/>
  <c r="Y111" i="16"/>
  <c r="AB111" i="16"/>
  <c r="AQ111" i="16"/>
  <c r="T112" i="16"/>
  <c r="M112" i="16"/>
  <c r="N112" i="16" s="1"/>
  <c r="AA112" i="16"/>
  <c r="S112" i="16"/>
  <c r="X112" i="16"/>
  <c r="AI112" i="16"/>
  <c r="AP112" i="16"/>
  <c r="L113" i="16"/>
  <c r="K114" i="16"/>
  <c r="Y38" i="16"/>
  <c r="U38" i="16"/>
  <c r="AB38" i="16"/>
  <c r="AQ38" i="16"/>
  <c r="AJ38" i="16"/>
  <c r="L40" i="16"/>
  <c r="AP39" i="16"/>
  <c r="AA39" i="16"/>
  <c r="X39" i="16"/>
  <c r="M39" i="16"/>
  <c r="N39" i="16" s="1"/>
  <c r="AI39" i="16"/>
  <c r="T39" i="16"/>
  <c r="S39" i="16"/>
  <c r="AQ112" i="16" l="1"/>
  <c r="AJ112" i="16"/>
  <c r="U112" i="16"/>
  <c r="AB112" i="16"/>
  <c r="Y112" i="16"/>
  <c r="L114" i="16"/>
  <c r="K115" i="16"/>
  <c r="AP113" i="16"/>
  <c r="M113" i="16"/>
  <c r="N113" i="16" s="1"/>
  <c r="S113" i="16"/>
  <c r="X113" i="16"/>
  <c r="AA113" i="16"/>
  <c r="AI113" i="16"/>
  <c r="T113" i="16"/>
  <c r="Y39" i="16"/>
  <c r="AB39" i="16"/>
  <c r="U39" i="16"/>
  <c r="AJ39" i="16"/>
  <c r="AQ39" i="16"/>
  <c r="L41" i="16"/>
  <c r="S40" i="16"/>
  <c r="AP40" i="16"/>
  <c r="AA40" i="16"/>
  <c r="X40" i="16"/>
  <c r="M40" i="16"/>
  <c r="N40" i="16" s="1"/>
  <c r="T40" i="16"/>
  <c r="AI40" i="16"/>
  <c r="U113" i="16" l="1"/>
  <c r="AJ113" i="16"/>
  <c r="AQ113" i="16"/>
  <c r="AB113" i="16"/>
  <c r="Y113" i="16"/>
  <c r="K116" i="16"/>
  <c r="L115" i="16"/>
  <c r="X114" i="16"/>
  <c r="AP114" i="16"/>
  <c r="T114" i="16"/>
  <c r="AI114" i="16"/>
  <c r="M114" i="16"/>
  <c r="N114" i="16" s="1"/>
  <c r="S114" i="16"/>
  <c r="AA114" i="16"/>
  <c r="Y40" i="16"/>
  <c r="U40" i="16"/>
  <c r="AQ40" i="16"/>
  <c r="AJ40" i="16"/>
  <c r="AB40" i="16"/>
  <c r="AI41" i="16"/>
  <c r="T41" i="16"/>
  <c r="S41" i="16"/>
  <c r="AP41" i="16"/>
  <c r="AA41" i="16"/>
  <c r="X41" i="16"/>
  <c r="M41" i="16"/>
  <c r="N41" i="16" s="1"/>
  <c r="L42" i="16"/>
  <c r="U114" i="16" l="1"/>
  <c r="Y114" i="16"/>
  <c r="AQ114" i="16"/>
  <c r="AB114" i="16"/>
  <c r="AJ114" i="16"/>
  <c r="X115" i="16"/>
  <c r="Y115" i="16" s="1"/>
  <c r="S115" i="16"/>
  <c r="T115" i="16"/>
  <c r="AP115" i="16"/>
  <c r="AA115" i="16"/>
  <c r="AB115" i="16" s="1"/>
  <c r="AC115" i="16" s="1"/>
  <c r="AI115" i="16"/>
  <c r="M115" i="16"/>
  <c r="N115" i="16" s="1"/>
  <c r="L116" i="16"/>
  <c r="K117" i="16"/>
  <c r="Y41" i="16"/>
  <c r="U41" i="16"/>
  <c r="AQ41" i="16"/>
  <c r="AB41" i="16"/>
  <c r="AJ41" i="16"/>
  <c r="L43" i="16"/>
  <c r="S42" i="16"/>
  <c r="X42" i="16"/>
  <c r="M42" i="16"/>
  <c r="N42" i="16" s="1"/>
  <c r="AI42" i="16"/>
  <c r="T42" i="16"/>
  <c r="AP42" i="16"/>
  <c r="AA42" i="16"/>
  <c r="U115" i="16" l="1"/>
  <c r="AJ115" i="16"/>
  <c r="AQ115" i="16"/>
  <c r="L117" i="16"/>
  <c r="K118" i="16"/>
  <c r="S116" i="16"/>
  <c r="T116" i="16"/>
  <c r="M116" i="16"/>
  <c r="N116" i="16" s="1"/>
  <c r="AA116" i="16"/>
  <c r="AI116" i="16"/>
  <c r="AJ116" i="16" s="1"/>
  <c r="AK116" i="16" s="1"/>
  <c r="X116" i="16"/>
  <c r="AP116" i="16"/>
  <c r="Y42" i="16"/>
  <c r="U42" i="16"/>
  <c r="AB42" i="16"/>
  <c r="AQ42" i="16"/>
  <c r="AJ42" i="16"/>
  <c r="AI43" i="16"/>
  <c r="T43" i="16"/>
  <c r="S43" i="16"/>
  <c r="AP43" i="16"/>
  <c r="AA43" i="16"/>
  <c r="X43" i="16"/>
  <c r="M43" i="16"/>
  <c r="N43" i="16" s="1"/>
  <c r="L44" i="16"/>
  <c r="U116" i="16" l="1"/>
  <c r="Y116" i="16"/>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T119" i="16"/>
  <c r="AA119" i="16"/>
  <c r="L120" i="16"/>
  <c r="K121" i="16"/>
  <c r="Y45" i="16"/>
  <c r="AQ45" i="16"/>
  <c r="U45" i="16"/>
  <c r="AB45" i="16"/>
  <c r="AJ45" i="16"/>
  <c r="X46" i="16"/>
  <c r="M46" i="16"/>
  <c r="N46" i="16" s="1"/>
  <c r="AI46" i="16"/>
  <c r="T46" i="16"/>
  <c r="S46" i="16"/>
  <c r="AP46" i="16"/>
  <c r="AA46" i="16"/>
  <c r="L47" i="16"/>
  <c r="AJ119" i="16" l="1"/>
  <c r="AQ119" i="16"/>
  <c r="Y119" i="16"/>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AQ121" i="16" l="1"/>
  <c r="U121" i="16"/>
  <c r="AB121" i="16"/>
  <c r="Y121" i="16"/>
  <c r="AA122" i="16"/>
  <c r="T122" i="16"/>
  <c r="X122" i="16"/>
  <c r="M122" i="16"/>
  <c r="N122" i="16" s="1"/>
  <c r="S122" i="16"/>
  <c r="AI122" i="16"/>
  <c r="AP122" i="16"/>
  <c r="K124" i="16"/>
  <c r="L123" i="16"/>
  <c r="Y48" i="16"/>
  <c r="U48" i="16"/>
  <c r="AQ48" i="16"/>
  <c r="AB48" i="16"/>
  <c r="AJ48" i="16"/>
  <c r="AI49" i="16"/>
  <c r="T49" i="16"/>
  <c r="S49" i="16"/>
  <c r="AP49" i="16"/>
  <c r="AA49" i="16"/>
  <c r="X49" i="16"/>
  <c r="M49" i="16"/>
  <c r="N49" i="16" s="1"/>
  <c r="L50" i="16"/>
  <c r="U122" i="16" l="1"/>
  <c r="AJ122" i="16"/>
  <c r="AQ122" i="16"/>
  <c r="Y122" i="16"/>
  <c r="AB122" i="16"/>
  <c r="M123" i="16"/>
  <c r="N123" i="16" s="1"/>
  <c r="S123" i="16"/>
  <c r="AI123" i="16"/>
  <c r="AJ123" i="16" s="1"/>
  <c r="AK123" i="16" s="1"/>
  <c r="T123" i="16"/>
  <c r="X123" i="16"/>
  <c r="AA123" i="16"/>
  <c r="AP123" i="16"/>
  <c r="K125" i="16"/>
  <c r="L124" i="16"/>
  <c r="Y49" i="16"/>
  <c r="AQ49" i="16"/>
  <c r="AB49" i="16"/>
  <c r="AJ49" i="16"/>
  <c r="U49" i="16"/>
  <c r="L51" i="16"/>
  <c r="S50" i="16"/>
  <c r="AP50" i="16"/>
  <c r="AA50" i="16"/>
  <c r="X50" i="16"/>
  <c r="M50" i="16"/>
  <c r="N50" i="16" s="1"/>
  <c r="AI50" i="16"/>
  <c r="T50" i="16"/>
  <c r="Y50" i="16" l="1"/>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Q125" i="16"/>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X128" i="16"/>
  <c r="AP128" i="16"/>
  <c r="T128" i="16"/>
  <c r="M128" i="16"/>
  <c r="N128" i="16" s="1"/>
  <c r="S128" i="16"/>
  <c r="L129" i="16"/>
  <c r="K130" i="16"/>
  <c r="Y54" i="16"/>
  <c r="AB54" i="16"/>
  <c r="U54" i="16"/>
  <c r="AQ54" i="16"/>
  <c r="AJ54" i="16"/>
  <c r="AI55" i="16"/>
  <c r="T55" i="16"/>
  <c r="S55" i="16"/>
  <c r="AP55" i="16"/>
  <c r="AA55" i="16"/>
  <c r="X55" i="16"/>
  <c r="M55" i="16"/>
  <c r="N55" i="16" s="1"/>
  <c r="L56" i="16"/>
  <c r="AJ128" i="16" l="1"/>
  <c r="Y128" i="16"/>
  <c r="AQ128" i="16"/>
  <c r="U128" i="16"/>
  <c r="AB128" i="16"/>
  <c r="L130" i="16"/>
  <c r="K131" i="16"/>
  <c r="M129" i="16"/>
  <c r="N129" i="16" s="1"/>
  <c r="AI129" i="16"/>
  <c r="AJ129" i="16" s="1"/>
  <c r="AK129" i="16" s="1"/>
  <c r="S129" i="16"/>
  <c r="T129" i="16"/>
  <c r="X129" i="16"/>
  <c r="AP129" i="16"/>
  <c r="AA129" i="16"/>
  <c r="Y55" i="16"/>
  <c r="U55" i="16"/>
  <c r="AB55" i="16"/>
  <c r="AQ55" i="16"/>
  <c r="AJ55" i="16"/>
  <c r="L57" i="16"/>
  <c r="X56" i="16"/>
  <c r="M56" i="16"/>
  <c r="N56" i="16" s="1"/>
  <c r="AI56" i="16"/>
  <c r="T56" i="16"/>
  <c r="S56" i="16"/>
  <c r="AP56" i="16"/>
  <c r="AA56" i="16"/>
  <c r="Y129" i="16" l="1"/>
  <c r="U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Y58" i="16"/>
  <c r="AB58" i="16"/>
  <c r="AQ58" i="16"/>
  <c r="U58" i="16"/>
  <c r="AJ58" i="16"/>
  <c r="L60" i="16"/>
  <c r="AI59" i="16"/>
  <c r="T59" i="16"/>
  <c r="S59" i="16"/>
  <c r="AP59" i="16"/>
  <c r="AA59" i="16"/>
  <c r="M59" i="16"/>
  <c r="N59" i="16" s="1"/>
  <c r="X59" i="16"/>
  <c r="U132" i="16" l="1"/>
  <c r="AB132" i="16"/>
  <c r="Y132" i="16"/>
  <c r="AQ132" i="16"/>
  <c r="AJ132" i="16"/>
  <c r="K135" i="16"/>
  <c r="L134" i="16"/>
  <c r="S133" i="16"/>
  <c r="T133" i="16"/>
  <c r="AA133" i="16"/>
  <c r="AP133" i="16"/>
  <c r="M133" i="16"/>
  <c r="N133" i="16" s="1"/>
  <c r="X133" i="16"/>
  <c r="AI133" i="16"/>
  <c r="Y59" i="16"/>
  <c r="AB59" i="16"/>
  <c r="U59" i="16"/>
  <c r="AQ59" i="16"/>
  <c r="AJ59" i="16"/>
  <c r="S60" i="16"/>
  <c r="AP60" i="16"/>
  <c r="AA60" i="16"/>
  <c r="X60" i="16"/>
  <c r="M60" i="16"/>
  <c r="N60" i="16" s="1"/>
  <c r="AI60" i="16"/>
  <c r="T60" i="16"/>
  <c r="L61" i="16"/>
  <c r="U133" i="16" l="1"/>
  <c r="AQ133" i="16"/>
  <c r="AJ133" i="16"/>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AJ135" i="16" s="1"/>
  <c r="AK135" i="16" s="1"/>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Q135" i="16" l="1"/>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S137" i="16"/>
  <c r="Y63" i="16"/>
  <c r="AB63" i="16"/>
  <c r="AQ63" i="16"/>
  <c r="U63" i="16"/>
  <c r="AJ63" i="16"/>
  <c r="S64" i="16"/>
  <c r="AP64" i="16"/>
  <c r="AA64" i="16"/>
  <c r="X64" i="16"/>
  <c r="M64" i="16"/>
  <c r="N64" i="16" s="1"/>
  <c r="AI64" i="16"/>
  <c r="T64" i="16"/>
  <c r="L65" i="16"/>
  <c r="AQ137" i="16" l="1"/>
  <c r="AJ137" i="16"/>
  <c r="Y137" i="16"/>
  <c r="AB137" i="16"/>
  <c r="U137" i="16"/>
  <c r="L139" i="16"/>
  <c r="K140" i="16"/>
  <c r="AP138" i="16"/>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AQ138" i="16"/>
  <c r="Y138" i="16"/>
  <c r="AB138" i="16"/>
  <c r="L140" i="16"/>
  <c r="K141" i="16"/>
  <c r="X139" i="16"/>
  <c r="M139" i="16"/>
  <c r="N139" i="16" s="1"/>
  <c r="S139" i="16"/>
  <c r="T139" i="16"/>
  <c r="AA139" i="16"/>
  <c r="AI139" i="16"/>
  <c r="AP139" i="16"/>
  <c r="Y65" i="16"/>
  <c r="U65" i="16"/>
  <c r="AB65" i="16"/>
  <c r="AQ65" i="16"/>
  <c r="AJ65" i="16"/>
  <c r="L67" i="16"/>
  <c r="S66" i="16"/>
  <c r="AP66" i="16"/>
  <c r="AA66" i="16"/>
  <c r="X66" i="16"/>
  <c r="M66" i="16"/>
  <c r="N66" i="16" s="1"/>
  <c r="AI66" i="16"/>
  <c r="T66" i="16"/>
  <c r="U139" i="16" l="1"/>
  <c r="Y139" i="16"/>
  <c r="AJ139" i="16"/>
  <c r="AB139" i="16"/>
  <c r="Y66" i="16"/>
  <c r="AQ139" i="16"/>
  <c r="K142" i="16"/>
  <c r="L141" i="16"/>
  <c r="AP140" i="16"/>
  <c r="AI140" i="16"/>
  <c r="AJ140" i="16" s="1"/>
  <c r="AK140" i="16" s="1"/>
  <c r="S140" i="16"/>
  <c r="T140" i="16"/>
  <c r="X140" i="16"/>
  <c r="AA140" i="16"/>
  <c r="M140" i="16"/>
  <c r="N140" i="16" s="1"/>
  <c r="AJ66" i="16"/>
  <c r="AB66" i="16"/>
  <c r="AQ66" i="16"/>
  <c r="U66" i="16"/>
  <c r="L68" i="16"/>
  <c r="AI67" i="16"/>
  <c r="T67" i="16"/>
  <c r="X67" i="16"/>
  <c r="M67" i="16"/>
  <c r="N67" i="16" s="1"/>
  <c r="AP67" i="16"/>
  <c r="AA67" i="16"/>
  <c r="S67" i="16"/>
  <c r="U140" i="16" l="1"/>
  <c r="Y67" i="16"/>
  <c r="Y140" i="16"/>
  <c r="AB140" i="16"/>
  <c r="AQ140" i="16"/>
  <c r="X141" i="16"/>
  <c r="AI141" i="16"/>
  <c r="S141" i="16"/>
  <c r="AP141" i="16"/>
  <c r="M141" i="16"/>
  <c r="N141" i="16" s="1"/>
  <c r="AA141" i="16"/>
  <c r="T141" i="16"/>
  <c r="K143" i="16"/>
  <c r="L142" i="16"/>
  <c r="AJ67" i="16"/>
  <c r="AQ67" i="16"/>
  <c r="AB67" i="16"/>
  <c r="U67" i="16"/>
  <c r="L69" i="16"/>
  <c r="S68" i="16"/>
  <c r="AP68" i="16"/>
  <c r="AA68" i="16"/>
  <c r="X68" i="16"/>
  <c r="M68" i="16"/>
  <c r="N68" i="16" s="1"/>
  <c r="AI68" i="16"/>
  <c r="T68" i="16"/>
  <c r="AJ141" i="16" l="1"/>
  <c r="AQ141" i="16"/>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S143" i="16"/>
  <c r="X143" i="16"/>
  <c r="AP143" i="16"/>
  <c r="T143" i="16"/>
  <c r="L144" i="16"/>
  <c r="K145" i="16"/>
  <c r="U69" i="16"/>
  <c r="AJ69" i="16"/>
  <c r="AB69" i="16"/>
  <c r="AQ69" i="16"/>
  <c r="S70" i="16"/>
  <c r="AP70" i="16"/>
  <c r="AA70" i="16"/>
  <c r="X70" i="16"/>
  <c r="M70" i="16"/>
  <c r="N70" i="16" s="1"/>
  <c r="AI70" i="16"/>
  <c r="T70" i="16"/>
  <c r="L71" i="16"/>
  <c r="AJ143" i="16" l="1"/>
  <c r="Y143" i="16"/>
  <c r="AB143" i="16"/>
  <c r="U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X145" i="16"/>
  <c r="AP145" i="16"/>
  <c r="AA145" i="16"/>
  <c r="M145" i="16"/>
  <c r="N145" i="16" s="1"/>
  <c r="T145" i="16"/>
  <c r="AJ71" i="16"/>
  <c r="U71" i="16"/>
  <c r="AB71" i="16"/>
  <c r="AQ71" i="16"/>
  <c r="L73" i="16"/>
  <c r="X72" i="16"/>
  <c r="M72" i="16"/>
  <c r="N72" i="16" s="1"/>
  <c r="AI72" i="16"/>
  <c r="T72" i="16"/>
  <c r="S72" i="16"/>
  <c r="AP72" i="16"/>
  <c r="AA72" i="16"/>
  <c r="AJ145" i="16" l="1"/>
  <c r="U145" i="16"/>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AI147" i="16"/>
  <c r="AP147" i="16"/>
  <c r="M147" i="16"/>
  <c r="N147" i="16" s="1"/>
  <c r="S147" i="16"/>
  <c r="X147" i="16"/>
  <c r="AJ73" i="16"/>
  <c r="AQ73" i="16"/>
  <c r="AB73" i="16"/>
  <c r="U73" i="16"/>
  <c r="X74" i="16"/>
  <c r="M74" i="16"/>
  <c r="N74" i="16" s="1"/>
  <c r="AI74" i="16"/>
  <c r="T74" i="16"/>
  <c r="AP74" i="16"/>
  <c r="AA74" i="16"/>
  <c r="S74" i="16"/>
  <c r="L75" i="16"/>
  <c r="U147" i="16" l="1"/>
  <c r="Y74" i="16"/>
  <c r="AB147" i="16"/>
  <c r="Y147" i="16"/>
  <c r="AJ147" i="16"/>
  <c r="AQ147" i="16"/>
  <c r="L149" i="16"/>
  <c r="K150" i="16"/>
  <c r="T148" i="16"/>
  <c r="U148" i="16" s="1"/>
  <c r="V148" i="16" s="1"/>
  <c r="AI148" i="16"/>
  <c r="M148" i="16"/>
  <c r="N148" i="16" s="1"/>
  <c r="AP148" i="16"/>
  <c r="S148" i="16"/>
  <c r="AA148" i="16"/>
  <c r="X148" i="16"/>
  <c r="AJ74" i="16"/>
  <c r="AB74" i="16"/>
  <c r="U74" i="16"/>
  <c r="AQ74" i="16"/>
  <c r="L76" i="16"/>
  <c r="AP75" i="16"/>
  <c r="AA75" i="16"/>
  <c r="S75" i="16"/>
  <c r="AI75" i="16"/>
  <c r="T75" i="16"/>
  <c r="X75" i="16"/>
  <c r="M75" i="16"/>
  <c r="N75" i="16" s="1"/>
  <c r="Y148" i="16" l="1"/>
  <c r="AB148" i="16"/>
  <c r="Y75" i="16"/>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U149" i="16" l="1"/>
  <c r="Y76"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AA151" i="16"/>
  <c r="S151" i="16"/>
  <c r="X151" i="16"/>
  <c r="AJ77" i="16"/>
  <c r="AB77" i="16"/>
  <c r="U77" i="16"/>
  <c r="AQ77" i="16"/>
  <c r="X78" i="16"/>
  <c r="M78" i="16"/>
  <c r="N78" i="16" s="1"/>
  <c r="AI78" i="16"/>
  <c r="T78" i="16"/>
  <c r="S78" i="16"/>
  <c r="AP78" i="16"/>
  <c r="AA78" i="16"/>
  <c r="L79" i="16"/>
  <c r="Y78" i="16" l="1"/>
  <c r="Y151" i="16"/>
  <c r="AB151" i="16"/>
  <c r="U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U153" i="16" s="1"/>
  <c r="V153" i="16" s="1"/>
  <c r="AA153" i="16"/>
  <c r="AI153" i="16"/>
  <c r="AJ153" i="16" s="1"/>
  <c r="AK153" i="16" s="1"/>
  <c r="AP153" i="16"/>
  <c r="AQ79" i="16"/>
  <c r="AJ79" i="16"/>
  <c r="AB79" i="16"/>
  <c r="U79" i="16"/>
  <c r="X80" i="16"/>
  <c r="M80" i="16"/>
  <c r="N80" i="16" s="1"/>
  <c r="AI80" i="16"/>
  <c r="T80" i="16"/>
  <c r="S80" i="16"/>
  <c r="AP80" i="16"/>
  <c r="AA80" i="16"/>
  <c r="L81" i="16"/>
  <c r="Y153" i="16" l="1"/>
  <c r="AB153" i="16"/>
  <c r="AQ153" i="16"/>
  <c r="Y80" i="16"/>
  <c r="L155" i="16"/>
  <c r="K156" i="16"/>
  <c r="AA154" i="16"/>
  <c r="AI154" i="16"/>
  <c r="M154" i="16"/>
  <c r="N154" i="16" s="1"/>
  <c r="AP154" i="16"/>
  <c r="S154" i="16"/>
  <c r="T154" i="16"/>
  <c r="X154" i="16"/>
  <c r="U80" i="16"/>
  <c r="AJ80" i="16"/>
  <c r="AQ80" i="16"/>
  <c r="AB80" i="16"/>
  <c r="AP81" i="16"/>
  <c r="AA81" i="16"/>
  <c r="S81" i="16"/>
  <c r="T81" i="16"/>
  <c r="X81" i="16"/>
  <c r="Y81" i="16" s="1"/>
  <c r="M81" i="16"/>
  <c r="N81" i="16" s="1"/>
  <c r="AI81" i="16"/>
  <c r="L82" i="16"/>
  <c r="AQ154" i="16" l="1"/>
  <c r="AJ154" i="16"/>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AB156" i="16" s="1"/>
  <c r="AC156" i="16" s="1"/>
  <c r="S156" i="16"/>
  <c r="AI156" i="16"/>
  <c r="AJ156" i="16" s="1"/>
  <c r="AK156" i="16" s="1"/>
  <c r="T156" i="16"/>
  <c r="U156" i="16" s="1"/>
  <c r="V156" i="16" s="1"/>
  <c r="AJ82" i="16"/>
  <c r="AQ82" i="16"/>
  <c r="AB82" i="16"/>
  <c r="U82" i="16"/>
  <c r="AP83" i="16"/>
  <c r="AA83" i="16"/>
  <c r="S83" i="16"/>
  <c r="AI83" i="16"/>
  <c r="T83" i="16"/>
  <c r="X83" i="16"/>
  <c r="M83" i="16"/>
  <c r="N83" i="16" s="1"/>
  <c r="L84" i="16"/>
  <c r="AQ156" i="16" l="1"/>
  <c r="Y83" i="16"/>
  <c r="K159" i="16"/>
  <c r="L158" i="16"/>
  <c r="X157" i="16"/>
  <c r="M157" i="16"/>
  <c r="N157" i="16" s="1"/>
  <c r="AA157" i="16"/>
  <c r="AP157" i="16"/>
  <c r="S157" i="16"/>
  <c r="T157" i="16"/>
  <c r="AI157" i="16"/>
  <c r="AJ83" i="16"/>
  <c r="AQ83" i="16"/>
  <c r="U83" i="16"/>
  <c r="AB83" i="16"/>
  <c r="S84" i="16"/>
  <c r="AP84" i="16"/>
  <c r="AA84" i="16"/>
  <c r="X84" i="16"/>
  <c r="M84" i="16"/>
  <c r="N84" i="16" s="1"/>
  <c r="AI84" i="16"/>
  <c r="T84" i="16"/>
  <c r="L85" i="16"/>
  <c r="AJ157" i="16" l="1"/>
  <c r="U157" i="16"/>
  <c r="AQ157" i="16"/>
  <c r="Y157" i="16"/>
  <c r="AB157" i="16"/>
  <c r="Y84" i="16"/>
  <c r="M158" i="16"/>
  <c r="N158" i="16" s="1"/>
  <c r="AA158" i="16"/>
  <c r="AI158" i="16"/>
  <c r="T158" i="16"/>
  <c r="X158" i="16"/>
  <c r="AP158" i="16"/>
  <c r="S158" i="16"/>
  <c r="K160" i="16"/>
  <c r="L159" i="16"/>
  <c r="U84" i="16"/>
  <c r="AJ84" i="16"/>
  <c r="AB84" i="16"/>
  <c r="AQ84" i="16"/>
  <c r="AP85" i="16"/>
  <c r="AA85" i="16"/>
  <c r="S85" i="16"/>
  <c r="AI85" i="16"/>
  <c r="T85" i="16"/>
  <c r="X85" i="16"/>
  <c r="M85" i="16"/>
  <c r="N85" i="16" s="1"/>
  <c r="AQ158" i="16" l="1"/>
  <c r="AJ158" i="16"/>
  <c r="U158" i="16"/>
  <c r="Y85" i="16"/>
  <c r="Y158" i="16"/>
  <c r="AB158" i="16"/>
  <c r="Z86" i="16"/>
  <c r="Z115" i="16"/>
  <c r="Z156"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AJ162" i="16" s="1"/>
  <c r="S162" i="16"/>
  <c r="AP162" i="16"/>
  <c r="M162" i="16"/>
  <c r="N162" i="16" s="1"/>
  <c r="T162" i="16"/>
  <c r="X162" i="16"/>
  <c r="AQ162" i="16" l="1"/>
  <c r="AK162" i="16"/>
  <c r="Y162" i="16"/>
  <c r="AB162" i="16"/>
  <c r="U162" i="16"/>
  <c r="L164" i="16"/>
  <c r="K165" i="16"/>
  <c r="M163" i="16"/>
  <c r="N163" i="16" s="1"/>
  <c r="AI163" i="16"/>
  <c r="AJ163" i="16" s="1"/>
  <c r="AK163" i="16" s="1"/>
  <c r="X163" i="16"/>
  <c r="AA163" i="16"/>
  <c r="S163" i="16"/>
  <c r="AP163" i="16"/>
  <c r="T163" i="16"/>
  <c r="Z81" i="16"/>
  <c r="Z17" i="16"/>
  <c r="Z45" i="16"/>
  <c r="AQ163" i="16" l="1"/>
  <c r="AB163" i="16"/>
  <c r="Y163" i="16"/>
  <c r="U163" i="16"/>
  <c r="K166" i="16"/>
  <c r="L165" i="16"/>
  <c r="AP164" i="16"/>
  <c r="AA164" i="16"/>
  <c r="M164" i="16"/>
  <c r="N164" i="16" s="1"/>
  <c r="AI164" i="16"/>
  <c r="S164" i="16"/>
  <c r="T164" i="16"/>
  <c r="U164" i="16" s="1"/>
  <c r="V164" i="16" s="1"/>
  <c r="X164" i="16"/>
  <c r="AK49" i="16"/>
  <c r="AK34" i="16"/>
  <c r="AK41" i="16"/>
  <c r="AK17" i="16"/>
  <c r="AK28" i="16"/>
  <c r="AK52" i="16"/>
  <c r="AK80" i="16"/>
  <c r="V43" i="16"/>
  <c r="V63" i="16"/>
  <c r="V73" i="16"/>
  <c r="V81" i="16"/>
  <c r="V35" i="16"/>
  <c r="V30" i="16"/>
  <c r="V54" i="16"/>
  <c r="AK79" i="16"/>
  <c r="AK71" i="16"/>
  <c r="AK81" i="16"/>
  <c r="AK73" i="16"/>
  <c r="AK72" i="16"/>
  <c r="AK75" i="16"/>
  <c r="AK57" i="16"/>
  <c r="AK45" i="16"/>
  <c r="AK61" i="16"/>
  <c r="AK37" i="16"/>
  <c r="AK64" i="16"/>
  <c r="AK76" i="16"/>
  <c r="AK18" i="16"/>
  <c r="AK46" i="16"/>
  <c r="AK38" i="16"/>
  <c r="AK39" i="16"/>
  <c r="AK54" i="16"/>
  <c r="AK62" i="16"/>
  <c r="AK14" i="16"/>
  <c r="AK16" i="16"/>
  <c r="AK25" i="16"/>
  <c r="AK47" i="16"/>
  <c r="AK43" i="16"/>
  <c r="Y164" i="16" l="1"/>
  <c r="AJ164" i="16"/>
  <c r="AQ164" i="16"/>
  <c r="X165" i="16"/>
  <c r="S165" i="16"/>
  <c r="AP165" i="16"/>
  <c r="T165" i="16"/>
  <c r="AA165" i="16"/>
  <c r="M165" i="16"/>
  <c r="N165" i="16" s="1"/>
  <c r="AI165" i="16"/>
  <c r="AJ165" i="16" s="1"/>
  <c r="K167" i="16"/>
  <c r="L166" i="16"/>
  <c r="AB164" i="16"/>
  <c r="AC45" i="16"/>
  <c r="AC81" i="16"/>
  <c r="U165" i="16" l="1"/>
  <c r="AQ165" i="16"/>
  <c r="Y165"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T167" i="16"/>
  <c r="U167" i="16" s="1"/>
  <c r="L168" i="16"/>
  <c r="K169" i="16"/>
  <c r="AK167" i="16" l="1"/>
  <c r="AQ167" i="16"/>
  <c r="Y167" i="16"/>
  <c r="V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AA172" i="16"/>
  <c r="M172" i="16"/>
  <c r="N172" i="16" s="1"/>
  <c r="AI172" i="16"/>
  <c r="U172" i="16" l="1"/>
  <c r="Y172" i="16"/>
  <c r="AQ172" i="16"/>
  <c r="AJ172" i="16"/>
  <c r="X173" i="16"/>
  <c r="AP173" i="16"/>
  <c r="M173" i="16"/>
  <c r="N173" i="16" s="1"/>
  <c r="AA173" i="16"/>
  <c r="AI173" i="16"/>
  <c r="S173" i="16"/>
  <c r="T173" i="16"/>
  <c r="AB172" i="16"/>
  <c r="L174" i="16"/>
  <c r="K175" i="16"/>
  <c r="AQ173" i="16" l="1"/>
  <c r="Y173" i="16"/>
  <c r="AJ173" i="16"/>
  <c r="U173" i="16"/>
  <c r="L175" i="16"/>
  <c r="K176" i="16"/>
  <c r="AA174" i="16"/>
  <c r="X174" i="16"/>
  <c r="AP174" i="16"/>
  <c r="S174" i="16"/>
  <c r="T174" i="16"/>
  <c r="U174" i="16" s="1"/>
  <c r="V174" i="16" s="1"/>
  <c r="M174" i="16"/>
  <c r="N174" i="16" s="1"/>
  <c r="AI174" i="16"/>
  <c r="AJ174" i="16" s="1"/>
  <c r="AK174" i="16" s="1"/>
  <c r="AB173" i="16"/>
  <c r="AQ174" i="16" l="1"/>
  <c r="Y174" i="16"/>
  <c r="AB174" i="16"/>
  <c r="L176" i="16"/>
  <c r="K177" i="16"/>
  <c r="AP175" i="16"/>
  <c r="AA175" i="16"/>
  <c r="T175" i="16"/>
  <c r="AI175" i="16"/>
  <c r="AJ175" i="16" s="1"/>
  <c r="AK175" i="16" s="1"/>
  <c r="M175" i="16"/>
  <c r="N175" i="16" s="1"/>
  <c r="X175" i="16"/>
  <c r="S175" i="16"/>
  <c r="AQ175" i="16" l="1"/>
  <c r="Y175" i="16"/>
  <c r="U175" i="16"/>
  <c r="AB175" i="16"/>
  <c r="L177" i="16"/>
  <c r="K178" i="16"/>
  <c r="X176" i="16"/>
  <c r="M176" i="16"/>
  <c r="N176" i="16" s="1"/>
  <c r="S176" i="16"/>
  <c r="T176" i="16"/>
  <c r="AA176" i="16"/>
  <c r="AI176" i="16"/>
  <c r="AJ176" i="16" s="1"/>
  <c r="AK176" i="16" s="1"/>
  <c r="AP176" i="16"/>
  <c r="U176" i="16" l="1"/>
  <c r="Y176" i="16"/>
  <c r="AB176" i="16"/>
  <c r="AQ176" i="16"/>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T180" i="16"/>
  <c r="AA180" i="16"/>
  <c r="L181" i="16"/>
  <c r="K182" i="16"/>
  <c r="AJ180" i="16" l="1"/>
  <c r="AQ180" i="16"/>
  <c r="Y180" i="16"/>
  <c r="AB180" i="16"/>
  <c r="U180" i="16"/>
  <c r="K183" i="16"/>
  <c r="L182" i="16"/>
  <c r="AI181" i="16"/>
  <c r="T181" i="16"/>
  <c r="X181" i="16"/>
  <c r="M181" i="16"/>
  <c r="N181" i="16" s="1"/>
  <c r="AP181" i="16"/>
  <c r="S181" i="16"/>
  <c r="AA181" i="16"/>
  <c r="AQ181" i="16" l="1"/>
  <c r="AJ181" i="16"/>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S185" i="16"/>
  <c r="AP185" i="16"/>
  <c r="X185" i="16"/>
  <c r="AA185" i="16"/>
  <c r="M185" i="16"/>
  <c r="N185" i="16" s="1"/>
  <c r="T185" i="16"/>
  <c r="AJ185" i="16" l="1"/>
  <c r="AQ185" i="16"/>
  <c r="Y185" i="16"/>
  <c r="AB185" i="16"/>
  <c r="U185" i="16"/>
  <c r="AI186" i="16"/>
  <c r="AJ186" i="16" s="1"/>
  <c r="X186" i="16"/>
  <c r="Y186" i="16" s="1"/>
  <c r="Z186" i="16" s="1"/>
  <c r="S186" i="16"/>
  <c r="AP186" i="16"/>
  <c r="T186" i="16"/>
  <c r="U186" i="16" s="1"/>
  <c r="V186" i="16" s="1"/>
  <c r="AA186" i="16"/>
  <c r="M186" i="16"/>
  <c r="N186" i="16" s="1"/>
  <c r="K188" i="16"/>
  <c r="L187" i="16"/>
  <c r="AB186" i="16" l="1"/>
  <c r="AQ186" i="16"/>
  <c r="AK186" i="16"/>
  <c r="AA187" i="16"/>
  <c r="M187" i="16"/>
  <c r="N187" i="16" s="1"/>
  <c r="S187" i="16"/>
  <c r="AP187" i="16"/>
  <c r="AQ187" i="16" s="1"/>
  <c r="T187" i="16"/>
  <c r="AI187" i="16"/>
  <c r="AJ187" i="16" s="1"/>
  <c r="AK187" i="16" s="1"/>
  <c r="X187" i="16"/>
  <c r="L188" i="16"/>
  <c r="K189" i="16"/>
  <c r="U187" i="16" l="1"/>
  <c r="AB187" i="16"/>
  <c r="Y187" i="16"/>
  <c r="AR187" i="16"/>
  <c r="L189" i="16"/>
  <c r="K190" i="16"/>
  <c r="M188" i="16"/>
  <c r="N188" i="16" s="1"/>
  <c r="S188" i="16"/>
  <c r="AP188" i="16"/>
  <c r="T188" i="16"/>
  <c r="U188" i="16" s="1"/>
  <c r="X188" i="16"/>
  <c r="AA188" i="16"/>
  <c r="AI188" i="16"/>
  <c r="Y188" i="16" l="1"/>
  <c r="AB188" i="16"/>
  <c r="AQ188" i="16"/>
  <c r="AJ188" i="16"/>
  <c r="V188" i="16"/>
  <c r="K191" i="16"/>
  <c r="L190" i="16"/>
  <c r="AP189" i="16"/>
  <c r="AQ189" i="16" s="1"/>
  <c r="AA189" i="16"/>
  <c r="T189" i="16"/>
  <c r="M189" i="16"/>
  <c r="N189" i="16" s="1"/>
  <c r="AI189" i="16"/>
  <c r="AJ189" i="16" s="1"/>
  <c r="AK189" i="16" s="1"/>
  <c r="S189" i="16"/>
  <c r="X189" i="16"/>
  <c r="Y189" i="16" l="1"/>
  <c r="AB189" i="16"/>
  <c r="U189" i="16"/>
  <c r="AR189" i="16"/>
  <c r="X190" i="16"/>
  <c r="S190" i="16"/>
  <c r="T190" i="16"/>
  <c r="U190" i="16" s="1"/>
  <c r="V190" i="16" s="1"/>
  <c r="AP190" i="16"/>
  <c r="AQ190" i="16" s="1"/>
  <c r="M190" i="16"/>
  <c r="N190" i="16" s="1"/>
  <c r="AA190" i="16"/>
  <c r="AI190" i="16"/>
  <c r="AJ190" i="16" s="1"/>
  <c r="L191" i="16"/>
  <c r="K192" i="16"/>
  <c r="Y190" i="16" l="1"/>
  <c r="AB190" i="16"/>
  <c r="AR190" i="16"/>
  <c r="AK190" i="16"/>
  <c r="K193" i="16"/>
  <c r="L192" i="16"/>
  <c r="T191" i="16"/>
  <c r="U191" i="16" s="1"/>
  <c r="X191" i="16"/>
  <c r="Y191" i="16" s="1"/>
  <c r="Z191" i="16" s="1"/>
  <c r="AP191" i="16"/>
  <c r="AA191" i="16"/>
  <c r="AB191" i="16" s="1"/>
  <c r="AI191" i="16"/>
  <c r="AJ191" i="16" s="1"/>
  <c r="AK191" i="16" s="1"/>
  <c r="M191" i="16"/>
  <c r="N191" i="16" s="1"/>
  <c r="S191" i="16"/>
  <c r="AQ191" i="16" l="1"/>
  <c r="V191" i="16"/>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S193" i="16"/>
  <c r="T193" i="16"/>
  <c r="U193" i="16" s="1"/>
  <c r="V193" i="16" s="1"/>
  <c r="AP193" i="16"/>
  <c r="AQ193" i="16" s="1"/>
  <c r="M193" i="16"/>
  <c r="N193" i="16"/>
  <c r="X193" i="16"/>
  <c r="Y193" i="16" s="1"/>
  <c r="Z193" i="16" s="1"/>
  <c r="AA193" i="16"/>
  <c r="AB193" i="16" s="1"/>
  <c r="AC193" i="16" l="1"/>
  <c r="AR193" i="16"/>
  <c r="AK193" i="16"/>
  <c r="AI194" i="16"/>
  <c r="AJ194" i="16" s="1"/>
  <c r="AK194" i="16" s="1"/>
  <c r="S194" i="16"/>
  <c r="T194" i="16"/>
  <c r="U194" i="16" s="1"/>
  <c r="V194" i="16" s="1"/>
  <c r="X194" i="16"/>
  <c r="Y194" i="16" s="1"/>
  <c r="Z194" i="16" s="1"/>
  <c r="N194" i="16"/>
  <c r="AA194" i="16"/>
  <c r="AB194" i="16" s="1"/>
  <c r="AC194" i="16" s="1"/>
  <c r="M194" i="16"/>
  <c r="AP194" i="16"/>
  <c r="AQ194" i="16" s="1"/>
  <c r="K196" i="16"/>
  <c r="L195" i="16"/>
  <c r="AR194" i="16" l="1"/>
  <c r="AI195" i="16"/>
  <c r="AJ195" i="16" s="1"/>
  <c r="AK195" i="16" s="1"/>
  <c r="S195" i="16"/>
  <c r="T195" i="16"/>
  <c r="U195" i="16" s="1"/>
  <c r="V195" i="16" s="1"/>
  <c r="M195" i="16"/>
  <c r="AA195" i="16"/>
  <c r="AB195" i="16" s="1"/>
  <c r="AC195" i="16" s="1"/>
  <c r="AP195" i="16"/>
  <c r="AQ195" i="16" s="1"/>
  <c r="N195" i="16"/>
  <c r="X195" i="16"/>
  <c r="Y195" i="16" s="1"/>
  <c r="Z195" i="16" s="1"/>
  <c r="L196" i="16"/>
  <c r="K197" i="16"/>
  <c r="AR195" i="16" l="1"/>
  <c r="K198" i="16"/>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S197" i="16"/>
  <c r="AI197" i="16"/>
  <c r="AJ197" i="16" s="1"/>
  <c r="AK197" i="16" s="1"/>
  <c r="K199" i="16"/>
  <c r="L198" i="16"/>
  <c r="AR197" i="16" l="1"/>
  <c r="M198" i="16"/>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AR20" i="16" s="1"/>
  <c r="M343" i="16"/>
  <c r="N343" i="16"/>
  <c r="AA343" i="16"/>
  <c r="AI343" i="16"/>
  <c r="AJ343" i="16" s="1"/>
  <c r="AK145"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20" i="16" l="1"/>
  <c r="AK68" i="16"/>
  <c r="AK36" i="16"/>
  <c r="AK29" i="16"/>
  <c r="Z59" i="16"/>
  <c r="Z65" i="16"/>
  <c r="AK119" i="16"/>
  <c r="AK22" i="16"/>
  <c r="AK60" i="16"/>
  <c r="Z139" i="16"/>
  <c r="Z91" i="16"/>
  <c r="Z41" i="16"/>
  <c r="Z164" i="16"/>
  <c r="V111" i="16"/>
  <c r="V133" i="16"/>
  <c r="V139" i="16"/>
  <c r="V138" i="16"/>
  <c r="V41" i="16"/>
  <c r="V47" i="16"/>
  <c r="AK84" i="16"/>
  <c r="AR46" i="16"/>
  <c r="Z111" i="16"/>
  <c r="Z161" i="16"/>
  <c r="AK139" i="16"/>
  <c r="AK154" i="16"/>
  <c r="AK164" i="16"/>
  <c r="AK51" i="16"/>
  <c r="AR154" i="16"/>
  <c r="AR164" i="16"/>
  <c r="V95" i="16"/>
  <c r="V104" i="16"/>
  <c r="V147" i="16"/>
  <c r="V70" i="16"/>
  <c r="V65" i="16"/>
  <c r="V25" i="16"/>
  <c r="AK78" i="16"/>
  <c r="AK109" i="16"/>
  <c r="AK74" i="16"/>
  <c r="AK166" i="16"/>
  <c r="Z104" i="16"/>
  <c r="Z30" i="16"/>
  <c r="V107" i="16"/>
  <c r="V113" i="16"/>
  <c r="V161" i="16"/>
  <c r="V31" i="16"/>
  <c r="V59" i="16"/>
  <c r="V78" i="16"/>
  <c r="V22" i="16"/>
  <c r="V83" i="16"/>
  <c r="Z153" i="16"/>
  <c r="Z78" i="16"/>
  <c r="Z43" i="16"/>
  <c r="AK33" i="16"/>
  <c r="AK93" i="16"/>
  <c r="AK65" i="16"/>
  <c r="AR97" i="16"/>
  <c r="AR130" i="16"/>
  <c r="AR25" i="16"/>
  <c r="AR65" i="16"/>
  <c r="AR34" i="16"/>
  <c r="AR191" i="16"/>
  <c r="Z92" i="16"/>
  <c r="Z148" i="16"/>
  <c r="Z37" i="16"/>
  <c r="Z188" i="16"/>
  <c r="Z189" i="16"/>
  <c r="AR71" i="16"/>
  <c r="AR49" i="16"/>
  <c r="V90" i="16"/>
  <c r="V94" i="16"/>
  <c r="V103" i="16"/>
  <c r="V116" i="16"/>
  <c r="V122" i="16"/>
  <c r="V140" i="16"/>
  <c r="V149" i="16"/>
  <c r="V155" i="16"/>
  <c r="V74" i="16"/>
  <c r="V60" i="16"/>
  <c r="V72" i="16"/>
  <c r="V172" i="16"/>
  <c r="V176" i="16"/>
  <c r="V183" i="16"/>
  <c r="V187" i="16"/>
  <c r="AK128" i="16"/>
  <c r="AK143" i="16"/>
  <c r="AK150" i="16"/>
  <c r="AK185" i="16"/>
  <c r="AR138" i="16"/>
  <c r="AR150" i="16"/>
  <c r="AR185" i="16"/>
  <c r="AR186" i="16"/>
  <c r="Z90" i="16"/>
  <c r="Z76" i="16"/>
  <c r="Z63" i="16"/>
  <c r="Z54" i="16"/>
  <c r="Z172" i="16"/>
  <c r="AK87" i="16"/>
  <c r="AK105" i="16"/>
  <c r="AK106" i="16"/>
  <c r="AK122" i="16"/>
  <c r="AK141" i="16"/>
  <c r="AK77" i="16"/>
  <c r="AK44" i="16"/>
  <c r="AK59" i="16"/>
  <c r="AK181" i="16"/>
  <c r="AR105" i="16"/>
  <c r="AR106" i="16"/>
  <c r="AR122" i="16"/>
  <c r="AR141" i="16"/>
  <c r="AR156" i="16"/>
  <c r="AR77" i="16"/>
  <c r="AR14" i="16"/>
  <c r="AR181" i="16"/>
  <c r="AR184" i="16"/>
  <c r="Z87" i="16"/>
  <c r="Z151" i="16"/>
  <c r="Z36" i="16"/>
  <c r="Z79" i="16"/>
  <c r="Z18" i="16"/>
  <c r="Z176" i="16"/>
  <c r="Z185" i="16"/>
  <c r="Z190" i="16"/>
  <c r="V98" i="16"/>
  <c r="V100" i="16"/>
  <c r="V115" i="16"/>
  <c r="V114" i="16"/>
  <c r="V129" i="16"/>
  <c r="V132" i="16"/>
  <c r="V143" i="16"/>
  <c r="V151" i="16"/>
  <c r="V154" i="16"/>
  <c r="V157" i="16"/>
  <c r="V68" i="16"/>
  <c r="V52" i="16"/>
  <c r="V79" i="16"/>
  <c r="V46" i="16"/>
  <c r="V53" i="16"/>
  <c r="V57" i="16"/>
  <c r="V50" i="16"/>
  <c r="V76" i="16"/>
  <c r="V51" i="16"/>
  <c r="V39" i="16"/>
  <c r="V38" i="16"/>
  <c r="V40" i="16"/>
  <c r="V36" i="16"/>
  <c r="V84" i="16"/>
  <c r="V69" i="16"/>
  <c r="V37" i="16"/>
  <c r="V171" i="16"/>
  <c r="V185" i="16"/>
  <c r="V189" i="16"/>
  <c r="AK112" i="16"/>
  <c r="AK133" i="16"/>
  <c r="AK188" i="16"/>
  <c r="AR111" i="16"/>
  <c r="AR112" i="16"/>
  <c r="AR121" i="16"/>
  <c r="AR133" i="16"/>
  <c r="AR188" i="16"/>
  <c r="Z157" i="16"/>
  <c r="Z129" i="16"/>
  <c r="Z143" i="16"/>
  <c r="Z40" i="16"/>
  <c r="Z52" i="16"/>
  <c r="Z50" i="16"/>
  <c r="Z20" i="16"/>
  <c r="Z69" i="16"/>
  <c r="Z84" i="16"/>
  <c r="Z187" i="16"/>
  <c r="M9" i="16"/>
  <c r="L37" i="8" s="1"/>
  <c r="K37" i="8" s="1"/>
  <c r="AK115" i="16"/>
  <c r="AK21" i="16"/>
  <c r="AK27" i="16"/>
  <c r="AK32" i="16"/>
  <c r="AK24" i="16"/>
  <c r="AK56" i="16"/>
  <c r="AK11" i="16"/>
  <c r="AK42" i="16"/>
  <c r="AK26" i="16"/>
  <c r="AK48" i="16"/>
  <c r="AK12" i="16"/>
  <c r="AK85" i="16"/>
  <c r="AK63" i="16"/>
  <c r="AR24" i="16"/>
  <c r="AR21" i="16"/>
  <c r="AR56"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AC91" i="16" l="1"/>
  <c r="AC41" i="16"/>
  <c r="AC164" i="16"/>
  <c r="AC104" i="16"/>
  <c r="AC65" i="16"/>
  <c r="AC59" i="16"/>
  <c r="AC111" i="16"/>
  <c r="AC139" i="16"/>
  <c r="AC153" i="16"/>
  <c r="AC161" i="16"/>
  <c r="AC78" i="16"/>
  <c r="AC30" i="16"/>
  <c r="AC43" i="16"/>
  <c r="AC186" i="16"/>
  <c r="AC90" i="16"/>
  <c r="AC92" i="16"/>
  <c r="AC148" i="16"/>
  <c r="AC63" i="16"/>
  <c r="AC76" i="16"/>
  <c r="AC54" i="16"/>
  <c r="AC37" i="16"/>
  <c r="AC172" i="16"/>
  <c r="AC188" i="16"/>
  <c r="AC189" i="16"/>
  <c r="E49" i="8"/>
  <c r="AC87" i="16"/>
  <c r="AC129" i="16"/>
  <c r="AC143" i="16"/>
  <c r="AC151" i="16"/>
  <c r="AC157" i="16"/>
  <c r="AC40" i="16"/>
  <c r="AC20" i="16"/>
  <c r="AC52" i="16"/>
  <c r="AC79" i="16"/>
  <c r="AC69" i="16"/>
  <c r="AC50" i="16"/>
  <c r="AC36" i="16"/>
  <c r="AC84" i="16"/>
  <c r="AC176" i="16"/>
  <c r="AC185" i="16"/>
  <c r="AC187" i="16"/>
  <c r="AC190" i="16"/>
  <c r="Q38" i="8"/>
  <c r="K38" i="8" s="1"/>
  <c r="V38" i="8"/>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AL13" i="16"/>
  <c r="AM12" i="16"/>
  <c r="AN12" i="16" s="1"/>
  <c r="B93" i="8"/>
  <c r="AT12" i="16"/>
  <c r="AU12" i="16" s="1"/>
  <c r="AS13" i="16"/>
  <c r="K39" i="8" l="1"/>
  <c r="E50" i="8"/>
  <c r="U93" i="8"/>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<sst xmlns="http://schemas.openxmlformats.org/spreadsheetml/2006/main" count="9640" uniqueCount="913">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</sst>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left"/>
    </xf>
    <xf numFmtId="0" fontId="11" fillId="0" borderId="0" xfId="0" applyFont="1" applyAlignment="1">
      <alignment horizontal="left"/>
    </xf>
    <xf numFmtId="0" fontId="23" fillId="0" borderId="0" xfId="0" applyFont="1" applyAlignment="1">
      <alignment horizontal="center"/>
    </xf>
    <xf numFmtId="0" fontId="11" fillId="21" borderId="0" xfId="0" applyFont="1" applyFill="1" applyAlignment="1">
      <alignment horizontal="center"/>
    </xf>
    <xf numFmtId="0" fontId="11" fillId="0" borderId="0" xfId="0" applyFont="1" applyAlignment="1">
      <alignment horizontal="center"/>
    </xf>
    <xf numFmtId="2" fontId="11" fillId="21" borderId="0" xfId="4" applyNumberFormat="1" applyFont="1" applyFill="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7"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1" fontId="12" fillId="0" borderId="4" xfId="4" applyNumberFormat="1" applyFont="1" applyBorder="1" applyAlignment="1">
      <alignment horizontal="center"/>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0" fillId="0" borderId="0" xfId="0" applyFont="1" applyAlignment="1">
      <alignment horizontal="left"/>
    </xf>
    <xf numFmtId="2" fontId="0" fillId="0" borderId="0" xfId="0" applyNumberFormat="1" applyAlignment="1">
      <alignment horizontal="center"/>
    </xf>
    <xf numFmtId="0" fontId="0" fillId="0" borderId="0" xfId="0" quotePrefix="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0" fillId="21" borderId="0" xfId="0" applyFill="1" applyAlignment="1">
      <alignment horizontal="left"/>
    </xf>
    <xf numFmtId="164" fontId="0" fillId="0" borderId="6" xfId="54" applyNumberFormat="1" applyFont="1" applyBorder="1" applyAlignment="1">
      <alignment horizontal="center"/>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43" fontId="0" fillId="0" borderId="6" xfId="54" applyFont="1" applyBorder="1" applyAlignment="1">
      <alignment horizontal="center"/>
    </xf>
    <xf numFmtId="164" fontId="0" fillId="0" borderId="0" xfId="54" applyNumberFormat="1" applyFont="1" applyBorder="1" applyAlignment="1">
      <alignment horizontal="center"/>
    </xf>
    <xf numFmtId="164" fontId="0" fillId="0" borderId="15" xfId="54" applyNumberFormat="1"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26" fillId="23" borderId="0" xfId="0" applyFont="1" applyFill="1" applyAlignment="1">
      <alignment horizontal="center" vertical="center"/>
    </xf>
    <xf numFmtId="2" fontId="11" fillId="0" borderId="0" xfId="4" applyNumberFormat="1" applyFont="1" applyAlignment="1">
      <alignment horizontal="center"/>
    </xf>
    <xf numFmtId="2" fontId="11" fillId="0" borderId="0" xfId="4" applyNumberFormat="1" applyFont="1" applyAlignment="1">
      <alignment horizontal="right"/>
    </xf>
    <xf numFmtId="166" fontId="0" fillId="0" borderId="0" xfId="54" applyNumberFormat="1" applyFont="1" applyAlignment="1">
      <alignment horizontal="center"/>
    </xf>
    <xf numFmtId="0" fontId="28" fillId="23" borderId="0" xfId="0" quotePrefix="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6"/>
                <c:pt idx="155">
                  <c:v>u</c:v>
                </c:pt>
              </c:strCache>
            </c:strRef>
          </c:cat>
          <c:val>
            <c:numRef>
              <c:f>[0]!TopQuart</c:f>
              <c:numCache>
                <c:formatCode>General</c:formatCode>
                <c:ptCount val="175"/>
                <c:pt idx="0">
                  <c:v>255.7</c:v>
                </c:pt>
                <c:pt idx="1">
                  <c:v>292.89999999999998</c:v>
                </c:pt>
                <c:pt idx="2">
                  <c:v>293.3</c:v>
                </c:pt>
                <c:pt idx="3">
                  <c:v>303.8</c:v>
                </c:pt>
                <c:pt idx="4">
                  <c:v>307.8</c:v>
                </c:pt>
                <c:pt idx="5">
                  <c:v>316.2</c:v>
                </c:pt>
                <c:pt idx="6">
                  <c:v>318.2</c:v>
                </c:pt>
                <c:pt idx="7">
                  <c:v>319.60000000000002</c:v>
                </c:pt>
                <c:pt idx="8">
                  <c:v>321.7</c:v>
                </c:pt>
                <c:pt idx="9">
                  <c:v>324.8</c:v>
                </c:pt>
                <c:pt idx="10">
                  <c:v>327</c:v>
                </c:pt>
                <c:pt idx="11">
                  <c:v>329.8</c:v>
                </c:pt>
                <c:pt idx="12">
                  <c:v>333.9</c:v>
                </c:pt>
                <c:pt idx="13">
                  <c:v>334.5</c:v>
                </c:pt>
                <c:pt idx="14">
                  <c:v>335.9</c:v>
                </c:pt>
                <c:pt idx="15">
                  <c:v>337.4</c:v>
                </c:pt>
                <c:pt idx="16">
                  <c:v>341.5</c:v>
                </c:pt>
                <c:pt idx="17">
                  <c:v>342.4</c:v>
                </c:pt>
                <c:pt idx="18">
                  <c:v>347</c:v>
                </c:pt>
                <c:pt idx="19">
                  <c:v>347.5</c:v>
                </c:pt>
                <c:pt idx="20">
                  <c:v>353</c:v>
                </c:pt>
                <c:pt idx="21">
                  <c:v>353.3</c:v>
                </c:pt>
                <c:pt idx="22">
                  <c:v>359.7</c:v>
                </c:pt>
                <c:pt idx="23">
                  <c:v>359.9</c:v>
                </c:pt>
                <c:pt idx="24">
                  <c:v>360</c:v>
                </c:pt>
                <c:pt idx="25">
                  <c:v>361.6</c:v>
                </c:pt>
                <c:pt idx="26">
                  <c:v>366.6</c:v>
                </c:pt>
                <c:pt idx="27">
                  <c:v>367</c:v>
                </c:pt>
                <c:pt idx="28">
                  <c:v>372.8</c:v>
                </c:pt>
                <c:pt idx="29">
                  <c:v>373</c:v>
                </c:pt>
                <c:pt idx="30">
                  <c:v>375.1</c:v>
                </c:pt>
                <c:pt idx="31">
                  <c:v>380.3</c:v>
                </c:pt>
                <c:pt idx="32">
                  <c:v>381.9</c:v>
                </c:pt>
                <c:pt idx="33">
                  <c:v>384.2</c:v>
                </c:pt>
                <c:pt idx="34">
                  <c:v>385.2</c:v>
                </c:pt>
                <c:pt idx="35">
                  <c:v>385.8</c:v>
                </c:pt>
                <c:pt idx="36">
                  <c:v>387.5</c:v>
                </c:pt>
                <c:pt idx="37">
                  <c:v>388.5</c:v>
                </c:pt>
                <c:pt idx="38">
                  <c:v>388.9</c:v>
                </c:pt>
                <c:pt idx="39">
                  <c:v>392.7</c:v>
                </c:pt>
                <c:pt idx="40">
                  <c:v>393.1</c:v>
                </c:pt>
                <c:pt idx="41">
                  <c:v>393.4</c:v>
                </c:pt>
                <c:pt idx="42">
                  <c:v>395.6</c:v>
                </c:pt>
                <c:pt idx="43">
                  <c:v>396.4</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6"/>
                <c:pt idx="155">
                  <c:v>u</c:v>
                </c:pt>
              </c:strCache>
            </c:strRef>
          </c:cat>
          <c:val>
            <c:numRef>
              <c:f>[0]!SecQuart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396.7</c:v>
                </c:pt>
                <c:pt idx="45">
                  <c:v>397.6</c:v>
                </c:pt>
                <c:pt idx="46">
                  <c:v>398.5</c:v>
                </c:pt>
                <c:pt idx="47">
                  <c:v>400.9</c:v>
                </c:pt>
                <c:pt idx="48">
                  <c:v>402.9</c:v>
                </c:pt>
                <c:pt idx="49">
                  <c:v>404.5</c:v>
                </c:pt>
                <c:pt idx="50">
                  <c:v>406.5</c:v>
                </c:pt>
                <c:pt idx="51">
                  <c:v>407.2</c:v>
                </c:pt>
                <c:pt idx="52">
                  <c:v>408.1</c:v>
                </c:pt>
                <c:pt idx="53">
                  <c:v>410.2</c:v>
                </c:pt>
                <c:pt idx="54">
                  <c:v>411.3</c:v>
                </c:pt>
                <c:pt idx="55">
                  <c:v>411.8</c:v>
                </c:pt>
                <c:pt idx="56">
                  <c:v>412.8</c:v>
                </c:pt>
                <c:pt idx="57">
                  <c:v>414.5</c:v>
                </c:pt>
                <c:pt idx="58">
                  <c:v>417.1</c:v>
                </c:pt>
                <c:pt idx="59">
                  <c:v>418.1</c:v>
                </c:pt>
                <c:pt idx="60">
                  <c:v>419.4</c:v>
                </c:pt>
                <c:pt idx="61">
                  <c:v>419.6</c:v>
                </c:pt>
                <c:pt idx="62">
                  <c:v>420.1</c:v>
                </c:pt>
                <c:pt idx="63">
                  <c:v>421.5</c:v>
                </c:pt>
                <c:pt idx="64">
                  <c:v>423.7</c:v>
                </c:pt>
                <c:pt idx="65">
                  <c:v>425.9</c:v>
                </c:pt>
                <c:pt idx="66">
                  <c:v>426</c:v>
                </c:pt>
                <c:pt idx="67">
                  <c:v>426.3</c:v>
                </c:pt>
                <c:pt idx="68">
                  <c:v>426.3</c:v>
                </c:pt>
                <c:pt idx="69">
                  <c:v>426.7</c:v>
                </c:pt>
                <c:pt idx="70">
                  <c:v>427.7</c:v>
                </c:pt>
                <c:pt idx="71">
                  <c:v>428.6</c:v>
                </c:pt>
                <c:pt idx="72">
                  <c:v>428.8</c:v>
                </c:pt>
                <c:pt idx="73">
                  <c:v>430.1</c:v>
                </c:pt>
                <c:pt idx="74">
                  <c:v>431.4</c:v>
                </c:pt>
                <c:pt idx="75">
                  <c:v>431.5</c:v>
                </c:pt>
                <c:pt idx="76">
                  <c:v>431.8</c:v>
                </c:pt>
                <c:pt idx="77">
                  <c:v>431.9</c:v>
                </c:pt>
                <c:pt idx="78">
                  <c:v>432</c:v>
                </c:pt>
                <c:pt idx="79">
                  <c:v>435.7</c:v>
                </c:pt>
                <c:pt idx="80">
                  <c:v>435.7</c:v>
                </c:pt>
                <c:pt idx="81">
                  <c:v>437.5</c:v>
                </c:pt>
                <c:pt idx="82">
                  <c:v>438.2</c:v>
                </c:pt>
                <c:pt idx="83">
                  <c:v>438.4</c:v>
                </c:pt>
                <c:pt idx="84">
                  <c:v>439.3</c:v>
                </c:pt>
                <c:pt idx="85">
                  <c:v>443</c:v>
                </c:pt>
                <c:pt idx="86">
                  <c:v>443.9</c:v>
                </c:pt>
                <c:pt idx="87">
                  <c:v>444.3</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6"/>
                <c:pt idx="155">
                  <c:v>u</c:v>
                </c:pt>
              </c:strCache>
            </c:strRef>
          </c:cat>
          <c:val>
            <c:numRef>
              <c:f>[0]!ThirdQuart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445.9</c:v>
                </c:pt>
                <c:pt idx="89">
                  <c:v>446.2</c:v>
                </c:pt>
                <c:pt idx="90">
                  <c:v>447.3</c:v>
                </c:pt>
                <c:pt idx="91">
                  <c:v>448.5</c:v>
                </c:pt>
                <c:pt idx="92">
                  <c:v>449.4</c:v>
                </c:pt>
                <c:pt idx="93">
                  <c:v>450</c:v>
                </c:pt>
                <c:pt idx="94">
                  <c:v>450.2</c:v>
                </c:pt>
                <c:pt idx="95">
                  <c:v>450.9</c:v>
                </c:pt>
                <c:pt idx="96">
                  <c:v>452.6</c:v>
                </c:pt>
                <c:pt idx="97">
                  <c:v>455.7</c:v>
                </c:pt>
                <c:pt idx="98">
                  <c:v>456.3</c:v>
                </c:pt>
                <c:pt idx="99">
                  <c:v>456.6</c:v>
                </c:pt>
                <c:pt idx="100">
                  <c:v>456.6</c:v>
                </c:pt>
                <c:pt idx="101">
                  <c:v>457.4</c:v>
                </c:pt>
                <c:pt idx="102">
                  <c:v>458.2</c:v>
                </c:pt>
                <c:pt idx="103">
                  <c:v>459.4</c:v>
                </c:pt>
                <c:pt idx="104">
                  <c:v>460</c:v>
                </c:pt>
                <c:pt idx="105">
                  <c:v>461</c:v>
                </c:pt>
                <c:pt idx="106">
                  <c:v>461.3</c:v>
                </c:pt>
                <c:pt idx="107">
                  <c:v>462.4</c:v>
                </c:pt>
                <c:pt idx="108">
                  <c:v>462.9</c:v>
                </c:pt>
                <c:pt idx="109">
                  <c:v>463.6</c:v>
                </c:pt>
                <c:pt idx="110">
                  <c:v>464.1</c:v>
                </c:pt>
                <c:pt idx="111">
                  <c:v>464.3</c:v>
                </c:pt>
                <c:pt idx="112">
                  <c:v>464.5</c:v>
                </c:pt>
                <c:pt idx="113">
                  <c:v>464.6</c:v>
                </c:pt>
                <c:pt idx="114">
                  <c:v>464.8</c:v>
                </c:pt>
                <c:pt idx="115">
                  <c:v>465.1</c:v>
                </c:pt>
                <c:pt idx="116">
                  <c:v>467.3</c:v>
                </c:pt>
                <c:pt idx="117">
                  <c:v>468.5</c:v>
                </c:pt>
                <c:pt idx="118">
                  <c:v>468.6</c:v>
                </c:pt>
                <c:pt idx="119">
                  <c:v>469.5</c:v>
                </c:pt>
                <c:pt idx="120">
                  <c:v>470</c:v>
                </c:pt>
                <c:pt idx="121">
                  <c:v>472.2</c:v>
                </c:pt>
                <c:pt idx="122">
                  <c:v>475.2</c:v>
                </c:pt>
                <c:pt idx="123">
                  <c:v>476.8</c:v>
                </c:pt>
                <c:pt idx="124">
                  <c:v>481.7</c:v>
                </c:pt>
                <c:pt idx="125">
                  <c:v>482.7</c:v>
                </c:pt>
                <c:pt idx="126">
                  <c:v>482.8</c:v>
                </c:pt>
                <c:pt idx="127">
                  <c:v>483</c:v>
                </c:pt>
                <c:pt idx="128">
                  <c:v>483.9</c:v>
                </c:pt>
                <c:pt idx="129">
                  <c:v>484.9</c:v>
                </c:pt>
                <c:pt idx="130">
                  <c:v>485.6</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6"/>
                <c:pt idx="155">
                  <c:v>u</c:v>
                </c:pt>
              </c:strCache>
            </c:strRef>
          </c:cat>
          <c:val>
            <c:numRef>
              <c:f>[0]!BotQuart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485.9</c:v>
                </c:pt>
                <c:pt idx="132">
                  <c:v>486.5</c:v>
                </c:pt>
                <c:pt idx="133">
                  <c:v>488</c:v>
                </c:pt>
                <c:pt idx="134">
                  <c:v>488.7</c:v>
                </c:pt>
                <c:pt idx="135">
                  <c:v>489.3</c:v>
                </c:pt>
                <c:pt idx="136">
                  <c:v>490.9</c:v>
                </c:pt>
                <c:pt idx="137">
                  <c:v>495</c:v>
                </c:pt>
                <c:pt idx="138">
                  <c:v>495.4</c:v>
                </c:pt>
                <c:pt idx="139">
                  <c:v>495.6</c:v>
                </c:pt>
                <c:pt idx="140">
                  <c:v>496.9</c:v>
                </c:pt>
                <c:pt idx="141">
                  <c:v>499.5</c:v>
                </c:pt>
                <c:pt idx="142">
                  <c:v>500</c:v>
                </c:pt>
                <c:pt idx="143">
                  <c:v>501.5</c:v>
                </c:pt>
                <c:pt idx="144">
                  <c:v>501.7</c:v>
                </c:pt>
                <c:pt idx="145">
                  <c:v>504.3</c:v>
                </c:pt>
                <c:pt idx="146">
                  <c:v>504.4</c:v>
                </c:pt>
                <c:pt idx="147">
                  <c:v>507.7</c:v>
                </c:pt>
                <c:pt idx="148">
                  <c:v>508.7</c:v>
                </c:pt>
                <c:pt idx="149">
                  <c:v>511.9</c:v>
                </c:pt>
                <c:pt idx="150">
                  <c:v>514.9</c:v>
                </c:pt>
                <c:pt idx="151">
                  <c:v>518</c:v>
                </c:pt>
                <c:pt idx="152">
                  <c:v>520.20000000000005</c:v>
                </c:pt>
                <c:pt idx="153">
                  <c:v>521.5</c:v>
                </c:pt>
                <c:pt idx="154">
                  <c:v>521.79999999999995</c:v>
                </c:pt>
                <c:pt idx="155">
                  <c:v>522.20000000000005</c:v>
                </c:pt>
                <c:pt idx="156">
                  <c:v>526.29999999999995</c:v>
                </c:pt>
                <c:pt idx="157">
                  <c:v>529</c:v>
                </c:pt>
                <c:pt idx="158">
                  <c:v>530</c:v>
                </c:pt>
                <c:pt idx="159">
                  <c:v>534.6</c:v>
                </c:pt>
                <c:pt idx="160">
                  <c:v>535.79999999999995</c:v>
                </c:pt>
                <c:pt idx="161">
                  <c:v>536</c:v>
                </c:pt>
                <c:pt idx="162">
                  <c:v>537</c:v>
                </c:pt>
                <c:pt idx="163">
                  <c:v>547.6</c:v>
                </c:pt>
                <c:pt idx="164">
                  <c:v>551.4</c:v>
                </c:pt>
                <c:pt idx="165">
                  <c:v>553.20000000000005</c:v>
                </c:pt>
                <c:pt idx="166">
                  <c:v>555.4</c:v>
                </c:pt>
                <c:pt idx="167">
                  <c:v>557.5</c:v>
                </c:pt>
                <c:pt idx="168">
                  <c:v>558.70000000000005</c:v>
                </c:pt>
                <c:pt idx="169">
                  <c:v>564.5</c:v>
                </c:pt>
                <c:pt idx="170">
                  <c:v>569.29999999999995</c:v>
                </c:pt>
                <c:pt idx="171">
                  <c:v>570.9</c:v>
                </c:pt>
                <c:pt idx="172">
                  <c:v>586</c:v>
                </c:pt>
                <c:pt idx="173">
                  <c:v>586.6</c:v>
                </c:pt>
                <c:pt idx="174">
                  <c:v>612.9</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6"/>
                <c:pt idx="155">
                  <c:v>u</c:v>
                </c:pt>
              </c:strCache>
            </c:strRef>
          </c:cat>
          <c:val>
            <c:numRef>
              <c:f>[0]!MarkData</c:f>
              <c:numCache>
                <c:formatCode>0.00</c:formatCode>
                <c:ptCount val="175"/>
                <c:pt idx="0">
                  <c:v>255.7</c:v>
                </c:pt>
                <c:pt idx="1">
                  <c:v>292.89999999999998</c:v>
                </c:pt>
                <c:pt idx="2">
                  <c:v>293.3</c:v>
                </c:pt>
                <c:pt idx="3">
                  <c:v>303.8</c:v>
                </c:pt>
                <c:pt idx="4">
                  <c:v>307.8</c:v>
                </c:pt>
                <c:pt idx="5">
                  <c:v>316.2</c:v>
                </c:pt>
                <c:pt idx="6">
                  <c:v>318.2</c:v>
                </c:pt>
                <c:pt idx="7">
                  <c:v>319.60000000000002</c:v>
                </c:pt>
                <c:pt idx="8">
                  <c:v>321.7</c:v>
                </c:pt>
                <c:pt idx="9">
                  <c:v>324.8</c:v>
                </c:pt>
                <c:pt idx="10">
                  <c:v>327</c:v>
                </c:pt>
                <c:pt idx="11">
                  <c:v>329.8</c:v>
                </c:pt>
                <c:pt idx="12">
                  <c:v>333.9</c:v>
                </c:pt>
                <c:pt idx="13">
                  <c:v>334.5</c:v>
                </c:pt>
                <c:pt idx="14">
                  <c:v>335.9</c:v>
                </c:pt>
                <c:pt idx="15">
                  <c:v>337.4</c:v>
                </c:pt>
                <c:pt idx="16">
                  <c:v>341.5</c:v>
                </c:pt>
                <c:pt idx="17">
                  <c:v>342.4</c:v>
                </c:pt>
                <c:pt idx="18">
                  <c:v>347</c:v>
                </c:pt>
                <c:pt idx="19">
                  <c:v>347.5</c:v>
                </c:pt>
                <c:pt idx="20">
                  <c:v>353</c:v>
                </c:pt>
                <c:pt idx="21">
                  <c:v>353.3</c:v>
                </c:pt>
                <c:pt idx="22">
                  <c:v>359.7</c:v>
                </c:pt>
                <c:pt idx="23">
                  <c:v>359.9</c:v>
                </c:pt>
                <c:pt idx="24">
                  <c:v>360</c:v>
                </c:pt>
                <c:pt idx="25">
                  <c:v>361.6</c:v>
                </c:pt>
                <c:pt idx="26">
                  <c:v>366.6</c:v>
                </c:pt>
                <c:pt idx="27">
                  <c:v>367</c:v>
                </c:pt>
                <c:pt idx="28">
                  <c:v>372.8</c:v>
                </c:pt>
                <c:pt idx="29">
                  <c:v>373</c:v>
                </c:pt>
                <c:pt idx="30">
                  <c:v>375.1</c:v>
                </c:pt>
                <c:pt idx="31">
                  <c:v>380.3</c:v>
                </c:pt>
                <c:pt idx="32">
                  <c:v>381.9</c:v>
                </c:pt>
                <c:pt idx="33">
                  <c:v>384.2</c:v>
                </c:pt>
                <c:pt idx="34">
                  <c:v>385.2</c:v>
                </c:pt>
                <c:pt idx="35">
                  <c:v>385.8</c:v>
                </c:pt>
                <c:pt idx="36">
                  <c:v>387.5</c:v>
                </c:pt>
                <c:pt idx="37">
                  <c:v>388.5</c:v>
                </c:pt>
                <c:pt idx="38">
                  <c:v>388.9</c:v>
                </c:pt>
                <c:pt idx="39">
                  <c:v>392.7</c:v>
                </c:pt>
                <c:pt idx="40">
                  <c:v>393.1</c:v>
                </c:pt>
                <c:pt idx="41">
                  <c:v>393.4</c:v>
                </c:pt>
                <c:pt idx="42">
                  <c:v>395.6</c:v>
                </c:pt>
                <c:pt idx="43">
                  <c:v>396.4</c:v>
                </c:pt>
                <c:pt idx="44">
                  <c:v>396.7</c:v>
                </c:pt>
                <c:pt idx="45">
                  <c:v>397.6</c:v>
                </c:pt>
                <c:pt idx="46">
                  <c:v>398.5</c:v>
                </c:pt>
                <c:pt idx="47">
                  <c:v>400.9</c:v>
                </c:pt>
                <c:pt idx="48">
                  <c:v>402.9</c:v>
                </c:pt>
                <c:pt idx="49">
                  <c:v>404.5</c:v>
                </c:pt>
                <c:pt idx="50">
                  <c:v>406.5</c:v>
                </c:pt>
                <c:pt idx="51">
                  <c:v>407.2</c:v>
                </c:pt>
                <c:pt idx="52">
                  <c:v>408.1</c:v>
                </c:pt>
                <c:pt idx="53">
                  <c:v>410.2</c:v>
                </c:pt>
                <c:pt idx="54">
                  <c:v>411.3</c:v>
                </c:pt>
                <c:pt idx="55">
                  <c:v>411.8</c:v>
                </c:pt>
                <c:pt idx="56">
                  <c:v>412.8</c:v>
                </c:pt>
                <c:pt idx="57">
                  <c:v>414.5</c:v>
                </c:pt>
                <c:pt idx="58">
                  <c:v>417.1</c:v>
                </c:pt>
                <c:pt idx="59">
                  <c:v>418.1</c:v>
                </c:pt>
                <c:pt idx="60">
                  <c:v>419.4</c:v>
                </c:pt>
                <c:pt idx="61">
                  <c:v>419.6</c:v>
                </c:pt>
                <c:pt idx="62">
                  <c:v>420.1</c:v>
                </c:pt>
                <c:pt idx="63">
                  <c:v>421.5</c:v>
                </c:pt>
                <c:pt idx="64">
                  <c:v>423.7</c:v>
                </c:pt>
                <c:pt idx="65">
                  <c:v>425.9</c:v>
                </c:pt>
                <c:pt idx="66">
                  <c:v>426</c:v>
                </c:pt>
                <c:pt idx="67">
                  <c:v>426.3</c:v>
                </c:pt>
                <c:pt idx="68">
                  <c:v>426.3</c:v>
                </c:pt>
                <c:pt idx="69">
                  <c:v>426.7</c:v>
                </c:pt>
                <c:pt idx="70">
                  <c:v>427.7</c:v>
                </c:pt>
                <c:pt idx="71">
                  <c:v>428.6</c:v>
                </c:pt>
                <c:pt idx="72">
                  <c:v>428.8</c:v>
                </c:pt>
                <c:pt idx="73">
                  <c:v>430.1</c:v>
                </c:pt>
                <c:pt idx="74">
                  <c:v>431.4</c:v>
                </c:pt>
                <c:pt idx="75">
                  <c:v>431.5</c:v>
                </c:pt>
                <c:pt idx="76">
                  <c:v>431.8</c:v>
                </c:pt>
                <c:pt idx="77">
                  <c:v>431.9</c:v>
                </c:pt>
                <c:pt idx="78">
                  <c:v>432</c:v>
                </c:pt>
                <c:pt idx="79">
                  <c:v>435.7</c:v>
                </c:pt>
                <c:pt idx="80">
                  <c:v>435.7</c:v>
                </c:pt>
                <c:pt idx="81">
                  <c:v>437.5</c:v>
                </c:pt>
                <c:pt idx="82">
                  <c:v>438.2</c:v>
                </c:pt>
                <c:pt idx="83">
                  <c:v>438.4</c:v>
                </c:pt>
                <c:pt idx="84">
                  <c:v>439.3</c:v>
                </c:pt>
                <c:pt idx="85">
                  <c:v>443</c:v>
                </c:pt>
                <c:pt idx="86">
                  <c:v>443.9</c:v>
                </c:pt>
                <c:pt idx="87">
                  <c:v>444.3</c:v>
                </c:pt>
                <c:pt idx="88">
                  <c:v>445.9</c:v>
                </c:pt>
                <c:pt idx="89">
                  <c:v>446.2</c:v>
                </c:pt>
                <c:pt idx="90">
                  <c:v>447.3</c:v>
                </c:pt>
                <c:pt idx="91">
                  <c:v>448.5</c:v>
                </c:pt>
                <c:pt idx="92">
                  <c:v>449.4</c:v>
                </c:pt>
                <c:pt idx="93">
                  <c:v>450</c:v>
                </c:pt>
                <c:pt idx="94">
                  <c:v>450.2</c:v>
                </c:pt>
                <c:pt idx="95">
                  <c:v>450.9</c:v>
                </c:pt>
                <c:pt idx="96">
                  <c:v>452.6</c:v>
                </c:pt>
                <c:pt idx="97">
                  <c:v>455.7</c:v>
                </c:pt>
                <c:pt idx="98">
                  <c:v>456.3</c:v>
                </c:pt>
                <c:pt idx="99">
                  <c:v>456.6</c:v>
                </c:pt>
                <c:pt idx="100">
                  <c:v>456.6</c:v>
                </c:pt>
                <c:pt idx="101">
                  <c:v>457.4</c:v>
                </c:pt>
                <c:pt idx="102">
                  <c:v>458.2</c:v>
                </c:pt>
                <c:pt idx="103">
                  <c:v>459.4</c:v>
                </c:pt>
                <c:pt idx="104">
                  <c:v>460</c:v>
                </c:pt>
                <c:pt idx="105">
                  <c:v>461</c:v>
                </c:pt>
                <c:pt idx="106">
                  <c:v>461.3</c:v>
                </c:pt>
                <c:pt idx="107">
                  <c:v>462.4</c:v>
                </c:pt>
                <c:pt idx="108">
                  <c:v>462.9</c:v>
                </c:pt>
                <c:pt idx="109">
                  <c:v>463.6</c:v>
                </c:pt>
                <c:pt idx="110">
                  <c:v>464.1</c:v>
                </c:pt>
                <c:pt idx="111">
                  <c:v>464.3</c:v>
                </c:pt>
                <c:pt idx="112">
                  <c:v>464.5</c:v>
                </c:pt>
                <c:pt idx="113">
                  <c:v>464.6</c:v>
                </c:pt>
                <c:pt idx="114">
                  <c:v>464.8</c:v>
                </c:pt>
                <c:pt idx="115">
                  <c:v>465.1</c:v>
                </c:pt>
                <c:pt idx="116">
                  <c:v>467.3</c:v>
                </c:pt>
                <c:pt idx="117">
                  <c:v>468.5</c:v>
                </c:pt>
                <c:pt idx="118">
                  <c:v>468.6</c:v>
                </c:pt>
                <c:pt idx="119">
                  <c:v>469.5</c:v>
                </c:pt>
                <c:pt idx="120">
                  <c:v>470</c:v>
                </c:pt>
                <c:pt idx="121">
                  <c:v>472.2</c:v>
                </c:pt>
                <c:pt idx="122">
                  <c:v>475.2</c:v>
                </c:pt>
                <c:pt idx="123">
                  <c:v>476.8</c:v>
                </c:pt>
                <c:pt idx="124">
                  <c:v>481.7</c:v>
                </c:pt>
                <c:pt idx="125">
                  <c:v>482.7</c:v>
                </c:pt>
                <c:pt idx="126">
                  <c:v>482.8</c:v>
                </c:pt>
                <c:pt idx="127">
                  <c:v>483</c:v>
                </c:pt>
                <c:pt idx="128">
                  <c:v>483.9</c:v>
                </c:pt>
                <c:pt idx="129">
                  <c:v>484.9</c:v>
                </c:pt>
                <c:pt idx="130">
                  <c:v>485.6</c:v>
                </c:pt>
                <c:pt idx="131">
                  <c:v>485.9</c:v>
                </c:pt>
                <c:pt idx="132">
                  <c:v>486.5</c:v>
                </c:pt>
                <c:pt idx="133">
                  <c:v>488</c:v>
                </c:pt>
                <c:pt idx="134">
                  <c:v>488.7</c:v>
                </c:pt>
                <c:pt idx="135">
                  <c:v>489.3</c:v>
                </c:pt>
                <c:pt idx="136">
                  <c:v>490.9</c:v>
                </c:pt>
                <c:pt idx="137">
                  <c:v>495</c:v>
                </c:pt>
                <c:pt idx="138">
                  <c:v>495.4</c:v>
                </c:pt>
                <c:pt idx="139">
                  <c:v>495.6</c:v>
                </c:pt>
                <c:pt idx="140">
                  <c:v>496.9</c:v>
                </c:pt>
                <c:pt idx="141">
                  <c:v>499.5</c:v>
                </c:pt>
                <c:pt idx="142">
                  <c:v>500</c:v>
                </c:pt>
                <c:pt idx="143">
                  <c:v>501.5</c:v>
                </c:pt>
                <c:pt idx="144">
                  <c:v>501.7</c:v>
                </c:pt>
                <c:pt idx="145">
                  <c:v>504.3</c:v>
                </c:pt>
                <c:pt idx="146">
                  <c:v>504.4</c:v>
                </c:pt>
                <c:pt idx="147">
                  <c:v>507.7</c:v>
                </c:pt>
                <c:pt idx="148">
                  <c:v>508.7</c:v>
                </c:pt>
                <c:pt idx="149">
                  <c:v>511.9</c:v>
                </c:pt>
                <c:pt idx="150">
                  <c:v>514.9</c:v>
                </c:pt>
                <c:pt idx="151">
                  <c:v>518</c:v>
                </c:pt>
                <c:pt idx="152">
                  <c:v>520.20000000000005</c:v>
                </c:pt>
                <c:pt idx="153">
                  <c:v>521.5</c:v>
                </c:pt>
                <c:pt idx="154">
                  <c:v>521.79999999999995</c:v>
                </c:pt>
                <c:pt idx="155">
                  <c:v>522.20000000000005</c:v>
                </c:pt>
                <c:pt idx="156">
                  <c:v>526.29999999999995</c:v>
                </c:pt>
                <c:pt idx="157">
                  <c:v>529</c:v>
                </c:pt>
                <c:pt idx="158">
                  <c:v>530</c:v>
                </c:pt>
                <c:pt idx="159">
                  <c:v>534.6</c:v>
                </c:pt>
                <c:pt idx="160">
                  <c:v>535.79999999999995</c:v>
                </c:pt>
                <c:pt idx="161">
                  <c:v>536</c:v>
                </c:pt>
                <c:pt idx="162">
                  <c:v>537</c:v>
                </c:pt>
                <c:pt idx="163">
                  <c:v>547.6</c:v>
                </c:pt>
                <c:pt idx="164">
                  <c:v>551.4</c:v>
                </c:pt>
                <c:pt idx="165">
                  <c:v>553.20000000000005</c:v>
                </c:pt>
                <c:pt idx="166">
                  <c:v>555.4</c:v>
                </c:pt>
                <c:pt idx="167">
                  <c:v>557.5</c:v>
                </c:pt>
                <c:pt idx="168">
                  <c:v>558.70000000000005</c:v>
                </c:pt>
                <c:pt idx="169">
                  <c:v>564.5</c:v>
                </c:pt>
                <c:pt idx="170">
                  <c:v>569.29999999999995</c:v>
                </c:pt>
                <c:pt idx="171">
                  <c:v>570.9</c:v>
                </c:pt>
                <c:pt idx="172">
                  <c:v>586</c:v>
                </c:pt>
                <c:pt idx="173">
                  <c:v>586.6</c:v>
                </c:pt>
                <c:pt idx="174">
                  <c:v>612.9</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522.20000000000005</c:v>
                </c:pt>
                <c:pt idx="1">
                  <c:v>440.77771428571424</c:v>
                </c:pt>
                <c:pt idx="2">
                  <c:v>484.8</c:v>
                </c:pt>
                <c:pt idx="3">
                  <c:v>423.08648648648642</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396.54999999999995</c:v>
                </c:pt>
                <c:pt idx="1">
                  <c:v>396.54999999999995</c:v>
                </c:pt>
                <c:pt idx="2">
                  <c:v>396.54999999999995</c:v>
                </c:pt>
                <c:pt idx="3">
                  <c:v>396.54999999999995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444.3</c:v>
                </c:pt>
                <c:pt idx="1">
                  <c:v>444.3</c:v>
                </c:pt>
                <c:pt idx="2">
                  <c:v>444.3</c:v>
                </c:pt>
                <c:pt idx="3">
                  <c:v>444.3</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485.75</c:v>
                </c:pt>
                <c:pt idx="1">
                  <c:v>485.75</c:v>
                </c:pt>
                <c:pt idx="2">
                  <c:v>485.75</c:v>
                </c:pt>
                <c:pt idx="3">
                  <c:v>485.75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522.20000000000005</c:v>
                </c:pt>
                <c:pt idx="1">
                  <c:v>432.13939393939398</c:v>
                </c:pt>
                <c:pt idx="2">
                  <c:v>447.14782608695657</c:v>
                </c:pt>
                <c:pt idx="3">
                  <c:v>444.04250000000002</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396.54999999999995</c:v>
                </c:pt>
                <c:pt idx="1">
                  <c:v>396.54999999999995</c:v>
                </c:pt>
                <c:pt idx="2">
                  <c:v>396.54999999999995</c:v>
                </c:pt>
                <c:pt idx="3">
                  <c:v>396.54999999999995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444.3</c:v>
                </c:pt>
                <c:pt idx="1">
                  <c:v>444.3</c:v>
                </c:pt>
                <c:pt idx="2">
                  <c:v>444.3</c:v>
                </c:pt>
                <c:pt idx="3">
                  <c:v>444.3</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485.75</c:v>
                </c:pt>
                <c:pt idx="1">
                  <c:v>485.75</c:v>
                </c:pt>
                <c:pt idx="2">
                  <c:v>485.75</c:v>
                </c:pt>
                <c:pt idx="3">
                  <c:v>485.75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109375" customWidth="1"/>
    <col min="18" max="18" width="2.777343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79" t="str">
        <f>VLOOKUP('Filtered Data'!D1,'Filtered Data'!L1:O6,3,FALSE)</f>
        <v>District</v>
      </c>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row>
    <row r="2" spans="2:40"/>
    <row r="3" spans="2:40" ht="19.5" customHeight="1">
      <c r="B3" s="268" t="str">
        <f>Data!B3</f>
        <v>Waste Management Indicators</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row>
    <row r="4" spans="2:40">
      <c r="D4" s="3"/>
      <c r="E4" s="3"/>
    </row>
    <row r="5" spans="2:40" ht="15.75" customHeight="1">
      <c r="B5" s="248" t="s">
        <v>335</v>
      </c>
      <c r="C5" s="248"/>
      <c r="D5" s="248"/>
      <c r="E5" s="248"/>
      <c r="J5" s="252" t="s">
        <v>6</v>
      </c>
      <c r="K5" s="252"/>
      <c r="L5" s="252"/>
      <c r="M5" s="252"/>
      <c r="N5" s="252"/>
      <c r="O5" s="252"/>
      <c r="P5" s="252"/>
      <c r="Q5" s="252"/>
      <c r="R5" s="252"/>
      <c r="S5" s="252"/>
      <c r="W5" s="227" t="s">
        <v>363</v>
      </c>
      <c r="X5" s="228"/>
      <c r="Y5" s="228"/>
      <c r="Z5" s="228"/>
      <c r="AA5" s="228"/>
      <c r="AB5" s="228"/>
      <c r="AC5" s="228"/>
      <c r="AD5" s="228"/>
      <c r="AE5" s="228"/>
      <c r="AF5" s="228"/>
      <c r="AG5" s="228"/>
      <c r="AH5" s="228"/>
      <c r="AI5" s="228"/>
      <c r="AJ5" s="228"/>
      <c r="AK5" s="228"/>
      <c r="AL5" s="228"/>
      <c r="AM5" s="229"/>
    </row>
    <row r="6" spans="2:40" ht="17.25" customHeight="1">
      <c r="J6" s="252"/>
      <c r="K6" s="252"/>
      <c r="L6" s="252"/>
      <c r="M6" s="252"/>
      <c r="N6" s="252"/>
      <c r="O6" s="252"/>
      <c r="P6" s="252"/>
      <c r="Q6" s="252"/>
      <c r="R6" s="252"/>
      <c r="S6" s="252"/>
      <c r="W6" s="230" t="s">
        <v>890</v>
      </c>
      <c r="X6" s="231"/>
      <c r="Y6" s="231"/>
      <c r="Z6" s="231"/>
      <c r="AA6" s="231"/>
      <c r="AB6" s="231"/>
      <c r="AC6" s="231"/>
      <c r="AD6" s="231"/>
      <c r="AE6" s="231"/>
      <c r="AF6" s="231"/>
      <c r="AG6" s="231"/>
      <c r="AH6" s="231"/>
      <c r="AI6" s="231"/>
      <c r="AJ6" s="231"/>
      <c r="AK6" s="231"/>
      <c r="AL6" s="231"/>
      <c r="AM6" s="232"/>
    </row>
    <row r="7" spans="2:40" ht="12.75" customHeight="1">
      <c r="W7" s="230"/>
      <c r="X7" s="231"/>
      <c r="Y7" s="231"/>
      <c r="Z7" s="231"/>
      <c r="AA7" s="231"/>
      <c r="AB7" s="231"/>
      <c r="AC7" s="231"/>
      <c r="AD7" s="231"/>
      <c r="AE7" s="231"/>
      <c r="AF7" s="231"/>
      <c r="AG7" s="231"/>
      <c r="AH7" s="231"/>
      <c r="AI7" s="231"/>
      <c r="AJ7" s="231"/>
      <c r="AK7" s="231"/>
      <c r="AL7" s="231"/>
      <c r="AM7" s="232"/>
    </row>
    <row r="8" spans="2:40" ht="12.75" customHeight="1">
      <c r="B8" s="221" t="str">
        <f>IF('Filtered Data'!D1="L","County:","Type of Authority:")</f>
        <v>Type of Authority:</v>
      </c>
      <c r="C8" s="253"/>
      <c r="D8" s="253"/>
      <c r="E8" s="253"/>
      <c r="F8" s="253"/>
      <c r="G8" s="253"/>
      <c r="H8" s="253"/>
      <c r="I8" s="253"/>
      <c r="J8" s="3" t="str">
        <f>IF('Filtered Data'!D1="L",'Filtered Data'!I3,VLOOKUP('Filtered Data'!D1,'Filtered Data'!L1:O5,3,FALSE))</f>
        <v>District</v>
      </c>
      <c r="K8" s="3"/>
      <c r="L8" s="3"/>
      <c r="M8" s="3"/>
      <c r="N8" s="3"/>
      <c r="O8" s="3"/>
      <c r="P8" s="3"/>
      <c r="Q8" s="3"/>
      <c r="R8" s="3"/>
      <c r="W8" s="230"/>
      <c r="X8" s="231"/>
      <c r="Y8" s="231"/>
      <c r="Z8" s="231"/>
      <c r="AA8" s="231"/>
      <c r="AB8" s="231"/>
      <c r="AC8" s="231"/>
      <c r="AD8" s="231"/>
      <c r="AE8" s="231"/>
      <c r="AF8" s="231"/>
      <c r="AG8" s="231"/>
      <c r="AH8" s="231"/>
      <c r="AI8" s="231"/>
      <c r="AJ8" s="231"/>
      <c r="AK8" s="231"/>
      <c r="AL8" s="231"/>
      <c r="AM8" s="232"/>
    </row>
    <row r="9" spans="2:40" ht="12.75" customHeight="1">
      <c r="B9" s="221"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30"/>
      <c r="X9" s="231"/>
      <c r="Y9" s="231"/>
      <c r="Z9" s="231"/>
      <c r="AA9" s="231"/>
      <c r="AB9" s="231"/>
      <c r="AC9" s="231"/>
      <c r="AD9" s="231"/>
      <c r="AE9" s="231"/>
      <c r="AF9" s="231"/>
      <c r="AG9" s="231"/>
      <c r="AH9" s="231"/>
      <c r="AI9" s="231"/>
      <c r="AJ9" s="231"/>
      <c r="AK9" s="231"/>
      <c r="AL9" s="231"/>
      <c r="AM9" s="232"/>
    </row>
    <row r="10" spans="2:40" ht="12.75" customHeight="1">
      <c r="B10" s="253" t="str">
        <f>IF('Filtered Data'!D1="L","",IF('Filtered Data'!D1="SC","Rural Classification:",IF('Filtered Data'!D1="UA","Rural Classification:","County:")))</f>
        <v>County:</v>
      </c>
      <c r="C10" s="253"/>
      <c r="D10" s="253"/>
      <c r="E10" s="253"/>
      <c r="F10" s="253"/>
      <c r="G10" s="253"/>
      <c r="H10" s="253"/>
      <c r="I10" s="253"/>
      <c r="J10" s="221" t="str">
        <f>IF('Filtered Data'!D1="L","",IF('Filtered Data'!D1="MD",'Filtered Data'!I3,IF('Filtered Data'!D1="SD",'Filtered Data'!I3,'Filtered Data'!H3)))</f>
        <v>Cumbria</v>
      </c>
      <c r="K10" s="221"/>
      <c r="L10" s="221"/>
      <c r="M10" s="221"/>
      <c r="N10" s="221"/>
      <c r="O10" s="221"/>
      <c r="P10" s="221"/>
      <c r="Q10" s="221"/>
      <c r="R10" s="221"/>
      <c r="W10" s="230"/>
      <c r="X10" s="231"/>
      <c r="Y10" s="231"/>
      <c r="Z10" s="231"/>
      <c r="AA10" s="231"/>
      <c r="AB10" s="231"/>
      <c r="AC10" s="231"/>
      <c r="AD10" s="231"/>
      <c r="AE10" s="231"/>
      <c r="AF10" s="231"/>
      <c r="AG10" s="231"/>
      <c r="AH10" s="231"/>
      <c r="AI10" s="231"/>
      <c r="AJ10" s="231"/>
      <c r="AK10" s="231"/>
      <c r="AL10" s="231"/>
      <c r="AM10" s="232"/>
    </row>
    <row r="11" spans="2:40" ht="12.75" customHeight="1">
      <c r="B11" s="253" t="str">
        <f>IF('Filtered Data'!D1="L","",IF('Filtered Data'!D1="SC","",IF('Filtered Data'!D1="UA","","Rural Classification:")))</f>
        <v>Rural Classification:</v>
      </c>
      <c r="C11" s="253"/>
      <c r="D11" s="253"/>
      <c r="E11" s="253"/>
      <c r="F11" s="253"/>
      <c r="G11" s="253"/>
      <c r="H11" s="253"/>
      <c r="I11" s="253"/>
      <c r="J11" s="3" t="str">
        <f>IF('Filtered Data'!D1="MD",'Filtered Data'!H3,IF('Filtered Data'!D1="SD",'Filtered Data'!H3,""))</f>
        <v xml:space="preserve">Mainly Rural (rural including hub towns &gt;=80%) </v>
      </c>
      <c r="K11" s="3"/>
      <c r="W11" s="236" t="s">
        <v>366</v>
      </c>
      <c r="X11" s="237"/>
      <c r="Y11" s="237"/>
      <c r="Z11" s="237"/>
      <c r="AA11" s="237"/>
      <c r="AB11" s="237"/>
      <c r="AC11" s="237"/>
      <c r="AD11" s="237"/>
      <c r="AE11" s="237"/>
      <c r="AF11" s="237"/>
      <c r="AG11" s="237"/>
      <c r="AH11" s="237"/>
      <c r="AI11" s="237"/>
      <c r="AJ11" s="237"/>
      <c r="AK11" s="237"/>
      <c r="AL11" s="237"/>
      <c r="AM11" s="238"/>
    </row>
    <row r="12" spans="2:40" ht="12.75" customHeight="1">
      <c r="W12" s="276" t="s">
        <v>910</v>
      </c>
      <c r="X12" s="277"/>
      <c r="Y12" s="277"/>
      <c r="Z12" s="277"/>
      <c r="AA12" s="277"/>
      <c r="AB12" s="277"/>
      <c r="AC12" s="277"/>
      <c r="AD12" s="277"/>
      <c r="AE12" s="277"/>
      <c r="AF12" s="277"/>
      <c r="AG12" s="277"/>
      <c r="AH12" s="277"/>
      <c r="AI12" s="277"/>
      <c r="AJ12" s="277"/>
      <c r="AK12" s="277"/>
      <c r="AL12" s="277"/>
      <c r="AM12" s="278"/>
    </row>
    <row r="13" spans="2:40" ht="12.75" customHeight="1">
      <c r="B13" s="19"/>
      <c r="C13" s="19"/>
      <c r="D13" s="19"/>
      <c r="E13" s="19"/>
      <c r="F13" s="19"/>
      <c r="G13" s="19"/>
      <c r="H13" s="19"/>
      <c r="I13" s="19"/>
      <c r="J13" s="3"/>
      <c r="K13" s="3"/>
      <c r="L13" s="3"/>
      <c r="M13" s="3"/>
      <c r="N13" s="3"/>
      <c r="O13" s="3"/>
      <c r="P13" s="3"/>
      <c r="Q13" s="3"/>
      <c r="R13" s="3"/>
      <c r="W13" s="270" t="s">
        <v>367</v>
      </c>
      <c r="X13" s="271"/>
      <c r="Y13" s="271"/>
      <c r="Z13" s="271"/>
      <c r="AA13" s="271"/>
      <c r="AB13" s="271"/>
      <c r="AC13" s="271"/>
      <c r="AD13" s="271"/>
      <c r="AE13" s="271"/>
      <c r="AF13" s="271"/>
      <c r="AG13" s="271"/>
      <c r="AH13" s="271"/>
      <c r="AI13" s="271"/>
      <c r="AJ13" s="271"/>
      <c r="AK13" s="271"/>
      <c r="AL13" s="271"/>
      <c r="AM13" s="272"/>
    </row>
    <row r="14" spans="2:40" ht="25.5" customHeight="1">
      <c r="B14" s="19"/>
      <c r="C14" s="19"/>
      <c r="D14" s="19"/>
      <c r="E14" s="19"/>
      <c r="F14" s="19"/>
      <c r="G14" s="19"/>
      <c r="H14" s="19"/>
      <c r="I14" s="19"/>
      <c r="J14" s="3"/>
      <c r="K14" s="3"/>
      <c r="L14" s="3"/>
      <c r="M14" s="3"/>
      <c r="N14" s="3"/>
      <c r="O14" s="3"/>
      <c r="P14" s="3"/>
      <c r="Q14" s="3"/>
      <c r="R14" s="3"/>
      <c r="W14" s="233" t="str">
        <f>HLOOKUP(W6,Data!4:6,3,FALSE)</f>
        <v>ENV18 - DEFRA</v>
      </c>
      <c r="X14" s="234"/>
      <c r="Y14" s="234"/>
      <c r="Z14" s="234"/>
      <c r="AA14" s="234"/>
      <c r="AB14" s="234"/>
      <c r="AC14" s="234"/>
      <c r="AD14" s="234"/>
      <c r="AE14" s="234"/>
      <c r="AF14" s="234"/>
      <c r="AG14" s="234"/>
      <c r="AH14" s="234"/>
      <c r="AI14" s="234"/>
      <c r="AJ14" s="234"/>
      <c r="AK14" s="234"/>
      <c r="AL14" s="234"/>
      <c r="AM14" s="235"/>
    </row>
    <row r="15" spans="2:40"/>
    <row r="16" spans="2:40">
      <c r="B16" s="241" t="str">
        <f>W6&amp;" - "&amp;W12</f>
        <v>Residual household waste per household (kg/household) (Ex NI191) - 2022-23</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3"/>
    </row>
    <row r="17" spans="2:42">
      <c r="B17" s="244"/>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50" t="s">
        <v>342</v>
      </c>
      <c r="F32" s="251"/>
      <c r="G32" s="251"/>
      <c r="H32" s="251"/>
      <c r="I32" s="251"/>
      <c r="J32" s="251"/>
      <c r="K32" s="249">
        <f>IF('Filtered Data'!$H$8="..",'Filtered Data'!O10,'Filtered Data'!O10/100)</f>
        <v>396.54999999999995</v>
      </c>
      <c r="L32" s="249"/>
      <c r="M32" s="249"/>
      <c r="N32" s="269" t="s">
        <v>353</v>
      </c>
      <c r="O32" s="269"/>
      <c r="P32" s="269"/>
      <c r="Q32" s="269"/>
      <c r="R32" s="269"/>
      <c r="S32" s="269"/>
      <c r="T32" s="249">
        <f>IF('Filtered Data'!$H$8="..",'Filtered Data'!P10,'Filtered Data'!P10/100)</f>
        <v>444.3</v>
      </c>
      <c r="U32" s="249"/>
      <c r="V32" s="249"/>
      <c r="W32" s="249"/>
      <c r="X32" s="247" t="s">
        <v>354</v>
      </c>
      <c r="Y32" s="247"/>
      <c r="Z32" s="247"/>
      <c r="AA32" s="247"/>
      <c r="AB32" s="247"/>
      <c r="AC32" s="249">
        <f>IF('Filtered Data'!$H$8="..",'Filtered Data'!Q10,'Filtered Data'!Q10/100)</f>
        <v>485.75</v>
      </c>
      <c r="AD32" s="249"/>
      <c r="AE32" s="249"/>
      <c r="AF32" s="273" t="s">
        <v>343</v>
      </c>
      <c r="AG32" s="273"/>
      <c r="AH32" s="273"/>
      <c r="AI32" s="273"/>
      <c r="AJ32" s="273"/>
      <c r="AK32" s="273"/>
      <c r="AL32" s="273"/>
      <c r="AM32" s="9"/>
      <c r="AP32" s="60"/>
    </row>
    <row r="33" spans="2:16384">
      <c r="B33" s="4" t="str">
        <f>"The graph &amp; quartile information show data for all "&amp;V37&amp;" "&amp;VLOOKUP('Filtered Data'!D1,'Filtered Data'!L1:O6,3,FALSE)&amp;" councils in England."</f>
        <v>The graph &amp; quartile information show data for all 175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40">
        <f>IF(ISERROR(IF('Filtered Data'!$H$8="%.",(VLOOKUP(J5,'Filtered Data'!C:H,4,FALSE))/100,(VLOOKUP(J5,'Filtered Data'!C:H,4,FALSE)))),"",(IF('Filtered Data'!$H$8="%.",(VLOOKUP(J5,'Filtered Data'!C:H,4,FALSE))/100,(VLOOKUP(J5,'Filtered Data'!C:H,4,FALSE)))))</f>
        <v>522.20000000000005</v>
      </c>
      <c r="M35" s="240"/>
      <c r="N35" s="240"/>
      <c r="O35" s="240"/>
      <c r="P35" s="100"/>
      <c r="Q35" s="240" t="s">
        <v>355</v>
      </c>
      <c r="R35" s="240"/>
      <c r="S35" s="240"/>
      <c r="T35" s="240"/>
      <c r="U35" s="240"/>
      <c r="V35" s="240"/>
      <c r="W35" s="240"/>
      <c r="AP35" s="60"/>
    </row>
    <row r="36" spans="2:16384" ht="12.75" customHeight="1">
      <c r="B36" s="239" t="str">
        <f>'Filtered Data'!R8&amp;" Quartile"</f>
        <v>Bottom Quartile</v>
      </c>
      <c r="C36" s="239"/>
      <c r="D36" s="239"/>
      <c r="E36" s="239"/>
      <c r="F36" s="239"/>
      <c r="G36" s="239"/>
      <c r="H36" s="239"/>
      <c r="I36" s="239"/>
      <c r="J36" s="239"/>
      <c r="K36" s="239"/>
      <c r="L36" s="239"/>
      <c r="M36" s="239"/>
      <c r="N36" s="239"/>
      <c r="O36" s="239"/>
      <c r="P36" s="239"/>
      <c r="Q36" s="239"/>
      <c r="R36" s="239"/>
      <c r="S36" s="239"/>
      <c r="T36" s="239"/>
      <c r="U36" s="239"/>
      <c r="V36" s="239"/>
      <c r="W36" s="239"/>
      <c r="Z36" s="17" t="s">
        <v>359</v>
      </c>
      <c r="AB36" s="262" t="s">
        <v>361</v>
      </c>
      <c r="AC36" s="262"/>
      <c r="AD36" s="262"/>
      <c r="AE36" s="262"/>
      <c r="AF36" s="262"/>
      <c r="AG36" s="262"/>
      <c r="AH36" s="262"/>
      <c r="AI36" s="262"/>
      <c r="AJ36" s="262"/>
      <c r="AK36" s="262"/>
      <c r="AL36" s="262"/>
      <c r="AM36" s="118"/>
      <c r="AP36" s="60"/>
    </row>
    <row r="37" spans="2:16384" ht="12.75" customHeight="1">
      <c r="B37" s="101" t="str">
        <f>VLOOKUP('Filtered Data'!D1,'Filtered Data'!L1:O6,2,FALSE)</f>
        <v>Districts</v>
      </c>
      <c r="C37" s="101"/>
      <c r="D37" s="101"/>
      <c r="E37" s="101"/>
      <c r="F37" s="101"/>
      <c r="G37" s="101"/>
      <c r="H37" s="101"/>
      <c r="I37" s="101"/>
      <c r="J37" s="263" t="s">
        <v>801</v>
      </c>
      <c r="K37" s="102" t="str">
        <f>IF(Q37="","",IF('Filtered Data'!I8="D",IF($L$35&gt;=L37,"J","L"),IF('Filtered Data'!I8="A",IF($L$35&lt;=L37,"J","L"))))</f>
        <v>L</v>
      </c>
      <c r="L37" s="265">
        <f>'Filtered Data'!M9</f>
        <v>440.77771428571424</v>
      </c>
      <c r="M37" s="265"/>
      <c r="N37" s="265"/>
      <c r="O37" s="265"/>
      <c r="P37" s="103"/>
      <c r="Q37" s="259">
        <f>VLOOKUP(J5,'Filtered Data'!C:I,7,FALSE)</f>
        <v>156</v>
      </c>
      <c r="R37" s="259"/>
      <c r="S37" s="104"/>
      <c r="T37" s="105" t="s">
        <v>356</v>
      </c>
      <c r="U37" s="106"/>
      <c r="V37" s="259">
        <f>COUNT('Filtered Data'!I11:I343)</f>
        <v>175</v>
      </c>
      <c r="W37" s="259"/>
      <c r="AB37" s="262"/>
      <c r="AC37" s="262"/>
      <c r="AD37" s="262"/>
      <c r="AE37" s="262"/>
      <c r="AF37" s="262"/>
      <c r="AG37" s="262"/>
      <c r="AH37" s="262"/>
      <c r="AI37" s="262"/>
      <c r="AJ37" s="262"/>
      <c r="AK37" s="262"/>
      <c r="AL37" s="262"/>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4"/>
      <c r="K38" s="102" t="str">
        <f>IF(Q38="","",IF('Filtered Data'!I8="D",IF($L$35&gt;=L38,"J","L"),IF('Filtered Data'!I8="A",IF($L$35&lt;=L38,"J","L"))))</f>
        <v>L</v>
      </c>
      <c r="L38" s="265">
        <f>IF('Filtered Data'!D1="L",'Filtered Data'!AG9,'Filtered Data'!Y9)</f>
        <v>423.08648648648642</v>
      </c>
      <c r="M38" s="265"/>
      <c r="N38" s="265"/>
      <c r="O38" s="265"/>
      <c r="P38" s="103"/>
      <c r="Q38" s="261">
        <f>IF(ISERROR(IF('Filtered Data'!D1="L",VLOOKUP(J5,'Filtered Data'!AF11:AH26,3,FALSE),VLOOKUP(J5,'Filtered Data'!$L$11:$Z$355,15,FALSE))),"",(IF('Filtered Data'!D1="L",VLOOKUP(J5,'Filtered Data'!AF11:AH26,3,FALSE),VLOOKUP(J5,'Filtered Data'!$L$11:$Z$355,15,FALSE))))</f>
        <v>35</v>
      </c>
      <c r="R38" s="261"/>
      <c r="S38" s="265" t="s">
        <v>356</v>
      </c>
      <c r="T38" s="265"/>
      <c r="U38" s="265"/>
      <c r="V38" s="259">
        <f>IF('Filtered Data'!D1="L",16,COUNT('Filtered Data'!Z:Z))</f>
        <v>37</v>
      </c>
      <c r="W38" s="259"/>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4"/>
      <c r="K39" s="102" t="str">
        <f>IF(Q39="","",IF('Filtered Data'!I8="D",IF($L$35&gt;=L39,"J","L"),IF('Filtered Data'!I8="A",IF($L$35&lt;=L39,"J","L"))))</f>
        <v>L</v>
      </c>
      <c r="L39" s="265">
        <f>IF('Filtered Data'!D1="L","",IF('Filtered Data'!D1="SD",'Filtered Data'!AJ9,'Filtered Data'!AQ9))</f>
        <v>484.8</v>
      </c>
      <c r="M39" s="265"/>
      <c r="N39" s="265"/>
      <c r="O39" s="265"/>
      <c r="P39" s="103"/>
      <c r="Q39" s="259">
        <f>IF(ISERROR(IF('Filtered Data'!D1="L","",IF('Filtered Data'!D1="SD",VLOOKUP(J5,'Filtered Data'!L:AK,26,FALSE),(VLOOKUP(J5,'Filtered Data'!L:AR,33,FALSE))))),"",(IF('Filtered Data'!D1="L","",IF('Filtered Data'!D1="SD",VLOOKUP(J5,'Filtered Data'!L:AK,26,FALSE),(VLOOKUP(J5,'Filtered Data'!L:AR,33,FALSE))))))</f>
        <v>5</v>
      </c>
      <c r="R39" s="259"/>
      <c r="S39" s="104"/>
      <c r="T39" s="106" t="str">
        <f>IF(B39="","","out of")</f>
        <v>out of</v>
      </c>
      <c r="U39" s="106"/>
      <c r="V39" s="259">
        <f>IF('Filtered Data'!D1="L","",IF('Filtered Data'!D1="SD",COUNT('Filtered Data'!AK11:AK343),(COUNT('Filtered Data'!AQ11:AQ343))))</f>
        <v>6</v>
      </c>
      <c r="W39" s="259"/>
      <c r="Z39" s="11" t="s">
        <v>360</v>
      </c>
      <c r="AB39" s="262" t="s">
        <v>362</v>
      </c>
      <c r="AC39" s="262"/>
      <c r="AD39" s="262"/>
      <c r="AE39" s="262"/>
      <c r="AF39" s="262"/>
      <c r="AG39" s="262"/>
      <c r="AH39" s="262"/>
      <c r="AI39" s="262"/>
      <c r="AJ39" s="262"/>
      <c r="AK39" s="262"/>
      <c r="AL39" s="262"/>
      <c r="AM39" s="262"/>
      <c r="AP39" s="60"/>
    </row>
    <row r="40" spans="2:16384" ht="12.75" customHeight="1">
      <c r="B40" s="114"/>
      <c r="C40" s="114"/>
      <c r="D40" s="114"/>
      <c r="E40" s="114"/>
      <c r="F40" s="114"/>
      <c r="G40" s="114"/>
      <c r="H40" s="114"/>
      <c r="I40" s="114"/>
      <c r="J40" s="113"/>
      <c r="K40" s="115"/>
      <c r="L40" s="274"/>
      <c r="M40" s="274"/>
      <c r="N40" s="274"/>
      <c r="O40" s="274"/>
      <c r="P40" s="116"/>
      <c r="Q40" s="267"/>
      <c r="R40" s="267"/>
      <c r="S40" s="274"/>
      <c r="T40" s="275"/>
      <c r="U40" s="275"/>
      <c r="V40" s="267"/>
      <c r="W40" s="267"/>
      <c r="AB40" s="262"/>
      <c r="AC40" s="262"/>
      <c r="AD40" s="262"/>
      <c r="AE40" s="262"/>
      <c r="AF40" s="262"/>
      <c r="AG40" s="262"/>
      <c r="AH40" s="262"/>
      <c r="AI40" s="262"/>
      <c r="AJ40" s="262"/>
      <c r="AK40" s="262"/>
      <c r="AL40" s="262"/>
      <c r="AM40" s="262"/>
      <c r="AP40" s="60"/>
    </row>
    <row r="41" spans="2:16384">
      <c r="B41" s="211"/>
      <c r="C41" s="211"/>
      <c r="D41" s="211"/>
      <c r="E41" s="211"/>
      <c r="F41" s="211"/>
      <c r="G41" s="211"/>
      <c r="H41" s="211"/>
      <c r="I41" s="211"/>
      <c r="J41" s="113"/>
      <c r="K41" s="212" t="str">
        <f>IF(B41="","",IF('Filtered Data'!D1="UA","",(IF($L$35&gt;=L41,"J","L"))))</f>
        <v/>
      </c>
      <c r="L41" s="288"/>
      <c r="M41" s="288"/>
      <c r="N41" s="288"/>
      <c r="O41" s="288"/>
      <c r="P41" s="213"/>
      <c r="Q41" s="266"/>
      <c r="R41" s="266"/>
      <c r="S41" s="260"/>
      <c r="T41" s="260"/>
      <c r="U41" s="260"/>
      <c r="V41" s="266"/>
      <c r="W41" s="266"/>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4" t="s">
        <v>358</v>
      </c>
      <c r="C43" s="285"/>
      <c r="D43" s="285"/>
      <c r="E43" s="285"/>
      <c r="F43" s="285"/>
      <c r="G43" s="285"/>
      <c r="H43" s="285"/>
      <c r="I43" s="285"/>
      <c r="J43" s="285"/>
      <c r="K43" s="285"/>
      <c r="L43" s="285"/>
      <c r="M43" s="285"/>
      <c r="N43" s="285"/>
      <c r="O43" s="280" t="str">
        <f>W6&amp;" - "&amp;W12</f>
        <v>Residual household waste per household (kg/household) (Ex NI191) - 2022-23</v>
      </c>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1"/>
      <c r="AP43" s="60"/>
    </row>
    <row r="44" spans="2:16384">
      <c r="B44" s="286"/>
      <c r="C44" s="287"/>
      <c r="D44" s="287"/>
      <c r="E44" s="287"/>
      <c r="F44" s="287"/>
      <c r="G44" s="287"/>
      <c r="H44" s="287"/>
      <c r="I44" s="287"/>
      <c r="J44" s="287"/>
      <c r="K44" s="287"/>
      <c r="L44" s="287"/>
      <c r="M44" s="287"/>
      <c r="N44" s="287"/>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3"/>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54">
        <f>IF('Filtered Data'!$H$8="..",L35,L35*100)</f>
        <v>522.20000000000005</v>
      </c>
      <c r="F48" s="254"/>
      <c r="G48" s="254"/>
      <c r="H48" s="254"/>
      <c r="K48" s="217">
        <f>IF('Filtered Data'!$H$8="..",K$32,K$32*100)</f>
        <v>396.54999999999995</v>
      </c>
      <c r="L48" s="217"/>
      <c r="M48" s="217">
        <f>IF('Filtered Data'!$H$8="..",T$32,T$32*100)</f>
        <v>444.3</v>
      </c>
      <c r="N48" s="217"/>
      <c r="O48" s="217">
        <f>IF('Filtered Data'!$H$8="..",AC$32,AC$32*100)</f>
        <v>485.75</v>
      </c>
      <c r="P48" s="217"/>
      <c r="AM48" s="6"/>
      <c r="AP48" s="60"/>
    </row>
    <row r="49" spans="2:42">
      <c r="B49" s="5"/>
      <c r="D49" t="str">
        <f>B37</f>
        <v>Districts</v>
      </c>
      <c r="E49" s="254">
        <f>IF('Filtered Data'!$H$8="..",L37,L37*100)</f>
        <v>440.77771428571424</v>
      </c>
      <c r="F49" s="254"/>
      <c r="G49" s="254"/>
      <c r="H49" s="254"/>
      <c r="K49" s="217">
        <f>IF('Filtered Data'!$H$8="..",K$32,K$32*100)</f>
        <v>396.54999999999995</v>
      </c>
      <c r="L49" s="217"/>
      <c r="M49" s="217">
        <f>IF('Filtered Data'!$H$8="..",T$32,T$32*100)</f>
        <v>444.3</v>
      </c>
      <c r="N49" s="217"/>
      <c r="O49" s="217">
        <f>IF('Filtered Data'!$H$8="..",AC$32,AC$32*100)</f>
        <v>485.75</v>
      </c>
      <c r="P49" s="217"/>
      <c r="AM49" s="6"/>
      <c r="AP49" s="60"/>
    </row>
    <row r="50" spans="2:42">
      <c r="B50" s="5"/>
      <c r="D50" s="69" t="str">
        <f>B39</f>
        <v>Cumbria</v>
      </c>
      <c r="E50" s="254">
        <f>IF('Filtered Data'!$H$8="..",L39,L39*100)</f>
        <v>484.8</v>
      </c>
      <c r="F50" s="254"/>
      <c r="G50" s="254"/>
      <c r="H50" s="254"/>
      <c r="K50" s="217">
        <f>IF('Filtered Data'!$H$8="..",K$32,K$32*100)</f>
        <v>396.54999999999995</v>
      </c>
      <c r="L50" s="217"/>
      <c r="M50" s="217">
        <f>IF('Filtered Data'!$H$8="..",T$32,T$32*100)</f>
        <v>444.3</v>
      </c>
      <c r="N50" s="217"/>
      <c r="O50" s="217">
        <f>IF('Filtered Data'!$H$8="..",AC$32,AC$32*100)</f>
        <v>485.75</v>
      </c>
      <c r="P50" s="217"/>
      <c r="AM50" s="6"/>
      <c r="AP50" s="60"/>
    </row>
    <row r="51" spans="2:42">
      <c r="B51" s="5"/>
      <c r="D51" s="214" t="str">
        <f>B38</f>
        <v xml:space="preserve">Mainly Rural (rural including hub towns &gt;=80%) </v>
      </c>
      <c r="E51" s="254">
        <f>IF('Filtered Data'!$H$8="..",L38,L38*100)</f>
        <v>423.08648648648642</v>
      </c>
      <c r="F51" s="254"/>
      <c r="G51" s="254"/>
      <c r="H51" s="254"/>
      <c r="K51" s="217">
        <f>IF('Filtered Data'!$H$8="..",K$32,K$32*100)</f>
        <v>396.54999999999995</v>
      </c>
      <c r="L51" s="217"/>
      <c r="M51" s="217">
        <f>IF('Filtered Data'!$H$8="..",T$32,T$32*100)</f>
        <v>444.3</v>
      </c>
      <c r="N51" s="217"/>
      <c r="O51" s="217">
        <f>IF('Filtered Data'!$H$8="..",AC$32,AC$32*100)</f>
        <v>485.75</v>
      </c>
      <c r="P51" s="217"/>
      <c r="AM51" s="6"/>
      <c r="AP51" s="60"/>
    </row>
    <row r="52" spans="2:42">
      <c r="B52" s="5"/>
      <c r="E52" s="254"/>
      <c r="F52" s="254"/>
      <c r="G52" s="254"/>
      <c r="H52" s="254"/>
      <c r="K52" s="217"/>
      <c r="L52" s="217"/>
      <c r="M52" s="217"/>
      <c r="N52" s="217"/>
      <c r="O52" s="217"/>
      <c r="P52" s="217"/>
      <c r="AM52" s="6"/>
      <c r="AP52" s="60"/>
    </row>
    <row r="53" spans="2:42">
      <c r="B53" s="5"/>
      <c r="E53" s="292"/>
      <c r="F53" s="292"/>
      <c r="G53" s="292"/>
      <c r="H53" s="292"/>
      <c r="K53" s="217"/>
      <c r="L53" s="217"/>
      <c r="M53" s="217"/>
      <c r="N53" s="217"/>
      <c r="O53" s="217"/>
      <c r="P53" s="217"/>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89" t="str">
        <f>B3</f>
        <v>Waste Management Indicators</v>
      </c>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P59" s="60"/>
    </row>
    <row r="60" spans="2:42">
      <c r="AP60" s="60"/>
    </row>
    <row r="61" spans="2:42" ht="12" customHeight="1">
      <c r="B61" s="1" t="str">
        <f>W6&amp;" - "&amp;W12</f>
        <v>Residual household waste per household (kg/household) (Ex NI191) - 2022-23</v>
      </c>
      <c r="AP61" s="60"/>
    </row>
    <row r="62" spans="2:42" ht="12" customHeight="1">
      <c r="AP62" s="60"/>
    </row>
    <row r="63" spans="2:42" ht="12" customHeight="1">
      <c r="B63" s="1" t="s">
        <v>364</v>
      </c>
      <c r="AP63" s="60"/>
    </row>
    <row r="64" spans="2:42" ht="12" customHeight="1">
      <c r="AP64" s="60"/>
    </row>
    <row r="65" spans="2:42" ht="12" customHeight="1">
      <c r="B65" s="225" t="s">
        <v>355</v>
      </c>
      <c r="C65" s="225"/>
      <c r="D65" s="225"/>
      <c r="E65" s="222" t="s">
        <v>334</v>
      </c>
      <c r="F65" s="222"/>
      <c r="G65" s="222"/>
      <c r="H65" s="222"/>
      <c r="I65" s="222"/>
      <c r="J65" s="222"/>
      <c r="K65" s="222"/>
      <c r="L65" s="222"/>
      <c r="M65" s="222"/>
      <c r="N65" s="222"/>
      <c r="O65" s="222"/>
      <c r="P65" s="222"/>
      <c r="Q65" s="222"/>
      <c r="R65" s="222"/>
      <c r="S65" s="222"/>
      <c r="T65" s="222"/>
      <c r="U65" s="225" t="s">
        <v>365</v>
      </c>
      <c r="V65" s="225"/>
      <c r="W65" s="225"/>
      <c r="X65" s="225"/>
      <c r="Y65" s="1"/>
      <c r="Z65" s="1"/>
      <c r="AA65" s="1"/>
      <c r="AB65" s="1"/>
      <c r="AC65" s="4"/>
      <c r="AD65" s="1"/>
      <c r="AE65" s="1"/>
      <c r="AF65" s="1"/>
      <c r="AG65" s="1"/>
      <c r="AI65" s="1"/>
      <c r="AJ65" s="1"/>
      <c r="AK65" s="1"/>
      <c r="AL65" s="1"/>
      <c r="AP65" s="60"/>
    </row>
    <row r="66" spans="2:42" ht="12" customHeight="1">
      <c r="B66" s="255">
        <v>1</v>
      </c>
      <c r="C66" s="217"/>
      <c r="D66" s="217"/>
      <c r="E66" s="221" t="str">
        <f>VLOOKUP(B66,'Filtered Data'!K:L,2,FALSE)</f>
        <v>East Devon</v>
      </c>
      <c r="F66" s="221"/>
      <c r="G66" s="221"/>
      <c r="H66" s="221"/>
      <c r="I66" s="221"/>
      <c r="J66" s="221"/>
      <c r="K66" s="221"/>
      <c r="L66" s="221"/>
      <c r="M66" s="221"/>
      <c r="N66" s="221"/>
      <c r="O66" s="221"/>
      <c r="P66" s="221"/>
      <c r="Q66" s="221"/>
      <c r="R66" s="221"/>
      <c r="S66" s="221"/>
      <c r="T66" s="221"/>
      <c r="U66" s="219">
        <f>IF('Filtered Data'!$H$8="%.",(VLOOKUP(B66,'Filtered Data'!K:M,3,FALSE))/100,VLOOKUP(B66,'Filtered Data'!K:M,3,FALSE))</f>
        <v>255.7</v>
      </c>
      <c r="V66" s="219"/>
      <c r="W66" s="219"/>
      <c r="X66" s="219"/>
      <c r="Y66" s="136" t="str">
        <f>IF((VLOOKUP(E66,classifications!C:K,9,FALSE))="Sparse","S","")</f>
        <v>S</v>
      </c>
      <c r="Z66" s="136"/>
      <c r="AA66" s="136"/>
      <c r="AB66" s="136"/>
      <c r="AC66" s="136"/>
      <c r="AD66" s="223"/>
      <c r="AE66" s="223"/>
      <c r="AF66" s="223"/>
      <c r="AG66" s="223"/>
      <c r="AH66" s="223"/>
      <c r="AI66" s="223"/>
      <c r="AJ66" s="223"/>
      <c r="AK66" s="223"/>
      <c r="AL66" s="223"/>
      <c r="AP66" s="60"/>
    </row>
    <row r="67" spans="2:42" ht="12" customHeight="1">
      <c r="B67" s="255">
        <v>2</v>
      </c>
      <c r="C67" s="217"/>
      <c r="D67" s="217"/>
      <c r="E67" s="221" t="str">
        <f>VLOOKUP(B67,'Filtered Data'!K:L,2,FALSE)</f>
        <v>Vale of White Horse</v>
      </c>
      <c r="F67" s="221"/>
      <c r="G67" s="221"/>
      <c r="H67" s="221"/>
      <c r="I67" s="221"/>
      <c r="J67" s="221"/>
      <c r="K67" s="221"/>
      <c r="L67" s="221"/>
      <c r="M67" s="221"/>
      <c r="N67" s="221"/>
      <c r="O67" s="221"/>
      <c r="P67" s="221"/>
      <c r="Q67" s="221"/>
      <c r="R67" s="221"/>
      <c r="S67" s="221"/>
      <c r="T67" s="221"/>
      <c r="U67" s="219">
        <f>IF('Filtered Data'!$H$8="%.",(VLOOKUP(B67,'Filtered Data'!K:M,3,FALSE))/100,VLOOKUP(B67,'Filtered Data'!K:M,3,FALSE))</f>
        <v>292.89999999999998</v>
      </c>
      <c r="V67" s="219"/>
      <c r="W67" s="219"/>
      <c r="X67" s="219"/>
      <c r="Y67" s="136" t="str">
        <f>IF((VLOOKUP(E67,classifications!C:K,9,FALSE))="Sparse","S","")</f>
        <v>S</v>
      </c>
      <c r="Z67" s="136"/>
      <c r="AA67" s="136"/>
      <c r="AB67" s="136"/>
      <c r="AC67" s="136"/>
      <c r="AD67" s="223"/>
      <c r="AE67" s="223"/>
      <c r="AF67" s="223"/>
      <c r="AG67" s="223"/>
      <c r="AH67" s="223"/>
      <c r="AI67" s="223"/>
      <c r="AJ67" s="223"/>
      <c r="AK67" s="223"/>
      <c r="AL67" s="223"/>
      <c r="AP67" s="60"/>
    </row>
    <row r="68" spans="2:42" ht="12" customHeight="1">
      <c r="B68" s="255">
        <v>3</v>
      </c>
      <c r="C68" s="217"/>
      <c r="D68" s="217"/>
      <c r="E68" s="221" t="str">
        <f>VLOOKUP(B68,'Filtered Data'!K:L,2,FALSE)</f>
        <v>Stroud</v>
      </c>
      <c r="F68" s="221"/>
      <c r="G68" s="221"/>
      <c r="H68" s="221"/>
      <c r="I68" s="221"/>
      <c r="J68" s="221"/>
      <c r="K68" s="221"/>
      <c r="L68" s="221"/>
      <c r="M68" s="221"/>
      <c r="N68" s="221"/>
      <c r="O68" s="221"/>
      <c r="P68" s="221"/>
      <c r="Q68" s="221"/>
      <c r="R68" s="221"/>
      <c r="S68" s="221"/>
      <c r="T68" s="221"/>
      <c r="U68" s="219">
        <f>IF('Filtered Data'!$H$8="%.",(VLOOKUP(B68,'Filtered Data'!K:M,3,FALSE))/100,VLOOKUP(B68,'Filtered Data'!K:M,3,FALSE))</f>
        <v>293.3</v>
      </c>
      <c r="V68" s="219"/>
      <c r="W68" s="219"/>
      <c r="X68" s="219"/>
      <c r="Y68" s="136" t="str">
        <f>IF((VLOOKUP(E68,classifications!C:K,9,FALSE))="Sparse","S","")</f>
        <v>S</v>
      </c>
      <c r="Z68" s="136"/>
      <c r="AA68" s="136"/>
      <c r="AB68" s="136"/>
      <c r="AC68" s="136"/>
      <c r="AD68" s="223"/>
      <c r="AE68" s="223"/>
      <c r="AF68" s="223"/>
      <c r="AG68" s="223"/>
      <c r="AH68" s="223"/>
      <c r="AI68" s="223"/>
      <c r="AJ68" s="223"/>
      <c r="AK68" s="223"/>
      <c r="AL68" s="223"/>
      <c r="AP68" s="60"/>
    </row>
    <row r="69" spans="2:42" ht="12" customHeight="1">
      <c r="B69" s="255">
        <v>4</v>
      </c>
      <c r="C69" s="217"/>
      <c r="D69" s="217"/>
      <c r="E69" s="221" t="str">
        <f>VLOOKUP(B69,'Filtered Data'!K:L,2,FALSE)</f>
        <v>South Oxfordshire</v>
      </c>
      <c r="F69" s="221"/>
      <c r="G69" s="221"/>
      <c r="H69" s="221"/>
      <c r="I69" s="221"/>
      <c r="J69" s="221"/>
      <c r="K69" s="221"/>
      <c r="L69" s="221"/>
      <c r="M69" s="221"/>
      <c r="N69" s="221"/>
      <c r="O69" s="221"/>
      <c r="P69" s="221"/>
      <c r="Q69" s="221"/>
      <c r="R69" s="221"/>
      <c r="S69" s="221"/>
      <c r="T69" s="221"/>
      <c r="U69" s="219">
        <f>IF('Filtered Data'!$H$8="%.",(VLOOKUP(B69,'Filtered Data'!K:M,3,FALSE))/100,VLOOKUP(B69,'Filtered Data'!K:M,3,FALSE))</f>
        <v>303.8</v>
      </c>
      <c r="V69" s="219"/>
      <c r="W69" s="219"/>
      <c r="X69" s="219"/>
      <c r="Y69" s="136" t="str">
        <f>IF((VLOOKUP(E69,classifications!C:K,9,FALSE))="Sparse","S","")</f>
        <v>S</v>
      </c>
      <c r="Z69" s="136"/>
      <c r="AA69" s="136"/>
      <c r="AB69" s="136"/>
      <c r="AC69" s="136"/>
      <c r="AD69" s="223"/>
      <c r="AE69" s="223"/>
      <c r="AF69" s="223"/>
      <c r="AG69" s="223"/>
      <c r="AH69" s="223"/>
      <c r="AI69" s="223"/>
      <c r="AJ69" s="223"/>
      <c r="AK69" s="223"/>
      <c r="AL69" s="223"/>
      <c r="AP69" s="60"/>
    </row>
    <row r="70" spans="2:42" ht="12" customHeight="1">
      <c r="B70" s="255">
        <v>5</v>
      </c>
      <c r="C70" s="217"/>
      <c r="D70" s="217"/>
      <c r="E70" s="221" t="str">
        <f>VLOOKUP(B70,'Filtered Data'!K:L,2,FALSE)</f>
        <v>West Devon</v>
      </c>
      <c r="F70" s="221"/>
      <c r="G70" s="221"/>
      <c r="H70" s="221"/>
      <c r="I70" s="221"/>
      <c r="J70" s="221"/>
      <c r="K70" s="221"/>
      <c r="L70" s="221"/>
      <c r="M70" s="221"/>
      <c r="N70" s="221"/>
      <c r="O70" s="221"/>
      <c r="P70" s="221"/>
      <c r="Q70" s="221"/>
      <c r="R70" s="221"/>
      <c r="S70" s="221"/>
      <c r="T70" s="221"/>
      <c r="U70" s="219">
        <f>IF('Filtered Data'!$H$8="%.",(VLOOKUP(B70,'Filtered Data'!K:M,3,FALSE))/100,VLOOKUP(B70,'Filtered Data'!K:M,3,FALSE))</f>
        <v>307.8</v>
      </c>
      <c r="V70" s="219"/>
      <c r="W70" s="219"/>
      <c r="X70" s="219"/>
      <c r="Y70" s="136" t="str">
        <f>IF((VLOOKUP(E70,classifications!C:K,9,FALSE))="Sparse","S","")</f>
        <v>S</v>
      </c>
      <c r="Z70" s="136"/>
      <c r="AA70" s="136"/>
      <c r="AB70" s="136"/>
      <c r="AC70" s="136"/>
      <c r="AD70" s="223"/>
      <c r="AE70" s="223"/>
      <c r="AF70" s="223"/>
      <c r="AG70" s="223"/>
      <c r="AH70" s="223"/>
      <c r="AI70" s="223"/>
      <c r="AJ70" s="223"/>
      <c r="AK70" s="223"/>
      <c r="AL70" s="223"/>
      <c r="AP70" s="60"/>
    </row>
    <row r="71" spans="2:42" ht="12" customHeight="1">
      <c r="B71" s="255">
        <v>6</v>
      </c>
      <c r="C71" s="217"/>
      <c r="D71" s="217"/>
      <c r="E71" s="221" t="str">
        <f>VLOOKUP(B71,'Filtered Data'!K:L,2,FALSE)</f>
        <v>St Albans</v>
      </c>
      <c r="F71" s="221"/>
      <c r="G71" s="221"/>
      <c r="H71" s="221"/>
      <c r="I71" s="221"/>
      <c r="J71" s="221"/>
      <c r="K71" s="221"/>
      <c r="L71" s="221"/>
      <c r="M71" s="221"/>
      <c r="N71" s="221"/>
      <c r="O71" s="221"/>
      <c r="P71" s="221"/>
      <c r="Q71" s="221"/>
      <c r="R71" s="221"/>
      <c r="S71" s="221"/>
      <c r="T71" s="221"/>
      <c r="U71" s="219">
        <f>IF('Filtered Data'!$H$8="%.",(VLOOKUP(B71,'Filtered Data'!K:M,3,FALSE))/100,VLOOKUP(B71,'Filtered Data'!K:M,3,FALSE))</f>
        <v>316.2</v>
      </c>
      <c r="V71" s="219"/>
      <c r="W71" s="219"/>
      <c r="X71" s="219"/>
      <c r="Y71" s="136" t="str">
        <f>IF((VLOOKUP(E71,classifications!C:K,9,FALSE))="Sparse","S","")</f>
        <v/>
      </c>
      <c r="Z71" s="136"/>
      <c r="AA71" s="136"/>
      <c r="AB71" s="136"/>
      <c r="AC71" s="136"/>
      <c r="AD71" s="223"/>
      <c r="AE71" s="223"/>
      <c r="AF71" s="223"/>
      <c r="AG71" s="223"/>
      <c r="AH71" s="223"/>
      <c r="AI71" s="223"/>
      <c r="AJ71" s="223"/>
      <c r="AK71" s="223"/>
      <c r="AL71" s="223"/>
      <c r="AP71" s="60"/>
    </row>
    <row r="72" spans="2:42" ht="12" customHeight="1">
      <c r="B72" s="255">
        <v>7</v>
      </c>
      <c r="C72" s="217"/>
      <c r="D72" s="217"/>
      <c r="E72" s="221" t="str">
        <f>VLOOKUP(B72,'Filtered Data'!K:L,2,FALSE)</f>
        <v>Three Rivers</v>
      </c>
      <c r="F72" s="221"/>
      <c r="G72" s="221"/>
      <c r="H72" s="221"/>
      <c r="I72" s="221"/>
      <c r="J72" s="221"/>
      <c r="K72" s="221"/>
      <c r="L72" s="221"/>
      <c r="M72" s="221"/>
      <c r="N72" s="221"/>
      <c r="O72" s="221"/>
      <c r="P72" s="221"/>
      <c r="Q72" s="221"/>
      <c r="R72" s="221"/>
      <c r="S72" s="221"/>
      <c r="T72" s="221"/>
      <c r="U72" s="219">
        <f>IF('Filtered Data'!$H$8="%.",(VLOOKUP(B72,'Filtered Data'!K:M,3,FALSE))/100,VLOOKUP(B72,'Filtered Data'!K:M,3,FALSE))</f>
        <v>318.2</v>
      </c>
      <c r="V72" s="219"/>
      <c r="W72" s="219"/>
      <c r="X72" s="219"/>
      <c r="Y72" s="136" t="str">
        <f>IF((VLOOKUP(E72,classifications!C:K,9,FALSE))="Sparse","S","")</f>
        <v/>
      </c>
      <c r="Z72" s="136"/>
      <c r="AA72" s="136"/>
      <c r="AB72" s="136"/>
      <c r="AC72" s="136"/>
      <c r="AD72" s="223"/>
      <c r="AE72" s="223"/>
      <c r="AF72" s="223"/>
      <c r="AG72" s="223"/>
      <c r="AH72" s="223"/>
      <c r="AI72" s="223"/>
      <c r="AJ72" s="223"/>
      <c r="AK72" s="223"/>
      <c r="AL72" s="223"/>
      <c r="AP72" s="60"/>
    </row>
    <row r="73" spans="2:42" ht="12" customHeight="1">
      <c r="B73" s="255">
        <v>8</v>
      </c>
      <c r="C73" s="217"/>
      <c r="D73" s="217"/>
      <c r="E73" s="221" t="str">
        <f>VLOOKUP(B73,'Filtered Data'!K:L,2,FALSE)</f>
        <v>Stratford-on-Avon</v>
      </c>
      <c r="F73" s="221"/>
      <c r="G73" s="221"/>
      <c r="H73" s="221"/>
      <c r="I73" s="221"/>
      <c r="J73" s="221"/>
      <c r="K73" s="221"/>
      <c r="L73" s="221"/>
      <c r="M73" s="221"/>
      <c r="N73" s="221"/>
      <c r="O73" s="221"/>
      <c r="P73" s="221"/>
      <c r="Q73" s="221"/>
      <c r="R73" s="221"/>
      <c r="S73" s="221"/>
      <c r="T73" s="221"/>
      <c r="U73" s="219">
        <f>IF('Filtered Data'!$H$8="%.",(VLOOKUP(B73,'Filtered Data'!K:M,3,FALSE))/100,VLOOKUP(B73,'Filtered Data'!K:M,3,FALSE))</f>
        <v>319.60000000000002</v>
      </c>
      <c r="V73" s="219"/>
      <c r="W73" s="219"/>
      <c r="X73" s="219"/>
      <c r="Y73" s="136" t="str">
        <f>IF((VLOOKUP(E73,classifications!C:K,9,FALSE))="Sparse","S","")</f>
        <v>S</v>
      </c>
      <c r="Z73" s="136"/>
      <c r="AA73" s="136"/>
      <c r="AB73" s="136"/>
      <c r="AC73" s="136"/>
      <c r="AD73" s="223"/>
      <c r="AE73" s="223"/>
      <c r="AF73" s="223"/>
      <c r="AG73" s="223"/>
      <c r="AH73" s="223"/>
      <c r="AI73" s="223"/>
      <c r="AJ73" s="223"/>
      <c r="AK73" s="223"/>
      <c r="AL73" s="223"/>
      <c r="AP73" s="60"/>
    </row>
    <row r="74" spans="2:42" ht="12" customHeight="1">
      <c r="B74" s="255">
        <v>9</v>
      </c>
      <c r="C74" s="217"/>
      <c r="D74" s="217"/>
      <c r="E74" s="221" t="str">
        <f>VLOOKUP(B74,'Filtered Data'!K:L,2,FALSE)</f>
        <v>Colchester</v>
      </c>
      <c r="F74" s="221"/>
      <c r="G74" s="221"/>
      <c r="H74" s="221"/>
      <c r="I74" s="221"/>
      <c r="J74" s="221"/>
      <c r="K74" s="221"/>
      <c r="L74" s="221"/>
      <c r="M74" s="221"/>
      <c r="N74" s="221"/>
      <c r="O74" s="221"/>
      <c r="P74" s="221"/>
      <c r="Q74" s="221"/>
      <c r="R74" s="221"/>
      <c r="S74" s="221"/>
      <c r="T74" s="221"/>
      <c r="U74" s="219">
        <f>IF('Filtered Data'!$H$8="%.",(VLOOKUP(B74,'Filtered Data'!K:M,3,FALSE))/100,VLOOKUP(B74,'Filtered Data'!K:M,3,FALSE))</f>
        <v>321.7</v>
      </c>
      <c r="V74" s="219"/>
      <c r="W74" s="219"/>
      <c r="X74" s="219"/>
      <c r="Y74" s="136" t="str">
        <f>IF((VLOOKUP(E74,classifications!C:K,9,FALSE))="Sparse","S","")</f>
        <v/>
      </c>
      <c r="Z74" s="136"/>
      <c r="AA74" s="136"/>
      <c r="AB74" s="136"/>
      <c r="AC74" s="136"/>
      <c r="AD74" s="223"/>
      <c r="AE74" s="223"/>
      <c r="AF74" s="223"/>
      <c r="AG74" s="223"/>
      <c r="AH74" s="223"/>
      <c r="AI74" s="223"/>
      <c r="AJ74" s="223"/>
      <c r="AK74" s="223"/>
      <c r="AL74" s="223"/>
      <c r="AP74" s="60"/>
    </row>
    <row r="75" spans="2:42" ht="12" customHeight="1">
      <c r="B75" s="255">
        <v>10</v>
      </c>
      <c r="C75" s="217"/>
      <c r="D75" s="217"/>
      <c r="E75" s="221" t="str">
        <f>VLOOKUP(B75,'Filtered Data'!K:L,2,FALSE)</f>
        <v>Mid Devon</v>
      </c>
      <c r="F75" s="221"/>
      <c r="G75" s="221"/>
      <c r="H75" s="221"/>
      <c r="I75" s="221"/>
      <c r="J75" s="221"/>
      <c r="K75" s="221"/>
      <c r="L75" s="221"/>
      <c r="M75" s="221"/>
      <c r="N75" s="221"/>
      <c r="O75" s="221"/>
      <c r="P75" s="221"/>
      <c r="Q75" s="221"/>
      <c r="R75" s="221"/>
      <c r="S75" s="221"/>
      <c r="T75" s="221"/>
      <c r="U75" s="219">
        <f>IF('Filtered Data'!$H$8="%.",(VLOOKUP(B75,'Filtered Data'!K:M,3,FALSE))/100,VLOOKUP(B75,'Filtered Data'!K:M,3,FALSE))</f>
        <v>324.8</v>
      </c>
      <c r="V75" s="219"/>
      <c r="W75" s="219"/>
      <c r="X75" s="219"/>
      <c r="Y75" s="136" t="str">
        <f>IF((VLOOKUP(E75,classifications!C:K,9,FALSE))="Sparse","S","")</f>
        <v>S</v>
      </c>
      <c r="Z75" s="136"/>
      <c r="AA75" s="136"/>
      <c r="AB75" s="136"/>
      <c r="AC75" s="136"/>
      <c r="AD75" s="223"/>
      <c r="AE75" s="223"/>
      <c r="AF75" s="223"/>
      <c r="AG75" s="223"/>
      <c r="AH75" s="223"/>
      <c r="AI75" s="223"/>
      <c r="AJ75" s="223"/>
      <c r="AK75" s="223"/>
      <c r="AL75" s="223"/>
      <c r="AP75" s="60"/>
    </row>
    <row r="76" spans="2:42" ht="12" customHeight="1">
      <c r="B76" s="255">
        <v>11</v>
      </c>
      <c r="C76" s="217"/>
      <c r="D76" s="217"/>
      <c r="E76" s="221" t="str">
        <f>VLOOKUP(B76,'Filtered Data'!K:L,2,FALSE)</f>
        <v>Oxford</v>
      </c>
      <c r="F76" s="221"/>
      <c r="G76" s="221"/>
      <c r="H76" s="221"/>
      <c r="I76" s="221"/>
      <c r="J76" s="221"/>
      <c r="K76" s="221"/>
      <c r="L76" s="221"/>
      <c r="M76" s="221"/>
      <c r="N76" s="221"/>
      <c r="O76" s="221"/>
      <c r="P76" s="221"/>
      <c r="Q76" s="221"/>
      <c r="R76" s="221"/>
      <c r="S76" s="221"/>
      <c r="T76" s="221"/>
      <c r="U76" s="219">
        <f>IF('Filtered Data'!$H$8="%.",(VLOOKUP(B76,'Filtered Data'!K:M,3,FALSE))/100,VLOOKUP(B76,'Filtered Data'!K:M,3,FALSE))</f>
        <v>327</v>
      </c>
      <c r="V76" s="219"/>
      <c r="W76" s="219"/>
      <c r="X76" s="219"/>
      <c r="Y76" s="136" t="str">
        <f>IF((VLOOKUP(E76,classifications!C:K,9,FALSE))="Sparse","S","")</f>
        <v/>
      </c>
      <c r="Z76" s="136"/>
      <c r="AA76" s="136"/>
      <c r="AB76" s="136"/>
      <c r="AC76" s="136"/>
      <c r="AD76" s="223"/>
      <c r="AE76" s="223"/>
      <c r="AF76" s="223"/>
      <c r="AG76" s="223"/>
      <c r="AH76" s="223"/>
      <c r="AI76" s="223"/>
      <c r="AJ76" s="223"/>
      <c r="AK76" s="223"/>
      <c r="AL76" s="223"/>
      <c r="AP76" s="60"/>
    </row>
    <row r="77" spans="2:42" ht="12" customHeight="1">
      <c r="B77" s="255">
        <v>12</v>
      </c>
      <c r="C77" s="217"/>
      <c r="D77" s="217"/>
      <c r="E77" s="221" t="str">
        <f>VLOOKUP(B77,'Filtered Data'!K:L,2,FALSE)</f>
        <v>Torridge</v>
      </c>
      <c r="F77" s="221"/>
      <c r="G77" s="221"/>
      <c r="H77" s="221"/>
      <c r="I77" s="221"/>
      <c r="J77" s="221"/>
      <c r="K77" s="221"/>
      <c r="L77" s="221"/>
      <c r="M77" s="221"/>
      <c r="N77" s="221"/>
      <c r="O77" s="221"/>
      <c r="P77" s="221"/>
      <c r="Q77" s="221"/>
      <c r="R77" s="221"/>
      <c r="S77" s="221"/>
      <c r="T77" s="221"/>
      <c r="U77" s="219">
        <f>IF('Filtered Data'!$H$8="%.",(VLOOKUP(B77,'Filtered Data'!K:M,3,FALSE))/100,VLOOKUP(B77,'Filtered Data'!K:M,3,FALSE))</f>
        <v>329.8</v>
      </c>
      <c r="V77" s="219"/>
      <c r="W77" s="219"/>
      <c r="X77" s="219"/>
      <c r="Y77" s="136" t="str">
        <f>IF((VLOOKUP(E77,classifications!C:K,9,FALSE))="Sparse","S","")</f>
        <v>S</v>
      </c>
      <c r="Z77" s="136"/>
      <c r="AA77" s="136"/>
      <c r="AB77" s="136"/>
      <c r="AC77" s="136"/>
      <c r="AD77" s="223"/>
      <c r="AE77" s="223"/>
      <c r="AF77" s="223"/>
      <c r="AG77" s="223"/>
      <c r="AH77" s="223"/>
      <c r="AI77" s="223"/>
      <c r="AJ77" s="223"/>
      <c r="AK77" s="223"/>
      <c r="AL77" s="223"/>
      <c r="AP77" s="60"/>
    </row>
    <row r="78" spans="2:42" ht="12" customHeight="1">
      <c r="B78" s="255">
        <v>13</v>
      </c>
      <c r="C78" s="217"/>
      <c r="D78" s="217"/>
      <c r="E78" s="221" t="str">
        <f>VLOOKUP(B78,'Filtered Data'!K:L,2,FALSE)</f>
        <v>Surrey Heath</v>
      </c>
      <c r="F78" s="221"/>
      <c r="G78" s="221"/>
      <c r="H78" s="221"/>
      <c r="I78" s="221"/>
      <c r="J78" s="221"/>
      <c r="K78" s="221"/>
      <c r="L78" s="221"/>
      <c r="M78" s="221"/>
      <c r="N78" s="221"/>
      <c r="O78" s="221"/>
      <c r="P78" s="221"/>
      <c r="Q78" s="221"/>
      <c r="R78" s="221"/>
      <c r="S78" s="221"/>
      <c r="T78" s="221"/>
      <c r="U78" s="219">
        <f>IF('Filtered Data'!$H$8="%.",(VLOOKUP(B78,'Filtered Data'!K:M,3,FALSE))/100,VLOOKUP(B78,'Filtered Data'!K:M,3,FALSE))</f>
        <v>333.9</v>
      </c>
      <c r="V78" s="219"/>
      <c r="W78" s="219"/>
      <c r="X78" s="219"/>
      <c r="Y78" s="136" t="str">
        <f>IF((VLOOKUP(E78,classifications!C:K,9,FALSE))="Sparse","S","")</f>
        <v/>
      </c>
      <c r="Z78" s="136"/>
      <c r="AA78" s="136"/>
      <c r="AB78" s="136"/>
      <c r="AC78" s="136"/>
      <c r="AD78" s="223"/>
      <c r="AE78" s="223"/>
      <c r="AF78" s="223"/>
      <c r="AG78" s="223"/>
      <c r="AH78" s="223"/>
      <c r="AI78" s="223"/>
      <c r="AJ78" s="223"/>
      <c r="AK78" s="223"/>
      <c r="AL78" s="223"/>
      <c r="AP78" s="60"/>
    </row>
    <row r="79" spans="2:42" ht="12" customHeight="1">
      <c r="B79" s="255">
        <v>14</v>
      </c>
      <c r="C79" s="217"/>
      <c r="D79" s="217"/>
      <c r="E79" s="221" t="str">
        <f>VLOOKUP(B79,'Filtered Data'!K:L,2,FALSE)</f>
        <v>Derbyshire Dales</v>
      </c>
      <c r="F79" s="221"/>
      <c r="G79" s="221"/>
      <c r="H79" s="221"/>
      <c r="I79" s="221"/>
      <c r="J79" s="221"/>
      <c r="K79" s="221"/>
      <c r="L79" s="221"/>
      <c r="M79" s="221"/>
      <c r="N79" s="221"/>
      <c r="O79" s="221"/>
      <c r="P79" s="221"/>
      <c r="Q79" s="221"/>
      <c r="R79" s="221"/>
      <c r="S79" s="221"/>
      <c r="T79" s="221"/>
      <c r="U79" s="219">
        <f>IF('Filtered Data'!$H$8="%.",(VLOOKUP(B79,'Filtered Data'!K:M,3,FALSE))/100,VLOOKUP(B79,'Filtered Data'!K:M,3,FALSE))</f>
        <v>334.5</v>
      </c>
      <c r="V79" s="219"/>
      <c r="W79" s="219"/>
      <c r="X79" s="219"/>
      <c r="Y79" s="136" t="str">
        <f>IF((VLOOKUP(E79,classifications!C:K,9,FALSE))="Sparse","S","")</f>
        <v>S</v>
      </c>
      <c r="Z79" s="136"/>
      <c r="AA79" s="136"/>
      <c r="AB79" s="136"/>
      <c r="AC79" s="136"/>
      <c r="AD79" s="223"/>
      <c r="AE79" s="223"/>
      <c r="AF79" s="223"/>
      <c r="AG79" s="223"/>
      <c r="AH79" s="223"/>
      <c r="AI79" s="223"/>
      <c r="AJ79" s="223"/>
      <c r="AK79" s="223"/>
      <c r="AL79" s="223"/>
      <c r="AP79" s="60"/>
    </row>
    <row r="80" spans="2:42" ht="12" customHeight="1">
      <c r="B80" s="255">
        <v>15</v>
      </c>
      <c r="C80" s="217"/>
      <c r="D80" s="217"/>
      <c r="E80" s="221" t="str">
        <f>VLOOKUP(B80,'Filtered Data'!K:L,2,FALSE)</f>
        <v>East Cambridgeshire</v>
      </c>
      <c r="F80" s="221"/>
      <c r="G80" s="221"/>
      <c r="H80" s="221"/>
      <c r="I80" s="221"/>
      <c r="J80" s="221"/>
      <c r="K80" s="221"/>
      <c r="L80" s="221"/>
      <c r="M80" s="221"/>
      <c r="N80" s="221"/>
      <c r="O80" s="221"/>
      <c r="P80" s="221"/>
      <c r="Q80" s="221"/>
      <c r="R80" s="221"/>
      <c r="S80" s="221"/>
      <c r="T80" s="221"/>
      <c r="U80" s="219">
        <f>IF('Filtered Data'!$H$8="%.",(VLOOKUP(B80,'Filtered Data'!K:M,3,FALSE))/100,VLOOKUP(B80,'Filtered Data'!K:M,3,FALSE))</f>
        <v>335.9</v>
      </c>
      <c r="V80" s="219"/>
      <c r="W80" s="219"/>
      <c r="X80" s="219"/>
      <c r="Y80" s="136" t="str">
        <f>IF((VLOOKUP(E80,classifications!C:K,9,FALSE))="Sparse","S","")</f>
        <v>S</v>
      </c>
      <c r="Z80" s="136"/>
      <c r="AA80" s="136"/>
      <c r="AB80" s="136"/>
      <c r="AC80" s="136"/>
      <c r="AD80" s="223"/>
      <c r="AE80" s="223"/>
      <c r="AF80" s="223"/>
      <c r="AG80" s="223"/>
      <c r="AH80" s="223"/>
      <c r="AI80" s="223"/>
      <c r="AJ80" s="223"/>
      <c r="AK80" s="223"/>
      <c r="AL80" s="223"/>
      <c r="AP80" s="60"/>
    </row>
    <row r="81" spans="1:48" ht="12" customHeight="1">
      <c r="B81" s="255">
        <v>16</v>
      </c>
      <c r="C81" s="217"/>
      <c r="D81" s="217"/>
      <c r="E81" s="221" t="str">
        <f>VLOOKUP(B81,'Filtered Data'!K:L,2,FALSE)</f>
        <v>Waverley</v>
      </c>
      <c r="F81" s="221"/>
      <c r="G81" s="221"/>
      <c r="H81" s="221"/>
      <c r="I81" s="221"/>
      <c r="J81" s="221"/>
      <c r="K81" s="221"/>
      <c r="L81" s="221"/>
      <c r="M81" s="221"/>
      <c r="N81" s="221"/>
      <c r="O81" s="221"/>
      <c r="P81" s="221"/>
      <c r="Q81" s="221"/>
      <c r="R81" s="221"/>
      <c r="S81" s="221"/>
      <c r="T81" s="221"/>
      <c r="U81" s="219">
        <f>IF('Filtered Data'!$H$8="%.",(VLOOKUP(B81,'Filtered Data'!K:M,3,FALSE))/100,VLOOKUP(B81,'Filtered Data'!K:M,3,FALSE))</f>
        <v>337.4</v>
      </c>
      <c r="V81" s="219"/>
      <c r="W81" s="219"/>
      <c r="X81" s="219"/>
      <c r="Y81" s="136" t="str">
        <f>IF((VLOOKUP(E81,classifications!C:K,9,FALSE))="Sparse","S","")</f>
        <v/>
      </c>
      <c r="Z81" s="136"/>
      <c r="AA81" s="136"/>
      <c r="AB81" s="136"/>
      <c r="AC81" s="136"/>
      <c r="AD81" s="223"/>
      <c r="AE81" s="223"/>
      <c r="AF81" s="223"/>
      <c r="AG81" s="223"/>
      <c r="AH81" s="223"/>
      <c r="AI81" s="223"/>
      <c r="AJ81" s="223"/>
      <c r="AK81" s="223"/>
      <c r="AL81" s="223"/>
      <c r="AP81" s="60"/>
    </row>
    <row r="82" spans="1:48" ht="12" customHeight="1">
      <c r="B82" s="255">
        <v>17</v>
      </c>
      <c r="C82" s="217"/>
      <c r="D82" s="217"/>
      <c r="E82" s="221" t="str">
        <f>VLOOKUP(B82,'Filtered Data'!K:L,2,FALSE)</f>
        <v>West Oxfordshire</v>
      </c>
      <c r="F82" s="221"/>
      <c r="G82" s="221"/>
      <c r="H82" s="221"/>
      <c r="I82" s="221"/>
      <c r="J82" s="221"/>
      <c r="K82" s="221"/>
      <c r="L82" s="221"/>
      <c r="M82" s="221"/>
      <c r="N82" s="221"/>
      <c r="O82" s="221"/>
      <c r="P82" s="221"/>
      <c r="Q82" s="221"/>
      <c r="R82" s="221"/>
      <c r="S82" s="221"/>
      <c r="T82" s="221"/>
      <c r="U82" s="219">
        <f>IF('Filtered Data'!$H$8="%.",(VLOOKUP(B82,'Filtered Data'!K:M,3,FALSE))/100,VLOOKUP(B82,'Filtered Data'!K:M,3,FALSE))</f>
        <v>341.5</v>
      </c>
      <c r="V82" s="219"/>
      <c r="W82" s="219"/>
      <c r="X82" s="219"/>
      <c r="Y82" s="136" t="str">
        <f>IF((VLOOKUP(E82,classifications!C:K,9,FALSE))="Sparse","S","")</f>
        <v>S</v>
      </c>
      <c r="Z82" s="136"/>
      <c r="AA82" s="136"/>
      <c r="AB82" s="136"/>
      <c r="AC82" s="136"/>
      <c r="AD82" s="223"/>
      <c r="AE82" s="223"/>
      <c r="AF82" s="223"/>
      <c r="AG82" s="223"/>
      <c r="AH82" s="223"/>
      <c r="AI82" s="223"/>
      <c r="AJ82" s="223"/>
      <c r="AK82" s="223"/>
      <c r="AL82" s="223"/>
      <c r="AP82" s="60"/>
    </row>
    <row r="83" spans="1:48" ht="12" customHeight="1">
      <c r="B83" s="255">
        <v>18</v>
      </c>
      <c r="C83" s="217"/>
      <c r="D83" s="217"/>
      <c r="E83" s="221" t="str">
        <f>VLOOKUP(B83,'Filtered Data'!K:L,2,FALSE)</f>
        <v>North Hertfordshire</v>
      </c>
      <c r="F83" s="221"/>
      <c r="G83" s="221"/>
      <c r="H83" s="221"/>
      <c r="I83" s="221"/>
      <c r="J83" s="221"/>
      <c r="K83" s="221"/>
      <c r="L83" s="221"/>
      <c r="M83" s="221"/>
      <c r="N83" s="221"/>
      <c r="O83" s="221"/>
      <c r="P83" s="221"/>
      <c r="Q83" s="221"/>
      <c r="R83" s="221"/>
      <c r="S83" s="221"/>
      <c r="T83" s="221"/>
      <c r="U83" s="219">
        <f>IF('Filtered Data'!$H$8="%.",(VLOOKUP(B83,'Filtered Data'!K:M,3,FALSE))/100,VLOOKUP(B83,'Filtered Data'!K:M,3,FALSE))</f>
        <v>342.4</v>
      </c>
      <c r="V83" s="219"/>
      <c r="W83" s="219"/>
      <c r="X83" s="219"/>
      <c r="Y83" s="136" t="str">
        <f>IF((VLOOKUP(E83,classifications!C:K,9,FALSE))="Sparse","S","")</f>
        <v/>
      </c>
      <c r="Z83" s="136"/>
      <c r="AA83" s="136"/>
      <c r="AB83" s="136"/>
      <c r="AC83" s="136"/>
      <c r="AD83" s="223"/>
      <c r="AE83" s="223"/>
      <c r="AF83" s="223"/>
      <c r="AG83" s="223"/>
      <c r="AH83" s="223"/>
      <c r="AI83" s="223"/>
      <c r="AJ83" s="223"/>
      <c r="AK83" s="223"/>
      <c r="AL83" s="223"/>
      <c r="AP83" s="60"/>
    </row>
    <row r="84" spans="1:48" ht="12" customHeight="1">
      <c r="B84" s="255">
        <v>19</v>
      </c>
      <c r="C84" s="217"/>
      <c r="D84" s="217"/>
      <c r="E84" s="221" t="str">
        <f>VLOOKUP(B84,'Filtered Data'!K:L,2,FALSE)</f>
        <v>Teignbridge</v>
      </c>
      <c r="F84" s="221"/>
      <c r="G84" s="221"/>
      <c r="H84" s="221"/>
      <c r="I84" s="221"/>
      <c r="J84" s="221"/>
      <c r="K84" s="221"/>
      <c r="L84" s="221"/>
      <c r="M84" s="221"/>
      <c r="N84" s="221"/>
      <c r="O84" s="221"/>
      <c r="P84" s="221"/>
      <c r="Q84" s="221"/>
      <c r="R84" s="221"/>
      <c r="S84" s="221"/>
      <c r="T84" s="221"/>
      <c r="U84" s="219">
        <f>IF('Filtered Data'!$H$8="%.",(VLOOKUP(B84,'Filtered Data'!K:M,3,FALSE))/100,VLOOKUP(B84,'Filtered Data'!K:M,3,FALSE))</f>
        <v>347</v>
      </c>
      <c r="V84" s="219"/>
      <c r="W84" s="219"/>
      <c r="X84" s="219"/>
      <c r="Y84" s="136" t="str">
        <f>IF((VLOOKUP(E84,classifications!C:K,9,FALSE))="Sparse","S","")</f>
        <v>S</v>
      </c>
      <c r="Z84" s="136"/>
      <c r="AA84" s="136"/>
      <c r="AB84" s="136"/>
      <c r="AC84" s="136"/>
      <c r="AD84" s="223"/>
      <c r="AE84" s="223"/>
      <c r="AF84" s="223"/>
      <c r="AG84" s="223"/>
      <c r="AH84" s="223"/>
      <c r="AI84" s="223"/>
      <c r="AJ84" s="223"/>
      <c r="AK84" s="223"/>
      <c r="AL84" s="223"/>
      <c r="AP84" s="60"/>
    </row>
    <row r="85" spans="1:48" ht="12" customHeight="1">
      <c r="B85" s="255">
        <v>20</v>
      </c>
      <c r="C85" s="255"/>
      <c r="D85" s="255"/>
      <c r="E85" s="221" t="str">
        <f>VLOOKUP(B85,'Filtered Data'!K:L,2,FALSE)</f>
        <v>Maldon</v>
      </c>
      <c r="F85" s="221"/>
      <c r="G85" s="221"/>
      <c r="H85" s="221"/>
      <c r="I85" s="221"/>
      <c r="J85" s="221"/>
      <c r="K85" s="221"/>
      <c r="L85" s="221"/>
      <c r="M85" s="221"/>
      <c r="N85" s="221"/>
      <c r="O85" s="221"/>
      <c r="P85" s="221"/>
      <c r="Q85" s="221"/>
      <c r="R85" s="221"/>
      <c r="S85" s="221"/>
      <c r="T85" s="221"/>
      <c r="U85" s="219">
        <f>IF('Filtered Data'!$H$8="%.",(VLOOKUP(B85,'Filtered Data'!K:M,3,FALSE))/100,VLOOKUP(B85,'Filtered Data'!K:M,3,FALSE))</f>
        <v>347.5</v>
      </c>
      <c r="V85" s="219"/>
      <c r="W85" s="219"/>
      <c r="X85" s="219"/>
      <c r="Y85" s="136" t="str">
        <f>IF((VLOOKUP(E85,classifications!C:K,9,FALSE))="Sparse","S","")</f>
        <v/>
      </c>
      <c r="Z85" s="136"/>
      <c r="AA85" s="136"/>
      <c r="AB85" s="136"/>
      <c r="AC85" s="136"/>
      <c r="AD85" s="223"/>
      <c r="AE85" s="223"/>
      <c r="AF85" s="223"/>
      <c r="AG85" s="223"/>
      <c r="AH85" s="223"/>
      <c r="AI85" s="223"/>
      <c r="AJ85" s="223"/>
      <c r="AK85" s="223"/>
      <c r="AL85" s="223"/>
      <c r="AP85" s="60"/>
    </row>
    <row r="86" spans="1:48" ht="12" customHeight="1">
      <c r="A86" s="55"/>
      <c r="B86" s="293">
        <f>IF(Q37&lt;=MAX(B66:D85),"",Q37)</f>
        <v>156</v>
      </c>
      <c r="C86" s="293"/>
      <c r="D86" s="293"/>
      <c r="E86" s="258" t="str">
        <f>IF(B86="","",VLOOKUP(B86,'Filtered Data'!K:L,2,FALSE))</f>
        <v>Allerdale</v>
      </c>
      <c r="F86" s="258"/>
      <c r="G86" s="258"/>
      <c r="H86" s="258"/>
      <c r="I86" s="258"/>
      <c r="J86" s="258"/>
      <c r="K86" s="258"/>
      <c r="L86" s="258"/>
      <c r="M86" s="258"/>
      <c r="N86" s="258"/>
      <c r="O86" s="258"/>
      <c r="P86" s="258"/>
      <c r="Q86" s="258"/>
      <c r="R86" s="258"/>
      <c r="S86" s="258"/>
      <c r="T86" s="258"/>
      <c r="U86" s="226">
        <f>IF(B86="","",L35)</f>
        <v>522.20000000000005</v>
      </c>
      <c r="V86" s="226"/>
      <c r="W86" s="226"/>
      <c r="X86" s="226"/>
      <c r="Y86" s="136" t="str">
        <f>IF(B86="","",IF((VLOOKUP(E86,classifications!C:K,9,FALSE))="Sparse","S",""))</f>
        <v>S</v>
      </c>
      <c r="Z86" s="136"/>
      <c r="AA86" s="136"/>
      <c r="AB86" s="136"/>
      <c r="AC86" s="136"/>
      <c r="AD86" s="224"/>
      <c r="AE86" s="224"/>
      <c r="AF86" s="224"/>
      <c r="AG86" s="224"/>
      <c r="AH86" s="224"/>
      <c r="AI86" s="224"/>
      <c r="AJ86" s="224"/>
      <c r="AK86" s="224"/>
      <c r="AL86" s="22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5" t="str">
        <f>IF('Filtered Data'!D1="MD","","Rank")</f>
        <v>Rank</v>
      </c>
      <c r="C91" s="225"/>
      <c r="D91" s="225"/>
      <c r="E91" s="222" t="str">
        <f>IF('Filtered Data'!D1="MD","","Authority")</f>
        <v>Authority</v>
      </c>
      <c r="F91" s="222"/>
      <c r="G91" s="222"/>
      <c r="H91" s="222"/>
      <c r="I91" s="222"/>
      <c r="J91" s="222"/>
      <c r="K91" s="222"/>
      <c r="L91" s="222"/>
      <c r="M91" s="222"/>
      <c r="N91" s="222"/>
      <c r="O91" s="210"/>
      <c r="P91" s="210"/>
      <c r="Q91" s="210"/>
      <c r="R91" s="210"/>
      <c r="S91" s="210"/>
      <c r="T91" s="210"/>
      <c r="U91" s="225" t="str">
        <f>IF('Filtered Data'!D1="MD","","Value")</f>
        <v>Value</v>
      </c>
      <c r="V91" s="225"/>
      <c r="W91" s="225"/>
      <c r="AA91" s="225"/>
      <c r="AB91" s="225"/>
      <c r="AC91" s="225"/>
      <c r="AD91" s="222"/>
      <c r="AE91" s="222"/>
      <c r="AF91" s="222"/>
      <c r="AG91" s="222"/>
      <c r="AH91" s="222"/>
      <c r="AI91" s="222"/>
      <c r="AJ91" s="222"/>
      <c r="AK91" s="222"/>
      <c r="AL91" s="222"/>
      <c r="AM91" s="222"/>
      <c r="AN91" s="225"/>
      <c r="AO91" s="225"/>
      <c r="AP91" s="225"/>
      <c r="AV91" s="60"/>
    </row>
    <row r="92" spans="1:48" ht="12" customHeight="1">
      <c r="B92" s="256">
        <f>IF('Filtered Data'!$D$1="MD","",IF('Filtered Data'!$D$1="SC",'Filtered Data'!AS11,'Filtered Data'!AL11))</f>
        <v>1</v>
      </c>
      <c r="C92" s="257"/>
      <c r="D92" s="257"/>
      <c r="E92" s="258" t="str">
        <f>IF(B92="","",IF('Filtered Data'!$D$1="SC",VLOOKUP(B92,'Filtered Data'!AS:AU,2,FALSE),VLOOKUP(B92,'Filtered Data'!AL:AN,2,FALSE)))</f>
        <v>Eden</v>
      </c>
      <c r="F92" s="258"/>
      <c r="G92" s="258"/>
      <c r="H92" s="258"/>
      <c r="I92" s="258"/>
      <c r="J92" s="258"/>
      <c r="K92" s="258"/>
      <c r="L92" s="258"/>
      <c r="M92" s="258"/>
      <c r="N92" s="258"/>
      <c r="O92" s="258"/>
      <c r="P92" s="258"/>
      <c r="Q92" s="258"/>
      <c r="R92" s="258"/>
      <c r="S92" s="258"/>
      <c r="T92" s="258"/>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421.5</v>
      </c>
      <c r="V92" s="219"/>
      <c r="W92" s="219"/>
      <c r="X92" s="219"/>
      <c r="Y92" s="137" t="str">
        <f>IF(E92="","",IF((VLOOKUP(E92,classifications!C:K,9,FALSE))="Sparse","S",""))</f>
        <v>S</v>
      </c>
      <c r="AA92" s="220"/>
      <c r="AB92" s="217"/>
      <c r="AC92" s="217"/>
      <c r="AD92" s="221"/>
      <c r="AE92" s="221"/>
      <c r="AF92" s="221"/>
      <c r="AG92" s="221"/>
      <c r="AH92" s="221"/>
      <c r="AI92" s="221"/>
      <c r="AJ92" s="221"/>
      <c r="AK92" s="221"/>
      <c r="AL92" s="221"/>
      <c r="AM92" s="221"/>
      <c r="AN92" s="218"/>
      <c r="AO92" s="218"/>
      <c r="AP92" s="218"/>
      <c r="AQ92" s="218"/>
      <c r="AR92" s="137"/>
      <c r="AV92" s="60"/>
    </row>
    <row r="93" spans="1:48" ht="12" customHeight="1">
      <c r="B93" s="256">
        <f>IF('Filtered Data'!$D$1="MD","",IF('Filtered Data'!$D$1="SC",'Filtered Data'!AS12,'Filtered Data'!AL12))</f>
        <v>2</v>
      </c>
      <c r="C93" s="257"/>
      <c r="D93" s="257"/>
      <c r="E93" s="258" t="str">
        <f>IF(B93="","",IF('Filtered Data'!$D$1="SC",VLOOKUP(B93,'Filtered Data'!AS:AU,2,FALSE),VLOOKUP(B93,'Filtered Data'!AL:AN,2,FALSE)))</f>
        <v>South Lakeland</v>
      </c>
      <c r="F93" s="258"/>
      <c r="G93" s="258"/>
      <c r="H93" s="258"/>
      <c r="I93" s="258"/>
      <c r="J93" s="258"/>
      <c r="K93" s="258"/>
      <c r="L93" s="258"/>
      <c r="M93" s="258"/>
      <c r="N93" s="258"/>
      <c r="O93" s="258"/>
      <c r="P93" s="258"/>
      <c r="Q93" s="258"/>
      <c r="R93" s="258"/>
      <c r="S93" s="258"/>
      <c r="T93" s="258"/>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456.3</v>
      </c>
      <c r="V93" s="219"/>
      <c r="W93" s="219"/>
      <c r="X93" s="219"/>
      <c r="Y93" s="137" t="str">
        <f>IF(E93="","",IF((VLOOKUP(E93,classifications!C:K,9,FALSE))="Sparse","S",""))</f>
        <v>S</v>
      </c>
      <c r="AA93" s="220"/>
      <c r="AB93" s="220"/>
      <c r="AC93" s="220"/>
      <c r="AD93" s="221"/>
      <c r="AE93" s="221"/>
      <c r="AF93" s="221"/>
      <c r="AG93" s="221"/>
      <c r="AH93" s="221"/>
      <c r="AI93" s="221"/>
      <c r="AJ93" s="221"/>
      <c r="AK93" s="221"/>
      <c r="AL93" s="221"/>
      <c r="AM93" s="221"/>
      <c r="AN93" s="218"/>
      <c r="AO93" s="218"/>
      <c r="AP93" s="218"/>
      <c r="AQ93" s="218"/>
      <c r="AR93" s="137"/>
      <c r="AV93" s="60"/>
    </row>
    <row r="94" spans="1:48" ht="12" customHeight="1">
      <c r="B94" s="256">
        <f>IF('Filtered Data'!$D$1="MD","",IF('Filtered Data'!$D$1="SC",'Filtered Data'!AS13,'Filtered Data'!AL13))</f>
        <v>3</v>
      </c>
      <c r="C94" s="257"/>
      <c r="D94" s="257"/>
      <c r="E94" s="258" t="str">
        <f>IF(B94="","",IF('Filtered Data'!$D$1="SC",VLOOKUP(B94,'Filtered Data'!AS:AU,2,FALSE),VLOOKUP(B94,'Filtered Data'!AL:AN,2,FALSE)))</f>
        <v>Carlisle</v>
      </c>
      <c r="F94" s="258"/>
      <c r="G94" s="258"/>
      <c r="H94" s="258"/>
      <c r="I94" s="258"/>
      <c r="J94" s="258"/>
      <c r="K94" s="258"/>
      <c r="L94" s="258"/>
      <c r="M94" s="258"/>
      <c r="N94" s="258"/>
      <c r="O94" s="258"/>
      <c r="P94" s="258"/>
      <c r="Q94" s="258"/>
      <c r="R94" s="258"/>
      <c r="S94" s="258"/>
      <c r="T94" s="258"/>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467.3</v>
      </c>
      <c r="V94" s="219"/>
      <c r="W94" s="219"/>
      <c r="X94" s="219"/>
      <c r="Y94" s="137" t="str">
        <f>IF(E94="","",IF((VLOOKUP(E94,classifications!C:K,9,FALSE))="Sparse","S",""))</f>
        <v/>
      </c>
      <c r="AA94" s="220"/>
      <c r="AB94" s="220"/>
      <c r="AC94" s="220"/>
      <c r="AD94" s="221"/>
      <c r="AE94" s="221"/>
      <c r="AF94" s="221"/>
      <c r="AG94" s="221"/>
      <c r="AH94" s="221"/>
      <c r="AI94" s="221"/>
      <c r="AJ94" s="221"/>
      <c r="AK94" s="221"/>
      <c r="AL94" s="221"/>
      <c r="AM94" s="221"/>
      <c r="AN94" s="218"/>
      <c r="AO94" s="218"/>
      <c r="AP94" s="218"/>
      <c r="AQ94" s="218"/>
      <c r="AR94" s="137"/>
      <c r="AV94" s="60"/>
    </row>
    <row r="95" spans="1:48" ht="12" customHeight="1">
      <c r="B95" s="256">
        <f>IF('Filtered Data'!$D$1="MD","",IF('Filtered Data'!$D$1="SC",'Filtered Data'!AS14,'Filtered Data'!AL14))</f>
        <v>4</v>
      </c>
      <c r="C95" s="257"/>
      <c r="D95" s="257"/>
      <c r="E95" s="258" t="str">
        <f>IF(B95="","",IF('Filtered Data'!$D$1="SC",VLOOKUP(B95,'Filtered Data'!AS:AU,2,FALSE),VLOOKUP(B95,'Filtered Data'!AL:AN,2,FALSE)))</f>
        <v>Copeland</v>
      </c>
      <c r="F95" s="258"/>
      <c r="G95" s="258"/>
      <c r="H95" s="258"/>
      <c r="I95" s="258"/>
      <c r="J95" s="258"/>
      <c r="K95" s="258"/>
      <c r="L95" s="258"/>
      <c r="M95" s="258"/>
      <c r="N95" s="258"/>
      <c r="O95" s="258"/>
      <c r="P95" s="258"/>
      <c r="Q95" s="258"/>
      <c r="R95" s="258"/>
      <c r="S95" s="258"/>
      <c r="T95" s="258"/>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482.8</v>
      </c>
      <c r="V95" s="219"/>
      <c r="W95" s="219"/>
      <c r="X95" s="219"/>
      <c r="Y95" s="137" t="str">
        <f>IF(E95="","",IF((VLOOKUP(E95,classifications!C:K,9,FALSE))="Sparse","S",""))</f>
        <v>S</v>
      </c>
      <c r="AA95" s="220"/>
      <c r="AB95" s="220"/>
      <c r="AC95" s="220"/>
      <c r="AD95" s="221"/>
      <c r="AE95" s="221"/>
      <c r="AF95" s="221"/>
      <c r="AG95" s="221"/>
      <c r="AH95" s="221"/>
      <c r="AI95" s="221"/>
      <c r="AJ95" s="221"/>
      <c r="AK95" s="221"/>
      <c r="AL95" s="221"/>
      <c r="AM95" s="221"/>
      <c r="AN95" s="218"/>
      <c r="AO95" s="218"/>
      <c r="AP95" s="218"/>
      <c r="AQ95" s="218"/>
      <c r="AR95" s="137"/>
      <c r="AV95" s="60"/>
    </row>
    <row r="96" spans="1:48" ht="12" customHeight="1">
      <c r="B96" s="256">
        <f>IF('Filtered Data'!$D$1="MD","",IF('Filtered Data'!$D$1="SC",'Filtered Data'!AS15,'Filtered Data'!AL15))</f>
        <v>5</v>
      </c>
      <c r="C96" s="257"/>
      <c r="D96" s="257"/>
      <c r="E96" s="258" t="str">
        <f>IF(B96="","",IF('Filtered Data'!$D$1="SC",VLOOKUP(B96,'Filtered Data'!AS:AU,2,FALSE),VLOOKUP(B96,'Filtered Data'!AL:AN,2,FALSE)))</f>
        <v>Allerdale</v>
      </c>
      <c r="F96" s="258"/>
      <c r="G96" s="258"/>
      <c r="H96" s="258"/>
      <c r="I96" s="258"/>
      <c r="J96" s="258"/>
      <c r="K96" s="258"/>
      <c r="L96" s="258"/>
      <c r="M96" s="258"/>
      <c r="N96" s="258"/>
      <c r="O96" s="258"/>
      <c r="P96" s="258"/>
      <c r="Q96" s="258"/>
      <c r="R96" s="258"/>
      <c r="S96" s="258"/>
      <c r="T96" s="258"/>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522.20000000000005</v>
      </c>
      <c r="V96" s="219"/>
      <c r="W96" s="219"/>
      <c r="X96" s="219"/>
      <c r="Y96" s="137" t="str">
        <f>IF(E96="","",IF((VLOOKUP(E96,classifications!C:K,9,FALSE))="Sparse","S",""))</f>
        <v>S</v>
      </c>
      <c r="AA96" s="220"/>
      <c r="AB96" s="220"/>
      <c r="AC96" s="220"/>
      <c r="AD96" s="221"/>
      <c r="AE96" s="221"/>
      <c r="AF96" s="221"/>
      <c r="AG96" s="221"/>
      <c r="AH96" s="221"/>
      <c r="AI96" s="221"/>
      <c r="AJ96" s="221"/>
      <c r="AK96" s="221"/>
      <c r="AL96" s="221"/>
      <c r="AM96" s="221"/>
      <c r="AN96" s="218"/>
      <c r="AO96" s="218"/>
      <c r="AP96" s="218"/>
      <c r="AQ96" s="218"/>
      <c r="AR96" s="137"/>
      <c r="AV96" s="60"/>
    </row>
    <row r="97" spans="2:48" ht="12" customHeight="1">
      <c r="B97" s="256">
        <f>IF('Filtered Data'!$D$1="MD","",IF('Filtered Data'!$D$1="SC",'Filtered Data'!AS16,'Filtered Data'!AL16))</f>
        <v>6</v>
      </c>
      <c r="C97" s="257"/>
      <c r="D97" s="257"/>
      <c r="E97" s="258" t="str">
        <f>IF(B97="","",IF('Filtered Data'!$D$1="SC",VLOOKUP(B97,'Filtered Data'!AS:AU,2,FALSE),VLOOKUP(B97,'Filtered Data'!AL:AN,2,FALSE)))</f>
        <v>Barrow-in-Furness</v>
      </c>
      <c r="F97" s="258"/>
      <c r="G97" s="258"/>
      <c r="H97" s="258"/>
      <c r="I97" s="258"/>
      <c r="J97" s="258"/>
      <c r="K97" s="258"/>
      <c r="L97" s="258"/>
      <c r="M97" s="258"/>
      <c r="N97" s="258"/>
      <c r="O97" s="258"/>
      <c r="P97" s="258"/>
      <c r="Q97" s="258"/>
      <c r="R97" s="258"/>
      <c r="S97" s="258"/>
      <c r="T97" s="258"/>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558.70000000000005</v>
      </c>
      <c r="V97" s="219"/>
      <c r="W97" s="219"/>
      <c r="X97" s="219"/>
      <c r="Y97" s="137" t="str">
        <f>IF(E97="","",IF((VLOOKUP(E97,classifications!C:K,9,FALSE))="Sparse","S",""))</f>
        <v/>
      </c>
      <c r="AA97" s="220"/>
      <c r="AB97" s="220"/>
      <c r="AC97" s="220"/>
      <c r="AD97" s="221"/>
      <c r="AE97" s="221"/>
      <c r="AF97" s="221"/>
      <c r="AG97" s="221"/>
      <c r="AH97" s="221"/>
      <c r="AI97" s="221"/>
      <c r="AJ97" s="221"/>
      <c r="AK97" s="221"/>
      <c r="AL97" s="221"/>
      <c r="AM97" s="221"/>
      <c r="AN97" s="218"/>
      <c r="AO97" s="218"/>
      <c r="AP97" s="218"/>
      <c r="AQ97" s="218"/>
      <c r="AR97" s="137"/>
      <c r="AV97" s="60"/>
    </row>
    <row r="98" spans="2:48" ht="12" customHeight="1">
      <c r="B98" s="256" t="str">
        <f>IF('Filtered Data'!$D$1="MD","",IF('Filtered Data'!$D$1="SC",'Filtered Data'!AS17,'Filtered Data'!AL17))</f>
        <v/>
      </c>
      <c r="C98" s="257"/>
      <c r="D98" s="257"/>
      <c r="E98" s="258" t="str">
        <f>IF(B98="","",IF('Filtered Data'!$D$1="SC",VLOOKUP(B98,'Filtered Data'!AS:AU,2,FALSE),VLOOKUP(B98,'Filtered Data'!AL:AN,2,FALSE)))</f>
        <v/>
      </c>
      <c r="F98" s="258"/>
      <c r="G98" s="258"/>
      <c r="H98" s="258"/>
      <c r="I98" s="258"/>
      <c r="J98" s="258"/>
      <c r="K98" s="258"/>
      <c r="L98" s="258"/>
      <c r="M98" s="258"/>
      <c r="N98" s="258"/>
      <c r="O98" s="258"/>
      <c r="P98" s="258"/>
      <c r="Q98" s="258"/>
      <c r="R98" s="258"/>
      <c r="S98" s="258"/>
      <c r="T98" s="258"/>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20"/>
      <c r="AB98" s="220"/>
      <c r="AC98" s="220"/>
      <c r="AD98" s="221"/>
      <c r="AE98" s="221"/>
      <c r="AF98" s="221"/>
      <c r="AG98" s="221"/>
      <c r="AH98" s="221"/>
      <c r="AI98" s="221"/>
      <c r="AJ98" s="221"/>
      <c r="AK98" s="221"/>
      <c r="AL98" s="221"/>
      <c r="AM98" s="221"/>
      <c r="AN98" s="218"/>
      <c r="AO98" s="218"/>
      <c r="AP98" s="218"/>
      <c r="AQ98" s="218"/>
      <c r="AR98" s="137"/>
      <c r="AV98" s="60"/>
    </row>
    <row r="99" spans="2:48" ht="12" customHeight="1">
      <c r="B99" s="256" t="str">
        <f>IF('Filtered Data'!$D$1="MD","",IF('Filtered Data'!$D$1="SC",'Filtered Data'!AS18,'Filtered Data'!AL18))</f>
        <v/>
      </c>
      <c r="C99" s="257"/>
      <c r="D99" s="257"/>
      <c r="E99" s="258" t="str">
        <f>IF(B99="","",IF('Filtered Data'!$D$1="SC",VLOOKUP(B99,'Filtered Data'!AS:AU,2,FALSE),VLOOKUP(B99,'Filtered Data'!AL:AN,2,FALSE)))</f>
        <v/>
      </c>
      <c r="F99" s="258"/>
      <c r="G99" s="258"/>
      <c r="H99" s="258"/>
      <c r="I99" s="258"/>
      <c r="J99" s="258"/>
      <c r="K99" s="258"/>
      <c r="L99" s="258"/>
      <c r="M99" s="258"/>
      <c r="N99" s="258"/>
      <c r="O99" s="258"/>
      <c r="P99" s="258"/>
      <c r="Q99" s="258"/>
      <c r="R99" s="258"/>
      <c r="S99" s="258"/>
      <c r="T99" s="258"/>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20"/>
      <c r="AB99" s="220"/>
      <c r="AC99" s="220"/>
      <c r="AD99" s="221"/>
      <c r="AE99" s="221"/>
      <c r="AF99" s="221"/>
      <c r="AG99" s="221"/>
      <c r="AH99" s="221"/>
      <c r="AI99" s="221"/>
      <c r="AJ99" s="221"/>
      <c r="AK99" s="221"/>
      <c r="AL99" s="221"/>
      <c r="AM99" s="221"/>
      <c r="AN99" s="218"/>
      <c r="AO99" s="218"/>
      <c r="AP99" s="218"/>
      <c r="AQ99" s="218"/>
      <c r="AR99" s="137"/>
      <c r="AV99" s="60"/>
    </row>
    <row r="100" spans="2:48" ht="12" customHeight="1">
      <c r="B100" s="256" t="str">
        <f>IF('Filtered Data'!$D$1="MD","",IF('Filtered Data'!$D$1="SC",'Filtered Data'!AS19,'Filtered Data'!AL19))</f>
        <v/>
      </c>
      <c r="C100" s="257"/>
      <c r="D100" s="257"/>
      <c r="E100" s="258" t="str">
        <f>IF(B100="","",IF('Filtered Data'!$D$1="SC",VLOOKUP(B100,'Filtered Data'!AS:AU,2,FALSE),VLOOKUP(B100,'Filtered Data'!AL:AN,2,FALSE)))</f>
        <v/>
      </c>
      <c r="F100" s="258"/>
      <c r="G100" s="258"/>
      <c r="H100" s="258"/>
      <c r="I100" s="258"/>
      <c r="J100" s="258"/>
      <c r="K100" s="258"/>
      <c r="L100" s="258"/>
      <c r="M100" s="258"/>
      <c r="N100" s="258"/>
      <c r="O100" s="258"/>
      <c r="P100" s="258"/>
      <c r="Q100" s="258"/>
      <c r="R100" s="258"/>
      <c r="S100" s="258"/>
      <c r="T100" s="258"/>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20"/>
      <c r="AB100" s="220"/>
      <c r="AC100" s="220"/>
      <c r="AD100" s="221"/>
      <c r="AE100" s="221"/>
      <c r="AF100" s="221"/>
      <c r="AG100" s="221"/>
      <c r="AH100" s="221"/>
      <c r="AI100" s="221"/>
      <c r="AJ100" s="221"/>
      <c r="AK100" s="221"/>
      <c r="AL100" s="221"/>
      <c r="AM100" s="221"/>
      <c r="AN100" s="218"/>
      <c r="AO100" s="218"/>
      <c r="AP100" s="218"/>
      <c r="AQ100" s="218"/>
      <c r="AR100" s="137"/>
      <c r="AV100" s="60"/>
    </row>
    <row r="101" spans="2:48" ht="12" customHeight="1">
      <c r="B101" s="256" t="str">
        <f>IF('Filtered Data'!$D$1="MD","",IF('Filtered Data'!$D$1="SC",'Filtered Data'!AS20,'Filtered Data'!AL20))</f>
        <v/>
      </c>
      <c r="C101" s="257"/>
      <c r="D101" s="257"/>
      <c r="E101" s="258" t="str">
        <f>IF(B101="","",IF('Filtered Data'!$D$1="SC",VLOOKUP(B101,'Filtered Data'!AS:AU,2,FALSE),VLOOKUP(B101,'Filtered Data'!AL:AN,2,FALSE)))</f>
        <v/>
      </c>
      <c r="F101" s="258"/>
      <c r="G101" s="258"/>
      <c r="H101" s="258"/>
      <c r="I101" s="258"/>
      <c r="J101" s="258"/>
      <c r="K101" s="258"/>
      <c r="L101" s="258"/>
      <c r="M101" s="258"/>
      <c r="N101" s="258"/>
      <c r="O101" s="258"/>
      <c r="P101" s="258"/>
      <c r="Q101" s="258"/>
      <c r="R101" s="258"/>
      <c r="S101" s="258"/>
      <c r="T101" s="258"/>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20"/>
      <c r="AB101" s="220"/>
      <c r="AC101" s="220"/>
      <c r="AD101" s="221"/>
      <c r="AE101" s="221"/>
      <c r="AF101" s="221"/>
      <c r="AG101" s="221"/>
      <c r="AH101" s="221"/>
      <c r="AI101" s="221"/>
      <c r="AJ101" s="221"/>
      <c r="AK101" s="221"/>
      <c r="AL101" s="221"/>
      <c r="AM101" s="221"/>
      <c r="AN101" s="218"/>
      <c r="AO101" s="218"/>
      <c r="AP101" s="218"/>
      <c r="AQ101" s="218"/>
      <c r="AR101" s="137"/>
      <c r="AV101" s="60"/>
    </row>
    <row r="102" spans="2:48" ht="12" customHeight="1">
      <c r="B102" s="256" t="str">
        <f>IF('Filtered Data'!$D$1="MD","",IF('Filtered Data'!$D$1="SC",'Filtered Data'!AS21,'Filtered Data'!AL21))</f>
        <v/>
      </c>
      <c r="C102" s="257"/>
      <c r="D102" s="257"/>
      <c r="E102" s="258" t="str">
        <f>IF(B102="","",IF('Filtered Data'!$D$1="SC",VLOOKUP(B102,'Filtered Data'!AS:AU,2,FALSE),VLOOKUP(B102,'Filtered Data'!AL:AN,2,FALSE)))</f>
        <v/>
      </c>
      <c r="F102" s="258"/>
      <c r="G102" s="258"/>
      <c r="H102" s="258"/>
      <c r="I102" s="258"/>
      <c r="J102" s="258"/>
      <c r="K102" s="258"/>
      <c r="L102" s="258"/>
      <c r="M102" s="258"/>
      <c r="N102" s="258"/>
      <c r="O102" s="258"/>
      <c r="P102" s="258"/>
      <c r="Q102" s="258"/>
      <c r="R102" s="258"/>
      <c r="S102" s="258"/>
      <c r="T102" s="258"/>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20"/>
      <c r="AB102" s="220"/>
      <c r="AC102" s="220"/>
      <c r="AD102" s="221"/>
      <c r="AE102" s="221"/>
      <c r="AF102" s="221"/>
      <c r="AG102" s="221"/>
      <c r="AH102" s="221"/>
      <c r="AI102" s="221"/>
      <c r="AJ102" s="221"/>
      <c r="AK102" s="221"/>
      <c r="AL102" s="221"/>
      <c r="AM102" s="221"/>
      <c r="AN102" s="218"/>
      <c r="AO102" s="218"/>
      <c r="AP102" s="218"/>
      <c r="AQ102" s="218"/>
      <c r="AR102" s="137"/>
      <c r="AV102" s="60"/>
    </row>
    <row r="103" spans="2:48" ht="12" customHeight="1">
      <c r="B103" s="256" t="str">
        <f>IF('Filtered Data'!$D$1="MD","",IF('Filtered Data'!$D$1="SC",'Filtered Data'!AS22,'Filtered Data'!AL22))</f>
        <v/>
      </c>
      <c r="C103" s="257"/>
      <c r="D103" s="257"/>
      <c r="E103" s="258" t="str">
        <f>IF(B103="","",IF('Filtered Data'!$D$1="SC",VLOOKUP(B103,'Filtered Data'!AS:AU,2,FALSE),VLOOKUP(B103,'Filtered Data'!AL:AN,2,FALSE)))</f>
        <v/>
      </c>
      <c r="F103" s="258"/>
      <c r="G103" s="258"/>
      <c r="H103" s="258"/>
      <c r="I103" s="258"/>
      <c r="J103" s="258"/>
      <c r="K103" s="258"/>
      <c r="L103" s="258"/>
      <c r="M103" s="258"/>
      <c r="N103" s="258"/>
      <c r="O103" s="258"/>
      <c r="P103" s="258"/>
      <c r="Q103" s="258"/>
      <c r="R103" s="258"/>
      <c r="S103" s="258"/>
      <c r="T103" s="258"/>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20"/>
      <c r="AB103" s="220"/>
      <c r="AC103" s="220"/>
      <c r="AD103" s="221"/>
      <c r="AE103" s="221"/>
      <c r="AF103" s="221"/>
      <c r="AG103" s="221"/>
      <c r="AH103" s="221"/>
      <c r="AI103" s="221"/>
      <c r="AJ103" s="221"/>
      <c r="AK103" s="221"/>
      <c r="AL103" s="221"/>
      <c r="AM103" s="221"/>
      <c r="AN103" s="218"/>
      <c r="AO103" s="218"/>
      <c r="AP103" s="218"/>
      <c r="AQ103" s="218"/>
      <c r="AR103" s="137"/>
      <c r="AV103" s="60"/>
    </row>
    <row r="104" spans="2:48" ht="12" customHeight="1">
      <c r="B104" s="256" t="str">
        <f>IF('Filtered Data'!$D$1="MD","",IF('Filtered Data'!$D$1="SC",'Filtered Data'!AS23,'Filtered Data'!AL23))</f>
        <v/>
      </c>
      <c r="C104" s="257"/>
      <c r="D104" s="257"/>
      <c r="E104" s="258" t="str">
        <f>IF(B104="","",IF('Filtered Data'!$D$1="SC",VLOOKUP(B104,'Filtered Data'!AS:AU,2,FALSE),VLOOKUP(B104,'Filtered Data'!AL:AN,2,FALSE)))</f>
        <v/>
      </c>
      <c r="F104" s="258"/>
      <c r="G104" s="258"/>
      <c r="H104" s="258"/>
      <c r="I104" s="258"/>
      <c r="J104" s="258"/>
      <c r="K104" s="258"/>
      <c r="L104" s="258"/>
      <c r="M104" s="258"/>
      <c r="N104" s="258"/>
      <c r="O104" s="258"/>
      <c r="P104" s="258"/>
      <c r="Q104" s="258"/>
      <c r="R104" s="258"/>
      <c r="S104" s="258"/>
      <c r="T104" s="258"/>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20"/>
      <c r="AB104" s="220"/>
      <c r="AC104" s="220"/>
      <c r="AD104" s="221"/>
      <c r="AE104" s="221"/>
      <c r="AF104" s="221"/>
      <c r="AG104" s="221"/>
      <c r="AH104" s="221"/>
      <c r="AI104" s="221"/>
      <c r="AJ104" s="221"/>
      <c r="AK104" s="221"/>
      <c r="AL104" s="221"/>
      <c r="AM104" s="221"/>
      <c r="AN104" s="218"/>
      <c r="AO104" s="218"/>
      <c r="AP104" s="218"/>
      <c r="AQ104" s="218"/>
      <c r="AR104" s="137"/>
      <c r="AV104" s="60"/>
    </row>
    <row r="105" spans="2:48" ht="12" customHeight="1">
      <c r="B105" s="256" t="str">
        <f>IF('Filtered Data'!$D$1="MD","",IF('Filtered Data'!$D$1="SC",'Filtered Data'!AS24,'Filtered Data'!AL24))</f>
        <v/>
      </c>
      <c r="C105" s="257"/>
      <c r="D105" s="257"/>
      <c r="E105" s="258" t="str">
        <f>IF(B105="","",IF('Filtered Data'!$D$1="SC",VLOOKUP(B105,'Filtered Data'!AS:AU,2,FALSE),VLOOKUP(B105,'Filtered Data'!AL:AN,2,FALSE)))</f>
        <v/>
      </c>
      <c r="F105" s="258"/>
      <c r="G105" s="258"/>
      <c r="H105" s="258"/>
      <c r="I105" s="258"/>
      <c r="J105" s="258"/>
      <c r="K105" s="258"/>
      <c r="L105" s="258"/>
      <c r="M105" s="258"/>
      <c r="N105" s="258"/>
      <c r="O105" s="258"/>
      <c r="P105" s="258"/>
      <c r="Q105" s="258"/>
      <c r="R105" s="258"/>
      <c r="S105" s="258"/>
      <c r="T105" s="258"/>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20"/>
      <c r="AB105" s="220"/>
      <c r="AC105" s="220"/>
      <c r="AD105" s="221"/>
      <c r="AE105" s="221"/>
      <c r="AF105" s="221"/>
      <c r="AG105" s="221"/>
      <c r="AH105" s="221"/>
      <c r="AI105" s="221"/>
      <c r="AJ105" s="221"/>
      <c r="AK105" s="221"/>
      <c r="AL105" s="221"/>
      <c r="AM105" s="221"/>
      <c r="AN105" s="218"/>
      <c r="AO105" s="218"/>
      <c r="AP105" s="218"/>
      <c r="AQ105" s="218"/>
      <c r="AR105" s="137"/>
      <c r="AV105" s="60"/>
    </row>
    <row r="106" spans="2:48" ht="12" customHeight="1">
      <c r="B106" s="256" t="str">
        <f>IF('Filtered Data'!$D$1="MD","",IF('Filtered Data'!$D$1="SC",'Filtered Data'!AS25,'Filtered Data'!AL25))</f>
        <v/>
      </c>
      <c r="C106" s="257"/>
      <c r="D106" s="257"/>
      <c r="E106" s="258" t="str">
        <f>IF(B106="","",IF('Filtered Data'!$D$1="SC",VLOOKUP(B106,'Filtered Data'!AS:AU,2,FALSE),VLOOKUP(B106,'Filtered Data'!AL:AN,2,FALSE)))</f>
        <v/>
      </c>
      <c r="F106" s="258"/>
      <c r="G106" s="258"/>
      <c r="H106" s="258"/>
      <c r="I106" s="258"/>
      <c r="J106" s="258"/>
      <c r="K106" s="258"/>
      <c r="L106" s="258"/>
      <c r="M106" s="258"/>
      <c r="N106" s="258"/>
      <c r="O106" s="258"/>
      <c r="P106" s="258"/>
      <c r="Q106" s="258"/>
      <c r="R106" s="258"/>
      <c r="S106" s="258"/>
      <c r="T106" s="258"/>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20"/>
      <c r="AB106" s="220"/>
      <c r="AC106" s="220"/>
      <c r="AD106" s="221"/>
      <c r="AE106" s="221"/>
      <c r="AF106" s="221"/>
      <c r="AG106" s="221"/>
      <c r="AH106" s="221"/>
      <c r="AI106" s="221"/>
      <c r="AJ106" s="221"/>
      <c r="AK106" s="221"/>
      <c r="AL106" s="221"/>
      <c r="AM106" s="221"/>
      <c r="AN106" s="218"/>
      <c r="AO106" s="218"/>
      <c r="AP106" s="218"/>
      <c r="AQ106" s="218"/>
      <c r="AR106" s="137"/>
      <c r="AV106" s="60"/>
    </row>
    <row r="107" spans="2:48" ht="12" customHeight="1">
      <c r="B107" s="256" t="str">
        <f>IF('Filtered Data'!$D$1="MD","",IF('Filtered Data'!$D$1="SC",'Filtered Data'!AS26,'Filtered Data'!AL26))</f>
        <v/>
      </c>
      <c r="C107" s="257"/>
      <c r="D107" s="257"/>
      <c r="E107" s="258" t="str">
        <f>IF(B107="","",IF('Filtered Data'!$D$1="SC",VLOOKUP(B107,'Filtered Data'!AS:AU,2,FALSE),VLOOKUP(B107,'Filtered Data'!AL:AN,2,FALSE)))</f>
        <v/>
      </c>
      <c r="F107" s="258"/>
      <c r="G107" s="258"/>
      <c r="H107" s="258"/>
      <c r="I107" s="258"/>
      <c r="J107" s="258"/>
      <c r="K107" s="258"/>
      <c r="L107" s="258"/>
      <c r="M107" s="258"/>
      <c r="N107" s="258"/>
      <c r="O107" s="258"/>
      <c r="P107" s="258"/>
      <c r="Q107" s="258"/>
      <c r="R107" s="258"/>
      <c r="S107" s="258"/>
      <c r="T107" s="258"/>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20"/>
      <c r="AB107" s="220"/>
      <c r="AC107" s="220"/>
      <c r="AD107" s="221"/>
      <c r="AE107" s="221"/>
      <c r="AF107" s="221"/>
      <c r="AG107" s="221"/>
      <c r="AH107" s="221"/>
      <c r="AI107" s="221"/>
      <c r="AJ107" s="221"/>
      <c r="AK107" s="221"/>
      <c r="AL107" s="221"/>
      <c r="AM107" s="221"/>
      <c r="AN107" s="218"/>
      <c r="AO107" s="218"/>
      <c r="AP107" s="218"/>
      <c r="AQ107" s="218"/>
      <c r="AR107" s="137"/>
      <c r="AV107" s="60"/>
    </row>
    <row r="108" spans="2:48" ht="12" customHeight="1">
      <c r="B108" s="217"/>
      <c r="C108" s="217"/>
      <c r="D108" s="217"/>
      <c r="E108" s="222" t="s">
        <v>341</v>
      </c>
      <c r="F108" s="222"/>
      <c r="G108" s="222"/>
      <c r="H108" s="222"/>
      <c r="I108" s="222"/>
      <c r="J108" s="222"/>
      <c r="K108" s="222"/>
      <c r="L108" s="222"/>
      <c r="M108" s="222"/>
      <c r="N108" s="222"/>
      <c r="O108" s="210"/>
      <c r="P108" s="210"/>
      <c r="Q108" s="210"/>
      <c r="R108" s="210"/>
      <c r="S108" s="210"/>
      <c r="T108" s="210"/>
      <c r="U108" s="290">
        <f>L39</f>
        <v>484.8</v>
      </c>
      <c r="V108" s="290"/>
      <c r="W108" s="290"/>
      <c r="X108" s="290"/>
      <c r="Y108" s="137"/>
      <c r="AA108" s="217"/>
      <c r="AB108" s="217"/>
      <c r="AC108" s="217"/>
      <c r="AD108" s="1"/>
      <c r="AE108" s="1"/>
      <c r="AF108" s="1"/>
      <c r="AG108" s="1"/>
      <c r="AH108" s="1"/>
      <c r="AI108" s="1"/>
      <c r="AJ108" s="1"/>
      <c r="AK108" s="1"/>
      <c r="AL108" s="1"/>
      <c r="AM108" s="21"/>
      <c r="AN108" s="291"/>
      <c r="AO108" s="291"/>
      <c r="AP108" s="291"/>
      <c r="AQ108" s="291"/>
      <c r="AV108" s="60"/>
    </row>
    <row r="109" spans="2:48" ht="12" customHeight="1">
      <c r="W109" s="18">
        <f>COUNT(AA92:AB107)</f>
        <v>0</v>
      </c>
    </row>
    <row r="110" spans="2:48" ht="19.5" customHeight="1">
      <c r="B110" s="289" t="str">
        <f>B3</f>
        <v>Waste Management Indicators</v>
      </c>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89"/>
    </row>
    <row r="111" spans="2:48" ht="12" customHeight="1"/>
    <row r="112" spans="2:48" ht="12" customHeight="1">
      <c r="B112" s="222" t="s">
        <v>373</v>
      </c>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row>
    <row r="113" spans="2:40" ht="12" customHeight="1"/>
    <row r="114" spans="2:40" ht="12" customHeight="1">
      <c r="B114" s="241" t="str">
        <f>W6&amp;" - "&amp;W12</f>
        <v>Residual household waste per household (kg/household) (Ex NI191) - 2022-23</v>
      </c>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0"/>
    </row>
    <row r="115" spans="2:40" ht="12" customHeight="1">
      <c r="B115" s="244"/>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16">
        <f>IF('Filtered Data'!H8="..",L35,L35*100)</f>
        <v>522.20000000000005</v>
      </c>
      <c r="H118" s="216"/>
      <c r="I118" s="216"/>
      <c r="J118" s="216"/>
      <c r="K118" s="216"/>
      <c r="M118" s="217">
        <f>K$48</f>
        <v>396.54999999999995</v>
      </c>
      <c r="N118" s="217"/>
      <c r="O118" s="217">
        <f>M$48</f>
        <v>444.3</v>
      </c>
      <c r="P118" s="217"/>
      <c r="Q118" s="217">
        <f>O$48</f>
        <v>485.75</v>
      </c>
      <c r="R118" s="217"/>
      <c r="AN118" s="6"/>
    </row>
    <row r="119" spans="2:40" ht="12" customHeight="1">
      <c r="B119" s="5"/>
      <c r="F119" t="s">
        <v>383</v>
      </c>
      <c r="G119" s="216">
        <f>IF('Filtered Data'!H8="%%",(AVERAGEIF('Filtered Data'!AA$10:AA$480,$F119,'Filtered Data'!M$10:M$480))*100,(AVERAGEIF('Filtered Data'!AA$10:AA$480,$F119,'Filtered Data'!M$10:M$480)))</f>
        <v>432.13939393939398</v>
      </c>
      <c r="H119" s="216"/>
      <c r="I119" s="216"/>
      <c r="J119" s="216"/>
      <c r="K119" s="216"/>
      <c r="M119" s="217">
        <f>K$48</f>
        <v>396.54999999999995</v>
      </c>
      <c r="N119" s="217"/>
      <c r="O119" s="217">
        <f>M$48</f>
        <v>444.3</v>
      </c>
      <c r="P119" s="217"/>
      <c r="Q119" s="217">
        <f>O$48</f>
        <v>485.75</v>
      </c>
      <c r="R119" s="217"/>
      <c r="AN119" s="6"/>
    </row>
    <row r="120" spans="2:40" ht="12" customHeight="1">
      <c r="B120" s="5"/>
      <c r="F120" t="s">
        <v>385</v>
      </c>
      <c r="G120" s="216">
        <f>IF('Filtered Data'!H8="%%",(AVERAGEIF('Filtered Data'!AA$10:AA$480,$F120,'Filtered Data'!M$10:M$480))*100,(AVERAGEIF('Filtered Data'!AA$10:AA$480,$F120,'Filtered Data'!M$10:M$480)))</f>
        <v>447.14782608695657</v>
      </c>
      <c r="H120" s="216"/>
      <c r="I120" s="216"/>
      <c r="J120" s="216"/>
      <c r="K120" s="216"/>
      <c r="M120" s="217">
        <f>K$48</f>
        <v>396.54999999999995</v>
      </c>
      <c r="N120" s="217"/>
      <c r="O120" s="217">
        <f>M$48</f>
        <v>444.3</v>
      </c>
      <c r="P120" s="217"/>
      <c r="Q120" s="217">
        <f>O$48</f>
        <v>485.75</v>
      </c>
      <c r="R120" s="217"/>
      <c r="AN120" s="6"/>
    </row>
    <row r="121" spans="2:40" ht="12" customHeight="1">
      <c r="B121" s="5"/>
      <c r="F121" t="s">
        <v>372</v>
      </c>
      <c r="G121" s="216">
        <f>IF('Filtered Data'!H8="%%",(AVERAGEIF('Filtered Data'!AA$10:AA$480,$F121,'Filtered Data'!M$10:M$480))*100,(AVERAGEIF('Filtered Data'!AA$10:AA$480,$F121,'Filtered Data'!M$10:M$480)))</f>
        <v>444.04250000000002</v>
      </c>
      <c r="H121" s="216"/>
      <c r="I121" s="216"/>
      <c r="J121" s="216"/>
      <c r="K121" s="216"/>
      <c r="M121" s="217">
        <f>K$48</f>
        <v>396.54999999999995</v>
      </c>
      <c r="N121" s="217"/>
      <c r="O121" s="217">
        <f>M$48</f>
        <v>444.3</v>
      </c>
      <c r="P121" s="217"/>
      <c r="Q121" s="217">
        <f>O$48</f>
        <v>485.75</v>
      </c>
      <c r="R121" s="217"/>
      <c r="AN121" s="6"/>
    </row>
    <row r="122" spans="2:40" ht="12" customHeight="1">
      <c r="B122" s="5"/>
      <c r="G122" s="216"/>
      <c r="H122" s="216"/>
      <c r="I122" s="216"/>
      <c r="J122" s="216"/>
      <c r="K122" s="216"/>
      <c r="M122" s="217"/>
      <c r="N122" s="217"/>
      <c r="O122" s="217"/>
      <c r="P122" s="217"/>
      <c r="Q122" s="217"/>
      <c r="R122" s="217"/>
      <c r="AN122" s="6"/>
    </row>
    <row r="123" spans="2:40" ht="12" customHeight="1">
      <c r="B123" s="5"/>
      <c r="G123" s="216"/>
      <c r="H123" s="216"/>
      <c r="I123" s="216"/>
      <c r="J123" s="216"/>
      <c r="K123" s="216"/>
      <c r="M123" s="217"/>
      <c r="N123" s="217"/>
      <c r="O123" s="217"/>
      <c r="P123" s="217"/>
      <c r="Q123" s="217"/>
      <c r="R123" s="217"/>
      <c r="AN123" s="6"/>
    </row>
    <row r="124" spans="2:40" ht="12" customHeight="1">
      <c r="B124" s="5"/>
      <c r="G124" s="216"/>
      <c r="H124" s="216"/>
      <c r="I124" s="216"/>
      <c r="J124" s="216"/>
      <c r="K124" s="216"/>
      <c r="M124" s="217"/>
      <c r="N124" s="217"/>
      <c r="O124" s="217"/>
      <c r="P124" s="217"/>
      <c r="Q124" s="217"/>
      <c r="R124" s="217"/>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1KDRUuzSaQWLjO/v9+8dutXpGduihVFDDJ2TZWJlt8JQMGX3AQCaM5gHHNepgdIT93uoGQJJmMGFphZxnfnnyg==" saltValue="LDamzRHxWCJMJ9vbrL1lQw==" spinCount="100000" sheet="1" selectLockedCells="1"/>
  <protectedRanges>
    <protectedRange sqref="W12" name="Range3"/>
    <protectedRange sqref="W6" name="Range2"/>
    <protectedRange sqref="J5:S6" name="Range1"/>
  </protectedRanges>
  <mergeCells count="299">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B3:AN3"/>
    <mergeCell ref="N32:S32"/>
    <mergeCell ref="AC32:AE32"/>
    <mergeCell ref="B10:I10"/>
    <mergeCell ref="W13:AM13"/>
    <mergeCell ref="AF32:AL32"/>
    <mergeCell ref="L40:O40"/>
    <mergeCell ref="L39:O39"/>
    <mergeCell ref="S40:U40"/>
    <mergeCell ref="W12:AM12"/>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Residual household waste per household (kg/household) (Ex NI191)</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255.7</v>
      </c>
      <c r="Q7" s="109">
        <f>IF(I8="A",MAX(N11:N343),MIN(N11:N343))</f>
        <v>612.9</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Allerdale</v>
      </c>
      <c r="Q8" s="110">
        <f>VLOOKUP(D3,L11:N343,3,FALSE)</f>
        <v>522.20000000000005</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440.77771428571424</v>
      </c>
      <c r="N9" s="88"/>
      <c r="O9" s="91" t="s">
        <v>342</v>
      </c>
      <c r="P9" s="91" t="s">
        <v>353</v>
      </c>
      <c r="Q9" s="91" t="s">
        <v>354</v>
      </c>
      <c r="R9" s="93" t="s">
        <v>402</v>
      </c>
      <c r="S9" s="37"/>
      <c r="T9" s="169" t="s">
        <v>820</v>
      </c>
      <c r="U9" s="170">
        <f>IF($H$8="%.",(AVERAGE(U11:U343))/100,(AVERAGE(U11:U343)))</f>
        <v>422.50714285714287</v>
      </c>
      <c r="V9" s="171"/>
      <c r="W9" s="171"/>
      <c r="X9" s="86" t="str">
        <f>"Lower Level Ranking for Authorites in "&amp;H3&amp;" &amp; are a "&amp;F3</f>
        <v>Lower Level Ranking for Authorites in Mainly Rural (rural including hub towns &gt;=80%)  &amp; are a SD</v>
      </c>
      <c r="Y9" s="88">
        <f>IF($H$8="%.",(AVERAGE(Y11:Y343))/100,(AVERAGE(Y11:Y343)))</f>
        <v>423.08648648648642</v>
      </c>
      <c r="Z9" s="87"/>
      <c r="AA9" s="178" t="s">
        <v>381</v>
      </c>
      <c r="AB9" s="170">
        <f>IF($H$8="%.",(AVERAGE(AB11:AB343))/100,(AVERAGE(AB11:AB343)))</f>
        <v>432.13939393939398</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484.8</v>
      </c>
      <c r="AK9" s="87"/>
      <c r="AL9" s="48"/>
      <c r="AM9"/>
      <c r="AN9"/>
      <c r="AP9" s="86" t="str">
        <f>"Regional Ranking in for "&amp;F3</f>
        <v>Regional Ranking in for SD</v>
      </c>
      <c r="AQ9" s="88">
        <f>IF($H$8="%.",(AVERAGE(AQ11:AQ343))/100,(AVERAGE(AQ11:AQ343)))</f>
        <v>485.28333333333325</v>
      </c>
      <c r="AR9" s="87"/>
      <c r="AS9" s="87"/>
      <c r="AT9" s="87"/>
      <c r="AU9" s="87"/>
      <c r="AV9"/>
      <c r="AW9" s="80"/>
      <c r="AX9" s="133" t="str">
        <f>Profile!$W$6</f>
        <v>Residual household waste per household (kg/household) (Ex NI191)</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396.54999999999995</v>
      </c>
      <c r="P10" s="95">
        <f>QUARTILE(N:N,2)</f>
        <v>444.3</v>
      </c>
      <c r="Q10" s="95">
        <f>IF(I8="A",QUARTILE(N:N,3),QUARTILE(N:N,1))</f>
        <v>485.75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380.3</v>
      </c>
      <c r="G11" s="15"/>
      <c r="H11" s="42">
        <f t="shared" ref="H11:H42" si="1">IF(D11=$D$1,HLOOKUP($D$6,$AX$10:$ZZ$355,ROW()-9,FALSE),"")</f>
        <v>380.3</v>
      </c>
      <c r="I11" s="79">
        <f>IF(H11="","",IF($I$8="A",(RANK(H11,H$11:H$343,1)+COUNTIF(H$11:H11,H11)-1),(RANK(H11,H$11:H$343)+COUNTIF(H$11:H11,H11)-1)))</f>
        <v>32</v>
      </c>
      <c r="J11" s="41"/>
      <c r="K11" s="36">
        <v>1</v>
      </c>
      <c r="L11" t="str">
        <f t="shared" ref="L11:L42" si="2">IF(K11="","",INDEX(C$11:C$343,MATCH(K11,I$11:I$343,0)))</f>
        <v>East Devon</v>
      </c>
      <c r="M11" s="117">
        <f t="shared" ref="M11:M42" si="3">IF(L11="","",IF(VLOOKUP(L11,C:D,2,FALSE)=$F$3,VLOOKUP(L11,C:H,6,FALSE),""))</f>
        <v>255.7</v>
      </c>
      <c r="N11" s="112">
        <f>IF(L11="","",IF($H$8="%%",M11*100,M11))</f>
        <v>255.7</v>
      </c>
      <c r="O11" s="96">
        <f>IF(I$8="A",IF(N11&gt;=$P$7,IF(N11&lt;=$O$10,N11,""),""),IF(N11&lt;=$P$7,IF(N11&gt;=$O$10,N11,""),""))</f>
        <v>255.7</v>
      </c>
      <c r="P11" s="96" t="str">
        <f>IF(I$8="A",IF(N11&gt;$O$10,IF(N11&lt;=$P$10,N11,""),""),IF(N11&lt;$O$10,IF(N11&gt;=$P$10,N11,""),""))</f>
        <v/>
      </c>
      <c r="Q11" s="96" t="str">
        <f>IF(I$8="A",IF(N11&gt;$P$10,IF(N11&lt;=$Q$10,N11,""),""),IF(N11&lt;$P$10,IF(N11&gt;=$Q$10,N11,""),""))</f>
        <v/>
      </c>
      <c r="R11" s="92" t="str">
        <f>IF(I$8="A",IF(N11&gt;$Q$10,N11,""),IF(N11&lt;$Q$10,N11,""))</f>
        <v/>
      </c>
      <c r="S11" s="42" t="str">
        <f>IF(L11=D$3,"u","")</f>
        <v/>
      </c>
      <c r="T11" s="167" t="str">
        <f>IF(L11="","",VLOOKUP(L11,classifications!C:K,9,FALSE))</f>
        <v>Sparse</v>
      </c>
      <c r="U11" s="168">
        <f>IF(T11="Sparse",M11,"")</f>
        <v>255.7</v>
      </c>
      <c r="V11" s="174">
        <f>IF(U11="","",IF($I$8="A",(RANK(U11,U$11:U$343)+COUNTIF(U$11:U11,U11)-1),(RANK(U11,U$11:U$343,1)+COUNTIF(U$11:U11,U11)-1)))</f>
        <v>56</v>
      </c>
      <c r="W11" s="175"/>
      <c r="X11" s="5" t="str">
        <f>IF(L11="","",VLOOKUP($L11,classifications!$C:$J,6,FALSE))</f>
        <v xml:space="preserve">Largely Rural (rural including hub towns 50-79%) </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Rural</v>
      </c>
      <c r="AB11" s="174">
        <f>IF(AA11=$J$3,M11,"")</f>
        <v>255.7</v>
      </c>
      <c r="AC11" s="174">
        <f>IF(AB11="","",IF($I$8="A",(RANK(AB11,AB$11:AB$343)+COUNTIF(AB$11:AB11,AB11)-1),(RANK(AB11,AB$11:AB$343,1)+COUNTIF(AB$11:AB11,AB11)-1)))</f>
        <v>66</v>
      </c>
      <c r="AD11" s="174"/>
      <c r="AE11" s="49" t="e">
        <f>IF(I$8="A",(RANK(AG11,AG$11:AG$343,1)+COUNTIF(AG$11:AG11,AG11)-1),(RANK(AG11,AG$11:AG$343)+COUNTIF(AG$11:AG11,AG11)-1))</f>
        <v>#N/A</v>
      </c>
      <c r="AF11" s="47" t="str">
        <f>'Filtered Data'!D3</f>
        <v>Allerdale</v>
      </c>
      <c r="AG11" s="107">
        <f>VLOOKUP(Profile!$J$5,$C$11:$H$343,4,FALSE)</f>
        <v>522.20000000000005</v>
      </c>
      <c r="AH11" s="50" t="e">
        <f>AE11</f>
        <v>#N/A</v>
      </c>
      <c r="AI11" s="5" t="str">
        <f>IF(L11="","",VLOOKUP($L11,classifications!$C:$J,8,FALSE))</f>
        <v>Devon</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Eden</v>
      </c>
      <c r="AN11">
        <f t="shared" ref="AN11:AN42" si="7">(VLOOKUP(AM11,L:M,2,FALSE))</f>
        <v>421.5</v>
      </c>
      <c r="AP11" s="5" t="str">
        <f>IF(L11="","",VLOOKUP($L11,classifications!$C:$E,3,FALSE))</f>
        <v>South West</v>
      </c>
      <c r="AQ11" s="43" t="str">
        <f>IF(AP11=$G$3,$M11,"")</f>
        <v/>
      </c>
      <c r="AR11" s="40" t="str">
        <f>IF(AQ11="","",IF(I$8="A",(RANK(AQ11,AQ$11:AQ$343,1)+COUNTIF(AQ$11:AQ11,AQ11)-1),(RANK(AQ11,AQ$11:AQ$343)+COUNTIF(AQ$11:AQ11,AQ11)-1)))</f>
        <v/>
      </c>
      <c r="AS11" s="40">
        <v>1</v>
      </c>
      <c r="AT11" s="40" t="str">
        <f t="shared" ref="AT11:AT42" si="8">IF(AS11="","",INDEX(L$11:L$343,MATCH(AS11,AR$11:AR$343,0)))</f>
        <v>Eden</v>
      </c>
      <c r="AU11" s="43">
        <f t="shared" ref="AU11:AU42" si="9">IF(AT11="","",VLOOKUP(AT11,L:M,2,FALSE))</f>
        <v>421.5</v>
      </c>
      <c r="AX11">
        <f>HLOOKUP($AX$9&amp;$AX$10,Data!$A$1:$ZZ$1980,(MATCH($C11,Data!$A$1:$A$1980,0)),FALSE)</f>
        <v>380.3</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522.20000000000005</v>
      </c>
      <c r="G12" s="15"/>
      <c r="H12" s="42">
        <f t="shared" si="1"/>
        <v>522.20000000000005</v>
      </c>
      <c r="I12" s="79">
        <f>IF(H12="","",IF($I$8="A",(RANK(H12,H$11:H$343,1)+COUNTIF(H$11:H12,H12)-1),(RANK(H12,H$11:H$343)+COUNTIF(H$11:H12,H12)-1)))</f>
        <v>156</v>
      </c>
      <c r="J12" s="41"/>
      <c r="K12" s="36">
        <f t="shared" ref="K12:K43" si="10">IF(K11="","",IF(K11+1&gt;(COUNT(H$11:H$343)),"",K11+1))</f>
        <v>2</v>
      </c>
      <c r="L12" t="str">
        <f t="shared" si="2"/>
        <v>Vale of White Horse</v>
      </c>
      <c r="M12" s="117">
        <f t="shared" si="3"/>
        <v>292.89999999999998</v>
      </c>
      <c r="N12" s="112">
        <f>IF(L12="","",IF($H$8="%%",M12*100,M12))</f>
        <v>292.89999999999998</v>
      </c>
      <c r="O12" s="96">
        <f t="shared" ref="O12:O74" si="11">IF(I$8="A",IF(N12&gt;=$P$7,IF(N12&lt;=$O$10,N12,""),""),IF(N12&lt;=$P$7,IF(N12&gt;=$O$10,N12,""),""))</f>
        <v>292.89999999999998</v>
      </c>
      <c r="P12" s="96" t="str">
        <f>IF(I$8="A",IF(N12&gt;$O$10,IF(N12&lt;=$P$10,N12,""),""),IF(N12&lt;$O$10,IF(N12&gt;=$P$10,N12,""),""))</f>
        <v/>
      </c>
      <c r="Q12" s="96" t="str">
        <f>IF(I$8="A",IF(N12&gt;$P$10,IF(N12&lt;=$Q$10,N12,""),""),IF(N12&lt;$P$10,IF(N12&gt;=$Q$10,N12,""),""))</f>
        <v/>
      </c>
      <c r="R12" s="92" t="str">
        <f>IF(I$8="A",IF(N12&gt;$Q$10,N12,""),IF(N12&lt;$Q$10,N12,""))</f>
        <v/>
      </c>
      <c r="S12" s="42" t="str">
        <f t="shared" ref="S12:S75" si="12">IF(L12=D$3,"u","")</f>
        <v/>
      </c>
      <c r="T12" s="167" t="str">
        <f>IF(L12="","",VLOOKUP(L12,classifications!C:K,9,FALSE))</f>
        <v>Sparse</v>
      </c>
      <c r="U12" s="168">
        <f t="shared" ref="U12:U42" si="13">IF(T12="Sparse",M12,"")</f>
        <v>292.89999999999998</v>
      </c>
      <c r="V12" s="174">
        <f>IF(U12="","",IF($I$8="A",(RANK(U12,U$11:U$343)+COUNTIF(U$11:U12,U12)-1),(RANK(U12,U$11:U$343,1)+COUNTIF(U$11:U12,U12)-1)))</f>
        <v>55</v>
      </c>
      <c r="W12" s="175"/>
      <c r="X12" s="5" t="str">
        <f>IF(L12="","",VLOOKUP($L12,classifications!$C:$J,6,FALSE))</f>
        <v xml:space="preserve">Largely Rural (rural including hub towns 50-79%) </v>
      </c>
      <c r="Y12" t="str">
        <f t="shared" si="4"/>
        <v/>
      </c>
      <c r="Z12" s="40" t="str">
        <f>IF(Y12="","",IF(I$8="A",(RANK(Y12,Y$11:Y$343,1)+COUNTIF(Y$11:Y12,Y12)-1),(RANK(Y12,Y$11:Y$343)+COUNTIF(Y$11:Y12,Y12)-1)))</f>
        <v/>
      </c>
      <c r="AA12" s="180" t="str">
        <f>IF(L12="","",VLOOKUP($L12,classifications!C:I,7,FALSE))</f>
        <v>Predominantly Rural</v>
      </c>
      <c r="AB12" s="174">
        <f t="shared" ref="AB12:AB75" si="14">IF(AA12=$J$3,M12,"")</f>
        <v>292.89999999999998</v>
      </c>
      <c r="AC12" s="174">
        <f>IF(AB12="","",IF($I$8="A",(RANK(AB12,AB$11:AB$343)+COUNTIF(AB$11:AB12,AB12)-1),(RANK(AB12,AB$11:AB$343,1)+COUNTIF(AB$11:AB12,AB12)-1)))</f>
        <v>65</v>
      </c>
      <c r="AD12" s="174"/>
      <c r="AE12" s="49" t="e">
        <f>IF(I$8="A",(RANK(AG12,AG$11:AG$343,1)+COUNTIF(AG$11:AG12,AG12)-1),(RANK(AG12,AG$11:AG$343)+COUNTIF(AG$11:AG12,AG12)-1))</f>
        <v>#N/A</v>
      </c>
      <c r="AF12" t="str">
        <f>VLOOKUP(Profile!$J$5,Families!$C:$R,2,FALSE)</f>
        <v>Dover</v>
      </c>
      <c r="AG12" s="15">
        <f t="shared" ref="AG12:AG26" si="15">VLOOKUP(AF12,$C$11:$H$343,4,FALSE)</f>
        <v>423.7</v>
      </c>
      <c r="AH12" s="50" t="e">
        <f>AE12</f>
        <v>#N/A</v>
      </c>
      <c r="AI12" s="5" t="str">
        <f>IF(L12="","",VLOOKUP($L12,classifications!$C:$J,8,FALSE))</f>
        <v>Oxfordshire</v>
      </c>
      <c r="AJ12" s="43" t="str">
        <f t="shared" si="5"/>
        <v/>
      </c>
      <c r="AK12" s="40" t="str">
        <f>IF(AJ12="","",IF(I$8="A",(RANK(AJ12,AJ$11:AJ$343,1)+COUNTIF(AJ$11:AJ12,AJ12)-1),(RANK(AJ12,AJ$11:AJ$343)+COUNTIF(AJ$11:AJ12,AJ12)-1)))</f>
        <v/>
      </c>
      <c r="AL12" s="3">
        <f t="shared" ref="AL12:AL43" si="16">IF(AL11="","",IF(AL11+1&gt;(COUNT(AJ$11:AJ$343)),"",AL11+1))</f>
        <v>2</v>
      </c>
      <c r="AM12" t="str">
        <f t="shared" si="6"/>
        <v>South Lakeland</v>
      </c>
      <c r="AN12">
        <f t="shared" si="7"/>
        <v>456.3</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South Ribble</v>
      </c>
      <c r="AU12" s="43">
        <f t="shared" si="9"/>
        <v>431.5</v>
      </c>
      <c r="AX12">
        <f>HLOOKUP($AX$9&amp;$AX$10,Data!$A$1:$ZZ$1980,(MATCH($C12,Data!$A$1:$A$1980,0)),FALSE)</f>
        <v>522.20000000000005</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526.29999999999995</v>
      </c>
      <c r="G13" s="15"/>
      <c r="H13" s="42">
        <f t="shared" si="1"/>
        <v>526.29999999999995</v>
      </c>
      <c r="I13" s="79">
        <f>IF(H13="","",IF($I$8="A",(RANK(H13,H$11:H$343,1)+COUNTIF(H$11:H13,H13)-1),(RANK(H13,H$11:H$343)+COUNTIF(H$11:H13,H13)-1)))</f>
        <v>157</v>
      </c>
      <c r="J13" s="41"/>
      <c r="K13" s="36">
        <f t="shared" si="10"/>
        <v>3</v>
      </c>
      <c r="L13" t="str">
        <f t="shared" si="2"/>
        <v>Stroud</v>
      </c>
      <c r="M13" s="117">
        <f t="shared" si="3"/>
        <v>293.3</v>
      </c>
      <c r="N13" s="112">
        <f>IF(L13="","",IF($H$8="%%",M13*100,M13))</f>
        <v>293.3</v>
      </c>
      <c r="O13" s="96">
        <f t="shared" si="11"/>
        <v>293.3</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t="str">
        <f>IF(L13="","",VLOOKUP(L13,classifications!C:K,9,FALSE))</f>
        <v>Sparse</v>
      </c>
      <c r="U13" s="168">
        <f t="shared" si="13"/>
        <v>293.3</v>
      </c>
      <c r="V13" s="174">
        <f>IF(U13="","",IF($I$8="A",(RANK(U13,U$11:U$343)+COUNTIF(U$11:U13,U13)-1),(RANK(U13,U$11:U$343,1)+COUNTIF(U$11:U13,U13)-1)))</f>
        <v>54</v>
      </c>
      <c r="W13" s="175"/>
      <c r="X13" s="5" t="str">
        <f>IF(L13="","",VLOOKUP($L13,classifications!$C:$J,6,FALSE))</f>
        <v>Urban with Significant Rural (rural including hub towns 26-49%)</v>
      </c>
      <c r="Y13" t="str">
        <f t="shared" si="4"/>
        <v/>
      </c>
      <c r="Z13" s="40" t="str">
        <f>IF(Y13="","",IF(I$8="A",(RANK(Y13,Y$11:Y$343,1)+COUNTIF(Y$11:Y13,Y13)-1),(RANK(Y13,Y$11:Y$343)+COUNTIF(Y$11:Y13,Y13)-1)))</f>
        <v/>
      </c>
      <c r="AA13" s="180" t="str">
        <f>IF(L13="","",VLOOKUP($L13,classifications!C:I,7,FALSE))</f>
        <v>Significant Rural</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Carlisle</v>
      </c>
      <c r="AG13" s="15">
        <f t="shared" si="15"/>
        <v>467.3</v>
      </c>
      <c r="AH13" s="50" t="e">
        <f t="shared" ref="AH13:AH26" si="22">AE13</f>
        <v>#N/A</v>
      </c>
      <c r="AI13" s="5" t="str">
        <f>IF(L13="","",VLOOKUP($L13,classifications!$C:$J,8,FALSE))</f>
        <v>Gloucestershire</v>
      </c>
      <c r="AJ13" s="43" t="str">
        <f>IF(AI13=$I$3,M13,"")</f>
        <v/>
      </c>
      <c r="AK13" s="40" t="str">
        <f>IF(AJ13="","",IF(I$8="A",(RANK(AJ13,AJ$11:AJ$343,1)+COUNTIF(AJ$11:AJ13,AJ13)-1),(RANK(AJ13,AJ$11:AJ$343)+COUNTIF(AJ$11:AJ13,AJ13)-1)))</f>
        <v/>
      </c>
      <c r="AL13" s="3">
        <f t="shared" si="16"/>
        <v>3</v>
      </c>
      <c r="AM13" t="str">
        <f t="shared" si="6"/>
        <v>Carlisle</v>
      </c>
      <c r="AN13">
        <f t="shared" si="7"/>
        <v>467.3</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Hyndburn</v>
      </c>
      <c r="AU13" s="43">
        <f t="shared" si="9"/>
        <v>435.7</v>
      </c>
      <c r="AX13">
        <f>HLOOKUP($AX$9&amp;$AX$10,Data!$A$1:$ZZ$1980,(MATCH($C13,Data!$A$1:$A$1980,0)),FALSE)</f>
        <v>526.29999999999995</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431.8</v>
      </c>
      <c r="G14" s="15"/>
      <c r="H14" s="42">
        <f t="shared" si="1"/>
        <v>431.8</v>
      </c>
      <c r="I14" s="79">
        <f>IF(H14="","",IF($I$8="A",(RANK(H14,H$11:H$343,1)+COUNTIF(H$11:H14,H14)-1),(RANK(H14,H$11:H$343)+COUNTIF(H$11:H14,H14)-1)))</f>
        <v>77</v>
      </c>
      <c r="J14" s="41"/>
      <c r="K14" s="36">
        <f t="shared" si="10"/>
        <v>4</v>
      </c>
      <c r="L14" t="str">
        <f t="shared" si="2"/>
        <v>South Oxfordshire</v>
      </c>
      <c r="M14" s="117">
        <f t="shared" si="3"/>
        <v>303.8</v>
      </c>
      <c r="N14" s="112">
        <f t="shared" ref="N14:N75" si="23">IF(L14="","",IF($H$8="%%",M14*100,M14))</f>
        <v>303.8</v>
      </c>
      <c r="O14" s="96">
        <f t="shared" si="11"/>
        <v>303.8</v>
      </c>
      <c r="P14" s="96" t="str">
        <f t="shared" si="19"/>
        <v/>
      </c>
      <c r="Q14" s="96" t="str">
        <f t="shared" si="20"/>
        <v/>
      </c>
      <c r="R14" s="92" t="str">
        <f t="shared" si="21"/>
        <v/>
      </c>
      <c r="S14" s="42" t="str">
        <f t="shared" si="12"/>
        <v/>
      </c>
      <c r="T14" s="167" t="str">
        <f>IF(L14="","",VLOOKUP(L14,classifications!C:K,9,FALSE))</f>
        <v>Sparse</v>
      </c>
      <c r="U14" s="168">
        <f t="shared" si="13"/>
        <v>303.8</v>
      </c>
      <c r="V14" s="174">
        <f>IF(U14="","",IF($I$8="A",(RANK(U14,U$11:U$343)+COUNTIF(U$11:U14,U14)-1),(RANK(U14,U$11:U$343,1)+COUNTIF(U$11:U14,U14)-1)))</f>
        <v>53</v>
      </c>
      <c r="W14" s="175"/>
      <c r="X14" s="5" t="str">
        <f>IF(L14="","",VLOOKUP($L14,classifications!$C:$J,6,FALSE))</f>
        <v xml:space="preserve">Mainly Rural (rural including hub towns &gt;=80%) </v>
      </c>
      <c r="Y14">
        <f t="shared" si="4"/>
        <v>303.8</v>
      </c>
      <c r="Z14" s="40">
        <f>IF(Y14="","",IF(I$8="A",(RANK(Y14,Y$11:Y$343,1)+COUNTIF(Y$11:Y14,Y14)-1),(RANK(Y14,Y$11:Y$343)+COUNTIF(Y$11:Y14,Y14)-1)))</f>
        <v>1</v>
      </c>
      <c r="AA14" s="180" t="str">
        <f>IF(L14="","",VLOOKUP($L14,classifications!C:I,7,FALSE))</f>
        <v>Predominantly Rural</v>
      </c>
      <c r="AB14" s="174">
        <f t="shared" si="14"/>
        <v>303.8</v>
      </c>
      <c r="AC14" s="174">
        <f>IF(AB14="","",IF($I$8="A",(RANK(AB14,AB$11:AB$343)+COUNTIF(AB$11:AB14,AB14)-1),(RANK(AB14,AB$11:AB$343,1)+COUNTIF(AB$11:AB14,AB14)-1)))</f>
        <v>64</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Oxfordshire</v>
      </c>
      <c r="AJ14" s="43" t="str">
        <f t="shared" si="5"/>
        <v/>
      </c>
      <c r="AK14" s="40" t="str">
        <f>IF(AJ14="","",IF(I$8="A",(RANK(AJ14,AJ$11:AJ$343,1)+COUNTIF(AJ$11:AJ14,AJ14)-1),(RANK(AJ14,AJ$11:AJ$343)+COUNTIF(AJ$11:AJ14,AJ14)-1)))</f>
        <v/>
      </c>
      <c r="AL14" s="3">
        <f t="shared" si="16"/>
        <v>4</v>
      </c>
      <c r="AM14" t="str">
        <f t="shared" si="6"/>
        <v>Copeland</v>
      </c>
      <c r="AN14">
        <f t="shared" si="7"/>
        <v>482.8</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Chorley</v>
      </c>
      <c r="AU14" s="43">
        <f t="shared" si="9"/>
        <v>443</v>
      </c>
      <c r="AX14">
        <f>HLOOKUP($AX$9&amp;$AX$10,Data!$A$1:$ZZ$1980,(MATCH($C14,Data!$A$1:$A$1980,0)),FALSE)</f>
        <v>431.8</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507.7</v>
      </c>
      <c r="G15" s="15"/>
      <c r="H15" s="42">
        <f t="shared" si="1"/>
        <v>507.7</v>
      </c>
      <c r="I15" s="79">
        <f>IF(H15="","",IF($I$8="A",(RANK(H15,H$11:H$343,1)+COUNTIF(H$11:H15,H15)-1),(RANK(H15,H$11:H$343)+COUNTIF(H$11:H15,H15)-1)))</f>
        <v>148</v>
      </c>
      <c r="J15" s="41"/>
      <c r="K15" s="36">
        <f t="shared" si="10"/>
        <v>5</v>
      </c>
      <c r="L15" t="str">
        <f t="shared" si="2"/>
        <v>West Devon</v>
      </c>
      <c r="M15" s="117">
        <f t="shared" si="3"/>
        <v>307.8</v>
      </c>
      <c r="N15" s="112">
        <f t="shared" si="23"/>
        <v>307.8</v>
      </c>
      <c r="O15" s="96">
        <f t="shared" si="11"/>
        <v>307.8</v>
      </c>
      <c r="P15" s="96" t="str">
        <f t="shared" si="19"/>
        <v/>
      </c>
      <c r="Q15" s="96" t="str">
        <f t="shared" si="20"/>
        <v/>
      </c>
      <c r="R15" s="92" t="str">
        <f t="shared" si="21"/>
        <v/>
      </c>
      <c r="S15" s="42" t="str">
        <f t="shared" si="12"/>
        <v/>
      </c>
      <c r="T15" s="167" t="str">
        <f>IF(L15="","",VLOOKUP(L15,classifications!C:K,9,FALSE))</f>
        <v>Sparse</v>
      </c>
      <c r="U15" s="168">
        <f t="shared" si="13"/>
        <v>307.8</v>
      </c>
      <c r="V15" s="174">
        <f>IF(U15="","",IF($I$8="A",(RANK(U15,U$11:U$343)+COUNTIF(U$11:U15,U15)-1),(RANK(U15,U$11:U$343,1)+COUNTIF(U$11:U15,U15)-1)))</f>
        <v>52</v>
      </c>
      <c r="W15" s="175"/>
      <c r="X15" s="5" t="str">
        <f>IF(L15="","",VLOOKUP($L15,classifications!$C:$J,6,FALSE))</f>
        <v xml:space="preserve">Mainly Rural (rural including hub towns &gt;=80%) </v>
      </c>
      <c r="Y15">
        <f t="shared" si="4"/>
        <v>307.8</v>
      </c>
      <c r="Z15" s="40">
        <f>IF(Y15="","",IF(I$8="A",(RANK(Y15,Y$11:Y$343,1)+COUNTIF(Y$11:Y15,Y15)-1),(RANK(Y15,Y$11:Y$343)+COUNTIF(Y$11:Y15,Y15)-1)))</f>
        <v>2</v>
      </c>
      <c r="AA15" s="180" t="str">
        <f>IF(L15="","",VLOOKUP($L15,classifications!C:I,7,FALSE))</f>
        <v>Predominantly Rural</v>
      </c>
      <c r="AB15" s="174">
        <f t="shared" si="14"/>
        <v>307.8</v>
      </c>
      <c r="AC15" s="174">
        <f>IF(AB15="","",IF($I$8="A",(RANK(AB15,AB$11:AB$343)+COUNTIF(AB$11:AB15,AB15)-1),(RANK(AB15,AB$11:AB$343,1)+COUNTIF(AB$11:AB15,AB15)-1)))</f>
        <v>63</v>
      </c>
      <c r="AD15" s="174"/>
      <c r="AE15" s="49" t="e">
        <f>IF(I$8="A",(RANK(AG15,AG$11:AG$343,1)+COUNTIF(AG$11:AG15,AG15)-1),(RANK(AG15,AG$11:AG$343)+COUNTIF(AG$11:AG15,AG15)-1))</f>
        <v>#N/A</v>
      </c>
      <c r="AF15" t="str">
        <f>VLOOKUP(Profile!$J$5,Families!$C:$R,5,FALSE)</f>
        <v>Bassetlaw</v>
      </c>
      <c r="AG15" s="15">
        <f t="shared" si="15"/>
        <v>586</v>
      </c>
      <c r="AH15" s="50" t="e">
        <f t="shared" si="22"/>
        <v>#N/A</v>
      </c>
      <c r="AI15" s="5" t="str">
        <f>IF(L15="","",VLOOKUP($L15,classifications!$C:$J,8,FALSE))</f>
        <v>Devon</v>
      </c>
      <c r="AJ15" s="43" t="str">
        <f t="shared" si="5"/>
        <v/>
      </c>
      <c r="AK15" s="40" t="str">
        <f>IF(AJ15="","",IF(I$8="A",(RANK(AJ15,AJ$11:AJ$343,1)+COUNTIF(AJ$11:AJ15,AJ15)-1),(RANK(AJ15,AJ$11:AJ$343)+COUNTIF(AJ$11:AJ15,AJ15)-1)))</f>
        <v/>
      </c>
      <c r="AL15" s="3">
        <f t="shared" si="16"/>
        <v>5</v>
      </c>
      <c r="AM15" t="str">
        <f t="shared" si="6"/>
        <v>Allerdale</v>
      </c>
      <c r="AN15">
        <f t="shared" si="7"/>
        <v>522.20000000000005</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South Lakeland</v>
      </c>
      <c r="AU15" s="43">
        <f t="shared" si="9"/>
        <v>456.3</v>
      </c>
      <c r="AX15">
        <f>HLOOKUP($AX$9&amp;$AX$10,Data!$A$1:$ZZ$1980,(MATCH($C15,Data!$A$1:$A$1980,0)),FALSE)</f>
        <v>507.7</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385.8</v>
      </c>
      <c r="G16" s="15"/>
      <c r="H16" s="42">
        <f t="shared" si="1"/>
        <v>385.8</v>
      </c>
      <c r="I16" s="79">
        <f>IF(H16="","",IF($I$8="A",(RANK(H16,H$11:H$343,1)+COUNTIF(H$11:H16,H16)-1),(RANK(H16,H$11:H$343)+COUNTIF(H$11:H16,H16)-1)))</f>
        <v>36</v>
      </c>
      <c r="J16" s="41"/>
      <c r="K16" s="36">
        <f t="shared" si="10"/>
        <v>6</v>
      </c>
      <c r="L16" t="str">
        <f t="shared" si="2"/>
        <v>St Albans</v>
      </c>
      <c r="M16" s="117">
        <f t="shared" si="3"/>
        <v>316.2</v>
      </c>
      <c r="N16" s="112">
        <f t="shared" si="23"/>
        <v>316.2</v>
      </c>
      <c r="O16" s="96">
        <f t="shared" si="11"/>
        <v>316.2</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North Devon</v>
      </c>
      <c r="AG16" s="15">
        <f t="shared" si="15"/>
        <v>414.5</v>
      </c>
      <c r="AH16" s="50" t="e">
        <f t="shared" si="22"/>
        <v>#N/A</v>
      </c>
      <c r="AI16" s="5" t="str">
        <f>IF(L16="","",VLOOKUP($L16,classifications!$C:$J,8,FALSE))</f>
        <v>Hertfordshire</v>
      </c>
      <c r="AJ16" s="43" t="str">
        <f t="shared" si="5"/>
        <v/>
      </c>
      <c r="AK16" s="40" t="str">
        <f>IF(AJ16="","",IF(I$8="A",(RANK(AJ16,AJ$11:AJ$343,1)+COUNTIF(AJ$11:AJ16,AJ16)-1),(RANK(AJ16,AJ$11:AJ$343)+COUNTIF(AJ$11:AJ16,AJ16)-1)))</f>
        <v/>
      </c>
      <c r="AL16" s="3">
        <f t="shared" si="16"/>
        <v>6</v>
      </c>
      <c r="AM16" t="str">
        <f t="shared" si="6"/>
        <v>Barrow-in-Furness</v>
      </c>
      <c r="AN16">
        <f t="shared" si="7"/>
        <v>558.70000000000005</v>
      </c>
      <c r="AP16" s="5" t="str">
        <f>IF(L16="","",VLOOKUP($L16,classifications!$C:$E,3,FALSE))</f>
        <v>East of England</v>
      </c>
      <c r="AQ16" s="43" t="str">
        <f t="shared" si="17"/>
        <v/>
      </c>
      <c r="AR16" s="40" t="str">
        <f>IF(AQ16="","",IF(I$8="A",(RANK(AQ16,AQ$11:AQ$343,1)+COUNTIF(AQ$11:AQ16,AQ16)-1),(RANK(AQ16,AQ$11:AQ$343)+COUNTIF(AQ$11:AQ16,AQ16)-1)))</f>
        <v/>
      </c>
      <c r="AS16" s="3">
        <f t="shared" si="18"/>
        <v>6</v>
      </c>
      <c r="AT16" s="40" t="str">
        <f t="shared" si="8"/>
        <v>Fylde</v>
      </c>
      <c r="AU16" s="43">
        <f t="shared" si="9"/>
        <v>460</v>
      </c>
      <c r="AX16">
        <f>HLOOKUP($AX$9&amp;$AX$10,Data!$A$1:$ZZ$1980,(MATCH($C16,Data!$A$1:$A$1980,0)),FALSE)</f>
        <v>385.8</v>
      </c>
    </row>
    <row r="17" spans="1:50">
      <c r="A17" s="59" t="str">
        <f>$D$1&amp;7</f>
        <v>SD7</v>
      </c>
      <c r="B17" s="60" t="str">
        <f>IF(ISERROR(VLOOKUP(A17,classifications!A:C,3,FALSE)),0,VLOOKUP(A17,classifications!A:C,3,FALSE))</f>
        <v>Cotswold</v>
      </c>
      <c r="C17" t="s">
        <v>905</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Three Rivers</v>
      </c>
      <c r="M17" s="117">
        <f t="shared" si="3"/>
        <v>318.2</v>
      </c>
      <c r="N17" s="112">
        <f t="shared" si="23"/>
        <v>318.2</v>
      </c>
      <c r="O17" s="96">
        <f t="shared" si="11"/>
        <v>318.2</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Major Conurbation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Hertfordshire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East of England</v>
      </c>
      <c r="AQ17" s="43" t="str">
        <f t="shared" si="17"/>
        <v/>
      </c>
      <c r="AR17" s="40" t="str">
        <f>IF(AQ17="","",IF(I$8="A",(RANK(AQ17,AQ$11:AQ$343,1)+COUNTIF(AQ$11:AQ17,AQ17)-1),(RANK(AQ17,AQ$11:AQ$343)+COUNTIF(AQ$11:AQ17,AQ17)-1)))</f>
        <v/>
      </c>
      <c r="AS17" s="3">
        <f t="shared" si="18"/>
        <v>7</v>
      </c>
      <c r="AT17" s="40" t="str">
        <f t="shared" si="8"/>
        <v>Wyre</v>
      </c>
      <c r="AU17" s="43">
        <f t="shared" si="9"/>
        <v>463.6</v>
      </c>
      <c r="AX17" t="str">
        <f>HLOOKUP($AX$9&amp;$AX$10,Data!$A$1:$ZZ$1980,(MATCH($C17,Data!$A$1:$A$1980,0)),FALSE)</f>
        <v>..</v>
      </c>
    </row>
    <row r="18" spans="1:50">
      <c r="A18" s="59" t="str">
        <f>$D$1&amp;8</f>
        <v>SD8</v>
      </c>
      <c r="B18" s="60" t="str">
        <f>IF(ISERROR(VLOOKUP(A18,classifications!A:C,3,FALSE)),0,VLOOKUP(A18,classifications!A:C,3,FALSE))</f>
        <v>Craven</v>
      </c>
      <c r="C18" t="s">
        <v>12</v>
      </c>
      <c r="D18" t="str">
        <f>VLOOKUP($C18,classifications!$C:$J,4,FALSE)</f>
        <v>SD</v>
      </c>
      <c r="E18" t="str">
        <f>VLOOKUP(C18,classifications!C:K,9,FALSE)</f>
        <v>Sparse</v>
      </c>
      <c r="F18" t="str">
        <f t="shared" si="0"/>
        <v>..</v>
      </c>
      <c r="G18" s="15"/>
      <c r="H18" s="42" t="str">
        <f t="shared" si="1"/>
        <v>..</v>
      </c>
      <c r="I18" s="79" t="e">
        <f>IF(H18="","",IF($I$8="A",(RANK(H18,H$11:H$343,1)+COUNTIF(H$11:H18,H18)-1),(RANK(H18,H$11:H$343)+COUNTIF(H$11:H18,H18)-1)))</f>
        <v>#VALUE!</v>
      </c>
      <c r="J18" s="41"/>
      <c r="K18" s="36">
        <f t="shared" si="10"/>
        <v>8</v>
      </c>
      <c r="L18" t="str">
        <f t="shared" si="2"/>
        <v>Stratford-on-Avon</v>
      </c>
      <c r="M18" s="117">
        <f t="shared" si="3"/>
        <v>319.60000000000002</v>
      </c>
      <c r="N18" s="112">
        <f t="shared" si="23"/>
        <v>319.60000000000002</v>
      </c>
      <c r="O18" s="96">
        <f t="shared" si="11"/>
        <v>319.60000000000002</v>
      </c>
      <c r="P18" s="96" t="str">
        <f t="shared" si="19"/>
        <v/>
      </c>
      <c r="Q18" s="96" t="str">
        <f t="shared" si="20"/>
        <v/>
      </c>
      <c r="R18" s="92" t="str">
        <f t="shared" si="21"/>
        <v/>
      </c>
      <c r="S18" s="42" t="str">
        <f t="shared" si="12"/>
        <v/>
      </c>
      <c r="T18" s="167" t="str">
        <f>IF(L18="","",VLOOKUP(L18,classifications!C:K,9,FALSE))</f>
        <v>Sparse</v>
      </c>
      <c r="U18" s="168">
        <f t="shared" si="13"/>
        <v>319.60000000000002</v>
      </c>
      <c r="V18" s="174">
        <f>IF(U18="","",IF($I$8="A",(RANK(U18,U$11:U$343)+COUNTIF(U$11:U18,U18)-1),(RANK(U18,U$11:U$343,1)+COUNTIF(U$11:U18,U18)-1)))</f>
        <v>51</v>
      </c>
      <c r="W18" s="175"/>
      <c r="X18" s="5" t="str">
        <f>IF(L18="","",VLOOKUP($L18,classifications!$C:$J,6,FALSE))</f>
        <v xml:space="preserve">Mainly Rural (rural including hub towns &gt;=80%) </v>
      </c>
      <c r="Y18">
        <f t="shared" si="4"/>
        <v>319.60000000000002</v>
      </c>
      <c r="Z18" s="40">
        <f>IF(Y18="","",IF(I$8="A",(RANK(Y18,Y$11:Y$343,1)+COUNTIF(Y$11:Y18,Y18)-1),(RANK(Y18,Y$11:Y$343)+COUNTIF(Y$11:Y18,Y18)-1)))</f>
        <v>3</v>
      </c>
      <c r="AA18" s="180" t="str">
        <f>IF(L18="","",VLOOKUP($L18,classifications!C:I,7,FALSE))</f>
        <v>Predominantly Rural</v>
      </c>
      <c r="AB18" s="174">
        <f t="shared" si="14"/>
        <v>319.60000000000002</v>
      </c>
      <c r="AC18" s="174">
        <f>IF(AB18="","",IF($I$8="A",(RANK(AB18,AB$11:AB$343)+COUNTIF(AB$11:AB18,AB18)-1),(RANK(AB18,AB$11:AB$343,1)+COUNTIF(AB$11:AB18,AB18)-1)))</f>
        <v>62</v>
      </c>
      <c r="AD18" s="174"/>
      <c r="AE18" s="49" t="e">
        <f>IF(I$8="A",(RANK(AG18,AG$11:AG$343,1)+COUNTIF(AG$11:AG18,AG18)-1),(RANK(AG18,AG$11:AG$343)+COUNTIF(AG$11:AG18,AG18)-1))</f>
        <v>#N/A</v>
      </c>
      <c r="AF18" t="str">
        <f>VLOOKUP(Profile!$J$5,Families!$C:$R,8,FALSE)</f>
        <v>Torridge</v>
      </c>
      <c r="AG18" s="15">
        <f t="shared" si="15"/>
        <v>329.8</v>
      </c>
      <c r="AH18" s="50" t="e">
        <f t="shared" si="22"/>
        <v>#N/A</v>
      </c>
      <c r="AI18" s="5" t="str">
        <f>IF(L18="","",VLOOKUP($L18,classifications!$C:$J,8,FALSE))</f>
        <v>Warwickshire</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West Midlands</v>
      </c>
      <c r="AQ18" s="43" t="str">
        <f t="shared" si="17"/>
        <v/>
      </c>
      <c r="AR18" s="40" t="str">
        <f>IF(AQ18="","",IF(I$8="A",(RANK(AQ18,AQ$11:AQ$343,1)+COUNTIF(AQ$11:AQ18,AQ18)-1),(RANK(AQ18,AQ$11:AQ$343)+COUNTIF(AQ$11:AQ18,AQ18)-1)))</f>
        <v/>
      </c>
      <c r="AS18" s="3">
        <f t="shared" si="18"/>
        <v>8</v>
      </c>
      <c r="AT18" s="40" t="str">
        <f t="shared" si="8"/>
        <v>Carlisle</v>
      </c>
      <c r="AU18" s="43">
        <f t="shared" si="9"/>
        <v>467.3</v>
      </c>
      <c r="AX18" t="str">
        <f>HLOOKUP($AX$9&amp;$AX$10,Data!$A$1:$ZZ$1980,(MATCH($C18,Data!$A$1:$A$1980,0)),FALSE)</f>
        <v>..</v>
      </c>
    </row>
    <row r="19" spans="1:50">
      <c r="A19" s="59" t="str">
        <f>$D$1&amp;9</f>
        <v>SD9</v>
      </c>
      <c r="B19" s="60" t="str">
        <f>IF(ISERROR(VLOOKUP(A19,classifications!A:C,3,FALSE)),0,VLOOKUP(A19,classifications!A:C,3,FALSE))</f>
        <v>Derbyshire Dales</v>
      </c>
      <c r="C19" t="s">
        <v>339</v>
      </c>
      <c r="D19" t="str">
        <f>VLOOKUP($C19,classifications!$C:$J,4,FALSE)</f>
        <v>L</v>
      </c>
      <c r="E19">
        <f>VLOOKUP(C19,classifications!C:K,9,FALSE)</f>
        <v>0</v>
      </c>
      <c r="F19">
        <f t="shared" si="0"/>
        <v>673</v>
      </c>
      <c r="G19" s="15"/>
      <c r="H19" s="42" t="str">
        <f t="shared" si="1"/>
        <v/>
      </c>
      <c r="I19" s="79" t="str">
        <f>IF(H19="","",IF($I$8="A",(RANK(H19,H$11:H$343,1)+COUNTIF(H$11:H19,H19)-1),(RANK(H19,H$11:H$343)+COUNTIF(H$11:H19,H19)-1)))</f>
        <v/>
      </c>
      <c r="J19" s="41"/>
      <c r="K19" s="36">
        <f t="shared" si="10"/>
        <v>9</v>
      </c>
      <c r="L19" t="str">
        <f t="shared" si="2"/>
        <v>Colchester</v>
      </c>
      <c r="M19" s="117">
        <f t="shared" si="3"/>
        <v>321.7</v>
      </c>
      <c r="N19" s="112">
        <f t="shared" si="23"/>
        <v>321.7</v>
      </c>
      <c r="O19" s="96">
        <f t="shared" si="11"/>
        <v>321.7</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Significant Rural (rural including hub towns 26-49%)</v>
      </c>
      <c r="Y19" t="str">
        <f t="shared" si="4"/>
        <v/>
      </c>
      <c r="Z19" s="40" t="str">
        <f>IF(Y19="","",IF(I$8="A",(RANK(Y19,Y$11:Y$343,1)+COUNTIF(Y$11:Y19,Y19)-1),(RANK(Y19,Y$11:Y$343)+COUNTIF(Y$11:Y19,Y19)-1)))</f>
        <v/>
      </c>
      <c r="AA19" s="180" t="str">
        <f>IF(L19="","",VLOOKUP($L19,classifications!C:I,7,FALSE))</f>
        <v>Significant Rural</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Newark &amp; Sherwood</v>
      </c>
      <c r="AG19" s="15">
        <f t="shared" si="15"/>
        <v>514.9</v>
      </c>
      <c r="AH19" s="50" t="e">
        <f t="shared" si="22"/>
        <v>#N/A</v>
      </c>
      <c r="AI19" s="5" t="str">
        <f>IF(L19="","",VLOOKUP($L19,classifications!$C:$J,8,FALSE))</f>
        <v>Essex</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East of England</v>
      </c>
      <c r="AQ19" s="43" t="str">
        <f t="shared" si="17"/>
        <v/>
      </c>
      <c r="AR19" s="40" t="str">
        <f>IF(AQ19="","",IF(I$8="A",(RANK(AQ19,AQ$11:AQ$343,1)+COUNTIF(AQ$11:AQ19,AQ19)-1),(RANK(AQ19,AQ$11:AQ$343)+COUNTIF(AQ$11:AQ19,AQ19)-1)))</f>
        <v/>
      </c>
      <c r="AS19" s="3">
        <f t="shared" si="18"/>
        <v>9</v>
      </c>
      <c r="AT19" s="40" t="str">
        <f t="shared" si="8"/>
        <v>Burnley</v>
      </c>
      <c r="AU19" s="43">
        <f t="shared" si="9"/>
        <v>476.8</v>
      </c>
      <c r="AX19">
        <f>HLOOKUP($AX$9&amp;$AX$10,Data!$A$1:$ZZ$1980,(MATCH($C19,Data!$A$1:$A$1980,0)),FALSE)</f>
        <v>673</v>
      </c>
    </row>
    <row r="20" spans="1:50">
      <c r="A20" s="59" t="str">
        <f>$D$1&amp;10</f>
        <v>SD10</v>
      </c>
      <c r="B20" s="60" t="str">
        <f>IF(ISERROR(VLOOKUP(A20,classifications!A:C,3,FALSE)),0,VLOOKUP(A20,classifications!A:C,3,FALSE))</f>
        <v>East Cambridgeshire</v>
      </c>
      <c r="C20" t="s">
        <v>197</v>
      </c>
      <c r="D20" t="str">
        <f>VLOOKUP($C20,classifications!$C:$J,4,FALSE)</f>
        <v>L</v>
      </c>
      <c r="E20">
        <f>VLOOKUP(C20,classifications!C:K,9,FALSE)</f>
        <v>0</v>
      </c>
      <c r="F20">
        <f t="shared" si="0"/>
        <v>634.70000000000005</v>
      </c>
      <c r="G20" s="15"/>
      <c r="H20" s="42" t="str">
        <f t="shared" si="1"/>
        <v/>
      </c>
      <c r="I20" s="79" t="str">
        <f>IF(H20="","",IF($I$8="A",(RANK(H20,H$11:H$343,1)+COUNTIF(H$11:H20,H20)-1),(RANK(H20,H$11:H$343)+COUNTIF(H$11:H20,H20)-1)))</f>
        <v/>
      </c>
      <c r="J20" s="41"/>
      <c r="K20" s="36">
        <f t="shared" si="10"/>
        <v>10</v>
      </c>
      <c r="L20" t="str">
        <f t="shared" si="2"/>
        <v>Mid Devon</v>
      </c>
      <c r="M20" s="117">
        <f t="shared" si="3"/>
        <v>324.8</v>
      </c>
      <c r="N20" s="112">
        <f t="shared" si="23"/>
        <v>324.8</v>
      </c>
      <c r="O20" s="96">
        <f t="shared" si="11"/>
        <v>324.8</v>
      </c>
      <c r="P20" s="96" t="str">
        <f t="shared" si="19"/>
        <v/>
      </c>
      <c r="Q20" s="96" t="str">
        <f t="shared" si="20"/>
        <v/>
      </c>
      <c r="R20" s="92" t="str">
        <f t="shared" si="21"/>
        <v/>
      </c>
      <c r="S20" s="42" t="str">
        <f t="shared" si="12"/>
        <v/>
      </c>
      <c r="T20" s="167" t="str">
        <f>IF(L20="","",VLOOKUP(L20,classifications!C:K,9,FALSE))</f>
        <v>Sparse</v>
      </c>
      <c r="U20" s="168">
        <f t="shared" si="13"/>
        <v>324.8</v>
      </c>
      <c r="V20" s="174">
        <f>IF(U20="","",IF($I$8="A",(RANK(U20,U$11:U$343)+COUNTIF(U$11:U20,U20)-1),(RANK(U20,U$11:U$343,1)+COUNTIF(U$11:U20,U20)-1)))</f>
        <v>50</v>
      </c>
      <c r="W20" s="175"/>
      <c r="X20" s="5" t="str">
        <f>IF(L20="","",VLOOKUP($L20,classifications!$C:$J,6,FALSE))</f>
        <v xml:space="preserve">Mainly Rural (rural including hub towns &gt;=80%) </v>
      </c>
      <c r="Y20">
        <f t="shared" si="4"/>
        <v>324.8</v>
      </c>
      <c r="Z20" s="40">
        <f>IF(Y20="","",IF(I$8="A",(RANK(Y20,Y$11:Y$343,1)+COUNTIF(Y$11:Y20,Y20)-1),(RANK(Y20,Y$11:Y$343)+COUNTIF(Y$11:Y20,Y20)-1)))</f>
        <v>4</v>
      </c>
      <c r="AA20" s="180" t="str">
        <f>IF(L20="","",VLOOKUP($L20,classifications!C:I,7,FALSE))</f>
        <v>Predominantly Rural</v>
      </c>
      <c r="AB20" s="174">
        <f t="shared" si="14"/>
        <v>324.8</v>
      </c>
      <c r="AC20" s="174">
        <f>IF(AB20="","",IF($I$8="A",(RANK(AB20,AB$11:AB$343)+COUNTIF(AB$11:AB20,AB20)-1),(RANK(AB20,AB$11:AB$343,1)+COUNTIF(AB$11:AB20,AB20)-1)))</f>
        <v>61</v>
      </c>
      <c r="AD20" s="174"/>
      <c r="AE20" s="49" t="e">
        <f>IF(I$8="A",(RANK(AG20,AG$11:AG$343,1)+COUNTIF(AG$11:AG20,AG20)-1),(RANK(AG20,AG$11:AG$343)+COUNTIF(AG$11:AG20,AG20)-1))</f>
        <v>#N/A</v>
      </c>
      <c r="AF20" t="str">
        <f>VLOOKUP(Profile!$J$5,Families!$C:$R,10,FALSE)</f>
        <v>Amber Valley</v>
      </c>
      <c r="AG20" s="15">
        <f t="shared" si="15"/>
        <v>526.29999999999995</v>
      </c>
      <c r="AH20" s="50" t="e">
        <f t="shared" si="22"/>
        <v>#N/A</v>
      </c>
      <c r="AI20" s="5" t="str">
        <f>IF(L20="","",VLOOKUP($L20,classifications!$C:$J,8,FALSE))</f>
        <v>Devon</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West</v>
      </c>
      <c r="AQ20" s="43" t="str">
        <f t="shared" si="17"/>
        <v/>
      </c>
      <c r="AR20" s="40" t="str">
        <f>IF(AQ20="","",IF(I$8="A",(RANK(AQ20,AQ$11:AQ$343,1)+COUNTIF(AQ$11:AQ20,AQ20)-1),(RANK(AQ20,AQ$11:AQ$343)+COUNTIF(AQ$11:AQ20,AQ20)-1)))</f>
        <v/>
      </c>
      <c r="AS20" s="3">
        <f t="shared" si="18"/>
        <v>10</v>
      </c>
      <c r="AT20" s="40" t="str">
        <f t="shared" si="8"/>
        <v>Copeland</v>
      </c>
      <c r="AU20" s="43">
        <f t="shared" si="9"/>
        <v>482.8</v>
      </c>
      <c r="AX20">
        <f>HLOOKUP($AX$9&amp;$AX$10,Data!$A$1:$ZZ$1980,(MATCH($C20,Data!$A$1:$A$1980,0)),FALSE)</f>
        <v>634.70000000000005</v>
      </c>
    </row>
    <row r="21" spans="1:50">
      <c r="A21" s="59" t="str">
        <f>$D$1&amp;11</f>
        <v>SD11</v>
      </c>
      <c r="B21" s="60" t="str">
        <f>IF(ISERROR(VLOOKUP(A21,classifications!A:C,3,FALSE)),0,VLOOKUP(A21,classifications!A:C,3,FALSE))</f>
        <v>East Devon</v>
      </c>
      <c r="C21" t="s">
        <v>223</v>
      </c>
      <c r="D21" t="str">
        <f>VLOOKUP($C21,classifications!$C:$J,4,FALSE)</f>
        <v>MD</v>
      </c>
      <c r="E21">
        <f>VLOOKUP(C21,classifications!C:K,9,FALSE)</f>
        <v>0</v>
      </c>
      <c r="F21">
        <f t="shared" si="0"/>
        <v>480</v>
      </c>
      <c r="G21" s="15"/>
      <c r="H21" s="42" t="str">
        <f t="shared" si="1"/>
        <v/>
      </c>
      <c r="I21" s="79" t="str">
        <f>IF(H21="","",IF($I$8="A",(RANK(H21,H$11:H$343,1)+COUNTIF(H$11:H21,H21)-1),(RANK(H21,H$11:H$343)+COUNTIF(H$11:H21,H21)-1)))</f>
        <v/>
      </c>
      <c r="J21" s="41"/>
      <c r="K21" s="36">
        <f t="shared" si="10"/>
        <v>11</v>
      </c>
      <c r="L21" t="str">
        <f t="shared" si="2"/>
        <v>Oxford</v>
      </c>
      <c r="M21" s="117">
        <f t="shared" si="3"/>
        <v>327</v>
      </c>
      <c r="N21" s="112">
        <f t="shared" si="23"/>
        <v>327</v>
      </c>
      <c r="O21" s="96">
        <f t="shared" si="11"/>
        <v>327</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Copeland</v>
      </c>
      <c r="AG21" s="15">
        <f t="shared" si="15"/>
        <v>482.8</v>
      </c>
      <c r="AH21" s="50" t="e">
        <f t="shared" si="22"/>
        <v>#N/A</v>
      </c>
      <c r="AI21" s="5" t="str">
        <f>IF(L21="","",VLOOKUP($L21,classifications!$C:$J,8,FALSE))</f>
        <v>Oxfordshire</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East</v>
      </c>
      <c r="AQ21" s="43" t="str">
        <f t="shared" si="17"/>
        <v/>
      </c>
      <c r="AR21" s="40" t="str">
        <f>IF(AQ21="","",IF(I$8="A",(RANK(AQ21,AQ$11:AQ$343,1)+COUNTIF(AQ$11:AQ21,AQ21)-1),(RANK(AQ21,AQ$11:AQ$343)+COUNTIF(AQ$11:AQ21,AQ21)-1)))</f>
        <v/>
      </c>
      <c r="AS21" s="3">
        <f t="shared" si="18"/>
        <v>11</v>
      </c>
      <c r="AT21" s="40" t="str">
        <f t="shared" si="8"/>
        <v>Lancaster</v>
      </c>
      <c r="AU21" s="43">
        <f t="shared" si="9"/>
        <v>488</v>
      </c>
      <c r="AX21">
        <f>HLOOKUP($AX$9&amp;$AX$10,Data!$A$1:$ZZ$1980,(MATCH($C21,Data!$A$1:$A$1980,0)),FALSE)</f>
        <v>480</v>
      </c>
    </row>
    <row r="22" spans="1:50">
      <c r="A22" s="59" t="str">
        <f>$D$1&amp;12</f>
        <v>SD12</v>
      </c>
      <c r="B22" s="60" t="str">
        <f>IF(ISERROR(VLOOKUP(A22,classifications!A:C,3,FALSE)),0,VLOOKUP(A22,classifications!A:C,3,FALSE))</f>
        <v>East Lindsey</v>
      </c>
      <c r="C22" t="s">
        <v>13</v>
      </c>
      <c r="D22" t="str">
        <f>VLOOKUP($C22,classifications!$C:$J,4,FALSE)</f>
        <v>SD</v>
      </c>
      <c r="E22">
        <f>VLOOKUP(C22,classifications!C:K,9,FALSE)</f>
        <v>0</v>
      </c>
      <c r="F22">
        <f t="shared" si="0"/>
        <v>558.70000000000005</v>
      </c>
      <c r="G22" s="15"/>
      <c r="H22" s="42">
        <f t="shared" si="1"/>
        <v>558.70000000000005</v>
      </c>
      <c r="I22" s="79">
        <f>IF(H22="","",IF($I$8="A",(RANK(H22,H$11:H$343,1)+COUNTIF(H$11:H22,H22)-1),(RANK(H22,H$11:H$343)+COUNTIF(H$11:H22,H22)-1)))</f>
        <v>169</v>
      </c>
      <c r="J22" s="41"/>
      <c r="K22" s="36">
        <f t="shared" si="10"/>
        <v>12</v>
      </c>
      <c r="L22" t="str">
        <f t="shared" si="2"/>
        <v>Torridge</v>
      </c>
      <c r="M22" s="117">
        <f t="shared" si="3"/>
        <v>329.8</v>
      </c>
      <c r="N22" s="112">
        <f t="shared" si="23"/>
        <v>329.8</v>
      </c>
      <c r="O22" s="96">
        <f t="shared" si="11"/>
        <v>329.8</v>
      </c>
      <c r="P22" s="96" t="str">
        <f t="shared" si="19"/>
        <v/>
      </c>
      <c r="Q22" s="96" t="str">
        <f t="shared" si="20"/>
        <v/>
      </c>
      <c r="R22" s="92" t="str">
        <f t="shared" si="21"/>
        <v/>
      </c>
      <c r="S22" s="42" t="str">
        <f t="shared" si="12"/>
        <v/>
      </c>
      <c r="T22" s="167" t="str">
        <f>IF(L22="","",VLOOKUP(L22,classifications!C:K,9,FALSE))</f>
        <v>Sparse</v>
      </c>
      <c r="U22" s="168">
        <f t="shared" si="13"/>
        <v>329.8</v>
      </c>
      <c r="V22" s="174">
        <f>IF(U22="","",IF($I$8="A",(RANK(U22,U$11:U$343)+COUNTIF(U$11:U22,U22)-1),(RANK(U22,U$11:U$343,1)+COUNTIF(U$11:U22,U22)-1)))</f>
        <v>49</v>
      </c>
      <c r="W22" s="175"/>
      <c r="X22" s="5" t="str">
        <f>IF(L22="","",VLOOKUP($L22,classifications!$C:$J,6,FALSE))</f>
        <v xml:space="preserve">Mainly Rural (rural including hub towns &gt;=80%) </v>
      </c>
      <c r="Y22">
        <f t="shared" si="4"/>
        <v>329.8</v>
      </c>
      <c r="Z22" s="40">
        <f>IF(Y22="","",IF(I$8="A",(RANK(Y22,Y$11:Y$343,1)+COUNTIF(Y$11:Y22,Y22)-1),(RANK(Y22,Y$11:Y$343)+COUNTIF(Y$11:Y22,Y22)-1)))</f>
        <v>5</v>
      </c>
      <c r="AA22" s="180" t="str">
        <f>IF(L22="","",VLOOKUP($L22,classifications!C:I,7,FALSE))</f>
        <v>Predominantly Rural</v>
      </c>
      <c r="AB22" s="174">
        <f t="shared" si="14"/>
        <v>329.8</v>
      </c>
      <c r="AC22" s="174">
        <f>IF(AB22="","",IF($I$8="A",(RANK(AB22,AB$11:AB$343)+COUNTIF(AB$11:AB22,AB22)-1),(RANK(AB22,AB$11:AB$343,1)+COUNTIF(AB$11:AB22,AB22)-1)))</f>
        <v>60</v>
      </c>
      <c r="AD22" s="174"/>
      <c r="AE22" s="49" t="e">
        <f>IF(I$8="A",(RANK(AG22,AG$11:AG$343,1)+COUNTIF(AG$11:AG22,AG22)-1),(RANK(AG22,AG$11:AG$343)+COUNTIF(AG$11:AG22,AG22)-1))</f>
        <v>#N/A</v>
      </c>
      <c r="AF22" t="str">
        <f>VLOOKUP(Profile!$J$5,Families!$C:$R,12,FALSE)</f>
        <v>Newcastle-under-Lyme</v>
      </c>
      <c r="AG22" s="15">
        <f t="shared" si="15"/>
        <v>417.1</v>
      </c>
      <c r="AH22" s="50" t="e">
        <f t="shared" si="22"/>
        <v>#N/A</v>
      </c>
      <c r="AI22" s="5" t="str">
        <f>IF(L22="","",VLOOKUP($L22,classifications!$C:$J,8,FALSE))</f>
        <v>Devon</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South West</v>
      </c>
      <c r="AQ22" s="43" t="str">
        <f t="shared" si="17"/>
        <v/>
      </c>
      <c r="AR22" s="40" t="str">
        <f>IF(AQ22="","",IF(I$8="A",(RANK(AQ22,AQ$11:AQ$343,1)+COUNTIF(AQ$11:AQ22,AQ22)-1),(RANK(AQ22,AQ$11:AQ$343)+COUNTIF(AQ$11:AQ22,AQ22)-1)))</f>
        <v/>
      </c>
      <c r="AS22" s="3">
        <f t="shared" si="18"/>
        <v>12</v>
      </c>
      <c r="AT22" s="40" t="str">
        <f t="shared" si="8"/>
        <v>West Lancashire</v>
      </c>
      <c r="AU22" s="43">
        <f t="shared" si="9"/>
        <v>496.9</v>
      </c>
      <c r="AX22">
        <f>HLOOKUP($AX$9&amp;$AX$10,Data!$A$1:$ZZ$1980,(MATCH($C22,Data!$A$1:$A$1980,0)),FALSE)</f>
        <v>558.70000000000005</v>
      </c>
    </row>
    <row r="23" spans="1:50">
      <c r="A23" s="59" t="str">
        <f>$D$1&amp;13</f>
        <v>SD13</v>
      </c>
      <c r="B23" s="60" t="str">
        <f>IF(ISERROR(VLOOKUP(A23,classifications!A:C,3,FALSE)),0,VLOOKUP(A23,classifications!A:C,3,FALSE))</f>
        <v>East Suffolk</v>
      </c>
      <c r="C23" t="s">
        <v>14</v>
      </c>
      <c r="D23" t="str">
        <f>VLOOKUP($C23,classifications!$C:$J,4,FALSE)</f>
        <v>SD</v>
      </c>
      <c r="E23">
        <f>VLOOKUP(C23,classifications!C:K,9,FALSE)</f>
        <v>0</v>
      </c>
      <c r="F23">
        <f t="shared" si="0"/>
        <v>536</v>
      </c>
      <c r="G23" s="15"/>
      <c r="H23" s="42">
        <f t="shared" si="1"/>
        <v>536</v>
      </c>
      <c r="I23" s="79">
        <f>IF(H23="","",IF($I$8="A",(RANK(H23,H$11:H$343,1)+COUNTIF(H$11:H23,H23)-1),(RANK(H23,H$11:H$343)+COUNTIF(H$11:H23,H23)-1)))</f>
        <v>162</v>
      </c>
      <c r="J23" s="41"/>
      <c r="K23" s="36">
        <f t="shared" si="10"/>
        <v>13</v>
      </c>
      <c r="L23" t="str">
        <f t="shared" si="2"/>
        <v>Surrey Heath</v>
      </c>
      <c r="M23" s="117">
        <f t="shared" si="3"/>
        <v>333.9</v>
      </c>
      <c r="N23" s="112">
        <f t="shared" si="23"/>
        <v>333.9</v>
      </c>
      <c r="O23" s="96">
        <f t="shared" si="11"/>
        <v>333.9</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City and Town</v>
      </c>
      <c r="Y23" t="str">
        <f t="shared" si="4"/>
        <v/>
      </c>
      <c r="Z23" s="40" t="str">
        <f>IF(Y23="","",IF(I$8="A",(RANK(Y23,Y$11:Y$343,1)+COUNTIF(Y$11:Y23,Y23)-1),(RANK(Y23,Y$11:Y$343)+COUNTIF(Y$11:Y23,Y23)-1)))</f>
        <v/>
      </c>
      <c r="AA23" s="180" t="str">
        <f>IF(L23="","",VLOOKUP($L23,classifications!C:I,7,FALSE))</f>
        <v>Predominantly Urban</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Wyre Forest</v>
      </c>
      <c r="AG23" s="15">
        <f t="shared" si="15"/>
        <v>483.9</v>
      </c>
      <c r="AH23" s="50" t="e">
        <f t="shared" si="22"/>
        <v>#N/A</v>
      </c>
      <c r="AI23" s="5" t="str">
        <f>IF(L23="","",VLOOKUP($L23,classifications!$C:$J,8,FALSE))</f>
        <v>Surrey</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East</v>
      </c>
      <c r="AQ23" s="43" t="str">
        <f t="shared" si="17"/>
        <v/>
      </c>
      <c r="AR23" s="40" t="str">
        <f>IF(AQ23="","",IF(I$8="A",(RANK(AQ23,AQ$11:AQ$343,1)+COUNTIF(AQ$11:AQ23,AQ23)-1),(RANK(AQ23,AQ$11:AQ$343)+COUNTIF(AQ$11:AQ23,AQ23)-1)))</f>
        <v/>
      </c>
      <c r="AS23" s="3">
        <f t="shared" si="18"/>
        <v>13</v>
      </c>
      <c r="AT23" s="40" t="str">
        <f t="shared" si="8"/>
        <v>Rossendale</v>
      </c>
      <c r="AU23" s="43">
        <f t="shared" si="9"/>
        <v>508.7</v>
      </c>
      <c r="AX23">
        <f>HLOOKUP($AX$9&amp;$AX$10,Data!$A$1:$ZZ$1980,(MATCH($C23,Data!$A$1:$A$1980,0)),FALSE)</f>
        <v>536</v>
      </c>
    </row>
    <row r="24" spans="1:50">
      <c r="A24" s="59" t="str">
        <f>$D$1&amp;14</f>
        <v>SD14</v>
      </c>
      <c r="B24" s="60" t="str">
        <f>IF(ISERROR(VLOOKUP(A24,classifications!A:C,3,FALSE)),0,VLOOKUP(A24,classifications!A:C,3,FALSE))</f>
        <v>Eden</v>
      </c>
      <c r="C24" t="s">
        <v>344</v>
      </c>
      <c r="D24" t="str">
        <f>VLOOKUP($C24,classifications!$C:$J,4,FALSE)</f>
        <v>SD</v>
      </c>
      <c r="E24">
        <f>VLOOKUP(C24,classifications!C:K,9,FALSE)</f>
        <v>0</v>
      </c>
      <c r="F24">
        <f t="shared" si="0"/>
        <v>537</v>
      </c>
      <c r="G24" s="15"/>
      <c r="H24" s="42">
        <f t="shared" si="1"/>
        <v>537</v>
      </c>
      <c r="I24" s="79">
        <f>IF(H24="","",IF($I$8="A",(RANK(H24,H$11:H$343,1)+COUNTIF(H$11:H24,H24)-1),(RANK(H24,H$11:H$343)+COUNTIF(H$11:H24,H24)-1)))</f>
        <v>163</v>
      </c>
      <c r="J24" s="41"/>
      <c r="K24" s="36">
        <f t="shared" si="10"/>
        <v>14</v>
      </c>
      <c r="L24" t="str">
        <f t="shared" si="2"/>
        <v>Derbyshire Dales</v>
      </c>
      <c r="M24" s="117">
        <f t="shared" si="3"/>
        <v>334.5</v>
      </c>
      <c r="N24" s="112">
        <f t="shared" si="23"/>
        <v>334.5</v>
      </c>
      <c r="O24" s="96">
        <f t="shared" si="11"/>
        <v>334.5</v>
      </c>
      <c r="P24" s="96" t="str">
        <f t="shared" si="19"/>
        <v/>
      </c>
      <c r="Q24" s="96" t="str">
        <f t="shared" si="20"/>
        <v/>
      </c>
      <c r="R24" s="92" t="str">
        <f t="shared" si="21"/>
        <v/>
      </c>
      <c r="S24" s="42" t="str">
        <f t="shared" si="12"/>
        <v/>
      </c>
      <c r="T24" s="167" t="str">
        <f>IF(L24="","",VLOOKUP(L24,classifications!C:K,9,FALSE))</f>
        <v>Sparse</v>
      </c>
      <c r="U24" s="168">
        <f t="shared" si="13"/>
        <v>334.5</v>
      </c>
      <c r="V24" s="174">
        <f>IF(U24="","",IF($I$8="A",(RANK(U24,U$11:U$343)+COUNTIF(U$11:U24,U24)-1),(RANK(U24,U$11:U$343,1)+COUNTIF(U$11:U24,U24)-1)))</f>
        <v>48</v>
      </c>
      <c r="W24" s="175"/>
      <c r="X24" s="5" t="str">
        <f>IF(L24="","",VLOOKUP($L24,classifications!$C:$J,6,FALSE))</f>
        <v xml:space="preserve">Mainly Rural (rural including hub towns &gt;=80%) </v>
      </c>
      <c r="Y24">
        <f t="shared" si="4"/>
        <v>334.5</v>
      </c>
      <c r="Z24" s="40">
        <f>IF(Y24="","",IF(I$8="A",(RANK(Y24,Y$11:Y$343,1)+COUNTIF(Y$11:Y24,Y24)-1),(RANK(Y24,Y$11:Y$343)+COUNTIF(Y$11:Y24,Y24)-1)))</f>
        <v>6</v>
      </c>
      <c r="AA24" s="180" t="str">
        <f>IF(L24="","",VLOOKUP($L24,classifications!C:I,7,FALSE))</f>
        <v>Predominantly Rural</v>
      </c>
      <c r="AB24" s="174">
        <f t="shared" si="14"/>
        <v>334.5</v>
      </c>
      <c r="AC24" s="174">
        <f>IF(AB24="","",IF($I$8="A",(RANK(AB24,AB$11:AB$343)+COUNTIF(AB$11:AB24,AB24)-1),(RANK(AB24,AB$11:AB$343,1)+COUNTIF(AB$11:AB24,AB24)-1)))</f>
        <v>59</v>
      </c>
      <c r="AD24" s="174"/>
      <c r="AE24" s="49" t="e">
        <f>IF(I$8="A",(RANK(AG24,AG$11:AG$343,1)+COUNTIF(AG$11:AG24,AG24)-1),(RANK(AG24,AG$11:AG$343)+COUNTIF(AG$11:AG24,AG24)-1))</f>
        <v>#N/A</v>
      </c>
      <c r="AF24" t="str">
        <f>VLOOKUP(Profile!$J$5,Families!$C:$R,14,FALSE)</f>
        <v>North East Derbyshire</v>
      </c>
      <c r="AG24" s="15">
        <f t="shared" si="15"/>
        <v>450.2</v>
      </c>
      <c r="AH24" s="50" t="e">
        <f t="shared" si="22"/>
        <v>#N/A</v>
      </c>
      <c r="AI24" s="5" t="str">
        <f>IF(L24="","",VLOOKUP($L24,classifications!$C:$J,8,FALSE))</f>
        <v>Derbyshire</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East Midlands</v>
      </c>
      <c r="AQ24" s="43" t="str">
        <f t="shared" si="17"/>
        <v/>
      </c>
      <c r="AR24" s="40" t="str">
        <f>IF(AQ24="","",IF(I$8="A",(RANK(AQ24,AQ$11:AQ$343,1)+COUNTIF(AQ$11:AQ24,AQ24)-1),(RANK(AQ24,AQ$11:AQ$343)+COUNTIF(AQ$11:AQ24,AQ24)-1)))</f>
        <v/>
      </c>
      <c r="AS24" s="3">
        <f t="shared" si="18"/>
        <v>14</v>
      </c>
      <c r="AT24" s="40" t="str">
        <f t="shared" si="8"/>
        <v>Ribble Valley</v>
      </c>
      <c r="AU24" s="43">
        <f t="shared" si="9"/>
        <v>521.79999999999995</v>
      </c>
      <c r="AX24">
        <f>HLOOKUP($AX$9&amp;$AX$10,Data!$A$1:$ZZ$1980,(MATCH($C24,Data!$A$1:$A$1980,0)),FALSE)</f>
        <v>537</v>
      </c>
    </row>
    <row r="25" spans="1:50">
      <c r="A25" s="59" t="str">
        <f>$D$1&amp;15</f>
        <v>SD15</v>
      </c>
      <c r="B25" s="60" t="str">
        <f>IF(ISERROR(VLOOKUP(A25,classifications!A:C,3,FALSE)),0,VLOOKUP(A25,classifications!A:C,3,FALSE))</f>
        <v>Forest of Dean</v>
      </c>
      <c r="C25" t="s">
        <v>15</v>
      </c>
      <c r="D25" t="str">
        <f>VLOOKUP($C25,classifications!$C:$J,4,FALSE)</f>
        <v>SD</v>
      </c>
      <c r="E25">
        <f>VLOOKUP(C25,classifications!C:K,9,FALSE)</f>
        <v>0</v>
      </c>
      <c r="F25">
        <f t="shared" si="0"/>
        <v>586</v>
      </c>
      <c r="G25" s="15"/>
      <c r="H25" s="42">
        <f t="shared" si="1"/>
        <v>586</v>
      </c>
      <c r="I25" s="79">
        <f>IF(H25="","",IF($I$8="A",(RANK(H25,H$11:H$343,1)+COUNTIF(H$11:H25,H25)-1),(RANK(H25,H$11:H$343)+COUNTIF(H$11:H25,H25)-1)))</f>
        <v>173</v>
      </c>
      <c r="J25" s="41"/>
      <c r="K25" s="36">
        <f t="shared" si="10"/>
        <v>15</v>
      </c>
      <c r="L25" t="str">
        <f t="shared" si="2"/>
        <v>East Cambridgeshire</v>
      </c>
      <c r="M25" s="117">
        <f t="shared" si="3"/>
        <v>335.9</v>
      </c>
      <c r="N25" s="112">
        <f t="shared" si="23"/>
        <v>335.9</v>
      </c>
      <c r="O25" s="96">
        <f t="shared" si="11"/>
        <v>335.9</v>
      </c>
      <c r="P25" s="96" t="str">
        <f t="shared" si="19"/>
        <v/>
      </c>
      <c r="Q25" s="96" t="str">
        <f t="shared" si="20"/>
        <v/>
      </c>
      <c r="R25" s="92" t="str">
        <f t="shared" si="21"/>
        <v/>
      </c>
      <c r="S25" s="42" t="str">
        <f t="shared" si="12"/>
        <v/>
      </c>
      <c r="T25" s="167" t="str">
        <f>IF(L25="","",VLOOKUP(L25,classifications!C:K,9,FALSE))</f>
        <v>Sparse</v>
      </c>
      <c r="U25" s="168">
        <f t="shared" si="13"/>
        <v>335.9</v>
      </c>
      <c r="V25" s="174">
        <f>IF(U25="","",IF($I$8="A",(RANK(U25,U$11:U$343)+COUNTIF(U$11:U25,U25)-1),(RANK(U25,U$11:U$343,1)+COUNTIF(U$11:U25,U25)-1)))</f>
        <v>47</v>
      </c>
      <c r="W25" s="175"/>
      <c r="X25" s="5" t="str">
        <f>IF(L25="","",VLOOKUP($L25,classifications!$C:$J,6,FALSE))</f>
        <v xml:space="preserve">Mainly Rural (rural including hub towns &gt;=80%) </v>
      </c>
      <c r="Y25">
        <f t="shared" si="4"/>
        <v>335.9</v>
      </c>
      <c r="Z25" s="40">
        <f>IF(Y25="","",IF(I$8="A",(RANK(Y25,Y$11:Y$343,1)+COUNTIF(Y$11:Y25,Y25)-1),(RANK(Y25,Y$11:Y$343)+COUNTIF(Y$11:Y25,Y25)-1)))</f>
        <v>7</v>
      </c>
      <c r="AA25" s="180" t="str">
        <f>IF(L25="","",VLOOKUP($L25,classifications!C:I,7,FALSE))</f>
        <v>Predominantly Rural</v>
      </c>
      <c r="AB25" s="174">
        <f t="shared" si="14"/>
        <v>335.9</v>
      </c>
      <c r="AC25" s="174">
        <f>IF(AB25="","",IF($I$8="A",(RANK(AB25,AB$11:AB$343)+COUNTIF(AB$11:AB25,AB25)-1),(RANK(AB25,AB$11:AB$343,1)+COUNTIF(AB$11:AB25,AB25)-1)))</f>
        <v>58</v>
      </c>
      <c r="AD25" s="174"/>
      <c r="AE25" s="49" t="e">
        <f>IF(I$8="A",(RANK(AG25,AG$11:AG$343,1)+COUNTIF(AG$11:AG25,AG25)-1),(RANK(AG25,AG$11:AG$343)+COUNTIF(AG$11:AG25,AG25)-1))</f>
        <v>#N/A</v>
      </c>
      <c r="AF25" t="str">
        <f>VLOOKUP(Profile!$J$5,Families!$C:$R,15,FALSE)</f>
        <v>Bolsover</v>
      </c>
      <c r="AG25" s="15">
        <f t="shared" si="15"/>
        <v>547.6</v>
      </c>
      <c r="AH25" s="50" t="e">
        <f t="shared" si="22"/>
        <v>#N/A</v>
      </c>
      <c r="AI25" s="5" t="str">
        <f>IF(L25="","",VLOOKUP($L25,classifications!$C:$J,8,FALSE))</f>
        <v>Cambridgeshire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East of England</v>
      </c>
      <c r="AQ25" s="43" t="str">
        <f t="shared" si="17"/>
        <v/>
      </c>
      <c r="AR25" s="40" t="str">
        <f>IF(AQ25="","",IF(I$8="A",(RANK(AQ25,AQ$11:AQ$343,1)+COUNTIF(AQ$11:AQ25,AQ25)-1),(RANK(AQ25,AQ$11:AQ$343)+COUNTIF(AQ$11:AQ25,AQ25)-1)))</f>
        <v/>
      </c>
      <c r="AS25" s="3">
        <f t="shared" si="18"/>
        <v>15</v>
      </c>
      <c r="AT25" s="40" t="str">
        <f t="shared" si="8"/>
        <v>Allerdale</v>
      </c>
      <c r="AU25" s="43">
        <f t="shared" si="9"/>
        <v>522.20000000000005</v>
      </c>
      <c r="AX25">
        <f>HLOOKUP($AX$9&amp;$AX$10,Data!$A$1:$ZZ$1980,(MATCH($C25,Data!$A$1:$A$1980,0)),FALSE)</f>
        <v>586</v>
      </c>
    </row>
    <row r="26" spans="1:50">
      <c r="A26" s="59" t="str">
        <f>$D$1&amp;16</f>
        <v>SD16</v>
      </c>
      <c r="B26" s="60" t="str">
        <f>IF(ISERROR(VLOOKUP(A26,classifications!A:C,3,FALSE)),0,VLOOKUP(A26,classifications!A:C,3,FALSE))</f>
        <v>Hambleton</v>
      </c>
      <c r="C26" t="s">
        <v>259</v>
      </c>
      <c r="D26" t="str">
        <f>VLOOKUP($C26,classifications!$C:$J,4,FALSE)</f>
        <v>UA</v>
      </c>
      <c r="E26">
        <f>VLOOKUP(C26,classifications!C:K,9,FALSE)</f>
        <v>0</v>
      </c>
      <c r="F26">
        <f t="shared" si="0"/>
        <v>354</v>
      </c>
      <c r="G26" s="15"/>
      <c r="H26" s="42" t="str">
        <f t="shared" si="1"/>
        <v/>
      </c>
      <c r="I26" s="79" t="str">
        <f>IF(H26="","",IF($I$8="A",(RANK(H26,H$11:H$343,1)+COUNTIF(H$11:H26,H26)-1),(RANK(H26,H$11:H$343)+COUNTIF(H$11:H26,H26)-1)))</f>
        <v/>
      </c>
      <c r="J26" s="41"/>
      <c r="K26" s="36">
        <f t="shared" si="10"/>
        <v>16</v>
      </c>
      <c r="L26" t="str">
        <f t="shared" si="2"/>
        <v>Waverley</v>
      </c>
      <c r="M26" s="117">
        <f t="shared" si="3"/>
        <v>337.4</v>
      </c>
      <c r="N26" s="112">
        <f t="shared" si="23"/>
        <v>337.4</v>
      </c>
      <c r="O26" s="96">
        <f t="shared" si="11"/>
        <v>337.4</v>
      </c>
      <c r="P26" s="96" t="str">
        <f t="shared" si="19"/>
        <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 xml:space="preserve">Largely Rural (rural including hub towns 50-79%) </v>
      </c>
      <c r="Y26" t="str">
        <f t="shared" si="4"/>
        <v/>
      </c>
      <c r="Z26" s="40" t="str">
        <f>IF(Y26="","",IF(I$8="A",(RANK(Y26,Y$11:Y$343,1)+COUNTIF(Y$11:Y26,Y26)-1),(RANK(Y26,Y$11:Y$343)+COUNTIF(Y$11:Y26,Y26)-1)))</f>
        <v/>
      </c>
      <c r="AA26" s="180" t="str">
        <f>IF(L26="","",VLOOKUP($L26,classifications!C:I,7,FALSE))</f>
        <v>Predominantly Rural</v>
      </c>
      <c r="AB26" s="174">
        <f t="shared" si="14"/>
        <v>337.4</v>
      </c>
      <c r="AC26" s="174">
        <f>IF(AB26="","",IF($I$8="A",(RANK(AB26,AB$11:AB$343)+COUNTIF(AB$11:AB26,AB26)-1),(RANK(AB26,AB$11:AB$343,1)+COUNTIF(AB$11:AB26,AB26)-1)))</f>
        <v>57</v>
      </c>
      <c r="AD26" s="174"/>
      <c r="AE26" s="49" t="e">
        <f>IF(I$8="A",(RANK(AG26,AG$11:AG$343,1)+COUNTIF(AG$11:AG26,AG26)-1),(RANK(AG26,AG$11:AG$343)+COUNTIF(AG$11:AG26,AG26)-1))</f>
        <v>#N/A</v>
      </c>
      <c r="AF26" t="str">
        <f>VLOOKUP(Profile!$J$5,Families!$C:$R,16,FALSE)</f>
        <v>Wyre</v>
      </c>
      <c r="AG26" s="15">
        <f t="shared" si="15"/>
        <v>463.6</v>
      </c>
      <c r="AH26" s="50" t="e">
        <f t="shared" si="22"/>
        <v>#N/A</v>
      </c>
      <c r="AI26" s="5" t="str">
        <f>IF(L26="","",VLOOKUP($L26,classifications!$C:$J,8,FALSE))</f>
        <v>Surrey</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South East</v>
      </c>
      <c r="AQ26" s="43" t="str">
        <f t="shared" si="17"/>
        <v/>
      </c>
      <c r="AR26" s="40" t="str">
        <f>IF(AQ26="","",IF(I$8="A",(RANK(AQ26,AQ$11:AQ$343,1)+COUNTIF(AQ$11:AQ26,AQ26)-1),(RANK(AQ26,AQ$11:AQ$343)+COUNTIF(AQ$11:AQ26,AQ26)-1)))</f>
        <v/>
      </c>
      <c r="AS26" s="3">
        <f t="shared" si="18"/>
        <v>16</v>
      </c>
      <c r="AT26" s="40" t="str">
        <f t="shared" si="8"/>
        <v>Preston</v>
      </c>
      <c r="AU26" s="43">
        <f t="shared" si="9"/>
        <v>535.79999999999995</v>
      </c>
      <c r="AX26">
        <f>HLOOKUP($AX$9&amp;$AX$10,Data!$A$1:$ZZ$1980,(MATCH($C26,Data!$A$1:$A$1980,0)),FALSE)</f>
        <v>354</v>
      </c>
    </row>
    <row r="27" spans="1:50">
      <c r="A27" s="59" t="str">
        <f>$D$1&amp;17</f>
        <v>SD17</v>
      </c>
      <c r="B27" s="60" t="str">
        <f>IF(ISERROR(VLOOKUP(A27,classifications!A:C,3,FALSE)),0,VLOOKUP(A27,classifications!A:C,3,FALSE))</f>
        <v>Harborough</v>
      </c>
      <c r="C27" t="s">
        <v>260</v>
      </c>
      <c r="D27" t="str">
        <f>VLOOKUP($C27,classifications!$C:$J,4,FALSE)</f>
        <v>UA</v>
      </c>
      <c r="E27">
        <f>VLOOKUP(C27,classifications!C:K,9,FALSE)</f>
        <v>0</v>
      </c>
      <c r="F27">
        <f t="shared" si="0"/>
        <v>580.79999999999995</v>
      </c>
      <c r="G27" s="15"/>
      <c r="H27" s="42" t="str">
        <f t="shared" si="1"/>
        <v/>
      </c>
      <c r="I27" s="79" t="str">
        <f>IF(H27="","",IF($I$8="A",(RANK(H27,H$11:H$343,1)+COUNTIF(H$11:H27,H27)-1),(RANK(H27,H$11:H$343)+COUNTIF(H$11:H27,H27)-1)))</f>
        <v/>
      </c>
      <c r="J27" s="41"/>
      <c r="K27" s="36">
        <f t="shared" si="10"/>
        <v>17</v>
      </c>
      <c r="L27" t="str">
        <f t="shared" si="2"/>
        <v>West Oxfordshire</v>
      </c>
      <c r="M27" s="117">
        <f t="shared" si="3"/>
        <v>341.5</v>
      </c>
      <c r="N27" s="112">
        <f t="shared" si="23"/>
        <v>341.5</v>
      </c>
      <c r="O27" s="96">
        <f t="shared" si="11"/>
        <v>341.5</v>
      </c>
      <c r="P27" s="96" t="str">
        <f t="shared" si="19"/>
        <v/>
      </c>
      <c r="Q27" s="96" t="str">
        <f t="shared" si="20"/>
        <v/>
      </c>
      <c r="R27" s="92" t="str">
        <f t="shared" si="21"/>
        <v/>
      </c>
      <c r="S27" s="42" t="str">
        <f t="shared" si="12"/>
        <v/>
      </c>
      <c r="T27" s="167" t="str">
        <f>IF(L27="","",VLOOKUP(L27,classifications!C:K,9,FALSE))</f>
        <v>Sparse</v>
      </c>
      <c r="U27" s="168">
        <f t="shared" si="13"/>
        <v>341.5</v>
      </c>
      <c r="V27" s="174">
        <f>IF(U27="","",IF($I$8="A",(RANK(U27,U$11:U$343)+COUNTIF(U$11:U27,U27)-1),(RANK(U27,U$11:U$343,1)+COUNTIF(U$11:U27,U27)-1)))</f>
        <v>46</v>
      </c>
      <c r="W27" s="175"/>
      <c r="X27" s="5" t="str">
        <f>IF(L27="","",VLOOKUP($L27,classifications!$C:$J,6,FALSE))</f>
        <v xml:space="preserve">Mainly Rural (rural including hub towns &gt;=80%) </v>
      </c>
      <c r="Y27">
        <f t="shared" si="4"/>
        <v>341.5</v>
      </c>
      <c r="Z27" s="40">
        <f>IF(Y27="","",IF(I$8="A",(RANK(Y27,Y$11:Y$343,1)+COUNTIF(Y$11:Y27,Y27)-1),(RANK(Y27,Y$11:Y$343)+COUNTIF(Y$11:Y27,Y27)-1)))</f>
        <v>8</v>
      </c>
      <c r="AA27" s="180" t="str">
        <f>IF(L27="","",VLOOKUP($L27,classifications!C:I,7,FALSE))</f>
        <v>Predominantly Rural</v>
      </c>
      <c r="AB27" s="174">
        <f t="shared" si="14"/>
        <v>341.5</v>
      </c>
      <c r="AC27" s="174">
        <f>IF(AB27="","",IF($I$8="A",(RANK(AB27,AB$11:AB$343)+COUNTIF(AB$11:AB27,AB27)-1),(RANK(AB27,AB$11:AB$343,1)+COUNTIF(AB$11:AB27,AB27)-1)))</f>
        <v>56</v>
      </c>
      <c r="AD27" s="174"/>
      <c r="AE27" s="36"/>
      <c r="AG27" s="15"/>
      <c r="AH27" s="3"/>
      <c r="AI27" s="5" t="str">
        <f>IF(L27="","",VLOOKUP($L27,classifications!$C:$J,8,FALSE))</f>
        <v>Oxfordshire</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East</v>
      </c>
      <c r="AQ27" s="43" t="str">
        <f t="shared" si="17"/>
        <v/>
      </c>
      <c r="AR27" s="40" t="str">
        <f>IF(AQ27="","",IF(I$8="A",(RANK(AQ27,AQ$11:AQ$343,1)+COUNTIF(AQ$11:AQ27,AQ27)-1),(RANK(AQ27,AQ$11:AQ$343)+COUNTIF(AQ$11:AQ27,AQ27)-1)))</f>
        <v/>
      </c>
      <c r="AS27" s="3">
        <f t="shared" si="18"/>
        <v>17</v>
      </c>
      <c r="AT27" s="40" t="str">
        <f t="shared" si="8"/>
        <v>Barrow-in-Furness</v>
      </c>
      <c r="AU27" s="43">
        <f t="shared" si="9"/>
        <v>558.70000000000005</v>
      </c>
      <c r="AX27">
        <f>HLOOKUP($AX$9&amp;$AX$10,Data!$A$1:$ZZ$1980,(MATCH($C27,Data!$A$1:$A$1980,0)),FALSE)</f>
        <v>580.79999999999995</v>
      </c>
    </row>
    <row r="28" spans="1:50">
      <c r="A28" s="59" t="str">
        <f>$D$1&amp;18</f>
        <v>SD18</v>
      </c>
      <c r="B28" s="60" t="str">
        <f>IF(ISERROR(VLOOKUP(A28,classifications!A:C,3,FALSE)),0,VLOOKUP(A28,classifications!A:C,3,FALSE))</f>
        <v>Harrogate</v>
      </c>
      <c r="C28" t="s">
        <v>198</v>
      </c>
      <c r="D28" t="str">
        <f>VLOOKUP($C28,classifications!$C:$J,4,FALSE)</f>
        <v>L</v>
      </c>
      <c r="E28">
        <f>VLOOKUP(C28,classifications!C:K,9,FALSE)</f>
        <v>0</v>
      </c>
      <c r="F28">
        <f t="shared" si="0"/>
        <v>463.9</v>
      </c>
      <c r="G28" s="15"/>
      <c r="H28" s="42" t="str">
        <f t="shared" si="1"/>
        <v/>
      </c>
      <c r="I28" s="79" t="str">
        <f>IF(H28="","",IF($I$8="A",(RANK(H28,H$11:H$343,1)+COUNTIF(H$11:H28,H28)-1),(RANK(H28,H$11:H$343)+COUNTIF(H$11:H28,H28)-1)))</f>
        <v/>
      </c>
      <c r="J28" s="41"/>
      <c r="K28" s="36">
        <f t="shared" si="10"/>
        <v>18</v>
      </c>
      <c r="L28" t="str">
        <f t="shared" si="2"/>
        <v>North Hertfordshire</v>
      </c>
      <c r="M28" s="117">
        <f t="shared" si="3"/>
        <v>342.4</v>
      </c>
      <c r="N28" s="112">
        <f t="shared" si="23"/>
        <v>342.4</v>
      </c>
      <c r="O28" s="96">
        <f t="shared" si="11"/>
        <v>342.4</v>
      </c>
      <c r="P28" s="96" t="str">
        <f t="shared" si="19"/>
        <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Significant Rural (rural including hub towns 26-49%)</v>
      </c>
      <c r="Y28" t="str">
        <f t="shared" si="4"/>
        <v/>
      </c>
      <c r="Z28" s="40" t="str">
        <f>IF(Y28="","",IF(I$8="A",(RANK(Y28,Y$11:Y$343,1)+COUNTIF(Y$11:Y28,Y28)-1),(RANK(Y28,Y$11:Y$343)+COUNTIF(Y$11:Y28,Y28)-1)))</f>
        <v/>
      </c>
      <c r="AA28" s="180" t="str">
        <f>IF(L28="","",VLOOKUP($L28,classifications!C:I,7,FALSE))</f>
        <v>Significant Rural</v>
      </c>
      <c r="AB28" s="174" t="str">
        <f t="shared" si="14"/>
        <v/>
      </c>
      <c r="AC28" s="174" t="str">
        <f>IF(AB28="","",IF($I$8="A",(RANK(AB28,AB$11:AB$343)+COUNTIF(AB$11:AB28,AB28)-1),(RANK(AB28,AB$11:AB$343,1)+COUNTIF(AB$11:AB28,AB28)-1)))</f>
        <v/>
      </c>
      <c r="AD28" s="174"/>
      <c r="AE28" s="36"/>
      <c r="AG28" s="15"/>
      <c r="AH28" s="3"/>
      <c r="AI28" s="5" t="str">
        <f>IF(L28="","",VLOOKUP($L28,classifications!$C:$J,8,FALSE))</f>
        <v>Hertfordshire</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East of England</v>
      </c>
      <c r="AQ28" s="43" t="str">
        <f t="shared" si="17"/>
        <v/>
      </c>
      <c r="AR28" s="40" t="str">
        <f>IF(AQ28="","",IF(I$8="A",(RANK(AQ28,AQ$11:AQ$343,1)+COUNTIF(AQ$11:AQ28,AQ28)-1),(RANK(AQ28,AQ$11:AQ$343)+COUNTIF(AQ$11:AQ28,AQ28)-1)))</f>
        <v/>
      </c>
      <c r="AS28" s="3">
        <f t="shared" si="18"/>
        <v>18</v>
      </c>
      <c r="AT28" s="40" t="str">
        <f t="shared" si="8"/>
        <v>Pendle</v>
      </c>
      <c r="AU28" s="43">
        <f t="shared" si="9"/>
        <v>564.5</v>
      </c>
      <c r="AX28">
        <f>HLOOKUP($AX$9&amp;$AX$10,Data!$A$1:$ZZ$1980,(MATCH($C28,Data!$A$1:$A$1980,0)),FALSE)</f>
        <v>463.9</v>
      </c>
    </row>
    <row r="29" spans="1:50">
      <c r="A29" s="59" t="str">
        <f>$D$1&amp;19</f>
        <v>SD19</v>
      </c>
      <c r="B29" s="60" t="str">
        <f>IF(ISERROR(VLOOKUP(A29,classifications!A:C,3,FALSE)),0,VLOOKUP(A29,classifications!A:C,3,FALSE))</f>
        <v>King's Lynn &amp; West Norfolk</v>
      </c>
      <c r="C29" t="s">
        <v>224</v>
      </c>
      <c r="D29" t="str">
        <f>VLOOKUP($C29,classifications!$C:$J,4,FALSE)</f>
        <v>MD</v>
      </c>
      <c r="E29">
        <f>VLOOKUP(C29,classifications!C:K,9,FALSE)</f>
        <v>0</v>
      </c>
      <c r="F29">
        <f t="shared" si="0"/>
        <v>656.1</v>
      </c>
      <c r="G29" s="15"/>
      <c r="H29" s="42" t="str">
        <f t="shared" si="1"/>
        <v/>
      </c>
      <c r="I29" s="79" t="str">
        <f>IF(H29="","",IF($I$8="A",(RANK(H29,H$11:H$343,1)+COUNTIF(H$11:H29,H29)-1),(RANK(H29,H$11:H$343)+COUNTIF(H$11:H29,H29)-1)))</f>
        <v/>
      </c>
      <c r="J29" s="41"/>
      <c r="K29" s="36">
        <f t="shared" si="10"/>
        <v>19</v>
      </c>
      <c r="L29" t="str">
        <f t="shared" si="2"/>
        <v>Teignbridge</v>
      </c>
      <c r="M29" s="117">
        <f t="shared" si="3"/>
        <v>347</v>
      </c>
      <c r="N29" s="112">
        <f t="shared" si="23"/>
        <v>347</v>
      </c>
      <c r="O29" s="96">
        <f t="shared" si="11"/>
        <v>347</v>
      </c>
      <c r="P29" s="96" t="str">
        <f t="shared" si="19"/>
        <v/>
      </c>
      <c r="Q29" s="96" t="str">
        <f t="shared" si="20"/>
        <v/>
      </c>
      <c r="R29" s="92" t="str">
        <f t="shared" si="21"/>
        <v/>
      </c>
      <c r="S29" s="42" t="str">
        <f t="shared" si="12"/>
        <v/>
      </c>
      <c r="T29" s="167" t="str">
        <f>IF(L29="","",VLOOKUP(L29,classifications!C:K,9,FALSE))</f>
        <v>Sparse</v>
      </c>
      <c r="U29" s="168">
        <f t="shared" si="13"/>
        <v>347</v>
      </c>
      <c r="V29" s="174">
        <f>IF(U29="","",IF($I$8="A",(RANK(U29,U$11:U$343)+COUNTIF(U$11:U29,U29)-1),(RANK(U29,U$11:U$343,1)+COUNTIF(U$11:U29,U29)-1)))</f>
        <v>45</v>
      </c>
      <c r="W29" s="175"/>
      <c r="X29" s="5" t="str">
        <f>IF(L29="","",VLOOKUP($L29,classifications!$C:$J,6,FALSE))</f>
        <v xml:space="preserve">Largely Rural (rural including hub towns 50-79%) </v>
      </c>
      <c r="Y29" t="str">
        <f t="shared" si="4"/>
        <v/>
      </c>
      <c r="Z29" s="40" t="str">
        <f>IF(Y29="","",IF(I$8="A",(RANK(Y29,Y$11:Y$343,1)+COUNTIF(Y$11:Y29,Y29)-1),(RANK(Y29,Y$11:Y$343)+COUNTIF(Y$11:Y29,Y29)-1)))</f>
        <v/>
      </c>
      <c r="AA29" s="180" t="str">
        <f>IF(L29="","",VLOOKUP($L29,classifications!C:I,7,FALSE))</f>
        <v>Predominantly Rural</v>
      </c>
      <c r="AB29" s="174">
        <f t="shared" si="14"/>
        <v>347</v>
      </c>
      <c r="AC29" s="174">
        <f>IF(AB29="","",IF($I$8="A",(RANK(AB29,AB$11:AB$343)+COUNTIF(AB$11:AB29,AB29)-1),(RANK(AB29,AB$11:AB$343,1)+COUNTIF(AB$11:AB29,AB29)-1)))</f>
        <v>55</v>
      </c>
      <c r="AD29" s="174"/>
      <c r="AE29" s="36"/>
      <c r="AG29" s="15"/>
      <c r="AH29" s="3"/>
      <c r="AI29" s="5" t="str">
        <f>IF(L29="","",VLOOKUP($L29,classifications!$C:$J,8,FALSE))</f>
        <v>Devon</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South West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656.1</v>
      </c>
    </row>
    <row r="30" spans="1:50">
      <c r="A30" s="59" t="str">
        <f>$D$1&amp;20</f>
        <v>SD20</v>
      </c>
      <c r="B30" s="60" t="str">
        <f>IF(ISERROR(VLOOKUP(A30,classifications!A:C,3,FALSE)),0,VLOOKUP(A30,classifications!A:C,3,FALSE))</f>
        <v>Lewes</v>
      </c>
      <c r="C30" t="s">
        <v>16</v>
      </c>
      <c r="D30" t="str">
        <f>VLOOKUP($C30,classifications!$C:$J,4,FALSE)</f>
        <v>SD</v>
      </c>
      <c r="E30">
        <f>VLOOKUP(C30,classifications!C:K,9,FALSE)</f>
        <v>0</v>
      </c>
      <c r="F30">
        <f t="shared" si="0"/>
        <v>462.4</v>
      </c>
      <c r="G30" s="15"/>
      <c r="H30" s="42">
        <f t="shared" si="1"/>
        <v>462.4</v>
      </c>
      <c r="I30" s="79">
        <f>IF(H30="","",IF($I$8="A",(RANK(H30,H$11:H$343,1)+COUNTIF(H$11:H30,H30)-1),(RANK(H30,H$11:H$343)+COUNTIF(H$11:H30,H30)-1)))</f>
        <v>108</v>
      </c>
      <c r="J30" s="41"/>
      <c r="K30" s="36">
        <f t="shared" si="10"/>
        <v>20</v>
      </c>
      <c r="L30" t="str">
        <f t="shared" si="2"/>
        <v>Maldon</v>
      </c>
      <c r="M30" s="117">
        <f t="shared" si="3"/>
        <v>347.5</v>
      </c>
      <c r="N30" s="112">
        <f t="shared" si="23"/>
        <v>347.5</v>
      </c>
      <c r="O30" s="96">
        <f t="shared" si="11"/>
        <v>347.5</v>
      </c>
      <c r="P30" s="96" t="str">
        <f t="shared" si="19"/>
        <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 xml:space="preserve">Mainly Rural (rural including hub towns &gt;=80%) </v>
      </c>
      <c r="Y30">
        <f t="shared" si="4"/>
        <v>347.5</v>
      </c>
      <c r="Z30" s="40">
        <f>IF(Y30="","",IF(I$8="A",(RANK(Y30,Y$11:Y$343,1)+COUNTIF(Y$11:Y30,Y30)-1),(RANK(Y30,Y$11:Y$343)+COUNTIF(Y$11:Y30,Y30)-1)))</f>
        <v>9</v>
      </c>
      <c r="AA30" s="180" t="str">
        <f>IF(L30="","",VLOOKUP($L30,classifications!C:I,7,FALSE))</f>
        <v>Predominantly Rural</v>
      </c>
      <c r="AB30" s="174">
        <f t="shared" si="14"/>
        <v>347.5</v>
      </c>
      <c r="AC30" s="174">
        <f>IF(AB30="","",IF($I$8="A",(RANK(AB30,AB$11:AB$343)+COUNTIF(AB$11:AB30,AB30)-1),(RANK(AB30,AB$11:AB$343,1)+COUNTIF(AB$11:AB30,AB30)-1)))</f>
        <v>54</v>
      </c>
      <c r="AD30" s="174"/>
      <c r="AE30" s="36"/>
      <c r="AG30" s="15"/>
      <c r="AH30" s="3"/>
      <c r="AI30" s="5" t="str">
        <f>IF(L30="","",VLOOKUP($L30,classifications!$C:$J,8,FALSE))</f>
        <v>Essex</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East of England</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462.4</v>
      </c>
    </row>
    <row r="31" spans="1:50">
      <c r="A31" s="59" t="str">
        <f>$D$1&amp;21</f>
        <v>SD21</v>
      </c>
      <c r="B31" s="60" t="str">
        <f>IF(ISERROR(VLOOKUP(A31,classifications!A:C,3,FALSE)),0,VLOOKUP(A31,classifications!A:C,3,FALSE))</f>
        <v>Lichfield</v>
      </c>
      <c r="C31" t="s">
        <v>261</v>
      </c>
      <c r="D31" t="str">
        <f>VLOOKUP($C31,classifications!$C:$J,4,FALSE)</f>
        <v>UA</v>
      </c>
      <c r="E31">
        <f>VLOOKUP(C31,classifications!C:K,9,FALSE)</f>
        <v>0</v>
      </c>
      <c r="F31">
        <f t="shared" si="0"/>
        <v>591.70000000000005</v>
      </c>
      <c r="G31" s="15"/>
      <c r="H31" s="42" t="str">
        <f t="shared" si="1"/>
        <v/>
      </c>
      <c r="I31" s="79" t="str">
        <f>IF(H31="","",IF($I$8="A",(RANK(H31,H$11:H$343,1)+COUNTIF(H$11:H31,H31)-1),(RANK(H31,H$11:H$343)+COUNTIF(H$11:H31,H31)-1)))</f>
        <v/>
      </c>
      <c r="J31" s="41"/>
      <c r="K31" s="36">
        <f t="shared" si="10"/>
        <v>21</v>
      </c>
      <c r="L31" t="str">
        <f t="shared" si="2"/>
        <v>Tandridge</v>
      </c>
      <c r="M31" s="117">
        <f t="shared" si="3"/>
        <v>353</v>
      </c>
      <c r="N31" s="112">
        <f t="shared" si="23"/>
        <v>353</v>
      </c>
      <c r="O31" s="96">
        <f t="shared" si="11"/>
        <v>353</v>
      </c>
      <c r="P31" s="96" t="str">
        <f t="shared" si="19"/>
        <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Significant Rural (rural including hub towns 26-49%)</v>
      </c>
      <c r="Y31" t="str">
        <f t="shared" si="4"/>
        <v/>
      </c>
      <c r="Z31" s="40" t="str">
        <f>IF(Y31="","",IF(I$8="A",(RANK(Y31,Y$11:Y$343,1)+COUNTIF(Y$11:Y31,Y31)-1),(RANK(Y31,Y$11:Y$343)+COUNTIF(Y$11:Y31,Y31)-1)))</f>
        <v/>
      </c>
      <c r="AA31" s="180" t="str">
        <f>IF(L31="","",VLOOKUP($L31,classifications!C:I,7,FALSE))</f>
        <v>Significant Rural</v>
      </c>
      <c r="AB31" s="174" t="str">
        <f t="shared" si="14"/>
        <v/>
      </c>
      <c r="AC31" s="174" t="str">
        <f>IF(AB31="","",IF($I$8="A",(RANK(AB31,AB$11:AB$343)+COUNTIF(AB$11:AB31,AB31)-1),(RANK(AB31,AB$11:AB$343,1)+COUNTIF(AB$11:AB31,AB31)-1)))</f>
        <v/>
      </c>
      <c r="AD31" s="174"/>
      <c r="AE31" s="36"/>
      <c r="AG31" s="15"/>
      <c r="AH31" s="3"/>
      <c r="AI31" s="5" t="str">
        <f>IF(L31="","",VLOOKUP($L31,classifications!$C:$J,8,FALSE))</f>
        <v>Surrey</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591.70000000000005</v>
      </c>
    </row>
    <row r="32" spans="1:50">
      <c r="A32" s="59" t="str">
        <f>$D$1&amp;22</f>
        <v>SD22</v>
      </c>
      <c r="B32" s="60" t="str">
        <f>IF(ISERROR(VLOOKUP(A32,classifications!A:C,3,FALSE)),0,VLOOKUP(A32,classifications!A:C,3,FALSE))</f>
        <v>Malvern Hills</v>
      </c>
      <c r="C32" t="s">
        <v>262</v>
      </c>
      <c r="D32" t="str">
        <f>VLOOKUP($C32,classifications!$C:$J,4,FALSE)</f>
        <v>UA</v>
      </c>
      <c r="E32">
        <f>VLOOKUP(C32,classifications!C:K,9,FALSE)</f>
        <v>0</v>
      </c>
      <c r="F32">
        <f t="shared" si="0"/>
        <v>469.9</v>
      </c>
      <c r="G32" s="15"/>
      <c r="H32" s="42" t="str">
        <f t="shared" si="1"/>
        <v/>
      </c>
      <c r="I32" s="79" t="str">
        <f>IF(H32="","",IF($I$8="A",(RANK(H32,H$11:H$343,1)+COUNTIF(H$11:H32,H32)-1),(RANK(H32,H$11:H$343)+COUNTIF(H$11:H32,H32)-1)))</f>
        <v/>
      </c>
      <c r="J32" s="41"/>
      <c r="K32" s="36">
        <f t="shared" si="10"/>
        <v>22</v>
      </c>
      <c r="L32" t="str">
        <f t="shared" si="2"/>
        <v>Cotswold</v>
      </c>
      <c r="M32" s="117">
        <f t="shared" si="3"/>
        <v>353.3</v>
      </c>
      <c r="N32" s="112">
        <f t="shared" si="23"/>
        <v>353.3</v>
      </c>
      <c r="O32" s="96">
        <f t="shared" si="11"/>
        <v>353.3</v>
      </c>
      <c r="P32" s="96" t="str">
        <f t="shared" si="19"/>
        <v/>
      </c>
      <c r="Q32" s="96" t="str">
        <f t="shared" si="20"/>
        <v/>
      </c>
      <c r="R32" s="92" t="str">
        <f t="shared" si="21"/>
        <v/>
      </c>
      <c r="S32" s="42" t="str">
        <f t="shared" si="12"/>
        <v/>
      </c>
      <c r="T32" s="167" t="str">
        <f>IF(L32="","",VLOOKUP(L32,classifications!C:K,9,FALSE))</f>
        <v>Sparse</v>
      </c>
      <c r="U32" s="168">
        <f t="shared" si="13"/>
        <v>353.3</v>
      </c>
      <c r="V32" s="174">
        <f>IF(U32="","",IF($I$8="A",(RANK(U32,U$11:U$343)+COUNTIF(U$11:U32,U32)-1),(RANK(U32,U$11:U$343,1)+COUNTIF(U$11:U32,U32)-1)))</f>
        <v>44</v>
      </c>
      <c r="W32" s="175"/>
      <c r="X32" s="5" t="str">
        <f>IF(L32="","",VLOOKUP($L32,classifications!$C:$J,6,FALSE))</f>
        <v xml:space="preserve">Mainly Rural (rural including hub towns &gt;=80%) </v>
      </c>
      <c r="Y32">
        <f t="shared" si="4"/>
        <v>353.3</v>
      </c>
      <c r="Z32" s="40">
        <f>IF(Y32="","",IF(I$8="A",(RANK(Y32,Y$11:Y$343,1)+COUNTIF(Y$11:Y32,Y32)-1),(RANK(Y32,Y$11:Y$343)+COUNTIF(Y$11:Y32,Y32)-1)))</f>
        <v>10</v>
      </c>
      <c r="AA32" s="180" t="str">
        <f>IF(L32="","",VLOOKUP($L32,classifications!C:I,7,FALSE))</f>
        <v>Predominantly Rural</v>
      </c>
      <c r="AB32" s="174">
        <f t="shared" si="14"/>
        <v>353.3</v>
      </c>
      <c r="AC32" s="174">
        <f>IF(AB32="","",IF($I$8="A",(RANK(AB32,AB$11:AB$343)+COUNTIF(AB$11:AB32,AB32)-1),(RANK(AB32,AB$11:AB$343,1)+COUNTIF(AB$11:AB32,AB32)-1)))</f>
        <v>53</v>
      </c>
      <c r="AD32" s="174"/>
      <c r="AE32" s="36"/>
      <c r="AG32" s="15"/>
      <c r="AH32" s="3"/>
      <c r="AI32" s="5" t="str">
        <f>IF(L32="","",VLOOKUP($L32,classifications!$C:$J,8,FALSE))</f>
        <v>Gloucestershire</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South West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469.9</v>
      </c>
    </row>
    <row r="33" spans="1:50">
      <c r="A33" s="59" t="str">
        <f>$D$1&amp;23</f>
        <v>SD23</v>
      </c>
      <c r="B33" s="60" t="str">
        <f>IF(ISERROR(VLOOKUP(A33,classifications!A:C,3,FALSE)),0,VLOOKUP(A33,classifications!A:C,3,FALSE))</f>
        <v>Melton</v>
      </c>
      <c r="C33" t="s">
        <v>17</v>
      </c>
      <c r="D33" t="str">
        <f>VLOOKUP($C33,classifications!$C:$J,4,FALSE)</f>
        <v>SD</v>
      </c>
      <c r="E33">
        <f>VLOOKUP(C33,classifications!C:K,9,FALSE)</f>
        <v>0</v>
      </c>
      <c r="F33">
        <f t="shared" si="0"/>
        <v>547.6</v>
      </c>
      <c r="G33" s="15"/>
      <c r="H33" s="42">
        <f t="shared" si="1"/>
        <v>547.6</v>
      </c>
      <c r="I33" s="79">
        <f>IF(H33="","",IF($I$8="A",(RANK(H33,H$11:H$343,1)+COUNTIF(H$11:H33,H33)-1),(RANK(H33,H$11:H$343)+COUNTIF(H$11:H33,H33)-1)))</f>
        <v>164</v>
      </c>
      <c r="J33" s="41"/>
      <c r="K33" s="36">
        <f t="shared" si="10"/>
        <v>23</v>
      </c>
      <c r="L33" t="str">
        <f t="shared" si="2"/>
        <v>Woking</v>
      </c>
      <c r="M33" s="117">
        <f t="shared" si="3"/>
        <v>359.7</v>
      </c>
      <c r="N33" s="112">
        <f t="shared" si="23"/>
        <v>359.7</v>
      </c>
      <c r="O33" s="96">
        <f t="shared" si="11"/>
        <v>359.7</v>
      </c>
      <c r="P33" s="96" t="str">
        <f t="shared" si="19"/>
        <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Urban with Major Conurbation</v>
      </c>
      <c r="Y33" t="str">
        <f t="shared" si="4"/>
        <v/>
      </c>
      <c r="Z33" s="40" t="str">
        <f>IF(Y33="","",IF(I$8="A",(RANK(Y33,Y$11:Y$343,1)+COUNTIF(Y$11:Y33,Y33)-1),(RANK(Y33,Y$11:Y$343)+COUNTIF(Y$11:Y33,Y33)-1)))</f>
        <v/>
      </c>
      <c r="AA33" s="180" t="str">
        <f>IF(L33="","",VLOOKUP($L33,classifications!C:I,7,FALSE))</f>
        <v>Predominantly Urban</v>
      </c>
      <c r="AB33" s="174" t="str">
        <f t="shared" si="14"/>
        <v/>
      </c>
      <c r="AC33" s="174" t="str">
        <f>IF(AB33="","",IF($I$8="A",(RANK(AB33,AB$11:AB$343)+COUNTIF(AB$11:AB33,AB33)-1),(RANK(AB33,AB$11:AB$343,1)+COUNTIF(AB$11:AB33,AB33)-1)))</f>
        <v/>
      </c>
      <c r="AD33" s="174"/>
      <c r="AE33" s="36"/>
      <c r="AG33" s="15"/>
      <c r="AH33" s="3"/>
      <c r="AI33" s="5" t="str">
        <f>IF(L33="","",VLOOKUP($L33,classifications!$C:$J,8,FALSE))</f>
        <v>Surrey</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South East</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547.6</v>
      </c>
    </row>
    <row r="34" spans="1:50">
      <c r="A34" s="59" t="str">
        <f>$D$1&amp;24</f>
        <v>SD24</v>
      </c>
      <c r="B34" s="60" t="str">
        <f>IF(ISERROR(VLOOKUP(A34,classifications!A:C,3,FALSE)),0,VLOOKUP(A34,classifications!A:C,3,FALSE))</f>
        <v>Mendip</v>
      </c>
      <c r="C34" t="s">
        <v>225</v>
      </c>
      <c r="D34" t="str">
        <f>VLOOKUP($C34,classifications!$C:$J,4,FALSE)</f>
        <v>MD</v>
      </c>
      <c r="E34">
        <f>VLOOKUP(C34,classifications!C:K,9,FALSE)</f>
        <v>0</v>
      </c>
      <c r="F34">
        <f t="shared" si="0"/>
        <v>351.8</v>
      </c>
      <c r="G34" s="15"/>
      <c r="H34" s="42" t="str">
        <f t="shared" si="1"/>
        <v/>
      </c>
      <c r="I34" s="79" t="str">
        <f>IF(H34="","",IF($I$8="A",(RANK(H34,H$11:H$343,1)+COUNTIF(H$11:H34,H34)-1),(RANK(H34,H$11:H$343)+COUNTIF(H$11:H34,H34)-1)))</f>
        <v/>
      </c>
      <c r="J34" s="41"/>
      <c r="K34" s="36">
        <f t="shared" si="10"/>
        <v>24</v>
      </c>
      <c r="L34" t="str">
        <f t="shared" si="2"/>
        <v>Warwick</v>
      </c>
      <c r="M34" s="117">
        <f t="shared" si="3"/>
        <v>359.9</v>
      </c>
      <c r="N34" s="112">
        <f t="shared" si="23"/>
        <v>359.9</v>
      </c>
      <c r="O34" s="96">
        <f t="shared" si="11"/>
        <v>359.9</v>
      </c>
      <c r="P34" s="96" t="str">
        <f t="shared" si="19"/>
        <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Warwickshire</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West Midlands</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351.8</v>
      </c>
    </row>
    <row r="35" spans="1:50">
      <c r="A35" s="59" t="str">
        <f>$D$1&amp;25</f>
        <v>SD25</v>
      </c>
      <c r="B35" s="60" t="str">
        <f>IF(ISERROR(VLOOKUP(A35,classifications!A:C,3,FALSE)),0,VLOOKUP(A35,classifications!A:C,3,FALSE))</f>
        <v>Mid Devon</v>
      </c>
      <c r="C35" t="s">
        <v>18</v>
      </c>
      <c r="D35" t="str">
        <f>VLOOKUP($C35,classifications!$C:$J,4,FALSE)</f>
        <v>SD</v>
      </c>
      <c r="E35" t="str">
        <f>VLOOKUP(C35,classifications!C:K,9,FALSE)</f>
        <v>Sparse</v>
      </c>
      <c r="F35">
        <f t="shared" si="0"/>
        <v>569.29999999999995</v>
      </c>
      <c r="G35" s="15"/>
      <c r="H35" s="42">
        <f t="shared" si="1"/>
        <v>569.29999999999995</v>
      </c>
      <c r="I35" s="79">
        <f>IF(H35="","",IF($I$8="A",(RANK(H35,H$11:H$343,1)+COUNTIF(H$11:H35,H35)-1),(RANK(H35,H$11:H$343)+COUNTIF(H$11:H35,H35)-1)))</f>
        <v>171</v>
      </c>
      <c r="J35" s="41"/>
      <c r="K35" s="36">
        <f t="shared" si="10"/>
        <v>25</v>
      </c>
      <c r="L35" t="str">
        <f t="shared" si="2"/>
        <v>Guildford</v>
      </c>
      <c r="M35" s="117">
        <f t="shared" si="3"/>
        <v>360</v>
      </c>
      <c r="N35" s="112">
        <f t="shared" si="23"/>
        <v>360</v>
      </c>
      <c r="O35" s="96">
        <f t="shared" si="11"/>
        <v>360</v>
      </c>
      <c r="P35" s="96" t="str">
        <f t="shared" si="19"/>
        <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Surrey</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South East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569.29999999999995</v>
      </c>
    </row>
    <row r="36" spans="1:50">
      <c r="A36" s="59" t="str">
        <f>$D$1&amp;26</f>
        <v>SD26</v>
      </c>
      <c r="B36" s="60" t="str">
        <f>IF(ISERROR(VLOOKUP(A36,classifications!A:C,3,FALSE)),0,VLOOKUP(A36,classifications!A:C,3,FALSE))</f>
        <v>Mid Suffolk &amp; Babergh</v>
      </c>
      <c r="C36" t="s">
        <v>902</v>
      </c>
      <c r="D36" t="str">
        <f>VLOOKUP($C36,classifications!$C:$J,4,FALSE)</f>
        <v>UA</v>
      </c>
      <c r="E36">
        <f>VLOOKUP(C36,classifications!C:K,9,FALSE)</f>
        <v>0</v>
      </c>
      <c r="F36">
        <f t="shared" si="0"/>
        <v>454.1</v>
      </c>
      <c r="G36" s="15"/>
      <c r="H36" s="42" t="str">
        <f t="shared" si="1"/>
        <v/>
      </c>
      <c r="I36" s="79" t="str">
        <f>IF(H36="","",IF($I$8="A",(RANK(H36,H$11:H$343,1)+COUNTIF(H$11:H36,H36)-1),(RANK(H36,H$11:H$343)+COUNTIF(H$11:H36,H36)-1)))</f>
        <v/>
      </c>
      <c r="J36" s="41"/>
      <c r="K36" s="36">
        <f t="shared" si="10"/>
        <v>26</v>
      </c>
      <c r="L36" t="str">
        <f t="shared" si="2"/>
        <v>South Hams</v>
      </c>
      <c r="M36" s="117">
        <f t="shared" si="3"/>
        <v>361.6</v>
      </c>
      <c r="N36" s="112">
        <f t="shared" si="23"/>
        <v>361.6</v>
      </c>
      <c r="O36" s="96">
        <f t="shared" si="11"/>
        <v>361.6</v>
      </c>
      <c r="P36" s="96" t="str">
        <f t="shared" si="19"/>
        <v/>
      </c>
      <c r="Q36" s="96" t="str">
        <f t="shared" si="20"/>
        <v/>
      </c>
      <c r="R36" s="92" t="str">
        <f t="shared" si="21"/>
        <v/>
      </c>
      <c r="S36" s="42" t="str">
        <f t="shared" si="12"/>
        <v/>
      </c>
      <c r="T36" s="167" t="str">
        <f>IF(L36="","",VLOOKUP(L36,classifications!C:K,9,FALSE))</f>
        <v>Sparse</v>
      </c>
      <c r="U36" s="168">
        <f t="shared" si="13"/>
        <v>361.6</v>
      </c>
      <c r="V36" s="174">
        <f>IF(U36="","",IF($I$8="A",(RANK(U36,U$11:U$343)+COUNTIF(U$11:U36,U36)-1),(RANK(U36,U$11:U$343,1)+COUNTIF(U$11:U36,U36)-1)))</f>
        <v>43</v>
      </c>
      <c r="W36" s="175"/>
      <c r="X36" s="5" t="str">
        <f>IF(L36="","",VLOOKUP($L36,classifications!$C:$J,6,FALSE))</f>
        <v xml:space="preserve">Mainly Rural (rural including hub towns &gt;=80%) </v>
      </c>
      <c r="Y36">
        <f t="shared" si="4"/>
        <v>361.6</v>
      </c>
      <c r="Z36" s="40">
        <f>IF(Y36="","",IF(I$8="A",(RANK(Y36,Y$11:Y$343,1)+COUNTIF(Y$11:Y36,Y36)-1),(RANK(Y36,Y$11:Y$343)+COUNTIF(Y$11:Y36,Y36)-1)))</f>
        <v>11</v>
      </c>
      <c r="AA36" s="180" t="str">
        <f>IF(L36="","",VLOOKUP($L36,classifications!C:I,7,FALSE))</f>
        <v>Predominantly Rural</v>
      </c>
      <c r="AB36" s="174">
        <f t="shared" si="14"/>
        <v>361.6</v>
      </c>
      <c r="AC36" s="174">
        <f>IF(AB36="","",IF($I$8="A",(RANK(AB36,AB$11:AB$343)+COUNTIF(AB$11:AB36,AB36)-1),(RANK(AB36,AB$11:AB$343,1)+COUNTIF(AB$11:AB36,AB36)-1)))</f>
        <v>52</v>
      </c>
      <c r="AD36" s="174"/>
      <c r="AE36" s="36" t="str">
        <f t="shared" si="24"/>
        <v/>
      </c>
      <c r="AG36" s="15"/>
      <c r="AH36" s="3"/>
      <c r="AI36" s="5" t="str">
        <f>IF(L36="","",VLOOKUP($L36,classifications!$C:$J,8,FALSE))</f>
        <v>Devon</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South West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454.1</v>
      </c>
    </row>
    <row r="37" spans="1:50">
      <c r="A37" s="59" t="str">
        <f>$D$1&amp;27</f>
        <v>SD27</v>
      </c>
      <c r="B37" s="60" t="str">
        <f>IF(ISERROR(VLOOKUP(A37,classifications!A:C,3,FALSE)),0,VLOOKUP(A37,classifications!A:C,3,FALSE))</f>
        <v>New Forest</v>
      </c>
      <c r="C37" t="s">
        <v>264</v>
      </c>
      <c r="D37" t="str">
        <f>VLOOKUP($C37,classifications!$C:$J,4,FALSE)</f>
        <v>UA</v>
      </c>
      <c r="E37">
        <f>VLOOKUP(C37,classifications!C:K,9,FALSE)</f>
        <v>0</v>
      </c>
      <c r="F37">
        <f t="shared" si="0"/>
        <v>392.2</v>
      </c>
      <c r="G37" s="15"/>
      <c r="H37" s="42" t="str">
        <f t="shared" si="1"/>
        <v/>
      </c>
      <c r="I37" s="79" t="str">
        <f>IF(H37="","",IF($I$8="A",(RANK(H37,H$11:H$343,1)+COUNTIF(H$11:H37,H37)-1),(RANK(H37,H$11:H$343)+COUNTIF(H$11:H37,H37)-1)))</f>
        <v/>
      </c>
      <c r="J37" s="41"/>
      <c r="K37" s="36">
        <f t="shared" si="10"/>
        <v>27</v>
      </c>
      <c r="L37" t="str">
        <f t="shared" si="2"/>
        <v>Mole Valley</v>
      </c>
      <c r="M37" s="117">
        <f t="shared" si="3"/>
        <v>366.6</v>
      </c>
      <c r="N37" s="112">
        <f t="shared" si="23"/>
        <v>366.6</v>
      </c>
      <c r="O37" s="96">
        <f t="shared" si="11"/>
        <v>366.6</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Significant Rural (rural including hub towns 26-49%)</v>
      </c>
      <c r="Y37" t="str">
        <f t="shared" si="4"/>
        <v/>
      </c>
      <c r="Z37" s="40" t="str">
        <f>IF(Y37="","",IF(I$8="A",(RANK(Y37,Y$11:Y$343,1)+COUNTIF(Y$11:Y37,Y37)-1),(RANK(Y37,Y$11:Y$343)+COUNTIF(Y$11:Y37,Y37)-1)))</f>
        <v/>
      </c>
      <c r="AA37" s="180" t="str">
        <f>IF(L37="","",VLOOKUP($L37,classifications!C:I,7,FALSE))</f>
        <v>Significant Rural</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Surrey</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392.2</v>
      </c>
    </row>
    <row r="38" spans="1:50">
      <c r="A38" s="59" t="str">
        <f>$D$1&amp;28</f>
        <v>SD28</v>
      </c>
      <c r="B38" s="60" t="str">
        <f>IF(ISERROR(VLOOKUP(A38,classifications!A:C,3,FALSE)),0,VLOOKUP(A38,classifications!A:C,3,FALSE))</f>
        <v>North Devon</v>
      </c>
      <c r="C38" t="s">
        <v>226</v>
      </c>
      <c r="D38" t="str">
        <f>VLOOKUP($C38,classifications!$C:$J,4,FALSE)</f>
        <v>MD</v>
      </c>
      <c r="E38">
        <f>VLOOKUP(C38,classifications!C:K,9,FALSE)</f>
        <v>0</v>
      </c>
      <c r="F38">
        <f t="shared" si="0"/>
        <v>527.70000000000005</v>
      </c>
      <c r="G38" s="15"/>
      <c r="H38" s="42" t="str">
        <f t="shared" si="1"/>
        <v/>
      </c>
      <c r="I38" s="79" t="str">
        <f>IF(H38="","",IF($I$8="A",(RANK(H38,H$11:H$343,1)+COUNTIF(H$11:H38,H38)-1),(RANK(H38,H$11:H$343)+COUNTIF(H$11:H38,H38)-1)))</f>
        <v/>
      </c>
      <c r="J38" s="41"/>
      <c r="K38" s="36">
        <f t="shared" si="10"/>
        <v>28</v>
      </c>
      <c r="L38" t="str">
        <f t="shared" si="2"/>
        <v>Rochford</v>
      </c>
      <c r="M38" s="117">
        <f t="shared" si="3"/>
        <v>367</v>
      </c>
      <c r="N38" s="112">
        <f t="shared" si="23"/>
        <v>367</v>
      </c>
      <c r="O38" s="96">
        <f t="shared" si="11"/>
        <v>367</v>
      </c>
      <c r="P38" s="96" t="str">
        <f t="shared" si="19"/>
        <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City and Town</v>
      </c>
      <c r="Y38" t="str">
        <f t="shared" si="4"/>
        <v/>
      </c>
      <c r="Z38" s="40" t="str">
        <f>IF(Y38="","",IF(I$8="A",(RANK(Y38,Y$11:Y$343,1)+COUNTIF(Y$11:Y38,Y38)-1),(RANK(Y38,Y$11:Y$343)+COUNTIF(Y$11:Y38,Y38)-1)))</f>
        <v/>
      </c>
      <c r="AA38" s="180" t="str">
        <f>IF(L38="","",VLOOKUP($L38,classifications!C:I,7,FALSE))</f>
        <v>Predominantly Urban</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Essex</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East of England</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527.70000000000005</v>
      </c>
    </row>
    <row r="39" spans="1:50">
      <c r="A39" s="59" t="str">
        <f>$D$1&amp;29</f>
        <v>SD29</v>
      </c>
      <c r="B39" s="60" t="str">
        <f>IF(ISERROR(VLOOKUP(A39,classifications!A:C,3,FALSE)),0,VLOOKUP(A39,classifications!A:C,3,FALSE))</f>
        <v>North Kesteven</v>
      </c>
      <c r="C39" t="s">
        <v>19</v>
      </c>
      <c r="D39" t="str">
        <f>VLOOKUP($C39,classifications!$C:$J,4,FALSE)</f>
        <v>SD</v>
      </c>
      <c r="E39" t="str">
        <f>VLOOKUP(C39,classifications!C:K,9,FALSE)</f>
        <v>Sparse</v>
      </c>
      <c r="F39">
        <f t="shared" si="0"/>
        <v>489.3</v>
      </c>
      <c r="G39" s="15"/>
      <c r="H39" s="42">
        <f t="shared" si="1"/>
        <v>489.3</v>
      </c>
      <c r="I39" s="79">
        <f>IF(H39="","",IF($I$8="A",(RANK(H39,H$11:H$343,1)+COUNTIF(H$11:H39,H39)-1),(RANK(H39,H$11:H$343)+COUNTIF(H$11:H39,H39)-1)))</f>
        <v>136</v>
      </c>
      <c r="J39" s="41"/>
      <c r="K39" s="36">
        <f t="shared" si="10"/>
        <v>29</v>
      </c>
      <c r="L39" t="str">
        <f t="shared" si="2"/>
        <v>Huntingdonshire</v>
      </c>
      <c r="M39" s="117">
        <f t="shared" si="3"/>
        <v>372.8</v>
      </c>
      <c r="N39" s="112">
        <f t="shared" si="23"/>
        <v>372.8</v>
      </c>
      <c r="O39" s="96">
        <f t="shared" si="11"/>
        <v>372.8</v>
      </c>
      <c r="P39" s="96" t="str">
        <f t="shared" si="19"/>
        <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 xml:space="preserve">Mainly Rural (rural including hub towns &gt;=80%) </v>
      </c>
      <c r="Y39">
        <f t="shared" si="4"/>
        <v>372.8</v>
      </c>
      <c r="Z39" s="40">
        <f>IF(Y39="","",IF(I$8="A",(RANK(Y39,Y$11:Y$343,1)+COUNTIF(Y$11:Y39,Y39)-1),(RANK(Y39,Y$11:Y$343)+COUNTIF(Y$11:Y39,Y39)-1)))</f>
        <v>12</v>
      </c>
      <c r="AA39" s="180" t="str">
        <f>IF(L39="","",VLOOKUP($L39,classifications!C:I,7,FALSE))</f>
        <v>Predominantly Rural</v>
      </c>
      <c r="AB39" s="174">
        <f t="shared" si="14"/>
        <v>372.8</v>
      </c>
      <c r="AC39" s="174">
        <f>IF(AB39="","",IF($I$8="A",(RANK(AB39,AB$11:AB$343)+COUNTIF(AB$11:AB39,AB39)-1),(RANK(AB39,AB$11:AB$343,1)+COUNTIF(AB$11:AB39,AB39)-1)))</f>
        <v>51</v>
      </c>
      <c r="AD39" s="174"/>
      <c r="AE39" s="36" t="str">
        <f t="shared" si="24"/>
        <v/>
      </c>
      <c r="AG39" s="15"/>
      <c r="AH39" s="3"/>
      <c r="AI39" s="5" t="str">
        <f>IF(L39="","",VLOOKUP($L39,classifications!$C:$J,8,FALSE))</f>
        <v>Cambridgeshire</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East of England</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489.3</v>
      </c>
    </row>
    <row r="40" spans="1:50">
      <c r="A40" s="59" t="str">
        <f>$D$1&amp;30</f>
        <v>SD30</v>
      </c>
      <c r="B40" s="60" t="str">
        <f>IF(ISERROR(VLOOKUP(A40,classifications!A:C,3,FALSE)),0,VLOOKUP(A40,classifications!A:C,3,FALSE))</f>
        <v>North Norfolk</v>
      </c>
      <c r="C40" t="s">
        <v>20</v>
      </c>
      <c r="D40" t="str">
        <f>VLOOKUP($C40,classifications!$C:$J,4,FALSE)</f>
        <v>SD</v>
      </c>
      <c r="E40">
        <f>VLOOKUP(C40,classifications!C:K,9,FALSE)</f>
        <v>0</v>
      </c>
      <c r="F40">
        <f t="shared" si="0"/>
        <v>495.4</v>
      </c>
      <c r="G40" s="15"/>
      <c r="H40" s="42">
        <f t="shared" si="1"/>
        <v>495.4</v>
      </c>
      <c r="I40" s="79">
        <f>IF(H40="","",IF($I$8="A",(RANK(H40,H$11:H$343,1)+COUNTIF(H$11:H40,H40)-1),(RANK(H40,H$11:H$343)+COUNTIF(H$11:H40,H40)-1)))</f>
        <v>139</v>
      </c>
      <c r="J40" s="41"/>
      <c r="K40" s="36">
        <f t="shared" si="10"/>
        <v>30</v>
      </c>
      <c r="L40" t="str">
        <f t="shared" si="2"/>
        <v>Watford</v>
      </c>
      <c r="M40" s="117">
        <f t="shared" si="3"/>
        <v>373</v>
      </c>
      <c r="N40" s="112">
        <f t="shared" si="23"/>
        <v>373</v>
      </c>
      <c r="O40" s="96">
        <f t="shared" si="11"/>
        <v>373</v>
      </c>
      <c r="P40" s="96" t="str">
        <f t="shared" si="19"/>
        <v/>
      </c>
      <c r="Q40" s="96" t="str">
        <f t="shared" si="20"/>
        <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Major Conurbation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Hertfordshire</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East of England</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495.4</v>
      </c>
    </row>
    <row r="41" spans="1:50">
      <c r="A41" s="59" t="str">
        <f>$D$1&amp;31</f>
        <v>SD31</v>
      </c>
      <c r="B41" s="60" t="str">
        <f>IF(ISERROR(VLOOKUP(A41,classifications!A:C,3,FALSE)),0,VLOOKUP(A41,classifications!A:C,3,FALSE))</f>
        <v>Ribble Valley</v>
      </c>
      <c r="C41" t="s">
        <v>199</v>
      </c>
      <c r="D41" t="str">
        <f>VLOOKUP($C41,classifications!$C:$J,4,FALSE)</f>
        <v>L</v>
      </c>
      <c r="E41">
        <f>VLOOKUP(C41,classifications!C:K,9,FALSE)</f>
        <v>0</v>
      </c>
      <c r="F41">
        <f t="shared" si="0"/>
        <v>438.6</v>
      </c>
      <c r="G41" s="15"/>
      <c r="H41" s="42" t="str">
        <f t="shared" si="1"/>
        <v/>
      </c>
      <c r="I41" s="79" t="str">
        <f>IF(H41="","",IF($I$8="A",(RANK(H41,H$11:H$343,1)+COUNTIF(H$11:H41,H41)-1),(RANK(H41,H$11:H$343)+COUNTIF(H$11:H41,H41)-1)))</f>
        <v/>
      </c>
      <c r="J41" s="41"/>
      <c r="K41" s="36">
        <f t="shared" si="10"/>
        <v>31</v>
      </c>
      <c r="L41" t="str">
        <f t="shared" si="2"/>
        <v>Reigate &amp; Banstead</v>
      </c>
      <c r="M41" s="117">
        <f t="shared" si="3"/>
        <v>375.1</v>
      </c>
      <c r="N41" s="112">
        <f t="shared" si="23"/>
        <v>375.1</v>
      </c>
      <c r="O41" s="96">
        <f t="shared" si="11"/>
        <v>375.1</v>
      </c>
      <c r="P41" s="96" t="str">
        <f t="shared" si="19"/>
        <v/>
      </c>
      <c r="Q41" s="96" t="str">
        <f t="shared" si="20"/>
        <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Surrey</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438.6</v>
      </c>
    </row>
    <row r="42" spans="1:50">
      <c r="A42" s="59" t="str">
        <f>$D$1&amp;32</f>
        <v>SD32</v>
      </c>
      <c r="B42" s="60" t="str">
        <f>IF(ISERROR(VLOOKUP(A42,classifications!A:C,3,FALSE)),0,VLOOKUP(A42,classifications!A:C,3,FALSE))</f>
        <v>Richmondshire</v>
      </c>
      <c r="C42" t="s">
        <v>21</v>
      </c>
      <c r="D42" t="str">
        <f>VLOOKUP($C42,classifications!$C:$J,4,FALSE)</f>
        <v>SD</v>
      </c>
      <c r="E42">
        <f>VLOOKUP(C42,classifications!C:K,9,FALSE)</f>
        <v>0</v>
      </c>
      <c r="F42">
        <f t="shared" si="0"/>
        <v>499.5</v>
      </c>
      <c r="G42" s="15"/>
      <c r="H42" s="42">
        <f t="shared" si="1"/>
        <v>499.5</v>
      </c>
      <c r="I42" s="79">
        <f>IF(H42="","",IF($I$8="A",(RANK(H42,H$11:H$343,1)+COUNTIF(H$11:H42,H42)-1),(RANK(H42,H$11:H$343)+COUNTIF(H$11:H42,H42)-1)))</f>
        <v>142</v>
      </c>
      <c r="J42" s="41"/>
      <c r="K42" s="36">
        <f t="shared" si="10"/>
        <v>32</v>
      </c>
      <c r="L42" t="str">
        <f t="shared" si="2"/>
        <v>Adur</v>
      </c>
      <c r="M42" s="117">
        <f t="shared" si="3"/>
        <v>380.3</v>
      </c>
      <c r="N42" s="112">
        <f t="shared" si="23"/>
        <v>380.3</v>
      </c>
      <c r="O42" s="96">
        <f t="shared" si="11"/>
        <v>380.3</v>
      </c>
      <c r="P42" s="96" t="str">
        <f t="shared" si="19"/>
        <v/>
      </c>
      <c r="Q42" s="96" t="str">
        <f t="shared" si="20"/>
        <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West Sussex</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499.5</v>
      </c>
    </row>
    <row r="43" spans="1:50">
      <c r="A43" s="59" t="str">
        <f>$D$1&amp;33</f>
        <v>SD33</v>
      </c>
      <c r="B43" s="60" t="str">
        <f>IF(ISERROR(VLOOKUP(A43,classifications!A:C,3,FALSE)),0,VLOOKUP(A43,classifications!A:C,3,FALSE))</f>
        <v>Rother</v>
      </c>
      <c r="C43" t="s">
        <v>813</v>
      </c>
      <c r="D43" t="str">
        <f>VLOOKUP($C43,classifications!$C:$J,4,FALSE)</f>
        <v>UA</v>
      </c>
      <c r="E43">
        <f>VLOOKUP(C43,classifications!C:K,9,FALSE)</f>
        <v>0</v>
      </c>
      <c r="F43">
        <f t="shared" ref="F43:F74" si="25">HLOOKUP($D$6,AX$10:ZX$355,ROW()-9,FALSE)</f>
        <v>546.6</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Maidstone</v>
      </c>
      <c r="M43" s="117">
        <f t="shared" ref="M43:M74" si="28">IF(L43="","",IF(VLOOKUP(L43,C:D,2,FALSE)=$F$3,VLOOKUP(L43,C:H,6,FALSE),""))</f>
        <v>381.9</v>
      </c>
      <c r="N43" s="112">
        <f t="shared" si="23"/>
        <v>381.9</v>
      </c>
      <c r="O43" s="96">
        <f t="shared" si="11"/>
        <v>381.9</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Significant Rural (rural including hub towns 26-49%)</v>
      </c>
      <c r="Y43" t="str">
        <f t="shared" si="4"/>
        <v/>
      </c>
      <c r="Z43" s="40" t="str">
        <f>IF(Y43="","",IF(I$8="A",(RANK(Y43,Y$11:Y$343,1)+COUNTIF(Y$11:Y43,Y43)-1),(RANK(Y43,Y$11:Y$343)+COUNTIF(Y$11:Y43,Y43)-1)))</f>
        <v/>
      </c>
      <c r="AA43" s="180" t="str">
        <f>IF(L43="","",VLOOKUP($L43,classifications!C:I,7,FALSE))</f>
        <v>Significant Rural</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Kent</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546.6</v>
      </c>
    </row>
    <row r="44" spans="1:50">
      <c r="A44" s="59" t="str">
        <f>$D$1&amp;34</f>
        <v>SD34</v>
      </c>
      <c r="B44" s="60" t="str">
        <f>IF(ISERROR(VLOOKUP(A44,classifications!A:C,3,FALSE)),0,VLOOKUP(A44,classifications!A:C,3,FALSE))</f>
        <v>Rugby</v>
      </c>
      <c r="C44" t="s">
        <v>817</v>
      </c>
      <c r="D44" t="str">
        <f>VLOOKUP($C44,classifications!$C:$J,4,FALSE)</f>
        <v>UA</v>
      </c>
      <c r="E44">
        <f>VLOOKUP(C44,classifications!C:K,9,FALSE)</f>
        <v>0</v>
      </c>
      <c r="F44">
        <f t="shared" si="25"/>
        <v>404.8</v>
      </c>
      <c r="G44" s="15"/>
      <c r="H44" s="42" t="str">
        <f t="shared" si="26"/>
        <v/>
      </c>
      <c r="I44" s="79" t="str">
        <f>IF(H44="","",IF($I$8="A",(RANK(H44,H$11:H$343,1)+COUNTIF(H$11:H44,H44)-1),(RANK(H44,H$11:H$343)+COUNTIF(H$11:H44,H44)-1)))</f>
        <v/>
      </c>
      <c r="J44" s="41"/>
      <c r="K44" s="36">
        <f t="shared" ref="K44:K75" si="34">IF(K43="","",IF(K43+1&gt;(COUNT(H$11:H$343)),"",K43+1))</f>
        <v>34</v>
      </c>
      <c r="L44" t="str">
        <f t="shared" si="27"/>
        <v>Staffordshire Moorlands</v>
      </c>
      <c r="M44" s="117">
        <f t="shared" si="28"/>
        <v>384.2</v>
      </c>
      <c r="N44" s="112">
        <f t="shared" si="23"/>
        <v>384.2</v>
      </c>
      <c r="O44" s="96">
        <f t="shared" si="11"/>
        <v>384.2</v>
      </c>
      <c r="P44" s="96" t="str">
        <f t="shared" si="19"/>
        <v/>
      </c>
      <c r="Q44" s="96" t="str">
        <f t="shared" si="20"/>
        <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 xml:space="preserve">Largely Rural (rural including hub towns 50-79%) </v>
      </c>
      <c r="Y44" t="str">
        <f t="shared" si="4"/>
        <v/>
      </c>
      <c r="Z44" s="40" t="str">
        <f>IF(Y44="","",IF(I$8="A",(RANK(Y44,Y$11:Y$343,1)+COUNTIF(Y$11:Y44,Y44)-1),(RANK(Y44,Y$11:Y$343)+COUNTIF(Y$11:Y44,Y44)-1)))</f>
        <v/>
      </c>
      <c r="AA44" s="180" t="str">
        <f>IF(L44="","",VLOOKUP($L44,classifications!C:I,7,FALSE))</f>
        <v>Predominantly Rural</v>
      </c>
      <c r="AB44" s="174">
        <f t="shared" si="14"/>
        <v>384.2</v>
      </c>
      <c r="AC44" s="174">
        <f>IF(AB44="","",IF($I$8="A",(RANK(AB44,AB$11:AB$343)+COUNTIF(AB$11:AB44,AB44)-1),(RANK(AB44,AB$11:AB$343,1)+COUNTIF(AB$11:AB44,AB44)-1)))</f>
        <v>50</v>
      </c>
      <c r="AD44" s="174"/>
      <c r="AE44" s="36" t="str">
        <f t="shared" si="24"/>
        <v/>
      </c>
      <c r="AG44" s="15"/>
      <c r="AH44" s="3"/>
      <c r="AI44" s="5" t="str">
        <f>IF(L44="","",VLOOKUP($L44,classifications!$C:$J,8,FALSE))</f>
        <v>Staffordshire</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West Midlands</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404.8</v>
      </c>
    </row>
    <row r="45" spans="1:50">
      <c r="A45" s="59" t="str">
        <f>$D$1&amp;35</f>
        <v>SD35</v>
      </c>
      <c r="B45" s="60" t="str">
        <f>IF(ISERROR(VLOOKUP(A45,classifications!A:C,3,FALSE)),0,VLOOKUP(A45,classifications!A:C,3,FALSE))</f>
        <v>Ryedale</v>
      </c>
      <c r="C45" t="s">
        <v>22</v>
      </c>
      <c r="D45" t="str">
        <f>VLOOKUP($C45,classifications!$C:$J,4,FALSE)</f>
        <v>SD</v>
      </c>
      <c r="E45">
        <f>VLOOKUP(C45,classifications!C:K,9,FALSE)</f>
        <v>0</v>
      </c>
      <c r="F45">
        <f t="shared" si="25"/>
        <v>397.6</v>
      </c>
      <c r="G45" s="15"/>
      <c r="H45" s="42">
        <f t="shared" si="26"/>
        <v>397.6</v>
      </c>
      <c r="I45" s="79">
        <f>IF(H45="","",IF($I$8="A",(RANK(H45,H$11:H$343,1)+COUNTIF(H$11:H45,H45)-1),(RANK(H45,H$11:H$343)+COUNTIF(H$11:H45,H45)-1)))</f>
        <v>46</v>
      </c>
      <c r="J45" s="41"/>
      <c r="K45" s="36">
        <f t="shared" si="34"/>
        <v>35</v>
      </c>
      <c r="L45" t="str">
        <f t="shared" si="27"/>
        <v>Runnymede</v>
      </c>
      <c r="M45" s="117">
        <f t="shared" si="28"/>
        <v>385.2</v>
      </c>
      <c r="N45" s="112">
        <f t="shared" si="23"/>
        <v>385.2</v>
      </c>
      <c r="O45" s="96">
        <f t="shared" si="11"/>
        <v>385.2</v>
      </c>
      <c r="P45" s="96" t="str">
        <f t="shared" si="19"/>
        <v/>
      </c>
      <c r="Q45" s="96" t="str">
        <f t="shared" si="20"/>
        <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Major Conurbation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Surrey</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South East</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397.6</v>
      </c>
    </row>
    <row r="46" spans="1:50">
      <c r="A46" s="59" t="str">
        <f>$D$1&amp;36</f>
        <v>SD36</v>
      </c>
      <c r="B46" s="60" t="str">
        <f>IF(ISERROR(VLOOKUP(A46,classifications!A:C,3,FALSE)),0,VLOOKUP(A46,classifications!A:C,3,FALSE))</f>
        <v>Scarborough</v>
      </c>
      <c r="C46" t="s">
        <v>200</v>
      </c>
      <c r="D46" t="str">
        <f>VLOOKUP($C46,classifications!$C:$J,4,FALSE)</f>
        <v>L</v>
      </c>
      <c r="E46">
        <f>VLOOKUP(C46,classifications!C:K,9,FALSE)</f>
        <v>0</v>
      </c>
      <c r="F46">
        <f t="shared" si="25"/>
        <v>434.9</v>
      </c>
      <c r="G46" s="15"/>
      <c r="H46" s="42" t="str">
        <f t="shared" si="26"/>
        <v/>
      </c>
      <c r="I46" s="79" t="str">
        <f>IF(H46="","",IF($I$8="A",(RANK(H46,H$11:H$343,1)+COUNTIF(H$11:H46,H46)-1),(RANK(H46,H$11:H$343)+COUNTIF(H$11:H46,H46)-1)))</f>
        <v/>
      </c>
      <c r="J46" s="41"/>
      <c r="K46" s="36">
        <f t="shared" si="34"/>
        <v>36</v>
      </c>
      <c r="L46" t="str">
        <f t="shared" si="27"/>
        <v>Ashford</v>
      </c>
      <c r="M46" s="117">
        <f t="shared" si="28"/>
        <v>385.8</v>
      </c>
      <c r="N46" s="112">
        <f t="shared" si="23"/>
        <v>385.8</v>
      </c>
      <c r="O46" s="96">
        <f t="shared" si="11"/>
        <v>385.8</v>
      </c>
      <c r="P46" s="96" t="str">
        <f t="shared" si="19"/>
        <v/>
      </c>
      <c r="Q46" s="96" t="str">
        <f t="shared" si="20"/>
        <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Significant Rural (rural including hub towns 26-49%)</v>
      </c>
      <c r="Y46" t="str">
        <f t="shared" si="4"/>
        <v/>
      </c>
      <c r="Z46" s="40" t="str">
        <f>IF(Y46="","",IF(I$8="A",(RANK(Y46,Y$11:Y$343,1)+COUNTIF(Y$11:Y46,Y46)-1),(RANK(Y46,Y$11:Y$343)+COUNTIF(Y$11:Y46,Y46)-1)))</f>
        <v/>
      </c>
      <c r="AA46" s="180" t="str">
        <f>IF(L46="","",VLOOKUP($L46,classifications!C:I,7,FALSE))</f>
        <v>Significant Rural</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Kent</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434.9</v>
      </c>
    </row>
    <row r="47" spans="1:50">
      <c r="A47" s="59" t="str">
        <f>$D$1&amp;37</f>
        <v>SD37</v>
      </c>
      <c r="B47" s="60" t="str">
        <f>IF(ISERROR(VLOOKUP(A47,classifications!A:C,3,FALSE)),0,VLOOKUP(A47,classifications!A:C,3,FALSE))</f>
        <v>Sedgemoor</v>
      </c>
      <c r="C47" t="s">
        <v>23</v>
      </c>
      <c r="D47" t="str">
        <f>VLOOKUP($C47,classifications!$C:$J,4,FALSE)</f>
        <v>SD</v>
      </c>
      <c r="E47">
        <f>VLOOKUP(C47,classifications!C:K,9,FALSE)</f>
        <v>0</v>
      </c>
      <c r="F47">
        <f t="shared" si="25"/>
        <v>501.5</v>
      </c>
      <c r="G47" s="15"/>
      <c r="H47" s="42">
        <f t="shared" si="26"/>
        <v>501.5</v>
      </c>
      <c r="I47" s="79">
        <f>IF(H47="","",IF($I$8="A",(RANK(H47,H$11:H$343,1)+COUNTIF(H$11:H47,H47)-1),(RANK(H47,H$11:H$343)+COUNTIF(H$11:H47,H47)-1)))</f>
        <v>144</v>
      </c>
      <c r="J47" s="41"/>
      <c r="K47" s="36">
        <f t="shared" si="34"/>
        <v>37</v>
      </c>
      <c r="L47" t="str">
        <f t="shared" si="27"/>
        <v>Horsham</v>
      </c>
      <c r="M47" s="117">
        <f t="shared" si="28"/>
        <v>387.5</v>
      </c>
      <c r="N47" s="112">
        <f t="shared" si="23"/>
        <v>387.5</v>
      </c>
      <c r="O47" s="96">
        <f t="shared" si="11"/>
        <v>387.5</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 xml:space="preserve">Largely Rural (rural including hub towns 50-79%) </v>
      </c>
      <c r="Y47" t="str">
        <f t="shared" si="4"/>
        <v/>
      </c>
      <c r="Z47" s="40" t="str">
        <f>IF(Y47="","",IF(I$8="A",(RANK(Y47,Y$11:Y$343,1)+COUNTIF(Y$11:Y47,Y47)-1),(RANK(Y47,Y$11:Y$343)+COUNTIF(Y$11:Y47,Y47)-1)))</f>
        <v/>
      </c>
      <c r="AA47" s="180" t="str">
        <f>IF(L47="","",VLOOKUP($L47,classifications!C:I,7,FALSE))</f>
        <v>Predominantly Rural</v>
      </c>
      <c r="AB47" s="174">
        <f t="shared" si="14"/>
        <v>387.5</v>
      </c>
      <c r="AC47" s="174">
        <f>IF(AB47="","",IF($I$8="A",(RANK(AB47,AB$11:AB$343)+COUNTIF(AB$11:AB47,AB47)-1),(RANK(AB47,AB$11:AB$343,1)+COUNTIF(AB$11:AB47,AB47)-1)))</f>
        <v>49</v>
      </c>
      <c r="AD47" s="174"/>
      <c r="AE47" s="36" t="str">
        <f t="shared" si="24"/>
        <v/>
      </c>
      <c r="AG47" s="15"/>
      <c r="AH47" s="3"/>
      <c r="AI47" s="5" t="str">
        <f>IF(L47="","",VLOOKUP($L47,classifications!$C:$J,8,FALSE))</f>
        <v>West Sussex</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South East</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501.5</v>
      </c>
    </row>
    <row r="48" spans="1:50">
      <c r="A48" s="59" t="str">
        <f>$D$1&amp;38</f>
        <v>SD38</v>
      </c>
      <c r="B48" s="60" t="str">
        <f>IF(ISERROR(VLOOKUP(A48,classifications!A:C,3,FALSE)),0,VLOOKUP(A48,classifications!A:C,3,FALSE))</f>
        <v>Selby</v>
      </c>
      <c r="C48" t="s">
        <v>24</v>
      </c>
      <c r="D48" t="str">
        <f>VLOOKUP($C48,classifications!$C:$J,4,FALSE)</f>
        <v>SD</v>
      </c>
      <c r="E48">
        <f>VLOOKUP(C48,classifications!C:K,9,FALSE)</f>
        <v>0</v>
      </c>
      <c r="F48">
        <f t="shared" si="25"/>
        <v>444.3</v>
      </c>
      <c r="G48" s="15"/>
      <c r="H48" s="42">
        <f t="shared" si="26"/>
        <v>444.3</v>
      </c>
      <c r="I48" s="79">
        <f>IF(H48="","",IF($I$8="A",(RANK(H48,H$11:H$343,1)+COUNTIF(H$11:H48,H48)-1),(RANK(H48,H$11:H$343)+COUNTIF(H$11:H48,H48)-1)))</f>
        <v>88</v>
      </c>
      <c r="J48" s="41"/>
      <c r="K48" s="36">
        <f t="shared" si="34"/>
        <v>38</v>
      </c>
      <c r="L48" t="str">
        <f t="shared" si="27"/>
        <v>Norwich</v>
      </c>
      <c r="M48" s="117">
        <f t="shared" si="28"/>
        <v>388.5</v>
      </c>
      <c r="N48" s="112">
        <f t="shared" si="23"/>
        <v>388.5</v>
      </c>
      <c r="O48" s="96">
        <f t="shared" si="11"/>
        <v>388.5</v>
      </c>
      <c r="P48" s="96" t="str">
        <f t="shared" si="19"/>
        <v/>
      </c>
      <c r="Q48" s="96" t="str">
        <f t="shared" si="20"/>
        <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Norfolk</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East of England</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444.3</v>
      </c>
    </row>
    <row r="49" spans="1:50">
      <c r="A49" s="59" t="str">
        <f>$D$1&amp;39</f>
        <v>SD39</v>
      </c>
      <c r="B49" s="60" t="str">
        <f>IF(ISERROR(VLOOKUP(A49,classifications!A:C,3,FALSE)),0,VLOOKUP(A49,classifications!A:C,3,FALSE))</f>
        <v>Somerset West and Taunton</v>
      </c>
      <c r="C49" t="s">
        <v>25</v>
      </c>
      <c r="D49" t="str">
        <f>VLOOKUP($C49,classifications!$C:$J,4,FALSE)</f>
        <v>SD</v>
      </c>
      <c r="E49">
        <f>VLOOKUP(C49,classifications!C:K,9,FALSE)</f>
        <v>0</v>
      </c>
      <c r="F49">
        <f t="shared" si="25"/>
        <v>520.20000000000005</v>
      </c>
      <c r="G49" s="15"/>
      <c r="H49" s="42">
        <f t="shared" si="26"/>
        <v>520.20000000000005</v>
      </c>
      <c r="I49" s="79">
        <f>IF(H49="","",IF($I$8="A",(RANK(H49,H$11:H$343,1)+COUNTIF(H$11:H49,H49)-1),(RANK(H49,H$11:H$343)+COUNTIF(H$11:H49,H49)-1)))</f>
        <v>153</v>
      </c>
      <c r="J49" s="41"/>
      <c r="K49" s="36">
        <f t="shared" si="34"/>
        <v>39</v>
      </c>
      <c r="L49" t="str">
        <f t="shared" si="27"/>
        <v>Tewkesbury</v>
      </c>
      <c r="M49" s="117">
        <f t="shared" si="28"/>
        <v>388.9</v>
      </c>
      <c r="N49" s="112">
        <f t="shared" si="23"/>
        <v>388.9</v>
      </c>
      <c r="O49" s="96">
        <f t="shared" si="11"/>
        <v>388.9</v>
      </c>
      <c r="P49" s="96" t="str">
        <f t="shared" si="19"/>
        <v/>
      </c>
      <c r="Q49" s="96" t="str">
        <f t="shared" si="20"/>
        <v/>
      </c>
      <c r="R49" s="92" t="str">
        <f t="shared" si="21"/>
        <v/>
      </c>
      <c r="S49" s="42" t="str">
        <f t="shared" si="12"/>
        <v/>
      </c>
      <c r="T49" s="167" t="str">
        <f>IF(L49="","",VLOOKUP(L49,classifications!C:K,9,FALSE))</f>
        <v>Sparse</v>
      </c>
      <c r="U49" s="168">
        <f t="shared" si="29"/>
        <v>388.9</v>
      </c>
      <c r="V49" s="174">
        <f>IF(U49="","",IF($I$8="A",(RANK(U49,U$11:U$343)+COUNTIF(U$11:U49,U49)-1),(RANK(U49,U$11:U$343,1)+COUNTIF(U$11:U49,U49)-1)))</f>
        <v>42</v>
      </c>
      <c r="W49" s="175"/>
      <c r="X49" s="5" t="str">
        <f>IF(L49="","",VLOOKUP($L49,classifications!$C:$J,6,FALSE))</f>
        <v xml:space="preserve">Largely Rural (rural including hub towns 50-79%) </v>
      </c>
      <c r="Y49" t="str">
        <f t="shared" si="4"/>
        <v/>
      </c>
      <c r="Z49" s="40" t="str">
        <f>IF(Y49="","",IF(I$8="A",(RANK(Y49,Y$11:Y$343,1)+COUNTIF(Y$11:Y49,Y49)-1),(RANK(Y49,Y$11:Y$343)+COUNTIF(Y$11:Y49,Y49)-1)))</f>
        <v/>
      </c>
      <c r="AA49" s="180" t="str">
        <f>IF(L49="","",VLOOKUP($L49,classifications!C:I,7,FALSE))</f>
        <v>Predominantly Rural</v>
      </c>
      <c r="AB49" s="174">
        <f t="shared" si="14"/>
        <v>388.9</v>
      </c>
      <c r="AC49" s="174">
        <f>IF(AB49="","",IF($I$8="A",(RANK(AB49,AB$11:AB$343)+COUNTIF(AB$11:AB49,AB49)-1),(RANK(AB49,AB$11:AB$343,1)+COUNTIF(AB$11:AB49,AB49)-1)))</f>
        <v>48</v>
      </c>
      <c r="AD49" s="174"/>
      <c r="AE49" s="36" t="str">
        <f t="shared" si="24"/>
        <v/>
      </c>
      <c r="AG49" s="15"/>
      <c r="AH49" s="3"/>
      <c r="AI49" s="5" t="str">
        <f>IF(L49="","",VLOOKUP($L49,classifications!$C:$J,8,FALSE))</f>
        <v>Gloucestershire</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South West</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520.20000000000005</v>
      </c>
    </row>
    <row r="50" spans="1:50">
      <c r="A50" s="59" t="str">
        <f>$D$1&amp;40</f>
        <v>SD40</v>
      </c>
      <c r="B50" s="60" t="str">
        <f>IF(ISERROR(VLOOKUP(A50,classifications!A:C,3,FALSE)),0,VLOOKUP(A50,classifications!A:C,3,FALSE))</f>
        <v>South Cambridgeshire (with Cambridge City)</v>
      </c>
      <c r="C50" t="s">
        <v>301</v>
      </c>
      <c r="D50" t="str">
        <f>VLOOKUP($C50,classifications!$C:$J,4,FALSE)</f>
        <v>UA</v>
      </c>
      <c r="E50">
        <f>VLOOKUP(C50,classifications!C:K,9,FALSE)</f>
        <v>0</v>
      </c>
      <c r="F50">
        <f t="shared" si="25"/>
        <v>477.3</v>
      </c>
      <c r="G50" s="15"/>
      <c r="H50" s="42" t="str">
        <f t="shared" si="26"/>
        <v/>
      </c>
      <c r="I50" s="79" t="str">
        <f>IF(H50="","",IF($I$8="A",(RANK(H50,H$11:H$343,1)+COUNTIF(H$11:H50,H50)-1),(RANK(H50,H$11:H$343)+COUNTIF(H$11:H50,H50)-1)))</f>
        <v/>
      </c>
      <c r="J50" s="41"/>
      <c r="K50" s="36">
        <f t="shared" si="34"/>
        <v>40</v>
      </c>
      <c r="L50" t="str">
        <f t="shared" si="27"/>
        <v>Cherwell</v>
      </c>
      <c r="M50" s="117">
        <f t="shared" si="28"/>
        <v>392.7</v>
      </c>
      <c r="N50" s="112">
        <f t="shared" si="23"/>
        <v>392.7</v>
      </c>
      <c r="O50" s="96">
        <f t="shared" si="11"/>
        <v>392.7</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Significant Rural (rural including hub towns 26-49%)</v>
      </c>
      <c r="Y50" t="str">
        <f t="shared" si="4"/>
        <v/>
      </c>
      <c r="Z50" s="40" t="str">
        <f>IF(Y50="","",IF(I$8="A",(RANK(Y50,Y$11:Y$343,1)+COUNTIF(Y$11:Y50,Y50)-1),(RANK(Y50,Y$11:Y$343)+COUNTIF(Y$11:Y50,Y50)-1)))</f>
        <v/>
      </c>
      <c r="AA50" s="180" t="str">
        <f>IF(L50="","",VLOOKUP($L50,classifications!C:I,7,FALSE))</f>
        <v>Significant Rural</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Oxfordshire</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South East</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477.3</v>
      </c>
    </row>
    <row r="51" spans="1:50">
      <c r="A51" s="59" t="str">
        <f>$D$1&amp;41</f>
        <v>SD41</v>
      </c>
      <c r="B51" s="60" t="str">
        <f>IF(ISERROR(VLOOKUP(A51,classifications!A:C,3,FALSE)),0,VLOOKUP(A51,classifications!A:C,3,FALSE))</f>
        <v>South Hams</v>
      </c>
      <c r="C51" t="s">
        <v>26</v>
      </c>
      <c r="D51" t="str">
        <f>VLOOKUP($C51,classifications!$C:$J,4,FALSE)</f>
        <v>SD</v>
      </c>
      <c r="E51">
        <f>VLOOKUP(C51,classifications!C:K,9,FALSE)</f>
        <v>0</v>
      </c>
      <c r="F51">
        <f t="shared" si="25"/>
        <v>476.8</v>
      </c>
      <c r="G51" s="15"/>
      <c r="H51" s="42">
        <f t="shared" si="26"/>
        <v>476.8</v>
      </c>
      <c r="I51" s="79">
        <f>IF(H51="","",IF($I$8="A",(RANK(H51,H$11:H$343,1)+COUNTIF(H$11:H51,H51)-1),(RANK(H51,H$11:H$343)+COUNTIF(H$11:H51,H51)-1)))</f>
        <v>124</v>
      </c>
      <c r="J51" s="41"/>
      <c r="K51" s="36">
        <f t="shared" si="34"/>
        <v>41</v>
      </c>
      <c r="L51" t="str">
        <f t="shared" si="27"/>
        <v>Malvern Hills</v>
      </c>
      <c r="M51" s="117">
        <f t="shared" si="28"/>
        <v>393.1</v>
      </c>
      <c r="N51" s="112">
        <f t="shared" si="23"/>
        <v>393.1</v>
      </c>
      <c r="O51" s="96">
        <f t="shared" si="11"/>
        <v>393.1</v>
      </c>
      <c r="P51" s="96" t="str">
        <f t="shared" si="19"/>
        <v/>
      </c>
      <c r="Q51" s="96" t="str">
        <f t="shared" si="20"/>
        <v/>
      </c>
      <c r="R51" s="92" t="str">
        <f t="shared" si="21"/>
        <v/>
      </c>
      <c r="S51" s="42" t="str">
        <f t="shared" si="12"/>
        <v/>
      </c>
      <c r="T51" s="167" t="str">
        <f>IF(L51="","",VLOOKUP(L51,classifications!C:K,9,FALSE))</f>
        <v>Sparse</v>
      </c>
      <c r="U51" s="168">
        <f t="shared" si="29"/>
        <v>393.1</v>
      </c>
      <c r="V51" s="174">
        <f>IF(U51="","",IF($I$8="A",(RANK(U51,U$11:U$343)+COUNTIF(U$11:U51,U51)-1),(RANK(U51,U$11:U$343,1)+COUNTIF(U$11:U51,U51)-1)))</f>
        <v>41</v>
      </c>
      <c r="W51" s="175"/>
      <c r="X51" s="5" t="str">
        <f>IF(L51="","",VLOOKUP($L51,classifications!$C:$J,6,FALSE))</f>
        <v xml:space="preserve">Largely Rural (rural including hub towns 50-79%) </v>
      </c>
      <c r="Y51" t="str">
        <f t="shared" si="4"/>
        <v/>
      </c>
      <c r="Z51" s="40" t="str">
        <f>IF(Y51="","",IF(I$8="A",(RANK(Y51,Y$11:Y$343,1)+COUNTIF(Y$11:Y51,Y51)-1),(RANK(Y51,Y$11:Y$343)+COUNTIF(Y$11:Y51,Y51)-1)))</f>
        <v/>
      </c>
      <c r="AA51" s="180" t="str">
        <f>IF(L51="","",VLOOKUP($L51,classifications!C:I,7,FALSE))</f>
        <v>Predominantly Rural</v>
      </c>
      <c r="AB51" s="174">
        <f t="shared" si="14"/>
        <v>393.1</v>
      </c>
      <c r="AC51" s="174">
        <f>IF(AB51="","",IF($I$8="A",(RANK(AB51,AB$11:AB$343)+COUNTIF(AB$11:AB51,AB51)-1),(RANK(AB51,AB$11:AB$343,1)+COUNTIF(AB$11:AB51,AB51)-1)))</f>
        <v>47</v>
      </c>
      <c r="AD51" s="174"/>
      <c r="AE51" s="36" t="str">
        <f t="shared" si="24"/>
        <v/>
      </c>
      <c r="AG51" s="15"/>
      <c r="AH51" s="3"/>
      <c r="AI51" s="5" t="str">
        <f>IF(L51="","",VLOOKUP($L51,classifications!$C:$J,8,FALSE))</f>
        <v>Worcestershire</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West Midlands</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476.8</v>
      </c>
    </row>
    <row r="52" spans="1:50">
      <c r="A52" s="59" t="str">
        <f>$D$1&amp;42</f>
        <v>SD42</v>
      </c>
      <c r="B52" s="60" t="str">
        <f>IF(ISERROR(VLOOKUP(A52,classifications!A:C,3,FALSE)),0,VLOOKUP(A52,classifications!A:C,3,FALSE))</f>
        <v>South Holland</v>
      </c>
      <c r="C52" t="s">
        <v>227</v>
      </c>
      <c r="D52" t="str">
        <f>VLOOKUP($C52,classifications!$C:$J,4,FALSE)</f>
        <v>MD</v>
      </c>
      <c r="E52">
        <f>VLOOKUP(C52,classifications!C:K,9,FALSE)</f>
        <v>0</v>
      </c>
      <c r="F52">
        <f t="shared" si="25"/>
        <v>342.5</v>
      </c>
      <c r="G52" s="15"/>
      <c r="H52" s="42" t="str">
        <f t="shared" si="26"/>
        <v/>
      </c>
      <c r="I52" s="79" t="str">
        <f>IF(H52="","",IF($I$8="A",(RANK(H52,H$11:H$343,1)+COUNTIF(H$11:H52,H52)-1),(RANK(H52,H$11:H$343)+COUNTIF(H$11:H52,H52)-1)))</f>
        <v/>
      </c>
      <c r="J52" s="41"/>
      <c r="K52" s="36">
        <f t="shared" si="34"/>
        <v>42</v>
      </c>
      <c r="L52" t="str">
        <f t="shared" si="27"/>
        <v>Canterbury</v>
      </c>
      <c r="M52" s="117">
        <f t="shared" si="28"/>
        <v>393.4</v>
      </c>
      <c r="N52" s="112">
        <f t="shared" si="23"/>
        <v>393.4</v>
      </c>
      <c r="O52" s="96">
        <f t="shared" si="11"/>
        <v>393.4</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Kent</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East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342.5</v>
      </c>
    </row>
    <row r="53" spans="1:50">
      <c r="A53" s="59" t="str">
        <f>$D$1&amp;43</f>
        <v>SD43</v>
      </c>
      <c r="B53" s="60" t="str">
        <f>IF(ISERROR(VLOOKUP(A53,classifications!A:C,3,FALSE)),0,VLOOKUP(A53,classifications!A:C,3,FALSE))</f>
        <v>South Kesteven</v>
      </c>
      <c r="C53" t="s">
        <v>228</v>
      </c>
      <c r="D53" t="str">
        <f>VLOOKUP($C53,classifications!$C:$J,4,FALSE)</f>
        <v>MD</v>
      </c>
      <c r="E53">
        <f>VLOOKUP(C53,classifications!C:K,9,FALSE)</f>
        <v>0</v>
      </c>
      <c r="F53">
        <f t="shared" si="25"/>
        <v>434.7</v>
      </c>
      <c r="G53" s="15"/>
      <c r="H53" s="42" t="str">
        <f t="shared" si="26"/>
        <v/>
      </c>
      <c r="I53" s="79" t="str">
        <f>IF(H53="","",IF($I$8="A",(RANK(H53,H$11:H$343,1)+COUNTIF(H$11:H53,H53)-1),(RANK(H53,H$11:H$343)+COUNTIF(H$11:H53,H53)-1)))</f>
        <v/>
      </c>
      <c r="J53" s="41"/>
      <c r="K53" s="36">
        <f t="shared" si="34"/>
        <v>43</v>
      </c>
      <c r="L53" t="str">
        <f t="shared" si="27"/>
        <v>Forest of Dean</v>
      </c>
      <c r="M53" s="117">
        <f t="shared" si="28"/>
        <v>395.6</v>
      </c>
      <c r="N53" s="112">
        <f t="shared" si="23"/>
        <v>395.6</v>
      </c>
      <c r="O53" s="96">
        <f t="shared" si="11"/>
        <v>395.6</v>
      </c>
      <c r="P53" s="96" t="str">
        <f t="shared" si="19"/>
        <v/>
      </c>
      <c r="Q53" s="96" t="str">
        <f t="shared" si="20"/>
        <v/>
      </c>
      <c r="R53" s="92" t="str">
        <f t="shared" si="21"/>
        <v/>
      </c>
      <c r="S53" s="42" t="str">
        <f t="shared" si="12"/>
        <v/>
      </c>
      <c r="T53" s="167" t="str">
        <f>IF(L53="","",VLOOKUP(L53,classifications!C:K,9,FALSE))</f>
        <v>Sparse</v>
      </c>
      <c r="U53" s="168">
        <f t="shared" si="29"/>
        <v>395.6</v>
      </c>
      <c r="V53" s="174">
        <f>IF(U53="","",IF($I$8="A",(RANK(U53,U$11:U$343)+COUNTIF(U$11:U53,U53)-1),(RANK(U53,U$11:U$343,1)+COUNTIF(U$11:U53,U53)-1)))</f>
        <v>40</v>
      </c>
      <c r="W53" s="175"/>
      <c r="X53" s="5" t="str">
        <f>IF(L53="","",VLOOKUP($L53,classifications!$C:$J,6,FALSE))</f>
        <v xml:space="preserve">Mainly Rural (rural including hub towns &gt;=80%) </v>
      </c>
      <c r="Y53">
        <f t="shared" si="4"/>
        <v>395.6</v>
      </c>
      <c r="Z53" s="40">
        <f>IF(Y53="","",IF(I$8="A",(RANK(Y53,Y$11:Y$343,1)+COUNTIF(Y$11:Y53,Y53)-1),(RANK(Y53,Y$11:Y$343)+COUNTIF(Y$11:Y53,Y53)-1)))</f>
        <v>13</v>
      </c>
      <c r="AA53" s="180" t="str">
        <f>IF(L53="","",VLOOKUP($L53,classifications!C:I,7,FALSE))</f>
        <v>Predominantly Rural</v>
      </c>
      <c r="AB53" s="174">
        <f t="shared" si="14"/>
        <v>395.6</v>
      </c>
      <c r="AC53" s="174">
        <f>IF(AB53="","",IF($I$8="A",(RANK(AB53,AB$11:AB$343)+COUNTIF(AB$11:AB53,AB53)-1),(RANK(AB53,AB$11:AB$343,1)+COUNTIF(AB$11:AB53,AB53)-1)))</f>
        <v>46</v>
      </c>
      <c r="AD53" s="174"/>
      <c r="AE53" s="36" t="str">
        <f t="shared" si="24"/>
        <v/>
      </c>
      <c r="AG53" s="15"/>
      <c r="AH53" s="3"/>
      <c r="AI53" s="5" t="str">
        <f>IF(L53="","",VLOOKUP($L53,classifications!$C:$J,8,FALSE))</f>
        <v>Gloucestershire</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South West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434.7</v>
      </c>
    </row>
    <row r="54" spans="1:50">
      <c r="A54" s="59" t="str">
        <f>$D$1&amp;44</f>
        <v>SD44</v>
      </c>
      <c r="B54" s="60" t="str">
        <f>IF(ISERROR(VLOOKUP(A54,classifications!A:C,3,FALSE)),0,VLOOKUP(A54,classifications!A:C,3,FALSE))</f>
        <v>South Lakeland</v>
      </c>
      <c r="C54" t="s">
        <v>27</v>
      </c>
      <c r="D54" t="str">
        <f>VLOOKUP($C54,classifications!$C:$J,4,FALSE)</f>
        <v>SD</v>
      </c>
      <c r="E54">
        <f>VLOOKUP(C54,classifications!C:K,9,FALSE)</f>
        <v>0</v>
      </c>
      <c r="F54" t="str">
        <f t="shared" si="25"/>
        <v>..</v>
      </c>
      <c r="G54" s="15"/>
      <c r="H54" s="42" t="str">
        <f t="shared" si="26"/>
        <v>..</v>
      </c>
      <c r="I54" s="79" t="e">
        <f>IF(H54="","",IF($I$8="A",(RANK(H54,H$11:H$343,1)+COUNTIF(H$11:H54,H54)-1),(RANK(H54,H$11:H$343)+COUNTIF(H$11:H54,H54)-1)))</f>
        <v>#VALUE!</v>
      </c>
      <c r="J54" s="41"/>
      <c r="K54" s="36">
        <f t="shared" si="34"/>
        <v>44</v>
      </c>
      <c r="L54" t="str">
        <f t="shared" si="27"/>
        <v>Welwyn Hatfield</v>
      </c>
      <c r="M54" s="117">
        <f t="shared" si="28"/>
        <v>396.4</v>
      </c>
      <c r="N54" s="112">
        <f t="shared" si="23"/>
        <v>396.4</v>
      </c>
      <c r="O54" s="96">
        <f t="shared" si="11"/>
        <v>396.4</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Hertfordshire</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East of England</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SD45</v>
      </c>
      <c r="B55" s="60" t="str">
        <f>IF(ISERROR(VLOOKUP(A55,classifications!A:C,3,FALSE)),0,VLOOKUP(A55,classifications!A:C,3,FALSE))</f>
        <v>South Norfolk</v>
      </c>
      <c r="C55" t="s">
        <v>303</v>
      </c>
      <c r="D55" t="str">
        <f>VLOOKUP($C55,classifications!$C:$J,4,FALSE)</f>
        <v>SC</v>
      </c>
      <c r="E55">
        <f>VLOOKUP(C55,classifications!C:K,9,FALSE)</f>
        <v>0</v>
      </c>
      <c r="F55">
        <f t="shared" si="25"/>
        <v>479.4</v>
      </c>
      <c r="G55" s="15"/>
      <c r="H55" s="42" t="str">
        <f t="shared" si="26"/>
        <v/>
      </c>
      <c r="I55" s="79" t="str">
        <f>IF(H55="","",IF($I$8="A",(RANK(H55,H$11:H$343,1)+COUNTIF(H$11:H55,H55)-1),(RANK(H55,H$11:H$343)+COUNTIF(H$11:H55,H55)-1)))</f>
        <v/>
      </c>
      <c r="J55" s="41"/>
      <c r="K55" s="36">
        <f t="shared" si="34"/>
        <v>45</v>
      </c>
      <c r="L55" t="str">
        <f t="shared" si="27"/>
        <v>Harrogate</v>
      </c>
      <c r="M55" s="117">
        <f t="shared" si="28"/>
        <v>396.7</v>
      </c>
      <c r="N55" s="112">
        <f t="shared" si="23"/>
        <v>396.7</v>
      </c>
      <c r="O55" s="96" t="str">
        <f t="shared" si="11"/>
        <v/>
      </c>
      <c r="P55" s="96">
        <f t="shared" si="19"/>
        <v>396.7</v>
      </c>
      <c r="Q55" s="96" t="str">
        <f t="shared" si="20"/>
        <v/>
      </c>
      <c r="R55" s="92" t="str">
        <f t="shared" si="21"/>
        <v/>
      </c>
      <c r="S55" s="42" t="str">
        <f t="shared" si="12"/>
        <v/>
      </c>
      <c r="T55" s="167" t="str">
        <f>IF(L55="","",VLOOKUP(L55,classifications!C:K,9,FALSE))</f>
        <v>Sparse</v>
      </c>
      <c r="U55" s="168">
        <f t="shared" si="29"/>
        <v>396.7</v>
      </c>
      <c r="V55" s="174">
        <f>IF(U55="","",IF($I$8="A",(RANK(U55,U$11:U$343)+COUNTIF(U$11:U55,U55)-1),(RANK(U55,U$11:U$343,1)+COUNTIF(U$11:U55,U55)-1)))</f>
        <v>39</v>
      </c>
      <c r="W55" s="175"/>
      <c r="X55" s="5" t="str">
        <f>IF(L55="","",VLOOKUP($L55,classifications!$C:$J,6,FALSE))</f>
        <v>Urban with Significant Rural (rural including hub towns 26-49%)</v>
      </c>
      <c r="Y55" t="str">
        <f t="shared" si="4"/>
        <v/>
      </c>
      <c r="Z55" s="40" t="str">
        <f>IF(Y55="","",IF(I$8="A",(RANK(Y55,Y$11:Y$343,1)+COUNTIF(Y$11:Y55,Y55)-1),(RANK(Y55,Y$11:Y$343)+COUNTIF(Y$11:Y55,Y55)-1)))</f>
        <v/>
      </c>
      <c r="AA55" s="180" t="str">
        <f>IF(L55="","",VLOOKUP($L55,classifications!C:I,7,FALSE))</f>
        <v>Significant Rural</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North Yorkshire</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Yorkshire &amp; Humberside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479.4</v>
      </c>
    </row>
    <row r="56" spans="1:50">
      <c r="A56" s="59" t="str">
        <f>$D$1&amp;46</f>
        <v>SD46</v>
      </c>
      <c r="B56" s="60" t="str">
        <f>IF(ISERROR(VLOOKUP(A56,classifications!A:C,3,FALSE)),0,VLOOKUP(A56,classifications!A:C,3,FALSE))</f>
        <v>South Oxfordshire</v>
      </c>
      <c r="C56" t="s">
        <v>201</v>
      </c>
      <c r="D56" t="str">
        <f>VLOOKUP($C56,classifications!$C:$J,4,FALSE)</f>
        <v>L</v>
      </c>
      <c r="E56">
        <f>VLOOKUP(C56,classifications!C:K,9,FALSE)</f>
        <v>0</v>
      </c>
      <c r="F56">
        <f t="shared" si="25"/>
        <v>355.4</v>
      </c>
      <c r="G56" s="15"/>
      <c r="H56" s="42" t="str">
        <f t="shared" si="26"/>
        <v/>
      </c>
      <c r="I56" s="79" t="str">
        <f>IF(H56="","",IF($I$8="A",(RANK(H56,H$11:H$343,1)+COUNTIF(H$11:H56,H56)-1),(RANK(H56,H$11:H$343)+COUNTIF(H$11:H56,H56)-1)))</f>
        <v/>
      </c>
      <c r="J56" s="41"/>
      <c r="K56" s="36">
        <f t="shared" si="34"/>
        <v>46</v>
      </c>
      <c r="L56" t="str">
        <f t="shared" si="27"/>
        <v>Broadland</v>
      </c>
      <c r="M56" s="117">
        <f t="shared" si="28"/>
        <v>397.6</v>
      </c>
      <c r="N56" s="112">
        <f t="shared" si="23"/>
        <v>397.6</v>
      </c>
      <c r="O56" s="96" t="str">
        <f t="shared" si="11"/>
        <v/>
      </c>
      <c r="P56" s="96">
        <f t="shared" si="19"/>
        <v>397.6</v>
      </c>
      <c r="Q56" s="96" t="str">
        <f t="shared" si="20"/>
        <v/>
      </c>
      <c r="R56" s="92" t="str">
        <f t="shared" si="21"/>
        <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Significant Rural (rural including hub towns 26-49%)</v>
      </c>
      <c r="Y56" t="str">
        <f t="shared" si="4"/>
        <v/>
      </c>
      <c r="Z56" s="40" t="str">
        <f>IF(Y56="","",IF(I$8="A",(RANK(Y56,Y$11:Y$343,1)+COUNTIF(Y$11:Y56,Y56)-1),(RANK(Y56,Y$11:Y$343)+COUNTIF(Y$11:Y56,Y56)-1)))</f>
        <v/>
      </c>
      <c r="AA56" s="180" t="str">
        <f>IF(L56="","",VLOOKUP($L56,classifications!C:I,7,FALSE))</f>
        <v>Significant Rural</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Norfolk</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East of England</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355.4</v>
      </c>
    </row>
    <row r="57" spans="1:50">
      <c r="A57" s="59" t="str">
        <f>$D$1&amp;47</f>
        <v>SD47</v>
      </c>
      <c r="B57" s="60" t="str">
        <f>IF(ISERROR(VLOOKUP(A57,classifications!A:C,3,FALSE)),0,VLOOKUP(A57,classifications!A:C,3,FALSE))</f>
        <v>South Somerset</v>
      </c>
      <c r="C57" t="s">
        <v>28</v>
      </c>
      <c r="D57" t="str">
        <f>VLOOKUP($C57,classifications!$C:$J,4,FALSE)</f>
        <v>SD</v>
      </c>
      <c r="E57">
        <f>VLOOKUP(C57,classifications!C:K,9,FALSE)</f>
        <v>0</v>
      </c>
      <c r="F57">
        <f t="shared" si="25"/>
        <v>488.7</v>
      </c>
      <c r="G57" s="15"/>
      <c r="H57" s="42">
        <f t="shared" si="26"/>
        <v>488.7</v>
      </c>
      <c r="I57" s="79">
        <f>IF(H57="","",IF($I$8="A",(RANK(H57,H$11:H$343,1)+COUNTIF(H$11:H57,H57)-1),(RANK(H57,H$11:H$343)+COUNTIF(H$11:H57,H57)-1)))</f>
        <v>135</v>
      </c>
      <c r="J57" s="41"/>
      <c r="K57" s="36">
        <f t="shared" si="34"/>
        <v>47</v>
      </c>
      <c r="L57" t="str">
        <f t="shared" si="27"/>
        <v>Epsom &amp; Ewell</v>
      </c>
      <c r="M57" s="117">
        <f t="shared" si="28"/>
        <v>398.5</v>
      </c>
      <c r="N57" s="112">
        <f t="shared" si="23"/>
        <v>398.5</v>
      </c>
      <c r="O57" s="96" t="str">
        <f t="shared" si="11"/>
        <v/>
      </c>
      <c r="P57" s="96">
        <f t="shared" si="19"/>
        <v>398.5</v>
      </c>
      <c r="Q57" s="96" t="str">
        <f t="shared" si="20"/>
        <v/>
      </c>
      <c r="R57" s="92" t="str">
        <f t="shared" si="21"/>
        <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Major Conurbation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Surrey</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South East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488.7</v>
      </c>
    </row>
    <row r="58" spans="1:50">
      <c r="A58" s="59" t="str">
        <f>$D$1&amp;48</f>
        <v>SD48</v>
      </c>
      <c r="B58" s="60" t="str">
        <f>IF(ISERROR(VLOOKUP(A58,classifications!A:C,3,FALSE)),0,VLOOKUP(A58,classifications!A:C,3,FALSE))</f>
        <v>Stafford</v>
      </c>
      <c r="C58" t="s">
        <v>29</v>
      </c>
      <c r="D58" t="str">
        <f>VLOOKUP($C58,classifications!$C:$J,4,FALSE)</f>
        <v>SD</v>
      </c>
      <c r="E58">
        <f>VLOOKUP(C58,classifications!C:K,9,FALSE)</f>
        <v>0</v>
      </c>
      <c r="F58">
        <f t="shared" si="25"/>
        <v>393.4</v>
      </c>
      <c r="G58" s="15"/>
      <c r="H58" s="42">
        <f t="shared" si="26"/>
        <v>393.4</v>
      </c>
      <c r="I58" s="79">
        <f>IF(H58="","",IF($I$8="A",(RANK(H58,H$11:H$343,1)+COUNTIF(H$11:H58,H58)-1),(RANK(H58,H$11:H$343)+COUNTIF(H$11:H58,H58)-1)))</f>
        <v>42</v>
      </c>
      <c r="J58" s="41"/>
      <c r="K58" s="36">
        <f t="shared" si="34"/>
        <v>48</v>
      </c>
      <c r="L58" t="str">
        <f t="shared" si="27"/>
        <v>Hambleton</v>
      </c>
      <c r="M58" s="117">
        <f t="shared" si="28"/>
        <v>400.9</v>
      </c>
      <c r="N58" s="112">
        <f t="shared" si="23"/>
        <v>400.9</v>
      </c>
      <c r="O58" s="96" t="str">
        <f t="shared" si="11"/>
        <v/>
      </c>
      <c r="P58" s="96">
        <f t="shared" si="19"/>
        <v>400.9</v>
      </c>
      <c r="Q58" s="96" t="str">
        <f t="shared" si="20"/>
        <v/>
      </c>
      <c r="R58" s="92" t="str">
        <f t="shared" si="21"/>
        <v/>
      </c>
      <c r="S58" s="42" t="str">
        <f t="shared" si="12"/>
        <v/>
      </c>
      <c r="T58" s="167" t="str">
        <f>IF(L58="","",VLOOKUP(L58,classifications!C:K,9,FALSE))</f>
        <v>Sparse</v>
      </c>
      <c r="U58" s="168">
        <f t="shared" si="29"/>
        <v>400.9</v>
      </c>
      <c r="V58" s="174">
        <f>IF(U58="","",IF($I$8="A",(RANK(U58,U$11:U$343)+COUNTIF(U$11:U58,U58)-1),(RANK(U58,U$11:U$343,1)+COUNTIF(U$11:U58,U58)-1)))</f>
        <v>38</v>
      </c>
      <c r="W58" s="175"/>
      <c r="X58" s="5" t="str">
        <f>IF(L58="","",VLOOKUP($L58,classifications!$C:$J,6,FALSE))</f>
        <v xml:space="preserve">Mainly Rural (rural including hub towns &gt;=80%) </v>
      </c>
      <c r="Y58">
        <f t="shared" si="4"/>
        <v>400.9</v>
      </c>
      <c r="Z58" s="40">
        <f>IF(Y58="","",IF(I$8="A",(RANK(Y58,Y$11:Y$343,1)+COUNTIF(Y$11:Y58,Y58)-1),(RANK(Y58,Y$11:Y$343)+COUNTIF(Y$11:Y58,Y58)-1)))</f>
        <v>14</v>
      </c>
      <c r="AA58" s="180" t="str">
        <f>IF(L58="","",VLOOKUP($L58,classifications!C:I,7,FALSE))</f>
        <v>Predominantly Rural</v>
      </c>
      <c r="AB58" s="174">
        <f t="shared" si="14"/>
        <v>400.9</v>
      </c>
      <c r="AC58" s="174">
        <f>IF(AB58="","",IF($I$8="A",(RANK(AB58,AB$11:AB$343)+COUNTIF(AB$11:AB58,AB58)-1),(RANK(AB58,AB$11:AB$343,1)+COUNTIF(AB$11:AB58,AB58)-1)))</f>
        <v>45</v>
      </c>
      <c r="AD58" s="174"/>
      <c r="AE58" s="36" t="str">
        <f t="shared" si="24"/>
        <v/>
      </c>
      <c r="AG58" s="15"/>
      <c r="AH58" s="3"/>
      <c r="AI58" s="5" t="str">
        <f>IF(L58="","",VLOOKUP($L58,classifications!$C:$J,8,FALSE))</f>
        <v>North Yorkshire</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Yorkshire &amp; Humberside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393.4</v>
      </c>
    </row>
    <row r="59" spans="1:50">
      <c r="A59" s="59" t="str">
        <f>$D$1&amp;49</f>
        <v>SD49</v>
      </c>
      <c r="B59" s="60" t="str">
        <f>IF(ISERROR(VLOOKUP(A59,classifications!A:C,3,FALSE)),0,VLOOKUP(A59,classifications!A:C,3,FALSE))</f>
        <v>Stratford-on-Avon</v>
      </c>
      <c r="C59" t="s">
        <v>30</v>
      </c>
      <c r="D59" t="str">
        <f>VLOOKUP($C59,classifications!$C:$J,4,FALSE)</f>
        <v>SD</v>
      </c>
      <c r="E59">
        <f>VLOOKUP(C59,classifications!C:K,9,FALSE)</f>
        <v>0</v>
      </c>
      <c r="F59">
        <f t="shared" si="25"/>
        <v>467.3</v>
      </c>
      <c r="G59" s="15"/>
      <c r="H59" s="42">
        <f t="shared" si="26"/>
        <v>467.3</v>
      </c>
      <c r="I59" s="79">
        <f>IF(H59="","",IF($I$8="A",(RANK(H59,H$11:H$343,1)+COUNTIF(H$11:H59,H59)-1),(RANK(H59,H$11:H$343)+COUNTIF(H$11:H59,H59)-1)))</f>
        <v>117</v>
      </c>
      <c r="J59" s="41"/>
      <c r="K59" s="36">
        <f t="shared" si="34"/>
        <v>49</v>
      </c>
      <c r="L59" t="str">
        <f t="shared" si="27"/>
        <v>High Peak</v>
      </c>
      <c r="M59" s="117">
        <f t="shared" si="28"/>
        <v>402.9</v>
      </c>
      <c r="N59" s="112">
        <f t="shared" si="23"/>
        <v>402.9</v>
      </c>
      <c r="O59" s="96" t="str">
        <f t="shared" si="11"/>
        <v/>
      </c>
      <c r="P59" s="96">
        <f t="shared" si="19"/>
        <v>402.9</v>
      </c>
      <c r="Q59" s="96" t="str">
        <f t="shared" si="20"/>
        <v/>
      </c>
      <c r="R59" s="92" t="str">
        <f t="shared" si="21"/>
        <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 xml:space="preserve">Largely Rural (rural including hub towns 50-79%) </v>
      </c>
      <c r="Y59" t="str">
        <f t="shared" si="4"/>
        <v/>
      </c>
      <c r="Z59" s="40" t="str">
        <f>IF(Y59="","",IF(I$8="A",(RANK(Y59,Y$11:Y$343,1)+COUNTIF(Y$11:Y59,Y59)-1),(RANK(Y59,Y$11:Y$343)+COUNTIF(Y$11:Y59,Y59)-1)))</f>
        <v/>
      </c>
      <c r="AA59" s="180" t="str">
        <f>IF(L59="","",VLOOKUP($L59,classifications!C:I,7,FALSE))</f>
        <v>Predominantly Rural</v>
      </c>
      <c r="AB59" s="174">
        <f t="shared" si="14"/>
        <v>402.9</v>
      </c>
      <c r="AC59" s="174">
        <f>IF(AB59="","",IF($I$8="A",(RANK(AB59,AB$11:AB$343)+COUNTIF(AB$11:AB59,AB59)-1),(RANK(AB59,AB$11:AB$343,1)+COUNTIF(AB$11:AB59,AB59)-1)))</f>
        <v>44</v>
      </c>
      <c r="AD59" s="174"/>
      <c r="AE59" s="36" t="str">
        <f t="shared" si="24"/>
        <v/>
      </c>
      <c r="AG59" s="15"/>
      <c r="AH59" s="3"/>
      <c r="AI59" s="5" t="str">
        <f>IF(L59="","",VLOOKUP($L59,classifications!$C:$J,8,FALSE))</f>
        <v>Derbyshire</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East Midlands</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467.3</v>
      </c>
    </row>
    <row r="60" spans="1:50">
      <c r="A60" s="59" t="str">
        <f>$D$1&amp;50</f>
        <v>SD50</v>
      </c>
      <c r="B60" s="60" t="str">
        <f>IF(ISERROR(VLOOKUP(A60,classifications!A:C,3,FALSE)),0,VLOOKUP(A60,classifications!A:C,3,FALSE))</f>
        <v>Stroud</v>
      </c>
      <c r="C60" t="s">
        <v>31</v>
      </c>
      <c r="D60" t="str">
        <f>VLOOKUP($C60,classifications!$C:$J,4,FALSE)</f>
        <v>SD</v>
      </c>
      <c r="E60">
        <f>VLOOKUP(C60,classifications!C:K,9,FALSE)</f>
        <v>0</v>
      </c>
      <c r="F60">
        <f t="shared" si="25"/>
        <v>435.7</v>
      </c>
      <c r="G60" s="15"/>
      <c r="H60" s="42">
        <f t="shared" si="26"/>
        <v>435.7</v>
      </c>
      <c r="I60" s="79">
        <f>IF(H60="","",IF($I$8="A",(RANK(H60,H$11:H$343,1)+COUNTIF(H$11:H60,H60)-1),(RANK(H60,H$11:H$343)+COUNTIF(H$11:H60,H60)-1)))</f>
        <v>80</v>
      </c>
      <c r="J60" s="41"/>
      <c r="K60" s="36">
        <f t="shared" si="34"/>
        <v>50</v>
      </c>
      <c r="L60" t="str">
        <f t="shared" si="27"/>
        <v>South Cambridgeshire (with Cambridge City)</v>
      </c>
      <c r="M60" s="117">
        <f t="shared" si="28"/>
        <v>404.5</v>
      </c>
      <c r="N60" s="112">
        <f t="shared" si="23"/>
        <v>404.5</v>
      </c>
      <c r="O60" s="96" t="str">
        <f t="shared" si="11"/>
        <v/>
      </c>
      <c r="P60" s="96">
        <f t="shared" si="19"/>
        <v>404.5</v>
      </c>
      <c r="Q60" s="96" t="str">
        <f t="shared" si="20"/>
        <v/>
      </c>
      <c r="R60" s="92" t="str">
        <f t="shared" si="21"/>
        <v/>
      </c>
      <c r="S60" s="42" t="str">
        <f t="shared" si="12"/>
        <v/>
      </c>
      <c r="T60" s="167" t="str">
        <f>IF(L60="","",VLOOKUP(L60,classifications!C:K,9,FALSE))</f>
        <v>Sparse</v>
      </c>
      <c r="U60" s="168">
        <f t="shared" si="29"/>
        <v>404.5</v>
      </c>
      <c r="V60" s="174">
        <f>IF(U60="","",IF($I$8="A",(RANK(U60,U$11:U$343)+COUNTIF(U$11:U60,U60)-1),(RANK(U60,U$11:U$343,1)+COUNTIF(U$11:U60,U60)-1)))</f>
        <v>37</v>
      </c>
      <c r="W60" s="175"/>
      <c r="X60" s="5" t="str">
        <f>IF(L60="","",VLOOKUP($L60,classifications!$C:$J,6,FALSE))</f>
        <v>Urban with Significant Rural (rural including hub towns 26-49%)</v>
      </c>
      <c r="Y60" t="str">
        <f t="shared" si="4"/>
        <v/>
      </c>
      <c r="Z60" s="40" t="str">
        <f>IF(Y60="","",IF(I$8="A",(RANK(Y60,Y$11:Y$343,1)+COUNTIF(Y$11:Y60,Y60)-1),(RANK(Y60,Y$11:Y$343)+COUNTIF(Y$11:Y60,Y60)-1)))</f>
        <v/>
      </c>
      <c r="AA60" s="180" t="str">
        <f>IF(L60="","",VLOOKUP($L60,classifications!C:I,7,FALSE))</f>
        <v>Significant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Cambridgeshire</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East of England</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435.7</v>
      </c>
    </row>
    <row r="61" spans="1:50">
      <c r="A61" s="59" t="str">
        <f>$D$1&amp;51</f>
        <v>SD51</v>
      </c>
      <c r="B61" s="60" t="str">
        <f>IF(ISERROR(VLOOKUP(A61,classifications!A:C,3,FALSE)),0,VLOOKUP(A61,classifications!A:C,3,FALSE))</f>
        <v>Teignbridge</v>
      </c>
      <c r="C61" t="s">
        <v>304</v>
      </c>
      <c r="D61" t="str">
        <f>VLOOKUP($C61,classifications!$C:$J,4,FALSE)</f>
        <v>UA</v>
      </c>
      <c r="E61">
        <f>VLOOKUP(C61,classifications!C:K,9,FALSE)</f>
        <v>0</v>
      </c>
      <c r="F61">
        <f t="shared" si="25"/>
        <v>530</v>
      </c>
      <c r="G61" s="15"/>
      <c r="H61" s="42" t="str">
        <f t="shared" si="26"/>
        <v/>
      </c>
      <c r="I61" s="79" t="str">
        <f>IF(H61="","",IF($I$8="A",(RANK(H61,H$11:H$343,1)+COUNTIF(H$11:H61,H61)-1),(RANK(H61,H$11:H$343)+COUNTIF(H$11:H61,H61)-1)))</f>
        <v/>
      </c>
      <c r="J61" s="41"/>
      <c r="K61" s="36">
        <f t="shared" si="34"/>
        <v>51</v>
      </c>
      <c r="L61" t="str">
        <f t="shared" si="27"/>
        <v>Chelmsford</v>
      </c>
      <c r="M61" s="117">
        <f t="shared" si="28"/>
        <v>406.5</v>
      </c>
      <c r="N61" s="112">
        <f t="shared" si="23"/>
        <v>406.5</v>
      </c>
      <c r="O61" s="96" t="str">
        <f t="shared" si="11"/>
        <v/>
      </c>
      <c r="P61" s="96">
        <f t="shared" si="19"/>
        <v>406.5</v>
      </c>
      <c r="Q61" s="96" t="str">
        <f t="shared" si="20"/>
        <v/>
      </c>
      <c r="R61" s="92" t="str">
        <f t="shared" si="21"/>
        <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Essex</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East of England</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530</v>
      </c>
    </row>
    <row r="62" spans="1:50">
      <c r="A62" s="59" t="str">
        <f>$D$1&amp;52</f>
        <v>SD52</v>
      </c>
      <c r="B62" s="60" t="str">
        <f>IF(ISERROR(VLOOKUP(A62,classifications!A:C,3,FALSE)),0,VLOOKUP(A62,classifications!A:C,3,FALSE))</f>
        <v>Tewkesbury</v>
      </c>
      <c r="C62" t="s">
        <v>32</v>
      </c>
      <c r="D62" t="str">
        <f>VLOOKUP($C62,classifications!$C:$J,4,FALSE)</f>
        <v>SD</v>
      </c>
      <c r="E62">
        <f>VLOOKUP(C62,classifications!C:K,9,FALSE)</f>
        <v>0</v>
      </c>
      <c r="F62">
        <f t="shared" si="25"/>
        <v>438.4</v>
      </c>
      <c r="G62" s="15"/>
      <c r="H62" s="42">
        <f t="shared" si="26"/>
        <v>438.4</v>
      </c>
      <c r="I62" s="79">
        <f>IF(H62="","",IF($I$8="A",(RANK(H62,H$11:H$343,1)+COUNTIF(H$11:H62,H62)-1),(RANK(H62,H$11:H$343)+COUNTIF(H$11:H62,H62)-1)))</f>
        <v>84</v>
      </c>
      <c r="J62" s="41"/>
      <c r="K62" s="36">
        <f t="shared" si="34"/>
        <v>52</v>
      </c>
      <c r="L62" t="str">
        <f t="shared" si="27"/>
        <v>Cheltenham</v>
      </c>
      <c r="M62" s="117">
        <f t="shared" si="28"/>
        <v>407.2</v>
      </c>
      <c r="N62" s="112">
        <f t="shared" si="23"/>
        <v>407.2</v>
      </c>
      <c r="O62" s="96" t="str">
        <f t="shared" si="11"/>
        <v/>
      </c>
      <c r="P62" s="96">
        <f t="shared" si="19"/>
        <v>407.2</v>
      </c>
      <c r="Q62" s="96" t="str">
        <f t="shared" si="20"/>
        <v/>
      </c>
      <c r="R62" s="92" t="str">
        <f t="shared" si="21"/>
        <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City and Town</v>
      </c>
      <c r="Y62" t="str">
        <f t="shared" si="4"/>
        <v/>
      </c>
      <c r="Z62" s="40" t="str">
        <f>IF(Y62="","",IF(I$8="A",(RANK(Y62,Y$11:Y$343,1)+COUNTIF(Y$11:Y62,Y62)-1),(RANK(Y62,Y$11:Y$343)+COUNTIF(Y$11:Y62,Y62)-1)))</f>
        <v/>
      </c>
      <c r="AA62" s="180" t="str">
        <f>IF(L62="","",VLOOKUP($L62,classifications!C:I,7,FALSE))</f>
        <v>Predominantly Urban</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Gloucestershire</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South West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438.4</v>
      </c>
    </row>
    <row r="63" spans="1:50">
      <c r="A63" s="59" t="str">
        <f>$D$1&amp;53</f>
        <v>SD53</v>
      </c>
      <c r="B63" s="60" t="str">
        <f>IF(ISERROR(VLOOKUP(A63,classifications!A:C,3,FALSE)),0,VLOOKUP(A63,classifications!A:C,3,FALSE))</f>
        <v>Torridge</v>
      </c>
      <c r="C63" t="s">
        <v>33</v>
      </c>
      <c r="D63" t="str">
        <f>VLOOKUP($C63,classifications!$C:$J,4,FALSE)</f>
        <v>SD</v>
      </c>
      <c r="E63">
        <f>VLOOKUP(C63,classifications!C:K,9,FALSE)</f>
        <v>0</v>
      </c>
      <c r="F63">
        <f t="shared" si="25"/>
        <v>406.5</v>
      </c>
      <c r="G63" s="15"/>
      <c r="H63" s="42">
        <f t="shared" si="26"/>
        <v>406.5</v>
      </c>
      <c r="I63" s="79">
        <f>IF(H63="","",IF($I$8="A",(RANK(H63,H$11:H$343,1)+COUNTIF(H$11:H63,H63)-1),(RANK(H63,H$11:H$343)+COUNTIF(H$11:H63,H63)-1)))</f>
        <v>51</v>
      </c>
      <c r="J63" s="41"/>
      <c r="K63" s="36">
        <f t="shared" si="34"/>
        <v>53</v>
      </c>
      <c r="L63" t="str">
        <f t="shared" si="27"/>
        <v>Tunbridge Wells</v>
      </c>
      <c r="M63" s="117">
        <f t="shared" si="28"/>
        <v>408.1</v>
      </c>
      <c r="N63" s="112">
        <f t="shared" si="23"/>
        <v>408.1</v>
      </c>
      <c r="O63" s="96" t="str">
        <f t="shared" si="11"/>
        <v/>
      </c>
      <c r="P63" s="96">
        <f t="shared" si="19"/>
        <v>408.1</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Significant Rural (rural including hub towns 26-49%)</v>
      </c>
      <c r="Y63" t="str">
        <f t="shared" si="4"/>
        <v/>
      </c>
      <c r="Z63" s="40" t="str">
        <f>IF(Y63="","",IF(I$8="A",(RANK(Y63,Y$11:Y$343,1)+COUNTIF(Y$11:Y63,Y63)-1),(RANK(Y63,Y$11:Y$343)+COUNTIF(Y$11:Y63,Y63)-1)))</f>
        <v/>
      </c>
      <c r="AA63" s="180" t="str">
        <f>IF(L63="","",VLOOKUP($L63,classifications!C:I,7,FALSE))</f>
        <v>Significant Rural</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Kent</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South East</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406.5</v>
      </c>
    </row>
    <row r="64" spans="1:50">
      <c r="A64" s="59" t="str">
        <f>$D$1&amp;54</f>
        <v>SD54</v>
      </c>
      <c r="B64" s="60" t="str">
        <f>IF(ISERROR(VLOOKUP(A64,classifications!A:C,3,FALSE)),0,VLOOKUP(A64,classifications!A:C,3,FALSE))</f>
        <v>Uttlesford</v>
      </c>
      <c r="C64" t="s">
        <v>34</v>
      </c>
      <c r="D64" t="str">
        <f>VLOOKUP($C64,classifications!$C:$J,4,FALSE)</f>
        <v>SD</v>
      </c>
      <c r="E64">
        <f>VLOOKUP(C64,classifications!C:K,9,FALSE)</f>
        <v>0</v>
      </c>
      <c r="F64">
        <f t="shared" si="25"/>
        <v>407.2</v>
      </c>
      <c r="G64" s="15"/>
      <c r="H64" s="42">
        <f t="shared" si="26"/>
        <v>407.2</v>
      </c>
      <c r="I64" s="79">
        <f>IF(H64="","",IF($I$8="A",(RANK(H64,H$11:H$343,1)+COUNTIF(H$11:H64,H64)-1),(RANK(H64,H$11:H$343)+COUNTIF(H$11:H64,H64)-1)))</f>
        <v>52</v>
      </c>
      <c r="J64" s="41"/>
      <c r="K64" s="36">
        <f t="shared" si="34"/>
        <v>54</v>
      </c>
      <c r="L64" t="str">
        <f t="shared" si="27"/>
        <v>Elmbridge</v>
      </c>
      <c r="M64" s="117">
        <f t="shared" si="28"/>
        <v>410.2</v>
      </c>
      <c r="N64" s="112">
        <f t="shared" si="23"/>
        <v>410.2</v>
      </c>
      <c r="O64" s="96" t="str">
        <f t="shared" si="11"/>
        <v/>
      </c>
      <c r="P64" s="96">
        <f t="shared" si="19"/>
        <v>410.2</v>
      </c>
      <c r="Q64" s="96" t="str">
        <f t="shared" si="20"/>
        <v/>
      </c>
      <c r="R64" s="92" t="str">
        <f t="shared" si="21"/>
        <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Major Conurbation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Surrey</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South East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407.2</v>
      </c>
    </row>
    <row r="65" spans="1:50">
      <c r="A65" s="59" t="str">
        <f>$D$1&amp;55</f>
        <v>SD55</v>
      </c>
      <c r="B65" s="60" t="str">
        <f>IF(ISERROR(VLOOKUP(A65,classifications!A:C,3,FALSE)),0,VLOOKUP(A65,classifications!A:C,3,FALSE))</f>
        <v>Vale of White Horse</v>
      </c>
      <c r="C65" t="s">
        <v>35</v>
      </c>
      <c r="D65" t="str">
        <f>VLOOKUP($C65,classifications!$C:$J,4,FALSE)</f>
        <v>SD</v>
      </c>
      <c r="E65">
        <f>VLOOKUP(C65,classifications!C:K,9,FALSE)</f>
        <v>0</v>
      </c>
      <c r="F65">
        <f t="shared" si="25"/>
        <v>392.7</v>
      </c>
      <c r="G65" s="15"/>
      <c r="H65" s="42">
        <f t="shared" si="26"/>
        <v>392.7</v>
      </c>
      <c r="I65" s="79">
        <f>IF(H65="","",IF($I$8="A",(RANK(H65,H$11:H$343,1)+COUNTIF(H$11:H65,H65)-1),(RANK(H65,H$11:H$343)+COUNTIF(H$11:H65,H65)-1)))</f>
        <v>40</v>
      </c>
      <c r="J65" s="41"/>
      <c r="K65" s="36">
        <f t="shared" si="34"/>
        <v>55</v>
      </c>
      <c r="L65" t="str">
        <f t="shared" si="27"/>
        <v>Chichester</v>
      </c>
      <c r="M65" s="117">
        <f t="shared" si="28"/>
        <v>411.3</v>
      </c>
      <c r="N65" s="112">
        <f t="shared" si="23"/>
        <v>411.3</v>
      </c>
      <c r="O65" s="96" t="str">
        <f t="shared" si="11"/>
        <v/>
      </c>
      <c r="P65" s="96">
        <f t="shared" si="19"/>
        <v>411.3</v>
      </c>
      <c r="Q65" s="96" t="str">
        <f t="shared" si="20"/>
        <v/>
      </c>
      <c r="R65" s="92" t="str">
        <f t="shared" si="21"/>
        <v/>
      </c>
      <c r="S65" s="42" t="str">
        <f t="shared" si="12"/>
        <v/>
      </c>
      <c r="T65" s="167" t="str">
        <f>IF(L65="","",VLOOKUP(L65,classifications!C:K,9,FALSE))</f>
        <v>Sparse</v>
      </c>
      <c r="U65" s="168">
        <f t="shared" si="29"/>
        <v>411.3</v>
      </c>
      <c r="V65" s="174">
        <f>IF(U65="","",IF($I$8="A",(RANK(U65,U$11:U$343)+COUNTIF(U$11:U65,U65)-1),(RANK(U65,U$11:U$343,1)+COUNTIF(U$11:U65,U65)-1)))</f>
        <v>36</v>
      </c>
      <c r="W65" s="175"/>
      <c r="X65" s="5" t="str">
        <f>IF(L65="","",VLOOKUP($L65,classifications!$C:$J,6,FALSE))</f>
        <v xml:space="preserve">Largely Rural (rural including hub towns 50-79%) </v>
      </c>
      <c r="Y65" t="str">
        <f t="shared" si="4"/>
        <v/>
      </c>
      <c r="Z65" s="40" t="str">
        <f>IF(Y65="","",IF(I$8="A",(RANK(Y65,Y$11:Y$343,1)+COUNTIF(Y$11:Y65,Y65)-1),(RANK(Y65,Y$11:Y$343)+COUNTIF(Y$11:Y65,Y65)-1)))</f>
        <v/>
      </c>
      <c r="AA65" s="180" t="str">
        <f>IF(L65="","",VLOOKUP($L65,classifications!C:I,7,FALSE))</f>
        <v>Predominantly Rural</v>
      </c>
      <c r="AB65" s="174">
        <f t="shared" si="14"/>
        <v>411.3</v>
      </c>
      <c r="AC65" s="174">
        <f>IF(AB65="","",IF($I$8="A",(RANK(AB65,AB$11:AB$343)+COUNTIF(AB$11:AB65,AB65)-1),(RANK(AB65,AB$11:AB$343,1)+COUNTIF(AB$11:AB65,AB65)-1)))</f>
        <v>43</v>
      </c>
      <c r="AD65" s="174"/>
      <c r="AE65" s="36" t="str">
        <f t="shared" si="24"/>
        <v/>
      </c>
      <c r="AG65" s="15"/>
      <c r="AH65" s="3"/>
      <c r="AI65" s="5" t="str">
        <f>IF(L65="","",VLOOKUP($L65,classifications!$C:$J,8,FALSE))</f>
        <v>West Sussex</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South East</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392.7</v>
      </c>
    </row>
    <row r="66" spans="1:50">
      <c r="A66" s="59" t="str">
        <f>$D$1&amp;56</f>
        <v>SD56</v>
      </c>
      <c r="B66" s="60" t="str">
        <f>IF(ISERROR(VLOOKUP(A66,classifications!A:C,3,FALSE)),0,VLOOKUP(A66,classifications!A:C,3,FALSE))</f>
        <v>Wealden</v>
      </c>
      <c r="C66" t="s">
        <v>305</v>
      </c>
      <c r="D66" t="str">
        <f>VLOOKUP($C66,classifications!$C:$J,4,FALSE)</f>
        <v>UA</v>
      </c>
      <c r="E66" t="str">
        <f>VLOOKUP(C66,classifications!C:K,9,FALSE)</f>
        <v>Sparse</v>
      </c>
      <c r="F66">
        <f t="shared" si="25"/>
        <v>467.1</v>
      </c>
      <c r="G66" s="15"/>
      <c r="H66" s="42" t="str">
        <f t="shared" si="26"/>
        <v/>
      </c>
      <c r="I66" s="79" t="str">
        <f>IF(H66="","",IF($I$8="A",(RANK(H66,H$11:H$343,1)+COUNTIF(H$11:H66,H66)-1),(RANK(H66,H$11:H$343)+COUNTIF(H$11:H66,H66)-1)))</f>
        <v/>
      </c>
      <c r="J66" s="41"/>
      <c r="K66" s="36">
        <f t="shared" si="34"/>
        <v>56</v>
      </c>
      <c r="L66" t="str">
        <f t="shared" si="27"/>
        <v>Dacorum</v>
      </c>
      <c r="M66" s="117">
        <f t="shared" si="28"/>
        <v>411.8</v>
      </c>
      <c r="N66" s="112">
        <f t="shared" si="23"/>
        <v>411.8</v>
      </c>
      <c r="O66" s="96" t="str">
        <f t="shared" si="11"/>
        <v/>
      </c>
      <c r="P66" s="96">
        <f t="shared" si="19"/>
        <v>411.8</v>
      </c>
      <c r="Q66" s="96" t="str">
        <f t="shared" si="20"/>
        <v/>
      </c>
      <c r="R66" s="92" t="str">
        <f t="shared" si="21"/>
        <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Significant Rural (rural including hub towns 26-49%)</v>
      </c>
      <c r="Y66" t="str">
        <f t="shared" si="4"/>
        <v/>
      </c>
      <c r="Z66" s="40" t="str">
        <f>IF(Y66="","",IF(I$8="A",(RANK(Y66,Y$11:Y$343,1)+COUNTIF(Y$11:Y66,Y66)-1),(RANK(Y66,Y$11:Y$343)+COUNTIF(Y$11:Y66,Y66)-1)))</f>
        <v/>
      </c>
      <c r="AA66" s="180" t="str">
        <f>IF(L66="","",VLOOKUP($L66,classifications!C:I,7,FALSE))</f>
        <v>Significant Rural</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Hertfordshire</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East of England</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467.1</v>
      </c>
    </row>
    <row r="67" spans="1:50">
      <c r="A67" s="59" t="str">
        <f>$D$1&amp;57</f>
        <v>SD57</v>
      </c>
      <c r="B67" s="60" t="str">
        <f>IF(ISERROR(VLOOKUP(A67,classifications!A:C,3,FALSE)),0,VLOOKUP(A67,classifications!A:C,3,FALSE))</f>
        <v>West Devon</v>
      </c>
      <c r="C67" t="s">
        <v>814</v>
      </c>
      <c r="D67" t="str">
        <f>VLOOKUP($C67,classifications!$C:$J,4,FALSE)</f>
        <v>UA</v>
      </c>
      <c r="E67">
        <f>VLOOKUP(C67,classifications!C:K,9,FALSE)</f>
        <v>0</v>
      </c>
      <c r="F67">
        <f t="shared" si="25"/>
        <v>413.3</v>
      </c>
      <c r="G67" s="15"/>
      <c r="H67" s="42" t="str">
        <f t="shared" si="26"/>
        <v/>
      </c>
      <c r="I67" s="79" t="str">
        <f>IF(H67="","",IF($I$8="A",(RANK(H67,H$11:H$343,1)+COUNTIF(H$11:H67,H67)-1),(RANK(H67,H$11:H$343)+COUNTIF(H$11:H67,H67)-1)))</f>
        <v/>
      </c>
      <c r="J67" s="41"/>
      <c r="K67" s="36">
        <f t="shared" si="34"/>
        <v>57</v>
      </c>
      <c r="L67" t="str">
        <f t="shared" si="27"/>
        <v>Eastbourne</v>
      </c>
      <c r="M67" s="117">
        <f t="shared" si="28"/>
        <v>412.8</v>
      </c>
      <c r="N67" s="112">
        <f t="shared" si="23"/>
        <v>412.8</v>
      </c>
      <c r="O67" s="96" t="str">
        <f t="shared" si="11"/>
        <v/>
      </c>
      <c r="P67" s="96">
        <f t="shared" si="19"/>
        <v>412.8</v>
      </c>
      <c r="Q67" s="96" t="str">
        <f t="shared" si="20"/>
        <v/>
      </c>
      <c r="R67" s="92" t="str">
        <f t="shared" si="21"/>
        <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East Sussex</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South East</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413.3</v>
      </c>
    </row>
    <row r="68" spans="1:50">
      <c r="A68" s="59" t="str">
        <f>$D$1&amp;58</f>
        <v>SD58</v>
      </c>
      <c r="B68" s="60" t="str">
        <f>IF(ISERROR(VLOOKUP(A68,classifications!A:C,3,FALSE)),0,VLOOKUP(A68,classifications!A:C,3,FALSE))</f>
        <v>West Lindsey</v>
      </c>
      <c r="C68" t="s">
        <v>36</v>
      </c>
      <c r="D68" t="str">
        <f>VLOOKUP($C68,classifications!$C:$J,4,FALSE)</f>
        <v>SD</v>
      </c>
      <c r="E68">
        <f>VLOOKUP(C68,classifications!C:K,9,FALSE)</f>
        <v>0</v>
      </c>
      <c r="F68">
        <f t="shared" si="25"/>
        <v>446.2</v>
      </c>
      <c r="G68" s="15"/>
      <c r="H68" s="42">
        <f t="shared" si="26"/>
        <v>446.2</v>
      </c>
      <c r="I68" s="79">
        <f>IF(H68="","",IF($I$8="A",(RANK(H68,H$11:H$343,1)+COUNTIF(H$11:H68,H68)-1),(RANK(H68,H$11:H$343)+COUNTIF(H$11:H68,H68)-1)))</f>
        <v>90</v>
      </c>
      <c r="J68" s="41"/>
      <c r="K68" s="36">
        <f t="shared" si="34"/>
        <v>58</v>
      </c>
      <c r="L68" t="str">
        <f t="shared" si="27"/>
        <v>North Devon</v>
      </c>
      <c r="M68" s="117">
        <f t="shared" si="28"/>
        <v>414.5</v>
      </c>
      <c r="N68" s="112">
        <f t="shared" si="23"/>
        <v>414.5</v>
      </c>
      <c r="O68" s="96" t="str">
        <f t="shared" si="11"/>
        <v/>
      </c>
      <c r="P68" s="96">
        <f t="shared" si="19"/>
        <v>414.5</v>
      </c>
      <c r="Q68" s="96" t="str">
        <f t="shared" si="20"/>
        <v/>
      </c>
      <c r="R68" s="92" t="str">
        <f t="shared" si="21"/>
        <v/>
      </c>
      <c r="S68" s="42" t="str">
        <f t="shared" si="12"/>
        <v/>
      </c>
      <c r="T68" s="167" t="str">
        <f>IF(L68="","",VLOOKUP(L68,classifications!C:K,9,FALSE))</f>
        <v>Sparse</v>
      </c>
      <c r="U68" s="168">
        <f t="shared" si="29"/>
        <v>414.5</v>
      </c>
      <c r="V68" s="174">
        <f>IF(U68="","",IF($I$8="A",(RANK(U68,U$11:U$343)+COUNTIF(U$11:U68,U68)-1),(RANK(U68,U$11:U$343,1)+COUNTIF(U$11:U68,U68)-1)))</f>
        <v>35</v>
      </c>
      <c r="W68" s="175"/>
      <c r="X68" s="5" t="str">
        <f>IF(L68="","",VLOOKUP($L68,classifications!$C:$J,6,FALSE))</f>
        <v xml:space="preserve">Largely Rural (rural including hub towns 50-79%) </v>
      </c>
      <c r="Y68" t="str">
        <f t="shared" si="4"/>
        <v/>
      </c>
      <c r="Z68" s="40" t="str">
        <f>IF(Y68="","",IF(I$8="A",(RANK(Y68,Y$11:Y$343,1)+COUNTIF(Y$11:Y68,Y68)-1),(RANK(Y68,Y$11:Y$343)+COUNTIF(Y$11:Y68,Y68)-1)))</f>
        <v/>
      </c>
      <c r="AA68" s="180" t="str">
        <f>IF(L68="","",VLOOKUP($L68,classifications!C:I,7,FALSE))</f>
        <v>Predominantly Rural</v>
      </c>
      <c r="AB68" s="174">
        <f t="shared" si="14"/>
        <v>414.5</v>
      </c>
      <c r="AC68" s="174">
        <f>IF(AB68="","",IF($I$8="A",(RANK(AB68,AB$11:AB$343)+COUNTIF(AB$11:AB68,AB68)-1),(RANK(AB68,AB$11:AB$343,1)+COUNTIF(AB$11:AB68,AB68)-1)))</f>
        <v>42</v>
      </c>
      <c r="AD68" s="174"/>
      <c r="AE68" s="36" t="str">
        <f t="shared" si="37"/>
        <v/>
      </c>
      <c r="AG68" s="15"/>
      <c r="AH68" s="3"/>
      <c r="AI68" s="5" t="str">
        <f>IF(L68="","",VLOOKUP($L68,classifications!$C:$J,8,FALSE))</f>
        <v>Devon</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South West</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446.2</v>
      </c>
    </row>
    <row r="69" spans="1:50">
      <c r="A69" s="59" t="str">
        <f>$D$1&amp;59</f>
        <v>SD59</v>
      </c>
      <c r="B69" s="60" t="str">
        <f>IF(ISERROR(VLOOKUP(A69,classifications!A:C,3,FALSE)),0,VLOOKUP(A69,classifications!A:C,3,FALSE))</f>
        <v>West Oxfordshire</v>
      </c>
      <c r="C69" t="s">
        <v>37</v>
      </c>
      <c r="D69" t="str">
        <f>VLOOKUP($C69,classifications!$C:$J,4,FALSE)</f>
        <v>SD</v>
      </c>
      <c r="E69" t="str">
        <f>VLOOKUP(C69,classifications!C:K,9,FALSE)</f>
        <v>Sparse</v>
      </c>
      <c r="F69">
        <f t="shared" si="25"/>
        <v>411.3</v>
      </c>
      <c r="G69" s="15"/>
      <c r="H69" s="42">
        <f t="shared" si="26"/>
        <v>411.3</v>
      </c>
      <c r="I69" s="79">
        <f>IF(H69="","",IF($I$8="A",(RANK(H69,H$11:H$343,1)+COUNTIF(H$11:H69,H69)-1),(RANK(H69,H$11:H$343)+COUNTIF(H$11:H69,H69)-1)))</f>
        <v>55</v>
      </c>
      <c r="J69" s="41"/>
      <c r="K69" s="36">
        <f t="shared" si="34"/>
        <v>59</v>
      </c>
      <c r="L69" t="str">
        <f t="shared" si="27"/>
        <v>Newcastle-under-Lyme</v>
      </c>
      <c r="M69" s="117">
        <f t="shared" si="28"/>
        <v>417.1</v>
      </c>
      <c r="N69" s="112">
        <f t="shared" si="23"/>
        <v>417.1</v>
      </c>
      <c r="O69" s="96" t="str">
        <f t="shared" si="11"/>
        <v/>
      </c>
      <c r="P69" s="96">
        <f t="shared" si="19"/>
        <v>417.1</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Urban with City and Town</v>
      </c>
      <c r="Y69" t="str">
        <f t="shared" si="4"/>
        <v/>
      </c>
      <c r="Z69" s="40" t="str">
        <f>IF(Y69="","",IF(I$8="A",(RANK(Y69,Y$11:Y$343,1)+COUNTIF(Y$11:Y69,Y69)-1),(RANK(Y69,Y$11:Y$343)+COUNTIF(Y$11:Y69,Y69)-1)))</f>
        <v/>
      </c>
      <c r="AA69" s="180" t="str">
        <f>IF(L69="","",VLOOKUP($L69,classifications!C:I,7,FALSE))</f>
        <v>Predominantly Urban</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Staffordshire</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West Midlands</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411.3</v>
      </c>
    </row>
    <row r="70" spans="1:50">
      <c r="A70" s="59" t="str">
        <f>$D$1&amp;60</f>
        <v>SD60</v>
      </c>
      <c r="B70" s="60" t="str">
        <f>IF(ISERROR(VLOOKUP(A70,classifications!A:C,3,FALSE)),0,VLOOKUP(A70,classifications!A:C,3,FALSE))</f>
        <v>West Suffolk</v>
      </c>
      <c r="C70" t="s">
        <v>904</v>
      </c>
      <c r="D70" t="str">
        <f>VLOOKUP($C70,classifications!$C:$J,4,FALSE)</f>
        <v>UA</v>
      </c>
      <c r="E70">
        <f>VLOOKUP(C70,classifications!C:K,9,FALSE)</f>
        <v>0</v>
      </c>
      <c r="F70">
        <f t="shared" si="25"/>
        <v>526.29999999999995</v>
      </c>
      <c r="G70" s="15"/>
      <c r="H70" s="42" t="str">
        <f t="shared" si="26"/>
        <v/>
      </c>
      <c r="I70" s="79" t="str">
        <f>IF(H70="","",IF($I$8="A",(RANK(H70,H$11:H$343,1)+COUNTIF(H$11:H70,H70)-1),(RANK(H70,H$11:H$343)+COUNTIF(H$11:H70,H70)-1)))</f>
        <v/>
      </c>
      <c r="J70" s="41"/>
      <c r="K70" s="36">
        <f t="shared" si="34"/>
        <v>60</v>
      </c>
      <c r="L70" t="str">
        <f t="shared" si="27"/>
        <v>Wealden</v>
      </c>
      <c r="M70" s="117">
        <f t="shared" si="28"/>
        <v>418.1</v>
      </c>
      <c r="N70" s="112">
        <f t="shared" si="23"/>
        <v>418.1</v>
      </c>
      <c r="O70" s="96" t="str">
        <f t="shared" si="11"/>
        <v/>
      </c>
      <c r="P70" s="96">
        <f t="shared" si="19"/>
        <v>418.1</v>
      </c>
      <c r="Q70" s="96" t="str">
        <f t="shared" si="20"/>
        <v/>
      </c>
      <c r="R70" s="92" t="str">
        <f t="shared" si="21"/>
        <v/>
      </c>
      <c r="S70" s="42" t="str">
        <f t="shared" si="12"/>
        <v/>
      </c>
      <c r="T70" s="167" t="str">
        <f>IF(L70="","",VLOOKUP(L70,classifications!C:K,9,FALSE))</f>
        <v>Sparse</v>
      </c>
      <c r="U70" s="168">
        <f t="shared" si="29"/>
        <v>418.1</v>
      </c>
      <c r="V70" s="174">
        <f>IF(U70="","",IF($I$8="A",(RANK(U70,U$11:U$343)+COUNTIF(U$11:U70,U70)-1),(RANK(U70,U$11:U$343,1)+COUNTIF(U$11:U70,U70)-1)))</f>
        <v>34</v>
      </c>
      <c r="W70" s="175"/>
      <c r="X70" s="5" t="str">
        <f>IF(L70="","",VLOOKUP($L70,classifications!$C:$J,6,FALSE))</f>
        <v xml:space="preserve">Mainly Rural (rural including hub towns &gt;=80%) </v>
      </c>
      <c r="Y70">
        <f t="shared" si="4"/>
        <v>418.1</v>
      </c>
      <c r="Z70" s="40">
        <f>IF(Y70="","",IF(I$8="A",(RANK(Y70,Y$11:Y$343,1)+COUNTIF(Y$11:Y70,Y70)-1),(RANK(Y70,Y$11:Y$343)+COUNTIF(Y$11:Y70,Y70)-1)))</f>
        <v>15</v>
      </c>
      <c r="AA70" s="180" t="str">
        <f>IF(L70="","",VLOOKUP($L70,classifications!C:I,7,FALSE))</f>
        <v>Predominantly Rural</v>
      </c>
      <c r="AB70" s="174">
        <f t="shared" si="14"/>
        <v>418.1</v>
      </c>
      <c r="AC70" s="174">
        <f>IF(AB70="","",IF($I$8="A",(RANK(AB70,AB$11:AB$343)+COUNTIF(AB$11:AB70,AB70)-1),(RANK(AB70,AB$11:AB$343,1)+COUNTIF(AB$11:AB70,AB70)-1)))</f>
        <v>41</v>
      </c>
      <c r="AD70" s="174"/>
      <c r="AE70" s="36" t="str">
        <f t="shared" si="37"/>
        <v/>
      </c>
      <c r="AG70" s="15"/>
      <c r="AH70" s="3"/>
      <c r="AI70" s="5" t="str">
        <f>IF(L70="","",VLOOKUP($L70,classifications!$C:$J,8,FALSE))</f>
        <v>East Sussex</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South East</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526.29999999999995</v>
      </c>
    </row>
    <row r="71" spans="1:50">
      <c r="A71" s="59" t="str">
        <f>$D$1&amp;61</f>
        <v>SD61</v>
      </c>
      <c r="B71" s="60" t="str">
        <f>IF(ISERROR(VLOOKUP(A71,classifications!A:C,3,FALSE)),0,VLOOKUP(A71,classifications!A:C,3,FALSE))</f>
        <v>Wychavon</v>
      </c>
      <c r="C71" t="s">
        <v>39</v>
      </c>
      <c r="D71" t="str">
        <f>VLOOKUP($C71,classifications!$C:$J,4,FALSE)</f>
        <v>SD</v>
      </c>
      <c r="E71">
        <f>VLOOKUP(C71,classifications!C:K,9,FALSE)</f>
        <v>0</v>
      </c>
      <c r="F71">
        <f t="shared" si="25"/>
        <v>443</v>
      </c>
      <c r="G71" s="15"/>
      <c r="H71" s="42">
        <f t="shared" si="26"/>
        <v>443</v>
      </c>
      <c r="I71" s="79">
        <f>IF(H71="","",IF($I$8="A",(RANK(H71,H$11:H$343,1)+COUNTIF(H$11:H71,H71)-1),(RANK(H71,H$11:H$343)+COUNTIF(H$11:H71,H71)-1)))</f>
        <v>86</v>
      </c>
      <c r="J71" s="41"/>
      <c r="K71" s="36">
        <f t="shared" si="34"/>
        <v>61</v>
      </c>
      <c r="L71" t="str">
        <f t="shared" si="27"/>
        <v>Folkestone and Hythe</v>
      </c>
      <c r="M71" s="117">
        <f t="shared" si="28"/>
        <v>419.4</v>
      </c>
      <c r="N71" s="112">
        <f t="shared" si="23"/>
        <v>419.4</v>
      </c>
      <c r="O71" s="96" t="str">
        <f t="shared" si="11"/>
        <v/>
      </c>
      <c r="P71" s="96">
        <f t="shared" si="19"/>
        <v>419.4</v>
      </c>
      <c r="Q71" s="96" t="str">
        <f t="shared" si="20"/>
        <v/>
      </c>
      <c r="R71" s="92" t="str">
        <f t="shared" si="21"/>
        <v/>
      </c>
      <c r="S71" s="42" t="str">
        <f t="shared" si="12"/>
        <v/>
      </c>
      <c r="T71" s="167">
        <f>IF(L71="","",VLOOKUP(L71,classifications!C:K,9,FALSE))</f>
        <v>0</v>
      </c>
      <c r="U71" s="168" t="str">
        <f t="shared" si="29"/>
        <v/>
      </c>
      <c r="V71" s="174" t="str">
        <f>IF(U71="","",IF($I$8="A",(RANK(U71,U$11:U$343)+COUNTIF(U$11:U71,U71)-1),(RANK(U71,U$11:U$343,1)+COUNTIF(U$11:U71,U71)-1)))</f>
        <v/>
      </c>
      <c r="W71" s="175"/>
      <c r="X71" s="5" t="str">
        <f>IF(L71="","",VLOOKUP($L71,classifications!$C:$J,6,FALSE))</f>
        <v>Urban with Significant Rural (rural including hub towns 26-49%)</v>
      </c>
      <c r="Y71" t="str">
        <f t="shared" si="4"/>
        <v/>
      </c>
      <c r="Z71" s="40" t="str">
        <f>IF(Y71="","",IF(I$8="A",(RANK(Y71,Y$11:Y$343,1)+COUNTIF(Y$11:Y71,Y71)-1),(RANK(Y71,Y$11:Y$343)+COUNTIF(Y$11:Y71,Y71)-1)))</f>
        <v/>
      </c>
      <c r="AA71" s="180" t="str">
        <f>IF(L71="","",VLOOKUP($L71,classifications!C:I,7,FALSE))</f>
        <v>Significant Rural</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Kent</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South East</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443</v>
      </c>
    </row>
    <row r="72" spans="1:50">
      <c r="A72" s="59" t="str">
        <f>$D$1&amp;62</f>
        <v>SD62</v>
      </c>
      <c r="B72" s="60">
        <f>IF(ISERROR(VLOOKUP(A72,classifications!A:C,3,FALSE)),0,VLOOKUP(A72,classifications!A:C,3,FALSE))</f>
        <v>0</v>
      </c>
      <c r="C72" t="s">
        <v>371</v>
      </c>
      <c r="D72" t="str">
        <f>VLOOKUP($C72,classifications!$C:$J,4,FALSE)</f>
        <v>L</v>
      </c>
      <c r="E72">
        <f>VLOOKUP(C72,classifications!C:K,9,FALSE)</f>
        <v>0</v>
      </c>
      <c r="F72">
        <f t="shared" si="25"/>
        <v>308</v>
      </c>
      <c r="G72" s="15"/>
      <c r="H72" s="42" t="str">
        <f t="shared" si="26"/>
        <v/>
      </c>
      <c r="I72" s="79" t="str">
        <f>IF(H72="","",IF($I$8="A",(RANK(H72,H$11:H$343,1)+COUNTIF(H$11:H72,H72)-1),(RANK(H72,H$11:H$343)+COUNTIF(H$11:H72,H72)-1)))</f>
        <v/>
      </c>
      <c r="J72" s="41"/>
      <c r="K72" s="36">
        <f t="shared" si="34"/>
        <v>62</v>
      </c>
      <c r="L72" t="str">
        <f t="shared" si="27"/>
        <v>Tendring</v>
      </c>
      <c r="M72" s="117">
        <f t="shared" si="28"/>
        <v>419.6</v>
      </c>
      <c r="N72" s="112">
        <f t="shared" si="23"/>
        <v>419.6</v>
      </c>
      <c r="O72" s="96" t="str">
        <f t="shared" si="11"/>
        <v/>
      </c>
      <c r="P72" s="96">
        <f t="shared" si="19"/>
        <v>419.6</v>
      </c>
      <c r="Q72" s="96" t="str">
        <f t="shared" si="20"/>
        <v/>
      </c>
      <c r="R72" s="92" t="str">
        <f t="shared" si="21"/>
        <v/>
      </c>
      <c r="S72" s="42" t="str">
        <f t="shared" si="12"/>
        <v/>
      </c>
      <c r="T72" s="167">
        <f>IF(L72="","",VLOOKUP(L72,classifications!C:K,9,FALSE))</f>
        <v>0</v>
      </c>
      <c r="U72" s="168" t="str">
        <f t="shared" si="29"/>
        <v/>
      </c>
      <c r="V72" s="174" t="str">
        <f>IF(U72="","",IF($I$8="A",(RANK(U72,U$11:U$343)+COUNTIF(U$11:U72,U72)-1),(RANK(U72,U$11:U$343,1)+COUNTIF(U$11:U72,U72)-1)))</f>
        <v/>
      </c>
      <c r="W72" s="175"/>
      <c r="X72" s="5" t="str">
        <f>IF(L72="","",VLOOKUP($L72,classifications!$C:$J,6,FALSE))</f>
        <v xml:space="preserve">Largely Rural (rural including hub towns 50-79%) </v>
      </c>
      <c r="Y72" t="str">
        <f t="shared" si="4"/>
        <v/>
      </c>
      <c r="Z72" s="40" t="str">
        <f>IF(Y72="","",IF(I$8="A",(RANK(Y72,Y$11:Y$343,1)+COUNTIF(Y$11:Y72,Y72)-1),(RANK(Y72,Y$11:Y$343)+COUNTIF(Y$11:Y72,Y72)-1)))</f>
        <v/>
      </c>
      <c r="AA72" s="180" t="str">
        <f>IF(L72="","",VLOOKUP($L72,classifications!C:I,7,FALSE))</f>
        <v>Predominantly Rural</v>
      </c>
      <c r="AB72" s="174">
        <f t="shared" si="14"/>
        <v>419.6</v>
      </c>
      <c r="AC72" s="174">
        <f>IF(AB72="","",IF($I$8="A",(RANK(AB72,AB$11:AB$343)+COUNTIF(AB$11:AB72,AB72)-1),(RANK(AB72,AB$11:AB$343,1)+COUNTIF(AB$11:AB72,AB72)-1)))</f>
        <v>40</v>
      </c>
      <c r="AD72" s="174"/>
      <c r="AE72" s="36" t="str">
        <f t="shared" si="37"/>
        <v/>
      </c>
      <c r="AG72" s="15"/>
      <c r="AH72" s="3"/>
      <c r="AI72" s="5" t="str">
        <f>IF(L72="","",VLOOKUP($L72,classifications!$C:$J,8,FALSE))</f>
        <v>Essex</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East of England</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308</v>
      </c>
    </row>
    <row r="73" spans="1:50">
      <c r="A73" s="59" t="str">
        <f>$D$1&amp;63</f>
        <v>SD63</v>
      </c>
      <c r="B73" s="60">
        <f>IF(ISERROR(VLOOKUP(A73,classifications!A:C,3,FALSE)),0,VLOOKUP(A73,classifications!A:C,3,FALSE))</f>
        <v>0</v>
      </c>
      <c r="C73" t="s">
        <v>41</v>
      </c>
      <c r="D73" t="str">
        <f>VLOOKUP($C73,classifications!$C:$J,4,FALSE)</f>
        <v>SD</v>
      </c>
      <c r="E73">
        <f>VLOOKUP(C73,classifications!C:K,9,FALSE)</f>
        <v>0</v>
      </c>
      <c r="F73">
        <f t="shared" si="25"/>
        <v>321.7</v>
      </c>
      <c r="G73" s="15"/>
      <c r="H73" s="42">
        <f t="shared" si="26"/>
        <v>321.7</v>
      </c>
      <c r="I73" s="79">
        <f>IF(H73="","",IF($I$8="A",(RANK(H73,H$11:H$343,1)+COUNTIF(H$11:H73,H73)-1),(RANK(H73,H$11:H$343)+COUNTIF(H$11:H73,H73)-1)))</f>
        <v>9</v>
      </c>
      <c r="J73" s="41"/>
      <c r="K73" s="36">
        <f t="shared" si="34"/>
        <v>63</v>
      </c>
      <c r="L73" t="str">
        <f t="shared" si="27"/>
        <v>Mid Sussex</v>
      </c>
      <c r="M73" s="117">
        <f t="shared" si="28"/>
        <v>420.1</v>
      </c>
      <c r="N73" s="112">
        <f t="shared" si="23"/>
        <v>420.1</v>
      </c>
      <c r="O73" s="96" t="str">
        <f t="shared" si="11"/>
        <v/>
      </c>
      <c r="P73" s="96">
        <f t="shared" si="19"/>
        <v>420.1</v>
      </c>
      <c r="Q73" s="96" t="str">
        <f t="shared" si="20"/>
        <v/>
      </c>
      <c r="R73" s="92" t="str">
        <f t="shared" si="21"/>
        <v/>
      </c>
      <c r="S73" s="42" t="str">
        <f t="shared" si="12"/>
        <v/>
      </c>
      <c r="T73" s="167">
        <f>IF(L73="","",VLOOKUP(L73,classifications!C:K,9,FALSE))</f>
        <v>0</v>
      </c>
      <c r="U73" s="168" t="str">
        <f t="shared" si="29"/>
        <v/>
      </c>
      <c r="V73" s="174" t="str">
        <f>IF(U73="","",IF($I$8="A",(RANK(U73,U$11:U$343)+COUNTIF(U$11:U73,U73)-1),(RANK(U73,U$11:U$343,1)+COUNTIF(U$11:U73,U73)-1)))</f>
        <v/>
      </c>
      <c r="W73" s="175"/>
      <c r="X73" s="5" t="str">
        <f>IF(L73="","",VLOOKUP($L73,classifications!$C:$J,6,FALSE))</f>
        <v>Urban with City and Town</v>
      </c>
      <c r="Y73" t="str">
        <f t="shared" si="4"/>
        <v/>
      </c>
      <c r="Z73" s="40" t="str">
        <f>IF(Y73="","",IF(I$8="A",(RANK(Y73,Y$11:Y$343,1)+COUNTIF(Y$11:Y73,Y73)-1),(RANK(Y73,Y$11:Y$343)+COUNTIF(Y$11:Y73,Y73)-1)))</f>
        <v/>
      </c>
      <c r="AA73" s="180" t="str">
        <f>IF(L73="","",VLOOKUP($L73,classifications!C:I,7,FALSE))</f>
        <v>Predominantly Urban</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West Sussex</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South East</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321.7</v>
      </c>
    </row>
    <row r="74" spans="1:50">
      <c r="A74" s="59" t="str">
        <f>$D$1&amp;64</f>
        <v>SD64</v>
      </c>
      <c r="B74" s="60">
        <f>IF(ISERROR(VLOOKUP(A74,classifications!A:C,3,FALSE)),0,VLOOKUP(A74,classifications!A:C,3,FALSE))</f>
        <v>0</v>
      </c>
      <c r="C74" t="s">
        <v>42</v>
      </c>
      <c r="D74" t="str">
        <f>VLOOKUP($C74,classifications!$C:$J,4,FALSE)</f>
        <v>SD</v>
      </c>
      <c r="E74" t="str">
        <f>VLOOKUP(C74,classifications!C:K,9,FALSE)</f>
        <v>Sparse</v>
      </c>
      <c r="F74">
        <f t="shared" si="25"/>
        <v>482.8</v>
      </c>
      <c r="G74" s="15"/>
      <c r="H74" s="42">
        <f t="shared" si="26"/>
        <v>482.8</v>
      </c>
      <c r="I74" s="79">
        <f>IF(H74="","",IF($I$8="A",(RANK(H74,H$11:H$343,1)+COUNTIF(H$11:H74,H74)-1),(RANK(H74,H$11:H$343)+COUNTIF(H$11:H74,H74)-1)))</f>
        <v>127</v>
      </c>
      <c r="J74" s="41"/>
      <c r="K74" s="36">
        <f t="shared" si="34"/>
        <v>64</v>
      </c>
      <c r="L74" t="str">
        <f t="shared" si="27"/>
        <v>Eden</v>
      </c>
      <c r="M74" s="117">
        <f t="shared" si="28"/>
        <v>421.5</v>
      </c>
      <c r="N74" s="112">
        <f t="shared" si="23"/>
        <v>421.5</v>
      </c>
      <c r="O74" s="96" t="str">
        <f t="shared" si="11"/>
        <v/>
      </c>
      <c r="P74" s="96">
        <f t="shared" si="19"/>
        <v>421.5</v>
      </c>
      <c r="Q74" s="96" t="str">
        <f t="shared" si="20"/>
        <v/>
      </c>
      <c r="R74" s="92" t="str">
        <f t="shared" si="21"/>
        <v/>
      </c>
      <c r="S74" s="42" t="str">
        <f t="shared" si="12"/>
        <v/>
      </c>
      <c r="T74" s="167" t="str">
        <f>IF(L74="","",VLOOKUP(L74,classifications!C:K,9,FALSE))</f>
        <v>Sparse</v>
      </c>
      <c r="U74" s="168">
        <f t="shared" si="29"/>
        <v>421.5</v>
      </c>
      <c r="V74" s="174">
        <f>IF(U74="","",IF($I$8="A",(RANK(U74,U$11:U$343)+COUNTIF(U$11:U74,U74)-1),(RANK(U74,U$11:U$343,1)+COUNTIF(U$11:U74,U74)-1)))</f>
        <v>33</v>
      </c>
      <c r="W74" s="175"/>
      <c r="X74" s="5" t="str">
        <f>IF(L74="","",VLOOKUP($L74,classifications!$C:$J,6,FALSE))</f>
        <v xml:space="preserve">Mainly Rural (rural including hub towns &gt;=80%) </v>
      </c>
      <c r="Y74">
        <f t="shared" si="4"/>
        <v>421.5</v>
      </c>
      <c r="Z74" s="40">
        <f>IF(Y74="","",IF(I$8="A",(RANK(Y74,Y$11:Y$343,1)+COUNTIF(Y$11:Y74,Y74)-1),(RANK(Y74,Y$11:Y$343)+COUNTIF(Y$11:Y74,Y74)-1)))</f>
        <v>16</v>
      </c>
      <c r="AA74" s="180" t="str">
        <f>IF(L74="","",VLOOKUP($L74,classifications!C:I,7,FALSE))</f>
        <v>Predominantly Rural</v>
      </c>
      <c r="AB74" s="174">
        <f t="shared" si="14"/>
        <v>421.5</v>
      </c>
      <c r="AC74" s="174">
        <f>IF(AB74="","",IF($I$8="A",(RANK(AB74,AB$11:AB$343)+COUNTIF(AB$11:AB74,AB74)-1),(RANK(AB74,AB$11:AB$343,1)+COUNTIF(AB$11:AB74,AB74)-1)))</f>
        <v>39</v>
      </c>
      <c r="AD74" s="174"/>
      <c r="AE74" s="36" t="str">
        <f t="shared" si="37"/>
        <v/>
      </c>
      <c r="AG74" s="15"/>
      <c r="AH74" s="3"/>
      <c r="AI74" s="5" t="str">
        <f>IF(L74="","",VLOOKUP($L74,classifications!$C:$J,8,FALSE))</f>
        <v>Cumbria</v>
      </c>
      <c r="AJ74" s="43">
        <f t="shared" si="5"/>
        <v>421.5</v>
      </c>
      <c r="AK74" s="40">
        <f>IF(AJ74="","",IF(I$8="A",(RANK(AJ74,AJ$11:AJ$343,1)+COUNTIF(AJ$11:AJ74,AJ74)-1),(RANK(AJ74,AJ$11:AJ$343)+COUNTIF(AJ$11:AJ74,AJ74)-1)))</f>
        <v>1</v>
      </c>
      <c r="AL74" s="3" t="str">
        <f t="shared" si="35"/>
        <v/>
      </c>
      <c r="AM74" t="str">
        <f t="shared" si="30"/>
        <v/>
      </c>
      <c r="AN74" t="str">
        <f t="shared" si="31"/>
        <v/>
      </c>
      <c r="AP74" s="5" t="str">
        <f>IF(L74="","",VLOOKUP($L74,classifications!$C:$E,3,FALSE))</f>
        <v>North West</v>
      </c>
      <c r="AQ74" s="43">
        <f t="shared" si="17"/>
        <v>421.5</v>
      </c>
      <c r="AR74" s="40">
        <f>IF(AQ74="","",IF(I$8="A",(RANK(AQ74,AQ$11:AQ$343,1)+COUNTIF(AQ$11:AQ74,AQ74)-1),(RANK(AQ74,AQ$11:AQ$343)+COUNTIF(AQ$11:AQ74,AQ74)-1)))</f>
        <v>1</v>
      </c>
      <c r="AS74" s="3" t="str">
        <f t="shared" si="36"/>
        <v/>
      </c>
      <c r="AT74" s="40" t="str">
        <f t="shared" si="32"/>
        <v/>
      </c>
      <c r="AU74" s="43" t="str">
        <f t="shared" si="33"/>
        <v/>
      </c>
      <c r="AX74">
        <f>HLOOKUP($AX$9&amp;$AX$10,Data!$A$1:$ZZ$1980,(MATCH($C74,Data!$A$1:$A$1980,0)),FALSE)</f>
        <v>482.8</v>
      </c>
    </row>
    <row r="75" spans="1:50">
      <c r="A75" s="59" t="str">
        <f>$D$1&amp;65</f>
        <v>SD65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531.9</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Dover</v>
      </c>
      <c r="M75" s="117">
        <f t="shared" ref="M75:M85" si="41">IF(L75="","",IF(VLOOKUP(L75,C:D,2,FALSE)=$F$3,VLOOKUP(L75,C:H,6,FALSE),""))</f>
        <v>423.7</v>
      </c>
      <c r="N75" s="112">
        <f t="shared" si="23"/>
        <v>423.7</v>
      </c>
      <c r="O75" s="96" t="str">
        <f t="shared" ref="O75:O85" si="42">IF(I$8="A",IF(N75&gt;=$P$7,IF(N75&lt;=$O$10,N75,""),""),IF(N75&lt;=$P$7,IF(N75&gt;=$O$10,N75,""),""))</f>
        <v/>
      </c>
      <c r="P75" s="96">
        <f t="shared" si="19"/>
        <v>423.7</v>
      </c>
      <c r="Q75" s="96" t="str">
        <f t="shared" si="20"/>
        <v/>
      </c>
      <c r="R75" s="92" t="str">
        <f t="shared" si="21"/>
        <v/>
      </c>
      <c r="S75" s="42" t="str">
        <f t="shared" si="12"/>
        <v/>
      </c>
      <c r="T75" s="167">
        <f>IF(L75="","",VLOOKUP(L75,classifications!C:K,9,FALSE))</f>
        <v>0</v>
      </c>
      <c r="U75" s="168" t="str">
        <f t="shared" ref="U75:U85" si="43">IF(T75="Sparse",M75,"")</f>
        <v/>
      </c>
      <c r="V75" s="174" t="str">
        <f>IF(U75="","",IF($I$8="A",(RANK(U75,U$11:U$343)+COUNTIF(U$11:U75,U75)-1),(RANK(U75,U$11:U$343,1)+COUNTIF(U$11:U75,U75)-1)))</f>
        <v/>
      </c>
      <c r="W75" s="175"/>
      <c r="X75" s="5" t="str">
        <f>IF(L75="","",VLOOKUP($L75,classifications!$C:$J,6,FALSE))</f>
        <v>Urban with Significant Rural (rural including hub towns 26-49%)</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Significant Rural</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Kent</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South East</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531.9</v>
      </c>
    </row>
    <row r="76" spans="1:50">
      <c r="A76" s="59" t="str">
        <f>$D$1&amp;66</f>
        <v>SD66</v>
      </c>
      <c r="B76" s="60">
        <f>IF(ISERROR(VLOOKUP(A76,classifications!A:C,3,FALSE)),0,VLOOKUP(A76,classifications!A:C,3,FALSE))</f>
        <v>0</v>
      </c>
      <c r="C76" t="s">
        <v>306</v>
      </c>
      <c r="D76" t="str">
        <f>VLOOKUP($C76,classifications!$C:$J,4,FALSE)</f>
        <v>UA</v>
      </c>
      <c r="E76" t="str">
        <f>VLOOKUP(C76,classifications!C:K,9,FALSE)</f>
        <v>Sparse</v>
      </c>
      <c r="F76">
        <f t="shared" si="38"/>
        <v>618.29999999999995</v>
      </c>
      <c r="G76" s="15"/>
      <c r="H76" s="42" t="str">
        <f t="shared" si="39"/>
        <v/>
      </c>
      <c r="I76" s="79" t="str">
        <f>IF(H76="","",IF($I$8="A",(RANK(H76,H$11:H$343,1)+COUNTIF(H$11:H76,H76)-1),(RANK(H76,H$11:H$343)+COUNTIF(H$11:H76,H76)-1)))</f>
        <v/>
      </c>
      <c r="J76" s="41"/>
      <c r="K76" s="36">
        <f t="shared" ref="K76:K85" si="50">IF(K75="","",IF(K75+1&gt;(COUNT(H$11:H$343)),"",K75+1))</f>
        <v>66</v>
      </c>
      <c r="L76" t="str">
        <f t="shared" si="40"/>
        <v>Uttlesford</v>
      </c>
      <c r="M76" s="117">
        <f t="shared" si="41"/>
        <v>425.9</v>
      </c>
      <c r="N76" s="112">
        <f t="shared" ref="N76:N85" si="51">IF(L76="","",IF($H$8="%%",M76*100,M76))</f>
        <v>425.9</v>
      </c>
      <c r="O76" s="96" t="str">
        <f t="shared" si="42"/>
        <v/>
      </c>
      <c r="P76" s="96">
        <f t="shared" si="19"/>
        <v>425.9</v>
      </c>
      <c r="Q76" s="96" t="str">
        <f t="shared" si="20"/>
        <v/>
      </c>
      <c r="R76" s="92" t="str">
        <f t="shared" si="21"/>
        <v/>
      </c>
      <c r="S76" s="42" t="str">
        <f t="shared" ref="S76:S85" si="52">IF(L76=D$3,"u","")</f>
        <v/>
      </c>
      <c r="T76" s="167" t="str">
        <f>IF(L76="","",VLOOKUP(L76,classifications!C:K,9,FALSE))</f>
        <v>Sparse</v>
      </c>
      <c r="U76" s="168">
        <f t="shared" si="43"/>
        <v>425.9</v>
      </c>
      <c r="V76" s="174">
        <f>IF(U76="","",IF($I$8="A",(RANK(U76,U$11:U$343)+COUNTIF(U$11:U76,U76)-1),(RANK(U76,U$11:U$343,1)+COUNTIF(U$11:U76,U76)-1)))</f>
        <v>32</v>
      </c>
      <c r="W76" s="175"/>
      <c r="X76" s="5" t="str">
        <f>IF(L76="","",VLOOKUP($L76,classifications!$C:$J,6,FALSE))</f>
        <v xml:space="preserve">Mainly Rural (rural including hub towns &gt;=80%) </v>
      </c>
      <c r="Y76">
        <f t="shared" si="44"/>
        <v>425.9</v>
      </c>
      <c r="Z76" s="40">
        <f>IF(Y76="","",IF(I$8="A",(RANK(Y76,Y$11:Y$343,1)+COUNTIF(Y$11:Y76,Y76)-1),(RANK(Y76,Y$11:Y$343)+COUNTIF(Y$11:Y76,Y76)-1)))</f>
        <v>17</v>
      </c>
      <c r="AA76" s="180" t="str">
        <f>IF(L76="","",VLOOKUP($L76,classifications!C:I,7,FALSE))</f>
        <v>Predominantly Rural</v>
      </c>
      <c r="AB76" s="174">
        <f t="shared" ref="AB76:AB85" si="53">IF(AA76=$J$3,M76,"")</f>
        <v>425.9</v>
      </c>
      <c r="AC76" s="174">
        <f>IF(AB76="","",IF($I$8="A",(RANK(AB76,AB$11:AB$343)+COUNTIF(AB$11:AB76,AB76)-1),(RANK(AB76,AB$11:AB$343,1)+COUNTIF(AB$11:AB76,AB76)-1)))</f>
        <v>38</v>
      </c>
      <c r="AD76" s="174"/>
      <c r="AE76" s="36" t="str">
        <f t="shared" si="37"/>
        <v/>
      </c>
      <c r="AG76" s="15"/>
      <c r="AH76" s="3"/>
      <c r="AI76" s="5" t="str">
        <f>IF(L76="","",VLOOKUP($L76,classifications!$C:$J,8,FALSE))</f>
        <v>Essex</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East of England</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618.29999999999995</v>
      </c>
    </row>
    <row r="77" spans="1:50">
      <c r="A77" s="59" t="str">
        <f>$D$1&amp;67</f>
        <v>SD67</v>
      </c>
      <c r="B77" s="60">
        <f>IF(ISERROR(VLOOKUP(A77,classifications!A:C,3,FALSE)),0,VLOOKUP(A77,classifications!A:C,3,FALSE))</f>
        <v>0</v>
      </c>
      <c r="C77" t="s">
        <v>44</v>
      </c>
      <c r="D77" t="str">
        <f>VLOOKUP($C77,classifications!$C:$J,4,FALSE)</f>
        <v>SD</v>
      </c>
      <c r="E77" t="str">
        <f>VLOOKUP(C77,classifications!C:K,9,FALSE)</f>
        <v>Sparse</v>
      </c>
      <c r="F77">
        <f t="shared" si="38"/>
        <v>353.3</v>
      </c>
      <c r="G77" s="15"/>
      <c r="H77" s="42">
        <f t="shared" si="39"/>
        <v>353.3</v>
      </c>
      <c r="I77" s="79">
        <f>IF(H77="","",IF($I$8="A",(RANK(H77,H$11:H$343,1)+COUNTIF(H$11:H77,H77)-1),(RANK(H77,H$11:H$343)+COUNTIF(H$11:H77,H77)-1)))</f>
        <v>22</v>
      </c>
      <c r="J77" s="41"/>
      <c r="K77" s="36">
        <f t="shared" si="50"/>
        <v>67</v>
      </c>
      <c r="L77" t="str">
        <f t="shared" si="40"/>
        <v>Rushmoor</v>
      </c>
      <c r="M77" s="117">
        <f t="shared" si="41"/>
        <v>426</v>
      </c>
      <c r="N77" s="112">
        <f t="shared" si="51"/>
        <v>426</v>
      </c>
      <c r="O77" s="96" t="str">
        <f t="shared" si="42"/>
        <v/>
      </c>
      <c r="P77" s="96">
        <f t="shared" ref="P77:P85" si="57">IF(I$8="A",IF(N77&gt;$O$10,IF(N77&lt;=$P$10,N77,""),""),IF(N77&lt;$O$10,IF(N77&gt;=$P$10,N77,""),""))</f>
        <v>426</v>
      </c>
      <c r="Q77" s="96" t="str">
        <f t="shared" ref="Q77:Q85" si="58">IF(I$8="A",IF(N77&gt;$P$10,IF(N77&lt;=$Q$10,N77,""),""),IF(N77&lt;$P$10,IF(N77&gt;=$Q$10,N77,""),""))</f>
        <v/>
      </c>
      <c r="R77" s="92" t="str">
        <f t="shared" ref="R77:R85" si="59">IF(I$8="A",IF(N77&gt;$Q$10,N77,""),IF(N77&lt;$Q$10,N77,""))</f>
        <v/>
      </c>
      <c r="S77" s="42" t="str">
        <f t="shared" si="52"/>
        <v/>
      </c>
      <c r="T77" s="167">
        <f>IF(L77="","",VLOOKUP(L77,classifications!C:K,9,FALSE))</f>
        <v>0</v>
      </c>
      <c r="U77" s="168" t="str">
        <f t="shared" si="43"/>
        <v/>
      </c>
      <c r="V77" s="174" t="str">
        <f>IF(U77="","",IF($I$8="A",(RANK(U77,U$11:U$343)+COUNTIF(U$11:U77,U77)-1),(RANK(U77,U$11:U$343,1)+COUNTIF(U$11:U77,U77)-1)))</f>
        <v/>
      </c>
      <c r="W77" s="175"/>
      <c r="X77" s="5" t="str">
        <f>IF(L77="","",VLOOKUP($L77,classifications!$C:$J,6,FALSE))</f>
        <v>Urban with City and Town</v>
      </c>
      <c r="Y77" t="str">
        <f t="shared" si="44"/>
        <v/>
      </c>
      <c r="Z77" s="40" t="str">
        <f>IF(Y77="","",IF(I$8="A",(RANK(Y77,Y$11:Y$343,1)+COUNTIF(Y$11:Y77,Y77)-1),(RANK(Y77,Y$11:Y$343)+COUNTIF(Y$11:Y77,Y77)-1)))</f>
        <v/>
      </c>
      <c r="AA77" s="180" t="str">
        <f>IF(L77="","",VLOOKUP($L77,classifications!C:I,7,FALSE))</f>
        <v>Predominantly Urban</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Hampshire</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South East</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353.3</v>
      </c>
    </row>
    <row r="78" spans="1:50">
      <c r="A78" s="59" t="str">
        <f>$D$1&amp;68</f>
        <v>SD68</v>
      </c>
      <c r="B78" s="60">
        <f>IF(ISERROR(VLOOKUP(A78,classifications!A:C,3,FALSE)),0,VLOOKUP(A78,classifications!A:C,3,FALSE))</f>
        <v>0</v>
      </c>
      <c r="C78" t="s">
        <v>229</v>
      </c>
      <c r="D78" t="str">
        <f>VLOOKUP($C78,classifications!$C:$J,4,FALSE)</f>
        <v>MD</v>
      </c>
      <c r="E78">
        <f>VLOOKUP(C78,classifications!C:K,9,FALSE)</f>
        <v>0</v>
      </c>
      <c r="F78">
        <f t="shared" si="38"/>
        <v>550.1</v>
      </c>
      <c r="G78" s="15"/>
      <c r="H78" s="42" t="str">
        <f t="shared" si="39"/>
        <v/>
      </c>
      <c r="I78" s="79" t="str">
        <f>IF(H78="","",IF($I$8="A",(RANK(H78,H$11:H$343,1)+COUNTIF(H$11:H78,H78)-1),(RANK(H78,H$11:H$343)+COUNTIF(H$11:H78,H78)-1)))</f>
        <v/>
      </c>
      <c r="J78" s="41"/>
      <c r="K78" s="36">
        <f t="shared" si="50"/>
        <v>68</v>
      </c>
      <c r="L78" t="str">
        <f t="shared" si="40"/>
        <v>Craven</v>
      </c>
      <c r="M78" s="117">
        <f t="shared" si="41"/>
        <v>426.3</v>
      </c>
      <c r="N78" s="112">
        <f t="shared" si="51"/>
        <v>426.3</v>
      </c>
      <c r="O78" s="96" t="str">
        <f t="shared" si="42"/>
        <v/>
      </c>
      <c r="P78" s="96">
        <f t="shared" si="57"/>
        <v>426.3</v>
      </c>
      <c r="Q78" s="96" t="str">
        <f t="shared" si="58"/>
        <v/>
      </c>
      <c r="R78" s="92" t="str">
        <f t="shared" si="59"/>
        <v/>
      </c>
      <c r="S78" s="42" t="str">
        <f t="shared" si="52"/>
        <v/>
      </c>
      <c r="T78" s="167" t="str">
        <f>IF(L78="","",VLOOKUP(L78,classifications!C:K,9,FALSE))</f>
        <v>Sparse</v>
      </c>
      <c r="U78" s="168">
        <f t="shared" si="43"/>
        <v>426.3</v>
      </c>
      <c r="V78" s="174">
        <f>IF(U78="","",IF($I$8="A",(RANK(U78,U$11:U$343)+COUNTIF(U$11:U78,U78)-1),(RANK(U78,U$11:U$343,1)+COUNTIF(U$11:U78,U78)-1)))</f>
        <v>30</v>
      </c>
      <c r="W78" s="175"/>
      <c r="X78" s="5" t="str">
        <f>IF(L78="","",VLOOKUP($L78,classifications!$C:$J,6,FALSE))</f>
        <v xml:space="preserve">Mainly Rural (rural including hub towns &gt;=80%) </v>
      </c>
      <c r="Y78">
        <f t="shared" si="44"/>
        <v>426.3</v>
      </c>
      <c r="Z78" s="40">
        <f>IF(Y78="","",IF(I$8="A",(RANK(Y78,Y$11:Y$343,1)+COUNTIF(Y$11:Y78,Y78)-1),(RANK(Y78,Y$11:Y$343)+COUNTIF(Y$11:Y78,Y78)-1)))</f>
        <v>18</v>
      </c>
      <c r="AA78" s="180" t="str">
        <f>IF(L78="","",VLOOKUP($L78,classifications!C:I,7,FALSE))</f>
        <v>Predominantly Rural</v>
      </c>
      <c r="AB78" s="174">
        <f t="shared" si="53"/>
        <v>426.3</v>
      </c>
      <c r="AC78" s="174">
        <f>IF(AB78="","",IF($I$8="A",(RANK(AB78,AB$11:AB$343)+COUNTIF(AB$11:AB78,AB78)-1),(RANK(AB78,AB$11:AB$343,1)+COUNTIF(AB$11:AB78,AB78)-1)))</f>
        <v>37</v>
      </c>
      <c r="AD78" s="174"/>
      <c r="AE78" s="36" t="str">
        <f t="shared" si="37"/>
        <v/>
      </c>
      <c r="AG78" s="15"/>
      <c r="AH78" s="3"/>
      <c r="AI78" s="5" t="str">
        <f>IF(L78="","",VLOOKUP($L78,classifications!$C:$J,8,FALSE))</f>
        <v>North Yorkshire</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Yorkshire &amp; Humberside</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550.1</v>
      </c>
    </row>
    <row r="79" spans="1:50">
      <c r="A79" s="59" t="str">
        <f>$D$1&amp;69</f>
        <v>SD69</v>
      </c>
      <c r="B79" s="60">
        <f>IF(ISERROR(VLOOKUP(A79,classifications!A:C,3,FALSE)),0,VLOOKUP(A79,classifications!A:C,3,FALSE))</f>
        <v>0</v>
      </c>
      <c r="C79" t="s">
        <v>45</v>
      </c>
      <c r="D79" t="str">
        <f>VLOOKUP($C79,classifications!$C:$J,4,FALSE)</f>
        <v>SD</v>
      </c>
      <c r="E79" t="str">
        <f>VLOOKUP(C79,classifications!C:K,9,FALSE)</f>
        <v>Sparse</v>
      </c>
      <c r="F79">
        <f t="shared" si="38"/>
        <v>426.3</v>
      </c>
      <c r="G79" s="15"/>
      <c r="H79" s="42">
        <f t="shared" si="39"/>
        <v>426.3</v>
      </c>
      <c r="I79" s="79">
        <f>IF(H79="","",IF($I$8="A",(RANK(H79,H$11:H$343,1)+COUNTIF(H$11:H79,H79)-1),(RANK(H79,H$11:H$343)+COUNTIF(H$11:H79,H79)-1)))</f>
        <v>68</v>
      </c>
      <c r="J79" s="41"/>
      <c r="K79" s="36">
        <f t="shared" si="50"/>
        <v>69</v>
      </c>
      <c r="L79" t="str">
        <f t="shared" si="40"/>
        <v>Lewes</v>
      </c>
      <c r="M79" s="117">
        <f t="shared" si="41"/>
        <v>426.3</v>
      </c>
      <c r="N79" s="112">
        <f t="shared" si="51"/>
        <v>426.3</v>
      </c>
      <c r="O79" s="96" t="str">
        <f t="shared" si="42"/>
        <v/>
      </c>
      <c r="P79" s="96">
        <f t="shared" si="57"/>
        <v>426.3</v>
      </c>
      <c r="Q79" s="96" t="str">
        <f t="shared" si="58"/>
        <v/>
      </c>
      <c r="R79" s="92" t="str">
        <f t="shared" si="59"/>
        <v/>
      </c>
      <c r="S79" s="42" t="str">
        <f t="shared" si="52"/>
        <v/>
      </c>
      <c r="T79" s="167" t="str">
        <f>IF(L79="","",VLOOKUP(L79,classifications!C:K,9,FALSE))</f>
        <v>Sparse</v>
      </c>
      <c r="U79" s="168">
        <f t="shared" si="43"/>
        <v>426.3</v>
      </c>
      <c r="V79" s="174">
        <f>IF(U79="","",IF($I$8="A",(RANK(U79,U$11:U$343)+COUNTIF(U$11:U79,U79)-1),(RANK(U79,U$11:U$343,1)+COUNTIF(U$11:U79,U79)-1)))</f>
        <v>31</v>
      </c>
      <c r="W79" s="175"/>
      <c r="X79" s="5" t="str">
        <f>IF(L79="","",VLOOKUP($L79,classifications!$C:$J,6,FALSE))</f>
        <v>Urban with Significant Rural (rural including hub towns 26-49%)</v>
      </c>
      <c r="Y79" t="str">
        <f t="shared" si="44"/>
        <v/>
      </c>
      <c r="Z79" s="40" t="str">
        <f>IF(Y79="","",IF(I$8="A",(RANK(Y79,Y$11:Y$343,1)+COUNTIF(Y$11:Y79,Y79)-1),(RANK(Y79,Y$11:Y$343)+COUNTIF(Y$11:Y79,Y79)-1)))</f>
        <v/>
      </c>
      <c r="AA79" s="180" t="str">
        <f>IF(L79="","",VLOOKUP($L79,classifications!C:I,7,FALSE))</f>
        <v>Significant Rural</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East Sussex</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South East</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426.3</v>
      </c>
    </row>
    <row r="80" spans="1:50">
      <c r="A80" s="59" t="str">
        <f>$D$1&amp;70</f>
        <v>SD70</v>
      </c>
      <c r="B80" s="60">
        <f>IF(ISERROR(VLOOKUP(A80,classifications!A:C,3,FALSE)),0,VLOOKUP(A80,classifications!A:C,3,FALSE))</f>
        <v>0</v>
      </c>
      <c r="C80" t="s">
        <v>46</v>
      </c>
      <c r="D80" t="str">
        <f>VLOOKUP($C80,classifications!$C:$J,4,FALSE)</f>
        <v>SD</v>
      </c>
      <c r="E80">
        <f>VLOOKUP(C80,classifications!C:K,9,FALSE)</f>
        <v>0</v>
      </c>
      <c r="F80">
        <f t="shared" si="38"/>
        <v>495.6</v>
      </c>
      <c r="G80" s="15"/>
      <c r="H80" s="42">
        <f t="shared" si="39"/>
        <v>495.6</v>
      </c>
      <c r="I80" s="79">
        <f>IF(H80="","",IF($I$8="A",(RANK(H80,H$11:H$343,1)+COUNTIF(H$11:H80,H80)-1),(RANK(H80,H$11:H$343)+COUNTIF(H$11:H80,H80)-1)))</f>
        <v>140</v>
      </c>
      <c r="J80" s="41"/>
      <c r="K80" s="36">
        <f t="shared" si="50"/>
        <v>70</v>
      </c>
      <c r="L80" t="str">
        <f t="shared" si="40"/>
        <v>North Norfolk</v>
      </c>
      <c r="M80" s="117">
        <f t="shared" si="41"/>
        <v>426.7</v>
      </c>
      <c r="N80" s="112">
        <f t="shared" si="51"/>
        <v>426.7</v>
      </c>
      <c r="O80" s="96" t="str">
        <f t="shared" si="42"/>
        <v/>
      </c>
      <c r="P80" s="96">
        <f t="shared" si="57"/>
        <v>426.7</v>
      </c>
      <c r="Q80" s="96" t="str">
        <f t="shared" si="58"/>
        <v/>
      </c>
      <c r="R80" s="92" t="str">
        <f t="shared" si="59"/>
        <v/>
      </c>
      <c r="S80" s="42" t="str">
        <f t="shared" si="52"/>
        <v/>
      </c>
      <c r="T80" s="167" t="str">
        <f>IF(L80="","",VLOOKUP(L80,classifications!C:K,9,FALSE))</f>
        <v>Sparse</v>
      </c>
      <c r="U80" s="168">
        <f t="shared" si="43"/>
        <v>426.7</v>
      </c>
      <c r="V80" s="174">
        <f>IF(U80="","",IF($I$8="A",(RANK(U80,U$11:U$343)+COUNTIF(U$11:U80,U80)-1),(RANK(U80,U$11:U$343,1)+COUNTIF(U$11:U80,U80)-1)))</f>
        <v>29</v>
      </c>
      <c r="W80" s="175"/>
      <c r="X80" s="5" t="str">
        <f>IF(L80="","",VLOOKUP($L80,classifications!$C:$J,6,FALSE))</f>
        <v xml:space="preserve">Mainly Rural (rural including hub towns &gt;=80%) </v>
      </c>
      <c r="Y80">
        <f t="shared" si="44"/>
        <v>426.7</v>
      </c>
      <c r="Z80" s="40">
        <f>IF(Y80="","",IF(I$8="A",(RANK(Y80,Y$11:Y$343,1)+COUNTIF(Y$11:Y80,Y80)-1),(RANK(Y80,Y$11:Y$343)+COUNTIF(Y$11:Y80,Y80)-1)))</f>
        <v>19</v>
      </c>
      <c r="AA80" s="180" t="str">
        <f>IF(L80="","",VLOOKUP($L80,classifications!C:I,7,FALSE))</f>
        <v>Predominantly Rural</v>
      </c>
      <c r="AB80" s="174">
        <f t="shared" si="53"/>
        <v>426.7</v>
      </c>
      <c r="AC80" s="174">
        <f>IF(AB80="","",IF($I$8="A",(RANK(AB80,AB$11:AB$343)+COUNTIF(AB$11:AB80,AB80)-1),(RANK(AB80,AB$11:AB$343,1)+COUNTIF(AB$11:AB80,AB80)-1)))</f>
        <v>36</v>
      </c>
      <c r="AD80" s="174"/>
      <c r="AE80" s="36" t="str">
        <f t="shared" si="37"/>
        <v/>
      </c>
      <c r="AG80" s="15"/>
      <c r="AH80" s="3"/>
      <c r="AI80" s="5" t="str">
        <f>IF(L80="","",VLOOKUP($L80,classifications!$C:$J,8,FALSE))</f>
        <v>Norfolk</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East of England</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495.6</v>
      </c>
    </row>
    <row r="81" spans="1:50">
      <c r="A81" s="59" t="str">
        <f>$D$1&amp;71</f>
        <v>SD71</v>
      </c>
      <c r="B81" s="60">
        <f>IF(ISERROR(VLOOKUP(A81,classifications!A:C,3,FALSE)),0,VLOOKUP(A81,classifications!A:C,3,FALSE))</f>
        <v>0</v>
      </c>
      <c r="C81" t="s">
        <v>202</v>
      </c>
      <c r="D81" t="str">
        <f>VLOOKUP($C81,classifications!$C:$J,4,FALSE)</f>
        <v>L</v>
      </c>
      <c r="E81">
        <f>VLOOKUP(C81,classifications!C:K,9,FALSE)</f>
        <v>0</v>
      </c>
      <c r="F81">
        <f t="shared" si="38"/>
        <v>496.4</v>
      </c>
      <c r="G81" s="15"/>
      <c r="H81" s="42" t="str">
        <f t="shared" si="39"/>
        <v/>
      </c>
      <c r="I81" s="79" t="str">
        <f>IF(H81="","",IF($I$8="A",(RANK(H81,H$11:H$343,1)+COUNTIF(H$11:H81,H81)-1),(RANK(H81,H$11:H$343)+COUNTIF(H$11:H81,H81)-1)))</f>
        <v/>
      </c>
      <c r="J81" s="41"/>
      <c r="K81" s="36">
        <f t="shared" si="50"/>
        <v>71</v>
      </c>
      <c r="L81" t="str">
        <f t="shared" si="40"/>
        <v>Harlow</v>
      </c>
      <c r="M81" s="117">
        <f t="shared" si="41"/>
        <v>427.7</v>
      </c>
      <c r="N81" s="112">
        <f t="shared" si="51"/>
        <v>427.7</v>
      </c>
      <c r="O81" s="96" t="str">
        <f t="shared" si="42"/>
        <v/>
      </c>
      <c r="P81" s="96">
        <f t="shared" si="57"/>
        <v>427.7</v>
      </c>
      <c r="Q81" s="96" t="str">
        <f t="shared" si="58"/>
        <v/>
      </c>
      <c r="R81" s="92" t="str">
        <f t="shared" si="59"/>
        <v/>
      </c>
      <c r="S81" s="42" t="str">
        <f t="shared" si="52"/>
        <v/>
      </c>
      <c r="T81" s="167">
        <f>IF(L81="","",VLOOKUP(L81,classifications!C:K,9,FALSE))</f>
        <v>0</v>
      </c>
      <c r="U81" s="168" t="str">
        <f t="shared" si="43"/>
        <v/>
      </c>
      <c r="V81" s="174" t="str">
        <f>IF(U81="","",IF($I$8="A",(RANK(U81,U$11:U$343)+COUNTIF(U$11:U81,U81)-1),(RANK(U81,U$11:U$343,1)+COUNTIF(U$11:U81,U81)-1)))</f>
        <v/>
      </c>
      <c r="W81" s="175"/>
      <c r="X81" s="5" t="str">
        <f>IF(L81="","",VLOOKUP($L81,classifications!$C:$J,6,FALSE))</f>
        <v>Urban with City and Town</v>
      </c>
      <c r="Y81" t="str">
        <f t="shared" si="44"/>
        <v/>
      </c>
      <c r="Z81" s="40" t="str">
        <f>IF(Y81="","",IF(I$8="A",(RANK(Y81,Y$11:Y$343,1)+COUNTIF(Y$11:Y81,Y81)-1),(RANK(Y81,Y$11:Y$343)+COUNTIF(Y$11:Y81,Y81)-1)))</f>
        <v/>
      </c>
      <c r="AA81" s="180" t="str">
        <f>IF(L81="","",VLOOKUP($L81,classifications!C:I,7,FALSE))</f>
        <v>Predominantly Urban</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Essex</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East of England</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496.4</v>
      </c>
    </row>
    <row r="82" spans="1:50">
      <c r="A82" s="59" t="str">
        <f>$D$1&amp;72</f>
        <v>SD72</v>
      </c>
      <c r="B82" s="60">
        <f>IF(ISERROR(VLOOKUP(A82,classifications!A:C,3,FALSE)),0,VLOOKUP(A82,classifications!A:C,3,FALSE))</f>
        <v>0</v>
      </c>
      <c r="C82" t="s">
        <v>307</v>
      </c>
      <c r="D82" t="str">
        <f>VLOOKUP($C82,classifications!$C:$J,4,FALSE)</f>
        <v>SC</v>
      </c>
      <c r="E82" t="str">
        <f>VLOOKUP(C82,classifications!C:K,9,FALSE)</f>
        <v>Sparse</v>
      </c>
      <c r="F82">
        <f t="shared" si="38"/>
        <v>456.5</v>
      </c>
      <c r="G82" s="15"/>
      <c r="H82" s="42" t="str">
        <f t="shared" si="39"/>
        <v/>
      </c>
      <c r="I82" s="79" t="str">
        <f>IF(H82="","",IF($I$8="A",(RANK(H82,H$11:H$343,1)+COUNTIF(H$11:H82,H82)-1),(RANK(H82,H$11:H$343)+COUNTIF(H$11:H82,H82)-1)))</f>
        <v/>
      </c>
      <c r="J82" s="41"/>
      <c r="K82" s="36">
        <f t="shared" si="50"/>
        <v>72</v>
      </c>
      <c r="L82" t="str">
        <f t="shared" si="40"/>
        <v>Oadby &amp; Wigston</v>
      </c>
      <c r="M82" s="117">
        <f t="shared" si="41"/>
        <v>428.6</v>
      </c>
      <c r="N82" s="112">
        <f t="shared" si="51"/>
        <v>428.6</v>
      </c>
      <c r="O82" s="96" t="str">
        <f t="shared" si="42"/>
        <v/>
      </c>
      <c r="P82" s="96">
        <f t="shared" si="57"/>
        <v>428.6</v>
      </c>
      <c r="Q82" s="96" t="str">
        <f t="shared" si="58"/>
        <v/>
      </c>
      <c r="R82" s="92" t="str">
        <f t="shared" si="59"/>
        <v/>
      </c>
      <c r="S82" s="42" t="str">
        <f t="shared" si="52"/>
        <v/>
      </c>
      <c r="T82" s="167">
        <f>IF(L82="","",VLOOKUP(L82,classifications!C:K,9,FALSE))</f>
        <v>0</v>
      </c>
      <c r="U82" s="168" t="str">
        <f t="shared" si="43"/>
        <v/>
      </c>
      <c r="V82" s="174" t="str">
        <f>IF(U82="","",IF($I$8="A",(RANK(U82,U$11:U$343)+COUNTIF(U$11:U82,U82)-1),(RANK(U82,U$11:U$343,1)+COUNTIF(U$11:U82,U82)-1)))</f>
        <v/>
      </c>
      <c r="W82" s="175"/>
      <c r="X82" s="5" t="str">
        <f>IF(L82="","",VLOOKUP($L82,classifications!$C:$J,6,FALSE))</f>
        <v>Urban with City and Town</v>
      </c>
      <c r="Y82" t="str">
        <f t="shared" si="44"/>
        <v/>
      </c>
      <c r="Z82" s="40" t="str">
        <f>IF(Y82="","",IF(I$8="A",(RANK(Y82,Y$11:Y$343,1)+COUNTIF(Y$11:Y82,Y82)-1),(RANK(Y82,Y$11:Y$343)+COUNTIF(Y$11:Y82,Y82)-1)))</f>
        <v/>
      </c>
      <c r="AA82" s="180" t="str">
        <f>IF(L82="","",VLOOKUP($L82,classifications!C:I,7,FALSE))</f>
        <v>Predominantly Urban</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Leicestershire</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East Midlands</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456.5</v>
      </c>
    </row>
    <row r="83" spans="1:50">
      <c r="A83" s="59" t="str">
        <f>$D$1&amp;73</f>
        <v>SD73</v>
      </c>
      <c r="B83" s="60">
        <f>IF(ISERROR(VLOOKUP(A83,classifications!A:C,3,FALSE)),0,VLOOKUP(A83,classifications!A:C,3,FALSE))</f>
        <v>0</v>
      </c>
      <c r="C83" t="s">
        <v>47</v>
      </c>
      <c r="D83" t="str">
        <f>VLOOKUP($C83,classifications!$C:$J,4,FALSE)</f>
        <v>SD</v>
      </c>
      <c r="E83">
        <f>VLOOKUP(C83,classifications!C:K,9,FALSE)</f>
        <v>0</v>
      </c>
      <c r="F83">
        <f t="shared" si="38"/>
        <v>411.8</v>
      </c>
      <c r="G83" s="15"/>
      <c r="H83" s="42">
        <f t="shared" si="39"/>
        <v>411.8</v>
      </c>
      <c r="I83" s="79">
        <f>IF(H83="","",IF($I$8="A",(RANK(H83,H$11:H$343,1)+COUNTIF(H$11:H83,H83)-1),(RANK(H83,H$11:H$343)+COUNTIF(H$11:H83,H83)-1)))</f>
        <v>56</v>
      </c>
      <c r="J83" s="41"/>
      <c r="K83" s="36">
        <f t="shared" si="50"/>
        <v>73</v>
      </c>
      <c r="L83" t="str">
        <f t="shared" si="40"/>
        <v>Worthing</v>
      </c>
      <c r="M83" s="117">
        <f t="shared" si="41"/>
        <v>428.8</v>
      </c>
      <c r="N83" s="112">
        <f t="shared" si="51"/>
        <v>428.8</v>
      </c>
      <c r="O83" s="96" t="str">
        <f t="shared" si="42"/>
        <v/>
      </c>
      <c r="P83" s="96">
        <f t="shared" si="57"/>
        <v>428.8</v>
      </c>
      <c r="Q83" s="96" t="str">
        <f t="shared" si="58"/>
        <v/>
      </c>
      <c r="R83" s="92" t="str">
        <f t="shared" si="59"/>
        <v/>
      </c>
      <c r="S83" s="42" t="str">
        <f t="shared" si="52"/>
        <v/>
      </c>
      <c r="T83" s="167">
        <f>IF(L83="","",VLOOKUP(L83,classifications!C:K,9,FALSE))</f>
        <v>0</v>
      </c>
      <c r="U83" s="168" t="str">
        <f t="shared" si="43"/>
        <v/>
      </c>
      <c r="V83" s="174" t="str">
        <f>IF(U83="","",IF($I$8="A",(RANK(U83,U$11:U$343)+COUNTIF(U$11:U83,U83)-1),(RANK(U83,U$11:U$343,1)+COUNTIF(U$11:U83,U83)-1)))</f>
        <v/>
      </c>
      <c r="W83" s="175"/>
      <c r="X83" s="5" t="str">
        <f>IF(L83="","",VLOOKUP($L83,classifications!$C:$J,6,FALSE))</f>
        <v>Urban with City and Town</v>
      </c>
      <c r="Y83" t="str">
        <f t="shared" si="44"/>
        <v/>
      </c>
      <c r="Z83" s="40" t="str">
        <f>IF(Y83="","",IF(I$8="A",(RANK(Y83,Y$11:Y$343,1)+COUNTIF(Y$11:Y83,Y83)-1),(RANK(Y83,Y$11:Y$343)+COUNTIF(Y$11:Y83,Y83)-1)))</f>
        <v/>
      </c>
      <c r="AA83" s="180" t="str">
        <f>IF(L83="","",VLOOKUP($L83,classifications!C:I,7,FALSE))</f>
        <v>Predominantly Urban</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West Sussex</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South East</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411.8</v>
      </c>
    </row>
    <row r="84" spans="1:50">
      <c r="A84" s="59" t="str">
        <f>$D$1&amp;74</f>
        <v>SD74</v>
      </c>
      <c r="B84" s="60">
        <f>IF(ISERROR(VLOOKUP(A84,classifications!A:C,3,FALSE)),0,VLOOKUP(A84,classifications!A:C,3,FALSE))</f>
        <v>0</v>
      </c>
      <c r="C84" t="s">
        <v>265</v>
      </c>
      <c r="D84" t="str">
        <f>VLOOKUP($C84,classifications!$C:$J,4,FALSE)</f>
        <v>UA</v>
      </c>
      <c r="E84">
        <f>VLOOKUP(C84,classifications!C:K,9,FALSE)</f>
        <v>0</v>
      </c>
      <c r="F84">
        <f t="shared" si="38"/>
        <v>575.1</v>
      </c>
      <c r="G84" s="15"/>
      <c r="H84" s="42" t="str">
        <f t="shared" si="39"/>
        <v/>
      </c>
      <c r="I84" s="79" t="str">
        <f>IF(H84="","",IF($I$8="A",(RANK(H84,H$11:H$343,1)+COUNTIF(H$11:H84,H84)-1),(RANK(H84,H$11:H$343)+COUNTIF(H$11:H84,H84)-1)))</f>
        <v/>
      </c>
      <c r="J84" s="41"/>
      <c r="K84" s="36">
        <f t="shared" si="50"/>
        <v>74</v>
      </c>
      <c r="L84" t="str">
        <f t="shared" si="40"/>
        <v>Rugby</v>
      </c>
      <c r="M84" s="117">
        <f t="shared" si="41"/>
        <v>430.1</v>
      </c>
      <c r="N84" s="112">
        <f t="shared" si="51"/>
        <v>430.1</v>
      </c>
      <c r="O84" s="96" t="str">
        <f t="shared" si="42"/>
        <v/>
      </c>
      <c r="P84" s="96">
        <f t="shared" si="57"/>
        <v>430.1</v>
      </c>
      <c r="Q84" s="96" t="str">
        <f t="shared" si="58"/>
        <v/>
      </c>
      <c r="R84" s="92" t="str">
        <f t="shared" si="59"/>
        <v/>
      </c>
      <c r="S84" s="42" t="str">
        <f t="shared" si="52"/>
        <v/>
      </c>
      <c r="T84" s="167" t="str">
        <f>IF(L84="","",VLOOKUP(L84,classifications!C:K,9,FALSE))</f>
        <v>Sparse</v>
      </c>
      <c r="U84" s="168">
        <f t="shared" si="43"/>
        <v>430.1</v>
      </c>
      <c r="V84" s="174">
        <f>IF(U84="","",IF($I$8="A",(RANK(U84,U$11:U$343)+COUNTIF(U$11:U84,U84)-1),(RANK(U84,U$11:U$343,1)+COUNTIF(U$11:U84,U84)-1)))</f>
        <v>28</v>
      </c>
      <c r="W84" s="175"/>
      <c r="X84" s="5" t="str">
        <f>IF(L84="","",VLOOKUP($L84,classifications!$C:$J,6,FALSE))</f>
        <v>Urban with City and Town</v>
      </c>
      <c r="Y84" t="str">
        <f t="shared" si="44"/>
        <v/>
      </c>
      <c r="Z84" s="40" t="str">
        <f>IF(Y84="","",IF(I$8="A",(RANK(Y84,Y$11:Y$343,1)+COUNTIF(Y$11:Y84,Y84)-1),(RANK(Y84,Y$11:Y$343)+COUNTIF(Y$11:Y84,Y84)-1)))</f>
        <v/>
      </c>
      <c r="AA84" s="180" t="str">
        <f>IF(L84="","",VLOOKUP($L84,classifications!C:I,7,FALSE))</f>
        <v>Predominantly Urban</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Warwickshire</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West Midlands</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575.1</v>
      </c>
    </row>
    <row r="85" spans="1:50">
      <c r="A85" s="59" t="str">
        <f>$D$1&amp;75</f>
        <v>SD75</v>
      </c>
      <c r="B85" s="60">
        <f>IF(ISERROR(VLOOKUP(A85,classifications!A:C,3,FALSE)),0,VLOOKUP(A85,classifications!A:C,3,FALSE))</f>
        <v>0</v>
      </c>
      <c r="C85" t="s">
        <v>48</v>
      </c>
      <c r="D85" t="str">
        <f>VLOOKUP($C85,classifications!$C:$J,4,FALSE)</f>
        <v>SD</v>
      </c>
      <c r="E85">
        <f>VLOOKUP(C85,classifications!C:K,9,FALSE)</f>
        <v>0</v>
      </c>
      <c r="F85">
        <f t="shared" si="38"/>
        <v>612.9</v>
      </c>
      <c r="G85" s="15"/>
      <c r="H85" s="42">
        <f t="shared" si="39"/>
        <v>612.9</v>
      </c>
      <c r="I85" s="79">
        <f>IF(H85="","",IF($I$8="A",(RANK(H85,H$11:H$343,1)+COUNTIF(H$11:H85,H85)-1),(RANK(H85,H$11:H$343)+COUNTIF(H$11:H85,H85)-1)))</f>
        <v>175</v>
      </c>
      <c r="J85" s="41"/>
      <c r="K85" s="36">
        <f t="shared" si="50"/>
        <v>75</v>
      </c>
      <c r="L85" t="str">
        <f t="shared" si="40"/>
        <v>Worcester</v>
      </c>
      <c r="M85" s="117">
        <f t="shared" si="41"/>
        <v>431.4</v>
      </c>
      <c r="N85" s="112">
        <f t="shared" si="51"/>
        <v>431.4</v>
      </c>
      <c r="O85" s="96" t="str">
        <f t="shared" si="42"/>
        <v/>
      </c>
      <c r="P85" s="96">
        <f t="shared" si="57"/>
        <v>431.4</v>
      </c>
      <c r="Q85" s="96" t="str">
        <f t="shared" si="58"/>
        <v/>
      </c>
      <c r="R85" s="92" t="str">
        <f t="shared" si="59"/>
        <v/>
      </c>
      <c r="S85" s="42" t="str">
        <f t="shared" si="52"/>
        <v/>
      </c>
      <c r="T85" s="167">
        <f>IF(L85="","",VLOOKUP(L85,classifications!C:K,9,FALSE))</f>
        <v>0</v>
      </c>
      <c r="U85" s="168" t="str">
        <f t="shared" si="43"/>
        <v/>
      </c>
      <c r="V85" s="174" t="str">
        <f>IF(U85="","",IF($I$8="A",(RANK(U85,U$11:U$343)+COUNTIF(U$11:U85,U85)-1),(RANK(U85,U$11:U$343,1)+COUNTIF(U$11:U85,U85)-1)))</f>
        <v/>
      </c>
      <c r="W85" s="175"/>
      <c r="X85" s="5" t="str">
        <f>IF(L85="","",VLOOKUP($L85,classifications!$C:$J,6,FALSE))</f>
        <v>Urban with City and Town</v>
      </c>
      <c r="Y85" t="str">
        <f t="shared" si="44"/>
        <v/>
      </c>
      <c r="Z85" s="40" t="str">
        <f>IF(Y85="","",IF(I$8="A",(RANK(Y85,Y$11:Y$343,1)+COUNTIF(Y$11:Y85,Y85)-1),(RANK(Y85,Y$11:Y$343)+COUNTIF(Y$11:Y85,Y85)-1)))</f>
        <v/>
      </c>
      <c r="AA85" s="180" t="str">
        <f>IF(L85="","",VLOOKUP($L85,classifications!C:I,7,FALSE))</f>
        <v>Predominantly Urban</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Worcestershire</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West Midlands</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612.9</v>
      </c>
    </row>
    <row r="86" spans="1:50">
      <c r="A86" s="59" t="str">
        <f>$D$1&amp;76</f>
        <v>SD76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534.9</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South Ribble</v>
      </c>
      <c r="M86" s="117">
        <f t="shared" ref="M86:M149" si="64">IF(L86="","",IF(VLOOKUP(L86,C:D,2,FALSE)=$F$3,VLOOKUP(L86,C:H,6,FALSE),""))</f>
        <v>431.5</v>
      </c>
      <c r="N86" s="112">
        <f t="shared" ref="N86:N149" si="65">IF(L86="","",IF($H$8="%%",M86*100,M86))</f>
        <v>431.5</v>
      </c>
      <c r="O86" s="96" t="str">
        <f t="shared" ref="O86:O149" si="66">IF(I$8="A",IF(N86&gt;=$P$7,IF(N86&lt;=$O$10,N86,""),""),IF(N86&lt;=$P$7,IF(N86&gt;=$O$10,N86,""),""))</f>
        <v/>
      </c>
      <c r="P86" s="96">
        <f t="shared" ref="P86:P149" si="67">IF(I$8="A",IF(N86&gt;$O$10,IF(N86&lt;=$P$10,N86,""),""),IF(N86&lt;$O$10,IF(N86&gt;=$P$10,N86,""),""))</f>
        <v>431.5</v>
      </c>
      <c r="Q86" s="96" t="str">
        <f t="shared" ref="Q86:Q149" si="68">IF(I$8="A",IF(N86&gt;$P$10,IF(N86&lt;=$Q$10,N86,""),""),IF(N86&lt;$P$10,IF(N86&gt;=$Q$10,N86,""),""))</f>
        <v/>
      </c>
      <c r="R86" s="92" t="str">
        <f t="shared" ref="R86:R149" si="69">IF(I$8="A",IF(N86&gt;$Q$10,N86,""),IF(N86&lt;$Q$10,N86,""))</f>
        <v/>
      </c>
      <c r="S86" s="42" t="str">
        <f t="shared" ref="S86:S149" si="70">IF(L86=D$3,"u","")</f>
        <v/>
      </c>
      <c r="T86" s="167">
        <f>IF(L86="","",VLOOKUP(L86,classifications!C:K,9,FALSE))</f>
        <v>0</v>
      </c>
      <c r="U86" s="168" t="str">
        <f t="shared" ref="U86:U149" si="71">IF(T86="Sparse",M86,"")</f>
        <v/>
      </c>
      <c r="V86" s="174" t="str">
        <f>IF(U86="","",IF($I$8="A",(RANK(U86,U$11:U$343)+COUNTIF(U$11:U86,U86)-1),(RANK(U86,U$11:U$343,1)+COUNTIF(U$11:U86,U86)-1)))</f>
        <v/>
      </c>
      <c r="W86" s="175"/>
      <c r="X86" s="5" t="str">
        <f>IF(L86="","",VLOOKUP($L86,classifications!$C:$J,6,FALSE))</f>
        <v>Urban with City and Town</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Predominantly Urban</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Lancashire</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North West</v>
      </c>
      <c r="AQ86" s="43">
        <f t="shared" ref="AQ86:AQ149" si="79">IF(AP86=$G$3,$M86,"")</f>
        <v>431.5</v>
      </c>
      <c r="AR86" s="40">
        <f>IF(AQ86="","",IF(I$8="A",(RANK(AQ86,AQ$11:AQ$343,1)+COUNTIF(AQ$11:AQ86,AQ86)-1),(RANK(AQ86,AQ$11:AQ$343)+COUNTIF(AQ$11:AQ86,AQ86)-1)))</f>
        <v>2</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534.9</v>
      </c>
    </row>
    <row r="87" spans="1:50">
      <c r="A87" s="59" t="str">
        <f>$D$1&amp;77</f>
        <v>SD77</v>
      </c>
      <c r="B87" s="60">
        <f>IF(ISERROR(VLOOKUP(A88,classifications!A:C,3,FALSE)),0,VLOOKUP(A88,classifications!A:C,3,FALSE))</f>
        <v>0</v>
      </c>
      <c r="C87" t="s">
        <v>308</v>
      </c>
      <c r="D87" t="str">
        <f>VLOOKUP($C87,classifications!$C:$J,4,FALSE)</f>
        <v>SC</v>
      </c>
      <c r="E87">
        <f>VLOOKUP(C87,classifications!C:K,9,FALSE)</f>
        <v>0</v>
      </c>
      <c r="F87">
        <f t="shared" si="60"/>
        <v>498.6</v>
      </c>
      <c r="G87" s="15"/>
      <c r="H87" s="42" t="str">
        <f t="shared" si="61"/>
        <v/>
      </c>
      <c r="I87" s="79" t="str">
        <f>IF(H87="","",IF($I$8="A",(RANK(H87,H$11:H$343,1)+COUNTIF(H$11:H87,H87)-1),(RANK(H87,H$11:H$343)+COUNTIF(H$11:H87,H87)-1)))</f>
        <v/>
      </c>
      <c r="J87" s="41"/>
      <c r="K87" s="36">
        <f t="shared" si="62"/>
        <v>77</v>
      </c>
      <c r="L87" t="str">
        <f t="shared" si="63"/>
        <v>Arun</v>
      </c>
      <c r="M87" s="117">
        <f t="shared" si="64"/>
        <v>431.8</v>
      </c>
      <c r="N87" s="112">
        <f t="shared" si="65"/>
        <v>431.8</v>
      </c>
      <c r="O87" s="96" t="str">
        <f t="shared" si="66"/>
        <v/>
      </c>
      <c r="P87" s="96">
        <f t="shared" si="67"/>
        <v>431.8</v>
      </c>
      <c r="Q87" s="96" t="str">
        <f t="shared" si="68"/>
        <v/>
      </c>
      <c r="R87" s="92" t="str">
        <f t="shared" si="69"/>
        <v/>
      </c>
      <c r="S87" s="42" t="str">
        <f t="shared" si="70"/>
        <v/>
      </c>
      <c r="T87" s="167">
        <f>IF(L87="","",VLOOKUP(L87,classifications!C:K,9,FALSE))</f>
        <v>0</v>
      </c>
      <c r="U87" s="168" t="str">
        <f t="shared" si="71"/>
        <v/>
      </c>
      <c r="V87" s="174" t="str">
        <f>IF(U87="","",IF($I$8="A",(RANK(U87,U$11:U$343)+COUNTIF(U$11:U87,U87)-1),(RANK(U87,U$11:U$343,1)+COUNTIF(U$11:U87,U87)-1)))</f>
        <v/>
      </c>
      <c r="W87" s="175"/>
      <c r="X87" s="5" t="str">
        <f>IF(L87="","",VLOOKUP($L87,classifications!$C:$J,6,FALSE))</f>
        <v>Urban with City and Town</v>
      </c>
      <c r="Y87" t="str">
        <f t="shared" si="72"/>
        <v/>
      </c>
      <c r="Z87" s="40" t="str">
        <f>IF(Y87="","",IF(I$8="A",(RANK(Y87,Y$11:Y$343,1)+COUNTIF(Y$11:Y87,Y87)-1),(RANK(Y87,Y$11:Y$343)+COUNTIF(Y$11:Y87,Y87)-1)))</f>
        <v/>
      </c>
      <c r="AA87" s="180" t="str">
        <f>IF(L87="","",VLOOKUP($L87,classifications!C:I,7,FALSE))</f>
        <v>Predominantly Urban</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West Sussex</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South East</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498.6</v>
      </c>
    </row>
    <row r="88" spans="1:50">
      <c r="A88" s="59" t="str">
        <f>$D$1&amp;78</f>
        <v>SD78</v>
      </c>
      <c r="B88" s="60">
        <f>IF(ISERROR(VLOOKUP(A89,classifications!A:C,3,FALSE)),0,VLOOKUP(A89,classifications!A:C,3,FALSE))</f>
        <v>0</v>
      </c>
      <c r="C88" t="s">
        <v>50</v>
      </c>
      <c r="D88" t="str">
        <f>VLOOKUP($C88,classifications!$C:$J,4,FALSE)</f>
        <v>SD</v>
      </c>
      <c r="E88" t="str">
        <f>VLOOKUP(C88,classifications!C:K,9,FALSE)</f>
        <v>Sparse</v>
      </c>
      <c r="F88">
        <f t="shared" si="60"/>
        <v>334.5</v>
      </c>
      <c r="G88" s="15"/>
      <c r="H88" s="42">
        <f t="shared" si="61"/>
        <v>334.5</v>
      </c>
      <c r="I88" s="79">
        <f>IF(H88="","",IF($I$8="A",(RANK(H88,H$11:H$343,1)+COUNTIF(H$11:H88,H88)-1),(RANK(H88,H$11:H$343)+COUNTIF(H$11:H88,H88)-1)))</f>
        <v>14</v>
      </c>
      <c r="J88" s="41"/>
      <c r="K88" s="36">
        <f t="shared" si="62"/>
        <v>78</v>
      </c>
      <c r="L88" t="str">
        <f t="shared" si="63"/>
        <v>Eastleigh</v>
      </c>
      <c r="M88" s="117">
        <f t="shared" si="64"/>
        <v>431.9</v>
      </c>
      <c r="N88" s="112">
        <f t="shared" si="65"/>
        <v>431.9</v>
      </c>
      <c r="O88" s="96" t="str">
        <f t="shared" si="66"/>
        <v/>
      </c>
      <c r="P88" s="96">
        <f t="shared" si="67"/>
        <v>431.9</v>
      </c>
      <c r="Q88" s="96" t="str">
        <f t="shared" si="68"/>
        <v/>
      </c>
      <c r="R88" s="92" t="str">
        <f t="shared" si="69"/>
        <v/>
      </c>
      <c r="S88" s="42" t="str">
        <f t="shared" si="70"/>
        <v/>
      </c>
      <c r="T88" s="167">
        <f>IF(L88="","",VLOOKUP(L88,classifications!C:K,9,FALSE))</f>
        <v>0</v>
      </c>
      <c r="U88" s="168" t="str">
        <f t="shared" si="71"/>
        <v/>
      </c>
      <c r="V88" s="174" t="str">
        <f>IF(U88="","",IF($I$8="A",(RANK(U88,U$11:U$343)+COUNTIF(U$11:U88,U88)-1),(RANK(U88,U$11:U$343,1)+COUNTIF(U$11:U88,U88)-1)))</f>
        <v/>
      </c>
      <c r="W88" s="175"/>
      <c r="X88" s="5" t="str">
        <f>IF(L88="","",VLOOKUP($L88,classifications!$C:$J,6,FALSE))</f>
        <v>Urban with City and Town</v>
      </c>
      <c r="Y88" t="str">
        <f t="shared" si="72"/>
        <v/>
      </c>
      <c r="Z88" s="40" t="str">
        <f>IF(Y88="","",IF(I$8="A",(RANK(Y88,Y$11:Y$343,1)+COUNTIF(Y$11:Y88,Y88)-1),(RANK(Y88,Y$11:Y$343)+COUNTIF(Y$11:Y88,Y88)-1)))</f>
        <v/>
      </c>
      <c r="AA88" s="180" t="str">
        <f>IF(L88="","",VLOOKUP($L88,classifications!C:I,7,FALSE))</f>
        <v>Predominantly Urban</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Hampshire</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South East</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334.5</v>
      </c>
    </row>
    <row r="89" spans="1:50">
      <c r="A89" s="59" t="str">
        <f>$D$1&amp;79</f>
        <v>SD79</v>
      </c>
      <c r="B89" s="60">
        <f>IF(ISERROR(VLOOKUP(A90,classifications!A:C,3,FALSE)),0,VLOOKUP(A90,classifications!A:C,3,FALSE))</f>
        <v>0</v>
      </c>
      <c r="C89" t="s">
        <v>309</v>
      </c>
      <c r="D89" t="str">
        <f>VLOOKUP($C89,classifications!$C:$J,4,FALSE)</f>
        <v>SC</v>
      </c>
      <c r="E89" t="str">
        <f>VLOOKUP(C89,classifications!C:K,9,FALSE)</f>
        <v>Sparse</v>
      </c>
      <c r="F89">
        <f t="shared" si="60"/>
        <v>401.5</v>
      </c>
      <c r="G89" s="15"/>
      <c r="H89" s="42" t="str">
        <f t="shared" si="61"/>
        <v/>
      </c>
      <c r="I89" s="79" t="str">
        <f>IF(H89="","",IF($I$8="A",(RANK(H89,H$11:H$343,1)+COUNTIF(H$11:H89,H89)-1),(RANK(H89,H$11:H$343)+COUNTIF(H$11:H89,H89)-1)))</f>
        <v/>
      </c>
      <c r="J89" s="41"/>
      <c r="K89" s="36">
        <f t="shared" si="62"/>
        <v>79</v>
      </c>
      <c r="L89" t="str">
        <f t="shared" si="63"/>
        <v>Epping Forest</v>
      </c>
      <c r="M89" s="117">
        <f t="shared" si="64"/>
        <v>432</v>
      </c>
      <c r="N89" s="112">
        <f t="shared" si="65"/>
        <v>432</v>
      </c>
      <c r="O89" s="96" t="str">
        <f t="shared" si="66"/>
        <v/>
      </c>
      <c r="P89" s="96">
        <f t="shared" si="67"/>
        <v>432</v>
      </c>
      <c r="Q89" s="96" t="str">
        <f t="shared" si="68"/>
        <v/>
      </c>
      <c r="R89" s="92" t="str">
        <f t="shared" si="69"/>
        <v/>
      </c>
      <c r="S89" s="42" t="str">
        <f t="shared" si="70"/>
        <v/>
      </c>
      <c r="T89" s="167">
        <f>IF(L89="","",VLOOKUP(L89,classifications!C:K,9,FALSE))</f>
        <v>0</v>
      </c>
      <c r="U89" s="168" t="str">
        <f t="shared" si="71"/>
        <v/>
      </c>
      <c r="V89" s="174" t="str">
        <f>IF(U89="","",IF($I$8="A",(RANK(U89,U$11:U$343)+COUNTIF(U$11:U89,U89)-1),(RANK(U89,U$11:U$343,1)+COUNTIF(U$11:U89,U89)-1)))</f>
        <v/>
      </c>
      <c r="W89" s="175"/>
      <c r="X89" s="5" t="str">
        <f>IF(L89="","",VLOOKUP($L89,classifications!$C:$J,6,FALSE))</f>
        <v>Urban with Significant Rural (rural including hub towns 26-49%)</v>
      </c>
      <c r="Y89" t="str">
        <f t="shared" si="72"/>
        <v/>
      </c>
      <c r="Z89" s="40" t="str">
        <f>IF(Y89="","",IF(I$8="A",(RANK(Y89,Y$11:Y$343,1)+COUNTIF(Y$11:Y89,Y89)-1),(RANK(Y89,Y$11:Y$343)+COUNTIF(Y$11:Y89,Y89)-1)))</f>
        <v/>
      </c>
      <c r="AA89" s="180" t="str">
        <f>IF(L89="","",VLOOKUP($L89,classifications!C:I,7,FALSE))</f>
        <v>Significant Rural</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Essex</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East of England</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401.5</v>
      </c>
    </row>
    <row r="90" spans="1:50">
      <c r="A90" s="59" t="str">
        <f>$D$1&amp;80</f>
        <v>SD80</v>
      </c>
      <c r="B90" s="60">
        <f>IF(ISERROR(VLOOKUP(A91,classifications!A:C,3,FALSE)),0,VLOOKUP(A91,classifications!A:C,3,FALSE))</f>
        <v>0</v>
      </c>
      <c r="C90" t="s">
        <v>230</v>
      </c>
      <c r="D90" t="str">
        <f>VLOOKUP($C90,classifications!$C:$J,4,FALSE)</f>
        <v>MD</v>
      </c>
      <c r="E90">
        <f>VLOOKUP(C90,classifications!C:K,9,FALSE)</f>
        <v>0</v>
      </c>
      <c r="F90">
        <f t="shared" si="60"/>
        <v>527.20000000000005</v>
      </c>
      <c r="G90" s="15"/>
      <c r="H90" s="42" t="str">
        <f t="shared" si="61"/>
        <v/>
      </c>
      <c r="I90" s="79" t="str">
        <f>IF(H90="","",IF($I$8="A",(RANK(H90,H$11:H$343,1)+COUNTIF(H$11:H90,H90)-1),(RANK(H90,H$11:H$343)+COUNTIF(H$11:H90,H90)-1)))</f>
        <v/>
      </c>
      <c r="J90" s="41"/>
      <c r="K90" s="36">
        <f t="shared" si="62"/>
        <v>80</v>
      </c>
      <c r="L90" t="str">
        <f t="shared" si="63"/>
        <v>Castle Point</v>
      </c>
      <c r="M90" s="117">
        <f t="shared" si="64"/>
        <v>435.7</v>
      </c>
      <c r="N90" s="112">
        <f t="shared" si="65"/>
        <v>435.7</v>
      </c>
      <c r="O90" s="96" t="str">
        <f t="shared" si="66"/>
        <v/>
      </c>
      <c r="P90" s="96">
        <f t="shared" si="67"/>
        <v>435.7</v>
      </c>
      <c r="Q90" s="96" t="str">
        <f t="shared" si="68"/>
        <v/>
      </c>
      <c r="R90" s="92" t="str">
        <f t="shared" si="69"/>
        <v/>
      </c>
      <c r="S90" s="42" t="str">
        <f t="shared" si="70"/>
        <v/>
      </c>
      <c r="T90" s="167">
        <f>IF(L90="","",VLOOKUP(L90,classifications!C:K,9,FALSE))</f>
        <v>0</v>
      </c>
      <c r="U90" s="168" t="str">
        <f t="shared" si="71"/>
        <v/>
      </c>
      <c r="V90" s="174" t="str">
        <f>IF(U90="","",IF($I$8="A",(RANK(U90,U$11:U$343)+COUNTIF(U$11:U90,U90)-1),(RANK(U90,U$11:U$343,1)+COUNTIF(U$11:U90,U90)-1)))</f>
        <v/>
      </c>
      <c r="W90" s="175"/>
      <c r="X90" s="5" t="str">
        <f>IF(L90="","",VLOOKUP($L90,classifications!$C:$J,6,FALSE))</f>
        <v>Urban with City and Town</v>
      </c>
      <c r="Y90" t="str">
        <f t="shared" si="72"/>
        <v/>
      </c>
      <c r="Z90" s="40" t="str">
        <f>IF(Y90="","",IF(I$8="A",(RANK(Y90,Y$11:Y$343,1)+COUNTIF(Y$11:Y90,Y90)-1),(RANK(Y90,Y$11:Y$343)+COUNTIF(Y$11:Y90,Y90)-1)))</f>
        <v/>
      </c>
      <c r="AA90" s="180" t="str">
        <f>IF(L90="","",VLOOKUP($L90,classifications!C:I,7,FALSE))</f>
        <v>Predominantly Urban</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Essex</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East of England</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527.20000000000005</v>
      </c>
    </row>
    <row r="91" spans="1:50">
      <c r="A91" s="59" t="str">
        <f>$D$1&amp;81</f>
        <v>SD81</v>
      </c>
      <c r="B91" s="60">
        <f>IF(ISERROR(VLOOKUP(A92,classifications!A:C,3,FALSE)),0,VLOOKUP(A92,classifications!A:C,3,FALSE))</f>
        <v>0</v>
      </c>
      <c r="C91" t="s">
        <v>310</v>
      </c>
      <c r="D91" t="str">
        <f>VLOOKUP($C91,classifications!$C:$J,4,FALSE)</f>
        <v>UA</v>
      </c>
      <c r="E91">
        <f>VLOOKUP(C91,classifications!C:K,9,FALSE)</f>
        <v>0</v>
      </c>
      <c r="F91">
        <f t="shared" si="60"/>
        <v>377.9</v>
      </c>
      <c r="G91" s="15"/>
      <c r="H91" s="42" t="str">
        <f t="shared" si="61"/>
        <v/>
      </c>
      <c r="I91" s="79" t="str">
        <f>IF(H91="","",IF($I$8="A",(RANK(H91,H$11:H$343,1)+COUNTIF(H$11:H91,H91)-1),(RANK(H91,H$11:H$343)+COUNTIF(H$11:H91,H91)-1)))</f>
        <v/>
      </c>
      <c r="J91" s="41"/>
      <c r="K91" s="36">
        <f t="shared" si="62"/>
        <v>81</v>
      </c>
      <c r="L91" t="str">
        <f t="shared" si="63"/>
        <v>Hyndburn</v>
      </c>
      <c r="M91" s="117">
        <f t="shared" si="64"/>
        <v>435.7</v>
      </c>
      <c r="N91" s="112">
        <f t="shared" si="65"/>
        <v>435.7</v>
      </c>
      <c r="O91" s="96" t="str">
        <f t="shared" si="66"/>
        <v/>
      </c>
      <c r="P91" s="96">
        <f t="shared" si="67"/>
        <v>435.7</v>
      </c>
      <c r="Q91" s="96" t="str">
        <f t="shared" si="68"/>
        <v/>
      </c>
      <c r="R91" s="92" t="str">
        <f t="shared" si="69"/>
        <v/>
      </c>
      <c r="S91" s="42" t="str">
        <f t="shared" si="70"/>
        <v/>
      </c>
      <c r="T91" s="167">
        <f>IF(L91="","",VLOOKUP(L91,classifications!C:K,9,FALSE))</f>
        <v>0</v>
      </c>
      <c r="U91" s="168" t="str">
        <f t="shared" si="71"/>
        <v/>
      </c>
      <c r="V91" s="174" t="str">
        <f>IF(U91="","",IF($I$8="A",(RANK(U91,U$11:U$343)+COUNTIF(U$11:U91,U91)-1),(RANK(U91,U$11:U$343,1)+COUNTIF(U$11:U91,U91)-1)))</f>
        <v/>
      </c>
      <c r="W91" s="175"/>
      <c r="X91" s="5" t="str">
        <f>IF(L91="","",VLOOKUP($L91,classifications!$C:$J,6,FALSE))</f>
        <v>Urban with City and Town</v>
      </c>
      <c r="Y91" t="str">
        <f t="shared" si="72"/>
        <v/>
      </c>
      <c r="Z91" s="40" t="str">
        <f>IF(Y91="","",IF(I$8="A",(RANK(Y91,Y$11:Y$343,1)+COUNTIF(Y$11:Y91,Y91)-1),(RANK(Y91,Y$11:Y$343)+COUNTIF(Y$11:Y91,Y91)-1)))</f>
        <v/>
      </c>
      <c r="AA91" s="180" t="str">
        <f>IF(L91="","",VLOOKUP($L91,classifications!C:I,7,FALSE))</f>
        <v>Predominantly Urban</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Lancashire</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North West</v>
      </c>
      <c r="AQ91" s="43">
        <f t="shared" si="79"/>
        <v>435.7</v>
      </c>
      <c r="AR91" s="40">
        <f>IF(AQ91="","",IF(I$8="A",(RANK(AQ91,AQ$11:AQ$343,1)+COUNTIF(AQ$11:AQ91,AQ91)-1),(RANK(AQ91,AQ$11:AQ$343)+COUNTIF(AQ$11:AQ91,AQ91)-1)))</f>
        <v>3</v>
      </c>
      <c r="AS91" s="3" t="str">
        <f t="shared" si="80"/>
        <v/>
      </c>
      <c r="AT91" s="40" t="str">
        <f t="shared" si="81"/>
        <v/>
      </c>
      <c r="AU91" s="43" t="str">
        <f t="shared" si="82"/>
        <v/>
      </c>
      <c r="AX91">
        <f>HLOOKUP($AX$9&amp;$AX$10,Data!$A$1:$ZZ$1980,(MATCH($C91,Data!$A$1:$A$1980,0)),FALSE)</f>
        <v>377.9</v>
      </c>
    </row>
    <row r="92" spans="1:50">
      <c r="A92" s="59" t="str">
        <f>$D$1&amp;82</f>
        <v>SD82</v>
      </c>
      <c r="B92" s="60">
        <f>IF(ISERROR(VLOOKUP(A93,classifications!A:C,3,FALSE)),0,VLOOKUP(A93,classifications!A:C,3,FALSE))</f>
        <v>0</v>
      </c>
      <c r="C92" t="s">
        <v>51</v>
      </c>
      <c r="D92" t="str">
        <f>VLOOKUP($C92,classifications!$C:$J,4,FALSE)</f>
        <v>SD</v>
      </c>
      <c r="E92">
        <f>VLOOKUP(C92,classifications!C:K,9,FALSE)</f>
        <v>0</v>
      </c>
      <c r="F92">
        <f t="shared" si="60"/>
        <v>423.7</v>
      </c>
      <c r="G92" s="15"/>
      <c r="H92" s="42">
        <f t="shared" si="61"/>
        <v>423.7</v>
      </c>
      <c r="I92" s="79">
        <f>IF(H92="","",IF($I$8="A",(RANK(H92,H$11:H$343,1)+COUNTIF(H$11:H92,H92)-1),(RANK(H92,H$11:H$343)+COUNTIF(H$11:H92,H92)-1)))</f>
        <v>65</v>
      </c>
      <c r="J92" s="41"/>
      <c r="K92" s="36">
        <f t="shared" si="62"/>
        <v>82</v>
      </c>
      <c r="L92" t="str">
        <f t="shared" si="63"/>
        <v>Spelthorne</v>
      </c>
      <c r="M92" s="117">
        <f t="shared" si="64"/>
        <v>437.5</v>
      </c>
      <c r="N92" s="112">
        <f t="shared" si="65"/>
        <v>437.5</v>
      </c>
      <c r="O92" s="96" t="str">
        <f t="shared" si="66"/>
        <v/>
      </c>
      <c r="P92" s="96">
        <f t="shared" si="67"/>
        <v>437.5</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Urban with Major Conurbation</v>
      </c>
      <c r="Y92" t="str">
        <f t="shared" si="72"/>
        <v/>
      </c>
      <c r="Z92" s="40" t="str">
        <f>IF(Y92="","",IF(I$8="A",(RANK(Y92,Y$11:Y$343,1)+COUNTIF(Y$11:Y92,Y92)-1),(RANK(Y92,Y$11:Y$343)+COUNTIF(Y$11:Y92,Y92)-1)))</f>
        <v/>
      </c>
      <c r="AA92" s="180" t="str">
        <f>IF(L92="","",VLOOKUP($L92,classifications!C:I,7,FALSE))</f>
        <v>Predominantly Urban</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Surrey</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South East</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423.7</v>
      </c>
    </row>
    <row r="93" spans="1:50">
      <c r="A93" s="59" t="str">
        <f>$D$1&amp;83</f>
        <v>SD83</v>
      </c>
      <c r="B93" s="60">
        <f>IF(ISERROR(VLOOKUP(A94,classifications!A:C,3,FALSE)),0,VLOOKUP(A94,classifications!A:C,3,FALSE))</f>
        <v>0</v>
      </c>
      <c r="C93" t="s">
        <v>267</v>
      </c>
      <c r="D93" t="str">
        <f>VLOOKUP($C93,classifications!$C:$J,4,FALSE)</f>
        <v>UA</v>
      </c>
      <c r="E93" t="str">
        <f>VLOOKUP(C93,classifications!C:K,9,FALSE)</f>
        <v>Sparse</v>
      </c>
      <c r="F93">
        <f t="shared" si="60"/>
        <v>565.20000000000005</v>
      </c>
      <c r="G93" s="15"/>
      <c r="H93" s="42" t="str">
        <f t="shared" si="61"/>
        <v/>
      </c>
      <c r="I93" s="79" t="str">
        <f>IF(H93="","",IF($I$8="A",(RANK(H93,H$11:H$343,1)+COUNTIF(H$11:H93,H93)-1),(RANK(H93,H$11:H$343)+COUNTIF(H$11:H93,H93)-1)))</f>
        <v/>
      </c>
      <c r="J93" s="41"/>
      <c r="K93" s="36">
        <f t="shared" si="62"/>
        <v>83</v>
      </c>
      <c r="L93" t="str">
        <f t="shared" si="63"/>
        <v>Gloucester</v>
      </c>
      <c r="M93" s="117">
        <f t="shared" si="64"/>
        <v>438.2</v>
      </c>
      <c r="N93" s="112">
        <f t="shared" si="65"/>
        <v>438.2</v>
      </c>
      <c r="O93" s="96" t="str">
        <f t="shared" si="66"/>
        <v/>
      </c>
      <c r="P93" s="96">
        <f t="shared" si="67"/>
        <v>438.2</v>
      </c>
      <c r="Q93" s="96" t="str">
        <f t="shared" si="68"/>
        <v/>
      </c>
      <c r="R93" s="92" t="str">
        <f t="shared" si="69"/>
        <v/>
      </c>
      <c r="S93" s="42" t="str">
        <f t="shared" si="70"/>
        <v/>
      </c>
      <c r="T93" s="167">
        <f>IF(L93="","",VLOOKUP(L93,classifications!C:K,9,FALSE))</f>
        <v>0</v>
      </c>
      <c r="U93" s="168" t="str">
        <f t="shared" si="71"/>
        <v/>
      </c>
      <c r="V93" s="174" t="str">
        <f>IF(U93="","",IF($I$8="A",(RANK(U93,U$11:U$343)+COUNTIF(U$11:U93,U93)-1),(RANK(U93,U$11:U$343,1)+COUNTIF(U$11:U93,U93)-1)))</f>
        <v/>
      </c>
      <c r="W93" s="175"/>
      <c r="X93" s="5" t="str">
        <f>IF(L93="","",VLOOKUP($L93,classifications!$C:$J,6,FALSE))</f>
        <v>Urban with City and Town</v>
      </c>
      <c r="Y93" t="str">
        <f t="shared" si="72"/>
        <v/>
      </c>
      <c r="Z93" s="40" t="str">
        <f>IF(Y93="","",IF(I$8="A",(RANK(Y93,Y$11:Y$343,1)+COUNTIF(Y$11:Y93,Y93)-1),(RANK(Y93,Y$11:Y$343)+COUNTIF(Y$11:Y93,Y93)-1)))</f>
        <v/>
      </c>
      <c r="AA93" s="180" t="str">
        <f>IF(L93="","",VLOOKUP($L93,classifications!C:I,7,FALSE))</f>
        <v>Predominantly Urban</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Gloucestershire</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South West</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565.20000000000005</v>
      </c>
    </row>
    <row r="94" spans="1:50">
      <c r="A94" s="59" t="str">
        <f>$D$1&amp;84</f>
        <v>SD84</v>
      </c>
      <c r="B94" s="60">
        <f>IF(ISERROR(VLOOKUP(A95,classifications!A:C,3,FALSE)),0,VLOOKUP(A95,classifications!A:C,3,FALSE))</f>
        <v>0</v>
      </c>
      <c r="C94" t="s">
        <v>231</v>
      </c>
      <c r="D94" t="str">
        <f>VLOOKUP($C94,classifications!$C:$J,4,FALSE)</f>
        <v>MD</v>
      </c>
      <c r="E94">
        <f>VLOOKUP(C94,classifications!C:K,9,FALSE)</f>
        <v>0</v>
      </c>
      <c r="F94">
        <f t="shared" si="60"/>
        <v>542.70000000000005</v>
      </c>
      <c r="G94" s="15"/>
      <c r="H94" s="42" t="str">
        <f t="shared" si="61"/>
        <v/>
      </c>
      <c r="I94" s="79" t="str">
        <f>IF(H94="","",IF($I$8="A",(RANK(H94,H$11:H$343,1)+COUNTIF(H$11:H94,H94)-1),(RANK(H94,H$11:H$343)+COUNTIF(H$11:H94,H94)-1)))</f>
        <v/>
      </c>
      <c r="J94" s="41"/>
      <c r="K94" s="36">
        <f t="shared" si="62"/>
        <v>84</v>
      </c>
      <c r="L94" t="str">
        <f t="shared" si="63"/>
        <v>Charnwood</v>
      </c>
      <c r="M94" s="117">
        <f t="shared" si="64"/>
        <v>438.4</v>
      </c>
      <c r="N94" s="112">
        <f t="shared" si="65"/>
        <v>438.4</v>
      </c>
      <c r="O94" s="96" t="str">
        <f t="shared" si="66"/>
        <v/>
      </c>
      <c r="P94" s="96">
        <f t="shared" si="67"/>
        <v>438.4</v>
      </c>
      <c r="Q94" s="96" t="str">
        <f t="shared" si="68"/>
        <v/>
      </c>
      <c r="R94" s="92" t="str">
        <f t="shared" si="69"/>
        <v/>
      </c>
      <c r="S94" s="42" t="str">
        <f t="shared" si="70"/>
        <v/>
      </c>
      <c r="T94" s="167">
        <f>IF(L94="","",VLOOKUP(L94,classifications!C:K,9,FALSE))</f>
        <v>0</v>
      </c>
      <c r="U94" s="168" t="str">
        <f t="shared" si="71"/>
        <v/>
      </c>
      <c r="V94" s="174" t="str">
        <f>IF(U94="","",IF($I$8="A",(RANK(U94,U$11:U$343)+COUNTIF(U$11:U94,U94)-1),(RANK(U94,U$11:U$343,1)+COUNTIF(U$11:U94,U94)-1)))</f>
        <v/>
      </c>
      <c r="W94" s="175"/>
      <c r="X94" s="5" t="str">
        <f>IF(L94="","",VLOOKUP($L94,classifications!$C:$J,6,FALSE))</f>
        <v>Urban with City and Town</v>
      </c>
      <c r="Y94" t="str">
        <f t="shared" si="72"/>
        <v/>
      </c>
      <c r="Z94" s="40" t="str">
        <f>IF(Y94="","",IF(I$8="A",(RANK(Y94,Y$11:Y$343,1)+COUNTIF(Y$11:Y94,Y94)-1),(RANK(Y94,Y$11:Y$343)+COUNTIF(Y$11:Y94,Y94)-1)))</f>
        <v/>
      </c>
      <c r="AA94" s="180" t="str">
        <f>IF(L94="","",VLOOKUP($L94,classifications!C:I,7,FALSE))</f>
        <v>Predominantly Urban</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Leicestershire</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East Midlands</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542.70000000000005</v>
      </c>
    </row>
    <row r="95" spans="1:50">
      <c r="A95" s="59" t="str">
        <f>$D$1&amp;85</f>
        <v>SD85</v>
      </c>
      <c r="B95" s="60">
        <f>IF(ISERROR(VLOOKUP(A96,classifications!A:C,3,FALSE)),0,VLOOKUP(A96,classifications!A:C,3,FALSE))</f>
        <v>0</v>
      </c>
      <c r="C95" t="s">
        <v>203</v>
      </c>
      <c r="D95" t="str">
        <f>VLOOKUP($C95,classifications!$C:$J,4,FALSE)</f>
        <v>L</v>
      </c>
      <c r="E95">
        <f>VLOOKUP(C95,classifications!C:K,9,FALSE)</f>
        <v>0</v>
      </c>
      <c r="F95">
        <f t="shared" si="60"/>
        <v>289.60000000000002</v>
      </c>
      <c r="G95" s="15"/>
      <c r="H95" s="42" t="str">
        <f t="shared" si="61"/>
        <v/>
      </c>
      <c r="I95" s="79" t="str">
        <f>IF(H95="","",IF($I$8="A",(RANK(H95,H$11:H$343,1)+COUNTIF(H$11:H95,H95)-1),(RANK(H95,H$11:H$343)+COUNTIF(H$11:H95,H95)-1)))</f>
        <v/>
      </c>
      <c r="J95" s="41"/>
      <c r="K95" s="36">
        <f t="shared" si="62"/>
        <v>85</v>
      </c>
      <c r="L95" t="str">
        <f t="shared" si="63"/>
        <v>Scarborough</v>
      </c>
      <c r="M95" s="117">
        <f t="shared" si="64"/>
        <v>439.3</v>
      </c>
      <c r="N95" s="112">
        <f t="shared" si="65"/>
        <v>439.3</v>
      </c>
      <c r="O95" s="96" t="str">
        <f t="shared" si="66"/>
        <v/>
      </c>
      <c r="P95" s="96">
        <f t="shared" si="67"/>
        <v>439.3</v>
      </c>
      <c r="Q95" s="96" t="str">
        <f t="shared" si="68"/>
        <v/>
      </c>
      <c r="R95" s="92" t="str">
        <f t="shared" si="69"/>
        <v/>
      </c>
      <c r="S95" s="42" t="str">
        <f t="shared" si="70"/>
        <v/>
      </c>
      <c r="T95" s="167" t="str">
        <f>IF(L95="","",VLOOKUP(L95,classifications!C:K,9,FALSE))</f>
        <v>Sparse</v>
      </c>
      <c r="U95" s="168">
        <f t="shared" si="71"/>
        <v>439.3</v>
      </c>
      <c r="V95" s="174">
        <f>IF(U95="","",IF($I$8="A",(RANK(U95,U$11:U$343)+COUNTIF(U$11:U95,U95)-1),(RANK(U95,U$11:U$343,1)+COUNTIF(U$11:U95,U95)-1)))</f>
        <v>27</v>
      </c>
      <c r="W95" s="175"/>
      <c r="X95" s="5" t="str">
        <f>IF(L95="","",VLOOKUP($L95,classifications!$C:$J,6,FALSE))</f>
        <v>Urban with Significant Rural (rural including hub towns 26-49%)</v>
      </c>
      <c r="Y95" t="str">
        <f t="shared" si="72"/>
        <v/>
      </c>
      <c r="Z95" s="40" t="str">
        <f>IF(Y95="","",IF(I$8="A",(RANK(Y95,Y$11:Y$343,1)+COUNTIF(Y$11:Y95,Y95)-1),(RANK(Y95,Y$11:Y$343)+COUNTIF(Y$11:Y95,Y95)-1)))</f>
        <v/>
      </c>
      <c r="AA95" s="180" t="str">
        <f>IF(L95="","",VLOOKUP($L95,classifications!C:I,7,FALSE))</f>
        <v>Significant Rural</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North Yorkshire</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Yorkshire &amp; Humberside</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289.60000000000002</v>
      </c>
    </row>
    <row r="96" spans="1:50">
      <c r="A96" s="59" t="str">
        <f>$D$1&amp;86</f>
        <v>SD86</v>
      </c>
      <c r="B96" s="60">
        <f>IF(ISERROR(VLOOKUP(A97,classifications!A:C,3,FALSE)),0,VLOOKUP(A97,classifications!A:C,3,FALSE))</f>
        <v>0</v>
      </c>
      <c r="C96" t="s">
        <v>52</v>
      </c>
      <c r="D96" t="str">
        <f>VLOOKUP($C96,classifications!$C:$J,4,FALSE)</f>
        <v>SD</v>
      </c>
      <c r="E96" t="str">
        <f>VLOOKUP(C96,classifications!C:K,9,FALSE)</f>
        <v>Sparse</v>
      </c>
      <c r="F96">
        <f t="shared" si="60"/>
        <v>335.9</v>
      </c>
      <c r="G96" s="15"/>
      <c r="H96" s="42">
        <f t="shared" si="61"/>
        <v>335.9</v>
      </c>
      <c r="I96" s="79">
        <f>IF(H96="","",IF($I$8="A",(RANK(H96,H$11:H$343,1)+COUNTIF(H$11:H96,H96)-1),(RANK(H96,H$11:H$343)+COUNTIF(H$11:H96,H96)-1)))</f>
        <v>15</v>
      </c>
      <c r="J96" s="41"/>
      <c r="K96" s="36">
        <f t="shared" si="62"/>
        <v>86</v>
      </c>
      <c r="L96" t="str">
        <f t="shared" si="63"/>
        <v>Chorley</v>
      </c>
      <c r="M96" s="117">
        <f t="shared" si="64"/>
        <v>443</v>
      </c>
      <c r="N96" s="112">
        <f t="shared" si="65"/>
        <v>443</v>
      </c>
      <c r="O96" s="96" t="str">
        <f t="shared" si="66"/>
        <v/>
      </c>
      <c r="P96" s="96">
        <f t="shared" si="67"/>
        <v>443</v>
      </c>
      <c r="Q96" s="96" t="str">
        <f t="shared" si="68"/>
        <v/>
      </c>
      <c r="R96" s="92" t="str">
        <f t="shared" si="69"/>
        <v/>
      </c>
      <c r="S96" s="42" t="str">
        <f t="shared" si="70"/>
        <v/>
      </c>
      <c r="T96" s="167">
        <f>IF(L96="","",VLOOKUP(L96,classifications!C:K,9,FALSE))</f>
        <v>0</v>
      </c>
      <c r="U96" s="168" t="str">
        <f t="shared" si="71"/>
        <v/>
      </c>
      <c r="V96" s="174" t="str">
        <f>IF(U96="","",IF($I$8="A",(RANK(U96,U$11:U$343)+COUNTIF(U$11:U96,U96)-1),(RANK(U96,U$11:U$343,1)+COUNTIF(U$11:U96,U96)-1)))</f>
        <v/>
      </c>
      <c r="W96" s="175"/>
      <c r="X96" s="5" t="str">
        <f>IF(L96="","",VLOOKUP($L96,classifications!$C:$J,6,FALSE))</f>
        <v>Urban with Significant Rural (rural including hub towns 26-49%)</v>
      </c>
      <c r="Y96" t="str">
        <f t="shared" si="72"/>
        <v/>
      </c>
      <c r="Z96" s="40" t="str">
        <f>IF(Y96="","",IF(I$8="A",(RANK(Y96,Y$11:Y$343,1)+COUNTIF(Y$11:Y96,Y96)-1),(RANK(Y96,Y$11:Y$343)+COUNTIF(Y$11:Y96,Y96)-1)))</f>
        <v/>
      </c>
      <c r="AA96" s="180" t="str">
        <f>IF(L96="","",VLOOKUP($L96,classifications!C:I,7,FALSE))</f>
        <v>Significant Rural</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Lancashire</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North West</v>
      </c>
      <c r="AQ96" s="43">
        <f t="shared" si="79"/>
        <v>443</v>
      </c>
      <c r="AR96" s="40">
        <f>IF(AQ96="","",IF(I$8="A",(RANK(AQ96,AQ$11:AQ$343,1)+COUNTIF(AQ$11:AQ96,AQ96)-1),(RANK(AQ96,AQ$11:AQ$343)+COUNTIF(AQ$11:AQ96,AQ96)-1)))</f>
        <v>4</v>
      </c>
      <c r="AS96" s="3" t="str">
        <f t="shared" si="80"/>
        <v/>
      </c>
      <c r="AT96" s="40" t="str">
        <f t="shared" si="81"/>
        <v/>
      </c>
      <c r="AU96" s="43" t="str">
        <f t="shared" si="82"/>
        <v/>
      </c>
      <c r="AX96">
        <f>HLOOKUP($AX$9&amp;$AX$10,Data!$A$1:$ZZ$1980,(MATCH($C96,Data!$A$1:$A$1980,0)),FALSE)</f>
        <v>335.9</v>
      </c>
    </row>
    <row r="97" spans="1:50">
      <c r="A97" s="59" t="str">
        <f>$D$1&amp;87</f>
        <v>SD87</v>
      </c>
      <c r="B97" s="60">
        <f>IF(ISERROR(VLOOKUP(A98,classifications!A:C,3,FALSE)),0,VLOOKUP(A98,classifications!A:C,3,FALSE))</f>
        <v>0</v>
      </c>
      <c r="C97" t="s">
        <v>53</v>
      </c>
      <c r="D97" t="str">
        <f>VLOOKUP($C97,classifications!$C:$J,4,FALSE)</f>
        <v>SD</v>
      </c>
      <c r="E97" t="str">
        <f>VLOOKUP(C97,classifications!C:K,9,FALSE)</f>
        <v>Sparse</v>
      </c>
      <c r="F97">
        <f t="shared" si="60"/>
        <v>255.7</v>
      </c>
      <c r="G97" s="15"/>
      <c r="H97" s="42">
        <f t="shared" si="61"/>
        <v>255.7</v>
      </c>
      <c r="I97" s="79">
        <f>IF(H97="","",IF($I$8="A",(RANK(H97,H$11:H$343,1)+COUNTIF(H$11:H97,H97)-1),(RANK(H97,H$11:H$343)+COUNTIF(H$11:H97,H97)-1)))</f>
        <v>1</v>
      </c>
      <c r="J97" s="41"/>
      <c r="K97" s="36">
        <f t="shared" si="62"/>
        <v>87</v>
      </c>
      <c r="L97" t="str">
        <f t="shared" si="63"/>
        <v>Rother</v>
      </c>
      <c r="M97" s="117">
        <f t="shared" si="64"/>
        <v>443.9</v>
      </c>
      <c r="N97" s="112">
        <f t="shared" si="65"/>
        <v>443.9</v>
      </c>
      <c r="O97" s="96" t="str">
        <f t="shared" si="66"/>
        <v/>
      </c>
      <c r="P97" s="96">
        <f t="shared" si="67"/>
        <v>443.9</v>
      </c>
      <c r="Q97" s="96" t="str">
        <f t="shared" si="68"/>
        <v/>
      </c>
      <c r="R97" s="92" t="str">
        <f t="shared" si="69"/>
        <v/>
      </c>
      <c r="S97" s="42" t="str">
        <f t="shared" si="70"/>
        <v/>
      </c>
      <c r="T97" s="167" t="str">
        <f>IF(L97="","",VLOOKUP(L97,classifications!C:K,9,FALSE))</f>
        <v>Sparse</v>
      </c>
      <c r="U97" s="168">
        <f t="shared" si="71"/>
        <v>443.9</v>
      </c>
      <c r="V97" s="174">
        <f>IF(U97="","",IF($I$8="A",(RANK(U97,U$11:U$343)+COUNTIF(U$11:U97,U97)-1),(RANK(U97,U$11:U$343,1)+COUNTIF(U$11:U97,U97)-1)))</f>
        <v>26</v>
      </c>
      <c r="W97" s="175"/>
      <c r="X97" s="5" t="str">
        <f>IF(L97="","",VLOOKUP($L97,classifications!$C:$J,6,FALSE))</f>
        <v xml:space="preserve">Largely Rural (rural including hub towns 50-79%) </v>
      </c>
      <c r="Y97" t="str">
        <f t="shared" si="72"/>
        <v/>
      </c>
      <c r="Z97" s="40" t="str">
        <f>IF(Y97="","",IF(I$8="A",(RANK(Y97,Y$11:Y$343,1)+COUNTIF(Y$11:Y97,Y97)-1),(RANK(Y97,Y$11:Y$343)+COUNTIF(Y$11:Y97,Y97)-1)))</f>
        <v/>
      </c>
      <c r="AA97" s="180" t="str">
        <f>IF(L97="","",VLOOKUP($L97,classifications!C:I,7,FALSE))</f>
        <v>Predominantly Rural</v>
      </c>
      <c r="AB97" s="174">
        <f t="shared" si="73"/>
        <v>443.9</v>
      </c>
      <c r="AC97" s="174">
        <f>IF(AB97="","",IF($I$8="A",(RANK(AB97,AB$11:AB$343)+COUNTIF(AB$11:AB97,AB97)-1),(RANK(AB97,AB$11:AB$343,1)+COUNTIF(AB$11:AB97,AB97)-1)))</f>
        <v>35</v>
      </c>
      <c r="AD97" s="174"/>
      <c r="AE97" s="36" t="str">
        <f t="shared" si="74"/>
        <v/>
      </c>
      <c r="AG97" s="15"/>
      <c r="AH97" s="3"/>
      <c r="AI97" s="5" t="str">
        <f>IF(L97="","",VLOOKUP($L97,classifications!$C:$J,8,FALSE))</f>
        <v>East Sussex</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South East</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255.7</v>
      </c>
    </row>
    <row r="98" spans="1:50">
      <c r="A98" s="59" t="str">
        <f>$D$1&amp;88</f>
        <v>SD88</v>
      </c>
      <c r="B98" s="60">
        <f>IF(ISERROR(VLOOKUP(A99,classifications!A:C,3,FALSE)),0,VLOOKUP(A99,classifications!A:C,3,FALSE))</f>
        <v>0</v>
      </c>
      <c r="C98" t="s">
        <v>55</v>
      </c>
      <c r="D98" t="str">
        <f>VLOOKUP($C98,classifications!$C:$J,4,FALSE)</f>
        <v>SD</v>
      </c>
      <c r="E98">
        <f>VLOOKUP(C98,classifications!C:K,9,FALSE)</f>
        <v>0</v>
      </c>
      <c r="F98">
        <f t="shared" si="60"/>
        <v>459.4</v>
      </c>
      <c r="G98" s="15"/>
      <c r="H98" s="42">
        <f t="shared" si="61"/>
        <v>459.4</v>
      </c>
      <c r="I98" s="79">
        <f>IF(H98="","",IF($I$8="A",(RANK(H98,H$11:H$343,1)+COUNTIF(H$11:H98,H98)-1),(RANK(H98,H$11:H$343)+COUNTIF(H$11:H98,H98)-1)))</f>
        <v>104</v>
      </c>
      <c r="J98" s="41"/>
      <c r="K98" s="36">
        <f t="shared" si="62"/>
        <v>88</v>
      </c>
      <c r="L98" t="str">
        <f t="shared" si="63"/>
        <v>Broxbourne</v>
      </c>
      <c r="M98" s="117">
        <f t="shared" si="64"/>
        <v>444.3</v>
      </c>
      <c r="N98" s="112">
        <f t="shared" si="65"/>
        <v>444.3</v>
      </c>
      <c r="O98" s="96" t="str">
        <f t="shared" si="66"/>
        <v/>
      </c>
      <c r="P98" s="96">
        <f t="shared" si="67"/>
        <v>444.3</v>
      </c>
      <c r="Q98" s="96" t="str">
        <f t="shared" si="68"/>
        <v/>
      </c>
      <c r="R98" s="92" t="str">
        <f t="shared" si="69"/>
        <v/>
      </c>
      <c r="S98" s="42" t="str">
        <f t="shared" si="70"/>
        <v/>
      </c>
      <c r="T98" s="167">
        <f>IF(L98="","",VLOOKUP(L98,classifications!C:K,9,FALSE))</f>
        <v>0</v>
      </c>
      <c r="U98" s="168" t="str">
        <f t="shared" si="71"/>
        <v/>
      </c>
      <c r="V98" s="174" t="str">
        <f>IF(U98="","",IF($I$8="A",(RANK(U98,U$11:U$343)+COUNTIF(U$11:U98,U98)-1),(RANK(U98,U$11:U$343,1)+COUNTIF(U$11:U98,U98)-1)))</f>
        <v/>
      </c>
      <c r="W98" s="175"/>
      <c r="X98" s="5" t="str">
        <f>IF(L98="","",VLOOKUP($L98,classifications!$C:$J,6,FALSE))</f>
        <v>Urban with Major Conurbation</v>
      </c>
      <c r="Y98" t="str">
        <f t="shared" si="72"/>
        <v/>
      </c>
      <c r="Z98" s="40" t="str">
        <f>IF(Y98="","",IF(I$8="A",(RANK(Y98,Y$11:Y$343,1)+COUNTIF(Y$11:Y98,Y98)-1),(RANK(Y98,Y$11:Y$343)+COUNTIF(Y$11:Y98,Y98)-1)))</f>
        <v/>
      </c>
      <c r="AA98" s="180" t="str">
        <f>IF(L98="","",VLOOKUP($L98,classifications!C:I,7,FALSE))</f>
        <v>Predominantly Urban</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Hertfordshire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East of England</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459.4</v>
      </c>
    </row>
    <row r="99" spans="1:50">
      <c r="A99" s="59" t="str">
        <f>$D$1&amp;89</f>
        <v>SD89</v>
      </c>
      <c r="B99" s="60">
        <f>IF(ISERROR(VLOOKUP(A100,classifications!A:C,3,FALSE)),0,VLOOKUP(A100,classifications!A:C,3,FALSE))</f>
        <v>0</v>
      </c>
      <c r="C99" t="s">
        <v>56</v>
      </c>
      <c r="D99" t="str">
        <f>VLOOKUP($C99,classifications!$C:$J,4,FALSE)</f>
        <v>SD</v>
      </c>
      <c r="E99">
        <f>VLOOKUP(C99,classifications!C:K,9,FALSE)</f>
        <v>0</v>
      </c>
      <c r="F99">
        <f t="shared" si="60"/>
        <v>458.2</v>
      </c>
      <c r="G99" s="15"/>
      <c r="H99" s="42">
        <f t="shared" si="61"/>
        <v>458.2</v>
      </c>
      <c r="I99" s="79">
        <f>IF(H99="","",IF($I$8="A",(RANK(H99,H$11:H$343,1)+COUNTIF(H$11:H99,H99)-1),(RANK(H99,H$11:H$343)+COUNTIF(H$11:H99,H99)-1)))</f>
        <v>103</v>
      </c>
      <c r="J99" s="41"/>
      <c r="K99" s="36">
        <f t="shared" si="62"/>
        <v>89</v>
      </c>
      <c r="L99" t="str">
        <f t="shared" si="63"/>
        <v>Winchester</v>
      </c>
      <c r="M99" s="117">
        <f t="shared" si="64"/>
        <v>445.9</v>
      </c>
      <c r="N99" s="112">
        <f t="shared" si="65"/>
        <v>445.9</v>
      </c>
      <c r="O99" s="96" t="str">
        <f t="shared" si="66"/>
        <v/>
      </c>
      <c r="P99" s="96" t="str">
        <f t="shared" si="67"/>
        <v/>
      </c>
      <c r="Q99" s="96">
        <f t="shared" si="68"/>
        <v>445.9</v>
      </c>
      <c r="R99" s="92" t="str">
        <f t="shared" si="69"/>
        <v/>
      </c>
      <c r="S99" s="42" t="str">
        <f t="shared" si="70"/>
        <v/>
      </c>
      <c r="T99" s="167">
        <f>IF(L99="","",VLOOKUP(L99,classifications!C:K,9,FALSE))</f>
        <v>0</v>
      </c>
      <c r="U99" s="168" t="str">
        <f t="shared" si="71"/>
        <v/>
      </c>
      <c r="V99" s="174" t="str">
        <f>IF(U99="","",IF($I$8="A",(RANK(U99,U$11:U$343)+COUNTIF(U$11:U99,U99)-1),(RANK(U99,U$11:U$343,1)+COUNTIF(U$11:U99,U99)-1)))</f>
        <v/>
      </c>
      <c r="W99" s="175"/>
      <c r="X99" s="5" t="str">
        <f>IF(L99="","",VLOOKUP($L99,classifications!$C:$J,6,FALSE))</f>
        <v xml:space="preserve">Largely Rural (rural including hub towns 50-79%) </v>
      </c>
      <c r="Y99" t="str">
        <f t="shared" si="72"/>
        <v/>
      </c>
      <c r="Z99" s="40" t="str">
        <f>IF(Y99="","",IF(I$8="A",(RANK(Y99,Y$11:Y$343,1)+COUNTIF(Y$11:Y99,Y99)-1),(RANK(Y99,Y$11:Y$343)+COUNTIF(Y$11:Y99,Y99)-1)))</f>
        <v/>
      </c>
      <c r="AA99" s="180" t="str">
        <f>IF(L99="","",VLOOKUP($L99,classifications!C:I,7,FALSE))</f>
        <v>Predominantly Rural</v>
      </c>
      <c r="AB99" s="174">
        <f t="shared" si="73"/>
        <v>445.9</v>
      </c>
      <c r="AC99" s="174">
        <f>IF(AB99="","",IF($I$8="A",(RANK(AB99,AB$11:AB$343)+COUNTIF(AB$11:AB99,AB99)-1),(RANK(AB99,AB$11:AB$343,1)+COUNTIF(AB$11:AB99,AB99)-1)))</f>
        <v>34</v>
      </c>
      <c r="AD99" s="174"/>
      <c r="AE99" s="36" t="str">
        <f t="shared" si="74"/>
        <v/>
      </c>
      <c r="AG99" s="15"/>
      <c r="AH99" s="3"/>
      <c r="AI99" s="5" t="str">
        <f>IF(L99="","",VLOOKUP($L99,classifications!$C:$J,8,FALSE))</f>
        <v>Hampshire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South East</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458.2</v>
      </c>
    </row>
    <row r="100" spans="1:50">
      <c r="A100" s="59" t="str">
        <f>$D$1&amp;90</f>
        <v>SD90</v>
      </c>
      <c r="B100" s="60">
        <f>IF(ISERROR(VLOOKUP(A101,classifications!A:C,3,FALSE)),0,VLOOKUP(A101,classifications!A:C,3,FALSE))</f>
        <v>0</v>
      </c>
      <c r="C100" t="s">
        <v>57</v>
      </c>
      <c r="D100" t="str">
        <f>VLOOKUP($C100,classifications!$C:$J,4,FALSE)</f>
        <v>SD</v>
      </c>
      <c r="E100" t="str">
        <f>VLOOKUP(C100,classifications!C:K,9,FALSE)</f>
        <v>Sparse</v>
      </c>
      <c r="F100">
        <f t="shared" si="60"/>
        <v>450</v>
      </c>
      <c r="G100" s="15"/>
      <c r="H100" s="42">
        <f t="shared" si="61"/>
        <v>450</v>
      </c>
      <c r="I100" s="79">
        <f>IF(H100="","",IF($I$8="A",(RANK(H100,H$11:H$343,1)+COUNTIF(H$11:H100,H100)-1),(RANK(H100,H$11:H$343)+COUNTIF(H$11:H100,H100)-1)))</f>
        <v>94</v>
      </c>
      <c r="J100" s="41"/>
      <c r="K100" s="36">
        <f t="shared" si="62"/>
        <v>90</v>
      </c>
      <c r="L100" t="str">
        <f t="shared" si="63"/>
        <v>Chesterfield</v>
      </c>
      <c r="M100" s="117">
        <f t="shared" si="64"/>
        <v>446.2</v>
      </c>
      <c r="N100" s="112">
        <f t="shared" si="65"/>
        <v>446.2</v>
      </c>
      <c r="O100" s="96" t="str">
        <f t="shared" si="66"/>
        <v/>
      </c>
      <c r="P100" s="96" t="str">
        <f t="shared" si="67"/>
        <v/>
      </c>
      <c r="Q100" s="96">
        <f t="shared" si="68"/>
        <v>446.2</v>
      </c>
      <c r="R100" s="92" t="str">
        <f t="shared" si="69"/>
        <v/>
      </c>
      <c r="S100" s="42" t="str">
        <f t="shared" si="70"/>
        <v/>
      </c>
      <c r="T100" s="167">
        <f>IF(L100="","",VLOOKUP(L100,classifications!C:K,9,FALSE))</f>
        <v>0</v>
      </c>
      <c r="U100" s="168" t="str">
        <f t="shared" si="71"/>
        <v/>
      </c>
      <c r="V100" s="174" t="str">
        <f>IF(U100="","",IF($I$8="A",(RANK(U100,U$11:U$343)+COUNTIF(U$11:U100,U100)-1),(RANK(U100,U$11:U$343,1)+COUNTIF(U$11:U100,U100)-1)))</f>
        <v/>
      </c>
      <c r="W100" s="175"/>
      <c r="X100" s="5" t="str">
        <f>IF(L100="","",VLOOKUP($L100,classifications!$C:$J,6,FALSE))</f>
        <v>Urban with City and Town</v>
      </c>
      <c r="Y100" t="str">
        <f t="shared" si="72"/>
        <v/>
      </c>
      <c r="Z100" s="40" t="str">
        <f>IF(Y100="","",IF(I$8="A",(RANK(Y100,Y$11:Y$343,1)+COUNTIF(Y$11:Y100,Y100)-1),(RANK(Y100,Y$11:Y$343)+COUNTIF(Y$11:Y100,Y100)-1)))</f>
        <v/>
      </c>
      <c r="AA100" s="180" t="str">
        <f>IF(L100="","",VLOOKUP($L100,classifications!C:I,7,FALSE))</f>
        <v>Predominantly Urban</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Derbyshire</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East Midlands</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450</v>
      </c>
    </row>
    <row r="101" spans="1:50">
      <c r="A101" s="59" t="str">
        <f>$D$1&amp;91</f>
        <v>SD91</v>
      </c>
      <c r="B101" s="60">
        <f>IF(ISERROR(VLOOKUP(A103,classifications!A:C,3,FALSE)),0,VLOOKUP(A103,classifications!A:C,3,FALSE))</f>
        <v>0</v>
      </c>
      <c r="C101" t="s">
        <v>268</v>
      </c>
      <c r="D101" t="str">
        <f>VLOOKUP($C101,classifications!$C:$J,4,FALSE)</f>
        <v>UA</v>
      </c>
      <c r="E101" t="str">
        <f>VLOOKUP(C101,classifications!C:K,9,FALSE)</f>
        <v>Sparse</v>
      </c>
      <c r="F101">
        <f t="shared" si="60"/>
        <v>415.4</v>
      </c>
      <c r="G101" s="15"/>
      <c r="H101" s="42" t="str">
        <f t="shared" si="61"/>
        <v/>
      </c>
      <c r="I101" s="79" t="str">
        <f>IF(H101="","",IF($I$8="A",(RANK(H101,H$11:H$343,1)+COUNTIF(H$11:H101,H101)-1),(RANK(H101,H$11:H$343)+COUNTIF(H$11:H101,H101)-1)))</f>
        <v/>
      </c>
      <c r="J101" s="41"/>
      <c r="K101" s="36">
        <f t="shared" si="62"/>
        <v>91</v>
      </c>
      <c r="L101" t="str">
        <f t="shared" si="63"/>
        <v>Fareham</v>
      </c>
      <c r="M101" s="117">
        <f t="shared" si="64"/>
        <v>447.3</v>
      </c>
      <c r="N101" s="112">
        <f t="shared" si="65"/>
        <v>447.3</v>
      </c>
      <c r="O101" s="96" t="str">
        <f t="shared" si="66"/>
        <v/>
      </c>
      <c r="P101" s="96" t="str">
        <f t="shared" si="67"/>
        <v/>
      </c>
      <c r="Q101" s="96">
        <f t="shared" si="68"/>
        <v>447.3</v>
      </c>
      <c r="R101" s="92" t="str">
        <f t="shared" si="69"/>
        <v/>
      </c>
      <c r="S101" s="42" t="str">
        <f t="shared" si="70"/>
        <v/>
      </c>
      <c r="T101" s="167">
        <f>IF(L101="","",VLOOKUP(L101,classifications!C:K,9,FALSE))</f>
        <v>0</v>
      </c>
      <c r="U101" s="168" t="str">
        <f t="shared" si="71"/>
        <v/>
      </c>
      <c r="V101" s="174" t="str">
        <f>IF(U101="","",IF($I$8="A",(RANK(U101,U$11:U$343)+COUNTIF(U$11:U101,U101)-1),(RANK(U101,U$11:U$343,1)+COUNTIF(U$11:U101,U101)-1)))</f>
        <v/>
      </c>
      <c r="W101" s="175"/>
      <c r="X101" s="5" t="str">
        <f>IF(L101="","",VLOOKUP($L101,classifications!$C:$J,6,FALSE))</f>
        <v>Urban with City and Town</v>
      </c>
      <c r="Y101" t="str">
        <f t="shared" si="72"/>
        <v/>
      </c>
      <c r="Z101" s="40" t="str">
        <f>IF(Y101="","",IF(I$8="A",(RANK(Y101,Y$11:Y$343,1)+COUNTIF(Y$11:Y101,Y101)-1),(RANK(Y101,Y$11:Y$343)+COUNTIF(Y$11:Y101,Y101)-1)))</f>
        <v/>
      </c>
      <c r="AA101" s="180" t="str">
        <f>IF(L101="","",VLOOKUP($L101,classifications!C:I,7,FALSE))</f>
        <v>Predominantly Urban</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Hampshire</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South East</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415.4</v>
      </c>
    </row>
    <row r="102" spans="1:50">
      <c r="A102" s="59" t="str">
        <f>$D$1&amp;92</f>
        <v>SD92</v>
      </c>
      <c r="B102" s="60">
        <f>IF(ISERROR(VLOOKUP(A104,classifications!A:C,3,FALSE)),0,VLOOKUP(A104,classifications!A:C,3,FALSE))</f>
        <v>0</v>
      </c>
      <c r="C102" t="s">
        <v>59</v>
      </c>
      <c r="D102" t="str">
        <f>VLOOKUP($C102,classifications!$C:$J,4,FALSE)</f>
        <v>SD</v>
      </c>
      <c r="E102">
        <f>VLOOKUP(C102,classifications!C:K,9,FALSE)</f>
        <v>0</v>
      </c>
      <c r="F102">
        <f t="shared" si="60"/>
        <v>504.3</v>
      </c>
      <c r="G102" s="15"/>
      <c r="H102" s="42">
        <f t="shared" si="61"/>
        <v>504.3</v>
      </c>
      <c r="I102" s="79">
        <f>IF(H102="","",IF($I$8="A",(RANK(H102,H$11:H$343,1)+COUNTIF(H$11:H102,H102)-1),(RANK(H102,H$11:H$343)+COUNTIF(H$11:H102,H102)-1)))</f>
        <v>146</v>
      </c>
      <c r="J102" s="41"/>
      <c r="K102" s="36">
        <f t="shared" si="62"/>
        <v>92</v>
      </c>
      <c r="L102" t="str">
        <f t="shared" si="63"/>
        <v>Wychavon</v>
      </c>
      <c r="M102" s="117">
        <f t="shared" si="64"/>
        <v>448.5</v>
      </c>
      <c r="N102" s="112">
        <f t="shared" si="65"/>
        <v>448.5</v>
      </c>
      <c r="O102" s="96" t="str">
        <f t="shared" si="66"/>
        <v/>
      </c>
      <c r="P102" s="96" t="str">
        <f t="shared" si="67"/>
        <v/>
      </c>
      <c r="Q102" s="96">
        <f t="shared" si="68"/>
        <v>448.5</v>
      </c>
      <c r="R102" s="92" t="str">
        <f t="shared" si="69"/>
        <v/>
      </c>
      <c r="S102" s="42" t="str">
        <f t="shared" si="70"/>
        <v/>
      </c>
      <c r="T102" s="167" t="str">
        <f>IF(L102="","",VLOOKUP(L102,classifications!C:K,9,FALSE))</f>
        <v>Sparse</v>
      </c>
      <c r="U102" s="168">
        <f t="shared" si="71"/>
        <v>448.5</v>
      </c>
      <c r="V102" s="174">
        <f>IF(U102="","",IF($I$8="A",(RANK(U102,U$11:U$343)+COUNTIF(U$11:U102,U102)-1),(RANK(U102,U$11:U$343,1)+COUNTIF(U$11:U102,U102)-1)))</f>
        <v>25</v>
      </c>
      <c r="W102" s="175"/>
      <c r="X102" s="5" t="str">
        <f>IF(L102="","",VLOOKUP($L102,classifications!$C:$J,6,FALSE))</f>
        <v xml:space="preserve">Mainly Rural (rural including hub towns &gt;=80%) </v>
      </c>
      <c r="Y102">
        <f t="shared" si="72"/>
        <v>448.5</v>
      </c>
      <c r="Z102" s="40">
        <f>IF(Y102="","",IF(I$8="A",(RANK(Y102,Y$11:Y$343,1)+COUNTIF(Y$11:Y102,Y102)-1),(RANK(Y102,Y$11:Y$343)+COUNTIF(Y$11:Y102,Y102)-1)))</f>
        <v>20</v>
      </c>
      <c r="AA102" s="180" t="str">
        <f>IF(L102="","",VLOOKUP($L102,classifications!C:I,7,FALSE))</f>
        <v>Predominantly Rural</v>
      </c>
      <c r="AB102" s="174">
        <f t="shared" si="73"/>
        <v>448.5</v>
      </c>
      <c r="AC102" s="174">
        <f>IF(AB102="","",IF($I$8="A",(RANK(AB102,AB$11:AB$343)+COUNTIF(AB$11:AB102,AB102)-1),(RANK(AB102,AB$11:AB$343,1)+COUNTIF(AB$11:AB102,AB102)-1)))</f>
        <v>33</v>
      </c>
      <c r="AD102" s="174"/>
      <c r="AE102" s="36" t="str">
        <f t="shared" si="74"/>
        <v/>
      </c>
      <c r="AG102" s="15"/>
      <c r="AH102" s="3"/>
      <c r="AI102" s="5" t="str">
        <f>IF(L102="","",VLOOKUP($L102,classifications!$C:$J,8,FALSE))</f>
        <v>Worcestershire</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West Midlands</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504.3</v>
      </c>
    </row>
    <row r="103" spans="1:50">
      <c r="A103" s="59" t="str">
        <f>$D$1&amp;93</f>
        <v>SD93</v>
      </c>
      <c r="B103" s="60">
        <f>IF(ISERROR(VLOOKUP(A105,classifications!A:C,3,FALSE)),0,VLOOKUP(A105,classifications!A:C,3,FALSE))</f>
        <v>0</v>
      </c>
      <c r="C103" t="s">
        <v>311</v>
      </c>
      <c r="D103" t="str">
        <f>VLOOKUP($C103,classifications!$C:$J,4,FALSE)</f>
        <v>SC</v>
      </c>
      <c r="E103">
        <f>VLOOKUP(C103,classifications!C:K,9,FALSE)</f>
        <v>0</v>
      </c>
      <c r="F103">
        <f t="shared" si="60"/>
        <v>529</v>
      </c>
      <c r="G103" s="15"/>
      <c r="H103" s="42" t="str">
        <f t="shared" si="61"/>
        <v/>
      </c>
      <c r="I103" s="79" t="str">
        <f>IF(H103="","",IF($I$8="A",(RANK(H103,H$11:H$343,1)+COUNTIF(H$11:H103,H103)-1),(RANK(H103,H$11:H$343)+COUNTIF(H$11:H103,H103)-1)))</f>
        <v/>
      </c>
      <c r="J103" s="41"/>
      <c r="K103" s="36">
        <f t="shared" si="62"/>
        <v>93</v>
      </c>
      <c r="L103" t="str">
        <f t="shared" si="63"/>
        <v>Stafford</v>
      </c>
      <c r="M103" s="117">
        <f t="shared" si="64"/>
        <v>449.4</v>
      </c>
      <c r="N103" s="112">
        <f t="shared" si="65"/>
        <v>449.4</v>
      </c>
      <c r="O103" s="96" t="str">
        <f t="shared" si="66"/>
        <v/>
      </c>
      <c r="P103" s="96" t="str">
        <f t="shared" si="67"/>
        <v/>
      </c>
      <c r="Q103" s="96">
        <f t="shared" si="68"/>
        <v>449.4</v>
      </c>
      <c r="R103" s="92" t="str">
        <f t="shared" si="69"/>
        <v/>
      </c>
      <c r="S103" s="42" t="str">
        <f t="shared" si="70"/>
        <v/>
      </c>
      <c r="T103" s="167" t="str">
        <f>IF(L103="","",VLOOKUP(L103,classifications!C:K,9,FALSE))</f>
        <v>Sparse</v>
      </c>
      <c r="U103" s="168">
        <f t="shared" si="71"/>
        <v>449.4</v>
      </c>
      <c r="V103" s="174">
        <f>IF(U103="","",IF($I$8="A",(RANK(U103,U$11:U$343)+COUNTIF(U$11:U103,U103)-1),(RANK(U103,U$11:U$343,1)+COUNTIF(U$11:U103,U103)-1)))</f>
        <v>24</v>
      </c>
      <c r="W103" s="175"/>
      <c r="X103" s="5" t="str">
        <f>IF(L103="","",VLOOKUP($L103,classifications!$C:$J,6,FALSE))</f>
        <v>Urban with Significant Rural (rural including hub towns 26-49%)</v>
      </c>
      <c r="Y103" t="str">
        <f t="shared" si="72"/>
        <v/>
      </c>
      <c r="Z103" s="40" t="str">
        <f>IF(Y103="","",IF(I$8="A",(RANK(Y103,Y$11:Y$343,1)+COUNTIF(Y$11:Y103,Y103)-1),(RANK(Y103,Y$11:Y$343)+COUNTIF(Y$11:Y103,Y103)-1)))</f>
        <v/>
      </c>
      <c r="AA103" s="180" t="str">
        <f>IF(L103="","",VLOOKUP($L103,classifications!C:I,7,FALSE))</f>
        <v>Significant Rural</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Staffordshire</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West Midlands</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529</v>
      </c>
    </row>
    <row r="104" spans="1:50">
      <c r="A104" s="59" t="str">
        <f>$D$1&amp;94</f>
        <v>SD94</v>
      </c>
      <c r="B104" s="60">
        <f>IF(ISERROR(VLOOKUP(A106,classifications!A:C,3,FALSE)),0,VLOOKUP(A106,classifications!A:C,3,FALSE))</f>
        <v>0</v>
      </c>
      <c r="C104" t="s">
        <v>60</v>
      </c>
      <c r="D104" t="str">
        <f>VLOOKUP($C104,classifications!$C:$J,4,FALSE)</f>
        <v>SD</v>
      </c>
      <c r="E104">
        <f>VLOOKUP(C104,classifications!C:K,9,FALSE)</f>
        <v>0</v>
      </c>
      <c r="F104">
        <f t="shared" si="60"/>
        <v>412.8</v>
      </c>
      <c r="G104" s="15"/>
      <c r="H104" s="42">
        <f t="shared" si="61"/>
        <v>412.8</v>
      </c>
      <c r="I104" s="79">
        <f>IF(H104="","",IF($I$8="A",(RANK(H104,H$11:H$343,1)+COUNTIF(H$11:H104,H104)-1),(RANK(H104,H$11:H$343)+COUNTIF(H$11:H104,H104)-1)))</f>
        <v>57</v>
      </c>
      <c r="J104" s="41"/>
      <c r="K104" s="36">
        <f t="shared" si="62"/>
        <v>94</v>
      </c>
      <c r="L104" t="str">
        <f t="shared" si="63"/>
        <v>East Lindsey</v>
      </c>
      <c r="M104" s="117">
        <f t="shared" si="64"/>
        <v>450</v>
      </c>
      <c r="N104" s="112">
        <f t="shared" si="65"/>
        <v>450</v>
      </c>
      <c r="O104" s="96" t="str">
        <f t="shared" si="66"/>
        <v/>
      </c>
      <c r="P104" s="96" t="str">
        <f t="shared" si="67"/>
        <v/>
      </c>
      <c r="Q104" s="96">
        <f t="shared" si="68"/>
        <v>450</v>
      </c>
      <c r="R104" s="92" t="str">
        <f t="shared" si="69"/>
        <v/>
      </c>
      <c r="S104" s="42" t="str">
        <f t="shared" si="70"/>
        <v/>
      </c>
      <c r="T104" s="167" t="str">
        <f>IF(L104="","",VLOOKUP(L104,classifications!C:K,9,FALSE))</f>
        <v>Sparse</v>
      </c>
      <c r="U104" s="168">
        <f t="shared" si="71"/>
        <v>450</v>
      </c>
      <c r="V104" s="174">
        <f>IF(U104="","",IF($I$8="A",(RANK(U104,U$11:U$343)+COUNTIF(U$11:U104,U104)-1),(RANK(U104,U$11:U$343,1)+COUNTIF(U$11:U104,U104)-1)))</f>
        <v>23</v>
      </c>
      <c r="W104" s="175"/>
      <c r="X104" s="5" t="str">
        <f>IF(L104="","",VLOOKUP($L104,classifications!$C:$J,6,FALSE))</f>
        <v xml:space="preserve">Mainly Rural (rural including hub towns &gt;=80%) </v>
      </c>
      <c r="Y104">
        <f t="shared" si="72"/>
        <v>450</v>
      </c>
      <c r="Z104" s="40">
        <f>IF(Y104="","",IF(I$8="A",(RANK(Y104,Y$11:Y$343,1)+COUNTIF(Y$11:Y104,Y104)-1),(RANK(Y104,Y$11:Y$343)+COUNTIF(Y$11:Y104,Y104)-1)))</f>
        <v>21</v>
      </c>
      <c r="AA104" s="180" t="str">
        <f>IF(L104="","",VLOOKUP($L104,classifications!C:I,7,FALSE))</f>
        <v>Predominantly Rural</v>
      </c>
      <c r="AB104" s="174">
        <f t="shared" si="73"/>
        <v>450</v>
      </c>
      <c r="AC104" s="174">
        <f>IF(AB104="","",IF($I$8="A",(RANK(AB104,AB$11:AB$343)+COUNTIF(AB$11:AB104,AB104)-1),(RANK(AB104,AB$11:AB$343,1)+COUNTIF(AB$11:AB104,AB104)-1)))</f>
        <v>32</v>
      </c>
      <c r="AD104" s="174"/>
      <c r="AE104" s="36" t="str">
        <f t="shared" si="74"/>
        <v/>
      </c>
      <c r="AG104" s="15"/>
      <c r="AH104" s="3"/>
      <c r="AI104" s="5" t="str">
        <f>IF(L104="","",VLOOKUP($L104,classifications!$C:$J,8,FALSE))</f>
        <v>Lincolnshire</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East Midlands</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412.8</v>
      </c>
    </row>
    <row r="105" spans="1:50">
      <c r="A105" s="59" t="str">
        <f>$D$1&amp;95</f>
        <v>SD95</v>
      </c>
      <c r="B105" s="60">
        <f>IF(ISERROR(VLOOKUP(A107,classifications!A:C,3,FALSE)),0,VLOOKUP(A107,classifications!A:C,3,FALSE))</f>
        <v>0</v>
      </c>
      <c r="C105" t="s">
        <v>61</v>
      </c>
      <c r="D105" t="str">
        <f>VLOOKUP($C105,classifications!$C:$J,4,FALSE)</f>
        <v>SD</v>
      </c>
      <c r="E105">
        <f>VLOOKUP(C105,classifications!C:K,9,FALSE)</f>
        <v>0</v>
      </c>
      <c r="F105">
        <f t="shared" si="60"/>
        <v>431.9</v>
      </c>
      <c r="G105" s="15"/>
      <c r="H105" s="42">
        <f t="shared" si="61"/>
        <v>431.9</v>
      </c>
      <c r="I105" s="79">
        <f>IF(H105="","",IF($I$8="A",(RANK(H105,H$11:H$343,1)+COUNTIF(H$11:H105,H105)-1),(RANK(H105,H$11:H$343)+COUNTIF(H$11:H105,H105)-1)))</f>
        <v>78</v>
      </c>
      <c r="J105" s="41"/>
      <c r="K105" s="36">
        <f t="shared" si="62"/>
        <v>95</v>
      </c>
      <c r="L105" t="str">
        <f t="shared" si="63"/>
        <v>North East Derbyshire</v>
      </c>
      <c r="M105" s="117">
        <f t="shared" si="64"/>
        <v>450.2</v>
      </c>
      <c r="N105" s="112">
        <f t="shared" si="65"/>
        <v>450.2</v>
      </c>
      <c r="O105" s="96" t="str">
        <f t="shared" si="66"/>
        <v/>
      </c>
      <c r="P105" s="96" t="str">
        <f t="shared" si="67"/>
        <v/>
      </c>
      <c r="Q105" s="96">
        <f t="shared" si="68"/>
        <v>450.2</v>
      </c>
      <c r="R105" s="92" t="str">
        <f t="shared" si="69"/>
        <v/>
      </c>
      <c r="S105" s="42" t="str">
        <f t="shared" si="70"/>
        <v/>
      </c>
      <c r="T105" s="167">
        <f>IF(L105="","",VLOOKUP(L105,classifications!C:K,9,FALSE))</f>
        <v>0</v>
      </c>
      <c r="U105" s="168" t="str">
        <f t="shared" si="71"/>
        <v/>
      </c>
      <c r="V105" s="174" t="str">
        <f>IF(U105="","",IF($I$8="A",(RANK(U105,U$11:U$343)+COUNTIF(U$11:U105,U105)-1),(RANK(U105,U$11:U$343,1)+COUNTIF(U$11:U105,U105)-1)))</f>
        <v/>
      </c>
      <c r="W105" s="175"/>
      <c r="X105" s="5" t="str">
        <f>IF(L105="","",VLOOKUP($L105,classifications!$C:$J,6,FALSE))</f>
        <v>Urban with City and Town</v>
      </c>
      <c r="Y105" t="str">
        <f t="shared" si="72"/>
        <v/>
      </c>
      <c r="Z105" s="40" t="str">
        <f>IF(Y105="","",IF(I$8="A",(RANK(Y105,Y$11:Y$343,1)+COUNTIF(Y$11:Y105,Y105)-1),(RANK(Y105,Y$11:Y$343)+COUNTIF(Y$11:Y105,Y105)-1)))</f>
        <v/>
      </c>
      <c r="AA105" s="180" t="str">
        <f>IF(L105="","",VLOOKUP($L105,classifications!C:I,7,FALSE))</f>
        <v>Predominantly Urban</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Derbyshire</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East Midlands</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431.9</v>
      </c>
    </row>
    <row r="106" spans="1:50">
      <c r="A106" s="59" t="str">
        <f>$D$1&amp;96</f>
        <v>SD96</v>
      </c>
      <c r="B106" s="60">
        <f>IF(ISERROR(VLOOKUP(A108,classifications!A:C,3,FALSE)),0,VLOOKUP(A108,classifications!A:C,3,FALSE))</f>
        <v>0</v>
      </c>
      <c r="C106" t="s">
        <v>62</v>
      </c>
      <c r="D106" t="str">
        <f>VLOOKUP($C106,classifications!$C:$J,4,FALSE)</f>
        <v>SD</v>
      </c>
      <c r="E106" t="str">
        <f>VLOOKUP(C106,classifications!C:K,9,FALSE)</f>
        <v>Sparse</v>
      </c>
      <c r="F106">
        <f t="shared" si="60"/>
        <v>421.5</v>
      </c>
      <c r="G106" s="15"/>
      <c r="H106" s="42">
        <f t="shared" si="61"/>
        <v>421.5</v>
      </c>
      <c r="I106" s="79">
        <f>IF(H106="","",IF($I$8="A",(RANK(H106,H$11:H$343,1)+COUNTIF(H$11:H106,H106)-1),(RANK(H106,H$11:H$343)+COUNTIF(H$11:H106,H106)-1)))</f>
        <v>64</v>
      </c>
      <c r="J106" s="41"/>
      <c r="K106" s="36">
        <f t="shared" si="62"/>
        <v>96</v>
      </c>
      <c r="L106" t="str">
        <f t="shared" si="63"/>
        <v>Exeter</v>
      </c>
      <c r="M106" s="117">
        <f t="shared" si="64"/>
        <v>450.9</v>
      </c>
      <c r="N106" s="112">
        <f t="shared" si="65"/>
        <v>450.9</v>
      </c>
      <c r="O106" s="96" t="str">
        <f t="shared" si="66"/>
        <v/>
      </c>
      <c r="P106" s="96" t="str">
        <f t="shared" si="67"/>
        <v/>
      </c>
      <c r="Q106" s="96">
        <f t="shared" si="68"/>
        <v>450.9</v>
      </c>
      <c r="R106" s="92" t="str">
        <f t="shared" si="69"/>
        <v/>
      </c>
      <c r="S106" s="42" t="str">
        <f t="shared" si="70"/>
        <v/>
      </c>
      <c r="T106" s="167">
        <f>IF(L106="","",VLOOKUP(L106,classifications!C:K,9,FALSE))</f>
        <v>0</v>
      </c>
      <c r="U106" s="168" t="str">
        <f t="shared" si="71"/>
        <v/>
      </c>
      <c r="V106" s="174" t="str">
        <f>IF(U106="","",IF($I$8="A",(RANK(U106,U$11:U$343)+COUNTIF(U$11:U106,U106)-1),(RANK(U106,U$11:U$343,1)+COUNTIF(U$11:U106,U106)-1)))</f>
        <v/>
      </c>
      <c r="W106" s="175"/>
      <c r="X106" s="5" t="str">
        <f>IF(L106="","",VLOOKUP($L106,classifications!$C:$J,6,FALSE))</f>
        <v>Urban with City and Town</v>
      </c>
      <c r="Y106" t="str">
        <f t="shared" si="72"/>
        <v/>
      </c>
      <c r="Z106" s="40" t="str">
        <f>IF(Y106="","",IF(I$8="A",(RANK(Y106,Y$11:Y$343,1)+COUNTIF(Y$11:Y106,Y106)-1),(RANK(Y106,Y$11:Y$343)+COUNTIF(Y$11:Y106,Y106)-1)))</f>
        <v/>
      </c>
      <c r="AA106" s="180" t="str">
        <f>IF(L106="","",VLOOKUP($L106,classifications!C:I,7,FALSE))</f>
        <v>Predominantly Urban</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Devon</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South West</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421.5</v>
      </c>
    </row>
    <row r="107" spans="1:50">
      <c r="A107" s="59" t="str">
        <f>$D$1&amp;97</f>
        <v>SD97</v>
      </c>
      <c r="B107" s="60">
        <f>IF(ISERROR(VLOOKUP(A109,classifications!A:C,3,FALSE)),0,VLOOKUP(A109,classifications!A:C,3,FALSE))</f>
        <v>0</v>
      </c>
      <c r="C107" t="s">
        <v>63</v>
      </c>
      <c r="D107" t="str">
        <f>VLOOKUP($C107,classifications!$C:$J,4,FALSE)</f>
        <v>SD</v>
      </c>
      <c r="E107">
        <f>VLOOKUP(C107,classifications!C:K,9,FALSE)</f>
        <v>0</v>
      </c>
      <c r="F107">
        <f t="shared" si="60"/>
        <v>410.2</v>
      </c>
      <c r="G107" s="15"/>
      <c r="H107" s="42">
        <f t="shared" si="61"/>
        <v>410.2</v>
      </c>
      <c r="I107" s="79">
        <f>IF(H107="","",IF($I$8="A",(RANK(H107,H$11:H$343,1)+COUNTIF(H$11:H107,H107)-1),(RANK(H107,H$11:H$343)+COUNTIF(H$11:H107,H107)-1)))</f>
        <v>54</v>
      </c>
      <c r="J107" s="41"/>
      <c r="K107" s="36">
        <f t="shared" si="62"/>
        <v>97</v>
      </c>
      <c r="L107" t="str">
        <f t="shared" si="63"/>
        <v>Rushcliffe</v>
      </c>
      <c r="M107" s="117">
        <f t="shared" si="64"/>
        <v>452.6</v>
      </c>
      <c r="N107" s="112">
        <f t="shared" si="65"/>
        <v>452.6</v>
      </c>
      <c r="O107" s="96" t="str">
        <f t="shared" si="66"/>
        <v/>
      </c>
      <c r="P107" s="96" t="str">
        <f t="shared" si="67"/>
        <v/>
      </c>
      <c r="Q107" s="96">
        <f t="shared" si="68"/>
        <v>452.6</v>
      </c>
      <c r="R107" s="92" t="str">
        <f t="shared" si="69"/>
        <v/>
      </c>
      <c r="S107" s="42" t="str">
        <f t="shared" si="70"/>
        <v/>
      </c>
      <c r="T107" s="167">
        <f>IF(L107="","",VLOOKUP(L107,classifications!C:K,9,FALSE))</f>
        <v>0</v>
      </c>
      <c r="U107" s="168" t="str">
        <f t="shared" si="71"/>
        <v/>
      </c>
      <c r="V107" s="174" t="str">
        <f>IF(U107="","",IF($I$8="A",(RANK(U107,U$11:U$343)+COUNTIF(U$11:U107,U107)-1),(RANK(U107,U$11:U$343,1)+COUNTIF(U$11:U107,U107)-1)))</f>
        <v/>
      </c>
      <c r="W107" s="175"/>
      <c r="X107" s="5" t="str">
        <f>IF(L107="","",VLOOKUP($L107,classifications!$C:$J,6,FALSE))</f>
        <v xml:space="preserve">Largely Rural (rural including hub towns 50-79%) </v>
      </c>
      <c r="Y107" t="str">
        <f t="shared" si="72"/>
        <v/>
      </c>
      <c r="Z107" s="40" t="str">
        <f>IF(Y107="","",IF(I$8="A",(RANK(Y107,Y$11:Y$343,1)+COUNTIF(Y$11:Y107,Y107)-1),(RANK(Y107,Y$11:Y$343)+COUNTIF(Y$11:Y107,Y107)-1)))</f>
        <v/>
      </c>
      <c r="AA107" s="180" t="str">
        <f>IF(L107="","",VLOOKUP($L107,classifications!C:I,7,FALSE))</f>
        <v>Predominantly Rural</v>
      </c>
      <c r="AB107" s="174">
        <f t="shared" si="73"/>
        <v>452.6</v>
      </c>
      <c r="AC107" s="174">
        <f>IF(AB107="","",IF($I$8="A",(RANK(AB107,AB$11:AB$343)+COUNTIF(AB$11:AB107,AB107)-1),(RANK(AB107,AB$11:AB$343,1)+COUNTIF(AB$11:AB107,AB107)-1)))</f>
        <v>31</v>
      </c>
      <c r="AD107" s="174"/>
      <c r="AE107" s="36" t="str">
        <f t="shared" si="74"/>
        <v/>
      </c>
      <c r="AG107" s="15"/>
      <c r="AH107" s="3"/>
      <c r="AI107" s="5" t="str">
        <f>IF(L107="","",VLOOKUP($L107,classifications!$C:$J,8,FALSE))</f>
        <v>Nottinghamshire</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East Midlands</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410.2</v>
      </c>
    </row>
    <row r="108" spans="1:50">
      <c r="A108" s="59" t="str">
        <f>$D$1&amp;98</f>
        <v>SD98</v>
      </c>
      <c r="B108" s="60">
        <f>IF(ISERROR(VLOOKUP(A110,classifications!A:C,3,FALSE)),0,VLOOKUP(A110,classifications!A:C,3,FALSE))</f>
        <v>0</v>
      </c>
      <c r="C108" t="s">
        <v>204</v>
      </c>
      <c r="D108" t="str">
        <f>VLOOKUP($C108,classifications!$C:$J,4,FALSE)</f>
        <v>L</v>
      </c>
      <c r="E108">
        <f>VLOOKUP(C108,classifications!C:K,9,FALSE)</f>
        <v>0</v>
      </c>
      <c r="F108">
        <f t="shared" si="60"/>
        <v>530.20000000000005</v>
      </c>
      <c r="G108" s="15"/>
      <c r="H108" s="42" t="str">
        <f t="shared" si="61"/>
        <v/>
      </c>
      <c r="I108" s="79" t="str">
        <f>IF(H108="","",IF($I$8="A",(RANK(H108,H$11:H$343,1)+COUNTIF(H$11:H108,H108)-1),(RANK(H108,H$11:H$343)+COUNTIF(H$11:H108,H108)-1)))</f>
        <v/>
      </c>
      <c r="J108" s="41"/>
      <c r="K108" s="36">
        <f t="shared" si="62"/>
        <v>98</v>
      </c>
      <c r="L108" t="str">
        <f t="shared" si="63"/>
        <v>Lichfield</v>
      </c>
      <c r="M108" s="117">
        <f t="shared" si="64"/>
        <v>455.7</v>
      </c>
      <c r="N108" s="112">
        <f t="shared" si="65"/>
        <v>455.7</v>
      </c>
      <c r="O108" s="96" t="str">
        <f t="shared" si="66"/>
        <v/>
      </c>
      <c r="P108" s="96" t="str">
        <f t="shared" si="67"/>
        <v/>
      </c>
      <c r="Q108" s="96">
        <f t="shared" si="68"/>
        <v>455.7</v>
      </c>
      <c r="R108" s="92" t="str">
        <f t="shared" si="69"/>
        <v/>
      </c>
      <c r="S108" s="42" t="str">
        <f t="shared" si="70"/>
        <v/>
      </c>
      <c r="T108" s="167" t="str">
        <f>IF(L108="","",VLOOKUP(L108,classifications!C:K,9,FALSE))</f>
        <v>Sparse</v>
      </c>
      <c r="U108" s="168">
        <f t="shared" si="71"/>
        <v>455.7</v>
      </c>
      <c r="V108" s="174">
        <f>IF(U108="","",IF($I$8="A",(RANK(U108,U$11:U$343)+COUNTIF(U$11:U108,U108)-1),(RANK(U108,U$11:U$343,1)+COUNTIF(U$11:U108,U108)-1)))</f>
        <v>22</v>
      </c>
      <c r="W108" s="175"/>
      <c r="X108" s="5" t="str">
        <f>IF(L108="","",VLOOKUP($L108,classifications!$C:$J,6,FALSE))</f>
        <v>Urban with Significant Rural (rural including hub towns 26-49%)</v>
      </c>
      <c r="Y108" t="str">
        <f t="shared" si="72"/>
        <v/>
      </c>
      <c r="Z108" s="40" t="str">
        <f>IF(Y108="","",IF(I$8="A",(RANK(Y108,Y$11:Y$343,1)+COUNTIF(Y$11:Y108,Y108)-1),(RANK(Y108,Y$11:Y$343)+COUNTIF(Y$11:Y108,Y108)-1)))</f>
        <v/>
      </c>
      <c r="AA108" s="180" t="str">
        <f>IF(L108="","",VLOOKUP($L108,classifications!C:I,7,FALSE))</f>
        <v>Significant Rural</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Staffordshire</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West Midlands</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530.20000000000005</v>
      </c>
    </row>
    <row r="109" spans="1:50">
      <c r="A109" s="59" t="str">
        <f>$D$1&amp;99</f>
        <v>SD99</v>
      </c>
      <c r="B109" s="60">
        <f>IF(ISERROR(VLOOKUP(A111,classifications!A:C,3,FALSE)),0,VLOOKUP(A111,classifications!A:C,3,FALSE))</f>
        <v>0</v>
      </c>
      <c r="C109" t="s">
        <v>64</v>
      </c>
      <c r="D109" t="str">
        <f>VLOOKUP($C109,classifications!$C:$J,4,FALSE)</f>
        <v>SD</v>
      </c>
      <c r="E109">
        <f>VLOOKUP(C109,classifications!C:K,9,FALSE)</f>
        <v>0</v>
      </c>
      <c r="F109">
        <f t="shared" si="60"/>
        <v>432</v>
      </c>
      <c r="G109" s="15"/>
      <c r="H109" s="42">
        <f t="shared" si="61"/>
        <v>432</v>
      </c>
      <c r="I109" s="79">
        <f>IF(H109="","",IF($I$8="A",(RANK(H109,H$11:H$343,1)+COUNTIF(H$11:H109,H109)-1),(RANK(H109,H$11:H$343)+COUNTIF(H$11:H109,H109)-1)))</f>
        <v>79</v>
      </c>
      <c r="J109" s="41"/>
      <c r="K109" s="36">
        <f t="shared" si="62"/>
        <v>99</v>
      </c>
      <c r="L109" t="str">
        <f t="shared" si="63"/>
        <v>South Lakeland</v>
      </c>
      <c r="M109" s="117">
        <f t="shared" si="64"/>
        <v>456.3</v>
      </c>
      <c r="N109" s="112">
        <f t="shared" si="65"/>
        <v>456.3</v>
      </c>
      <c r="O109" s="96" t="str">
        <f t="shared" si="66"/>
        <v/>
      </c>
      <c r="P109" s="96" t="str">
        <f t="shared" si="67"/>
        <v/>
      </c>
      <c r="Q109" s="96">
        <f t="shared" si="68"/>
        <v>456.3</v>
      </c>
      <c r="R109" s="92" t="str">
        <f t="shared" si="69"/>
        <v/>
      </c>
      <c r="S109" s="42" t="str">
        <f t="shared" si="70"/>
        <v/>
      </c>
      <c r="T109" s="167" t="str">
        <f>IF(L109="","",VLOOKUP(L109,classifications!C:K,9,FALSE))</f>
        <v>Sparse</v>
      </c>
      <c r="U109" s="168">
        <f t="shared" si="71"/>
        <v>456.3</v>
      </c>
      <c r="V109" s="174">
        <f>IF(U109="","",IF($I$8="A",(RANK(U109,U$11:U$343)+COUNTIF(U$11:U109,U109)-1),(RANK(U109,U$11:U$343,1)+COUNTIF(U$11:U109,U109)-1)))</f>
        <v>21</v>
      </c>
      <c r="W109" s="175"/>
      <c r="X109" s="5" t="str">
        <f>IF(L109="","",VLOOKUP($L109,classifications!$C:$J,6,FALSE))</f>
        <v xml:space="preserve">Mainly Rural (rural including hub towns &gt;=80%) </v>
      </c>
      <c r="Y109">
        <f t="shared" si="72"/>
        <v>456.3</v>
      </c>
      <c r="Z109" s="40">
        <f>IF(Y109="","",IF(I$8="A",(RANK(Y109,Y$11:Y$343,1)+COUNTIF(Y$11:Y109,Y109)-1),(RANK(Y109,Y$11:Y$343)+COUNTIF(Y$11:Y109,Y109)-1)))</f>
        <v>22</v>
      </c>
      <c r="AA109" s="180" t="str">
        <f>IF(L109="","",VLOOKUP($L109,classifications!C:I,7,FALSE))</f>
        <v>Predominantly Rural</v>
      </c>
      <c r="AB109" s="174">
        <f t="shared" si="73"/>
        <v>456.3</v>
      </c>
      <c r="AC109" s="174">
        <f>IF(AB109="","",IF($I$8="A",(RANK(AB109,AB$11:AB$343)+COUNTIF(AB$11:AB109,AB109)-1),(RANK(AB109,AB$11:AB$343,1)+COUNTIF(AB$11:AB109,AB109)-1)))</f>
        <v>30</v>
      </c>
      <c r="AD109" s="174"/>
      <c r="AE109" s="36" t="str">
        <f t="shared" si="74"/>
        <v/>
      </c>
      <c r="AG109" s="15"/>
      <c r="AH109" s="3"/>
      <c r="AI109" s="5" t="str">
        <f>IF(L109="","",VLOOKUP($L109,classifications!$C:$J,8,FALSE))</f>
        <v>Cumbria</v>
      </c>
      <c r="AJ109" s="43">
        <f t="shared" si="75"/>
        <v>456.3</v>
      </c>
      <c r="AK109" s="40">
        <f>IF(AJ109="","",IF(I$8="A",(RANK(AJ109,AJ$11:AJ$343,1)+COUNTIF(AJ$11:AJ109,AJ109)-1),(RANK(AJ109,AJ$11:AJ$343)+COUNTIF(AJ$11:AJ109,AJ109)-1)))</f>
        <v>2</v>
      </c>
      <c r="AL109" s="3" t="str">
        <f t="shared" si="76"/>
        <v/>
      </c>
      <c r="AM109" t="str">
        <f t="shared" si="77"/>
        <v/>
      </c>
      <c r="AN109" t="str">
        <f t="shared" si="78"/>
        <v/>
      </c>
      <c r="AP109" s="5" t="str">
        <f>IF(L109="","",VLOOKUP($L109,classifications!$C:$E,3,FALSE))</f>
        <v>North West</v>
      </c>
      <c r="AQ109" s="43">
        <f t="shared" si="79"/>
        <v>456.3</v>
      </c>
      <c r="AR109" s="40">
        <f>IF(AQ109="","",IF(I$8="A",(RANK(AQ109,AQ$11:AQ$343,1)+COUNTIF(AQ$11:AQ109,AQ109)-1),(RANK(AQ109,AQ$11:AQ$343)+COUNTIF(AQ$11:AQ109,AQ109)-1)))</f>
        <v>5</v>
      </c>
      <c r="AS109" s="3" t="str">
        <f t="shared" si="80"/>
        <v/>
      </c>
      <c r="AT109" s="40" t="str">
        <f t="shared" si="81"/>
        <v/>
      </c>
      <c r="AU109" s="43" t="str">
        <f t="shared" si="82"/>
        <v/>
      </c>
      <c r="AX109">
        <f>HLOOKUP($AX$9&amp;$AX$10,Data!$A$1:$ZZ$1980,(MATCH($C109,Data!$A$1:$A$1980,0)),FALSE)</f>
        <v>432</v>
      </c>
    </row>
    <row r="110" spans="1:50">
      <c r="A110" s="59" t="str">
        <f>$D$1&amp;100</f>
        <v>SD100</v>
      </c>
      <c r="B110" s="60">
        <f>IF(ISERROR(VLOOKUP(A112,classifications!A:C,3,FALSE)),0,VLOOKUP(A112,classifications!A:C,3,FALSE))</f>
        <v>0</v>
      </c>
      <c r="C110" t="s">
        <v>345</v>
      </c>
      <c r="D110" t="str">
        <f>VLOOKUP($C110,classifications!$C:$J,4,FALSE)</f>
        <v>SD</v>
      </c>
      <c r="E110">
        <f>VLOOKUP(C110,classifications!C:K,9,FALSE)</f>
        <v>0</v>
      </c>
      <c r="F110">
        <f t="shared" si="60"/>
        <v>398.5</v>
      </c>
      <c r="G110" s="15"/>
      <c r="H110" s="42">
        <f t="shared" si="61"/>
        <v>398.5</v>
      </c>
      <c r="I110" s="79">
        <f>IF(H110="","",IF($I$8="A",(RANK(H110,H$11:H$343,1)+COUNTIF(H$11:H110,H110)-1),(RANK(H110,H$11:H$343)+COUNTIF(H$11:H110,H110)-1)))</f>
        <v>47</v>
      </c>
      <c r="J110" s="41"/>
      <c r="K110" s="36">
        <f t="shared" si="62"/>
        <v>100</v>
      </c>
      <c r="L110" t="str">
        <f t="shared" si="63"/>
        <v>Gosport</v>
      </c>
      <c r="M110" s="117">
        <f t="shared" si="64"/>
        <v>456.6</v>
      </c>
      <c r="N110" s="112">
        <f t="shared" si="65"/>
        <v>456.6</v>
      </c>
      <c r="O110" s="96" t="str">
        <f t="shared" si="66"/>
        <v/>
      </c>
      <c r="P110" s="96" t="str">
        <f t="shared" si="67"/>
        <v/>
      </c>
      <c r="Q110" s="96">
        <f t="shared" si="68"/>
        <v>456.6</v>
      </c>
      <c r="R110" s="92" t="str">
        <f t="shared" si="69"/>
        <v/>
      </c>
      <c r="S110" s="42" t="str">
        <f t="shared" si="70"/>
        <v/>
      </c>
      <c r="T110" s="167">
        <f>IF(L110="","",VLOOKUP(L110,classifications!C:K,9,FALSE))</f>
        <v>0</v>
      </c>
      <c r="U110" s="168" t="str">
        <f t="shared" si="71"/>
        <v/>
      </c>
      <c r="V110" s="174" t="str">
        <f>IF(U110="","",IF($I$8="A",(RANK(U110,U$11:U$343)+COUNTIF(U$11:U110,U110)-1),(RANK(U110,U$11:U$343,1)+COUNTIF(U$11:U110,U110)-1)))</f>
        <v/>
      </c>
      <c r="W110" s="175"/>
      <c r="X110" s="5" t="str">
        <f>IF(L110="","",VLOOKUP($L110,classifications!$C:$J,6,FALSE))</f>
        <v>Urban with City and Town</v>
      </c>
      <c r="Y110" t="str">
        <f t="shared" si="72"/>
        <v/>
      </c>
      <c r="Z110" s="40" t="str">
        <f>IF(Y110="","",IF(I$8="A",(RANK(Y110,Y$11:Y$343,1)+COUNTIF(Y$11:Y110,Y110)-1),(RANK(Y110,Y$11:Y$343)+COUNTIF(Y$11:Y110,Y110)-1)))</f>
        <v/>
      </c>
      <c r="AA110" s="180" t="str">
        <f>IF(L110="","",VLOOKUP($L110,classifications!C:I,7,FALSE))</f>
        <v>Predominantly Urban</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Hampshire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South East</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398.5</v>
      </c>
    </row>
    <row r="111" spans="1:50">
      <c r="A111" s="59" t="str">
        <f>$D$1&amp;101</f>
        <v>SD101</v>
      </c>
      <c r="B111" s="60">
        <f>IF(ISERROR(VLOOKUP(A113,classifications!A:C,3,FALSE)),0,VLOOKUP(A113,classifications!A:C,3,FALSE))</f>
        <v>0</v>
      </c>
      <c r="C111" t="s">
        <v>65</v>
      </c>
      <c r="D111" t="str">
        <f>VLOOKUP($C111,classifications!$C:$J,4,FALSE)</f>
        <v>SD</v>
      </c>
      <c r="E111">
        <f>VLOOKUP(C111,classifications!C:K,9,FALSE)</f>
        <v>0</v>
      </c>
      <c r="F111">
        <f t="shared" si="60"/>
        <v>483</v>
      </c>
      <c r="G111" s="15"/>
      <c r="H111" s="42">
        <f t="shared" si="61"/>
        <v>483</v>
      </c>
      <c r="I111" s="79">
        <f>IF(H111="","",IF($I$8="A",(RANK(H111,H$11:H$343,1)+COUNTIF(H$11:H111,H111)-1),(RANK(H111,H$11:H$343)+COUNTIF(H$11:H111,H111)-1)))</f>
        <v>128</v>
      </c>
      <c r="J111" s="41"/>
      <c r="K111" s="36">
        <f t="shared" si="62"/>
        <v>101</v>
      </c>
      <c r="L111" t="str">
        <f t="shared" si="63"/>
        <v>Tonbridge &amp; Malling</v>
      </c>
      <c r="M111" s="117">
        <f t="shared" si="64"/>
        <v>456.6</v>
      </c>
      <c r="N111" s="112">
        <f t="shared" si="65"/>
        <v>456.6</v>
      </c>
      <c r="O111" s="96" t="str">
        <f t="shared" si="66"/>
        <v/>
      </c>
      <c r="P111" s="96" t="str">
        <f t="shared" si="67"/>
        <v/>
      </c>
      <c r="Q111" s="96">
        <f t="shared" si="68"/>
        <v>456.6</v>
      </c>
      <c r="R111" s="92" t="str">
        <f t="shared" si="69"/>
        <v/>
      </c>
      <c r="S111" s="42" t="str">
        <f t="shared" si="70"/>
        <v/>
      </c>
      <c r="T111" s="167">
        <f>IF(L111="","",VLOOKUP(L111,classifications!C:K,9,FALSE))</f>
        <v>0</v>
      </c>
      <c r="U111" s="168" t="str">
        <f t="shared" si="71"/>
        <v/>
      </c>
      <c r="V111" s="174" t="str">
        <f>IF(U111="","",IF($I$8="A",(RANK(U111,U$11:U$343)+COUNTIF(U$11:U111,U111)-1),(RANK(U111,U$11:U$343,1)+COUNTIF(U$11:U111,U111)-1)))</f>
        <v/>
      </c>
      <c r="W111" s="175"/>
      <c r="X111" s="5" t="str">
        <f>IF(L111="","",VLOOKUP($L111,classifications!$C:$J,6,FALSE))</f>
        <v>Urban with Significant Rural (rural including hub towns 26-49%)</v>
      </c>
      <c r="Y111" t="str">
        <f t="shared" si="72"/>
        <v/>
      </c>
      <c r="Z111" s="40" t="str">
        <f>IF(Y111="","",IF(I$8="A",(RANK(Y111,Y$11:Y$343,1)+COUNTIF(Y$11:Y111,Y111)-1),(RANK(Y111,Y$11:Y$343)+COUNTIF(Y$11:Y111,Y111)-1)))</f>
        <v/>
      </c>
      <c r="AA111" s="180" t="str">
        <f>IF(L111="","",VLOOKUP($L111,classifications!C:I,7,FALSE))</f>
        <v>Significant Rural</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Kent</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South East</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483</v>
      </c>
    </row>
    <row r="112" spans="1:50">
      <c r="A112" s="59" t="str">
        <f>$D$1&amp;102</f>
        <v>SD102</v>
      </c>
      <c r="B112" s="60">
        <f>IF(ISERROR(VLOOKUP(A114,classifications!A:C,3,FALSE)),0,VLOOKUP(A114,classifications!A:C,3,FALSE))</f>
        <v>0</v>
      </c>
      <c r="C112" t="s">
        <v>312</v>
      </c>
      <c r="D112" t="str">
        <f>VLOOKUP($C112,classifications!$C:$J,4,FALSE)</f>
        <v>SC</v>
      </c>
      <c r="E112">
        <f>VLOOKUP(C112,classifications!C:K,9,FALSE)</f>
        <v>0</v>
      </c>
      <c r="F112">
        <f t="shared" si="60"/>
        <v>483.6</v>
      </c>
      <c r="G112" s="15"/>
      <c r="H112" s="42" t="str">
        <f t="shared" si="61"/>
        <v/>
      </c>
      <c r="I112" s="79" t="str">
        <f>IF(H112="","",IF($I$8="A",(RANK(H112,H$11:H$343,1)+COUNTIF(H$11:H112,H112)-1),(RANK(H112,H$11:H$343)+COUNTIF(H$11:H112,H112)-1)))</f>
        <v/>
      </c>
      <c r="J112" s="41"/>
      <c r="K112" s="36">
        <f t="shared" si="62"/>
        <v>102</v>
      </c>
      <c r="L112" t="str">
        <f t="shared" si="63"/>
        <v>New Forest</v>
      </c>
      <c r="M112" s="117">
        <f t="shared" si="64"/>
        <v>457.4</v>
      </c>
      <c r="N112" s="112">
        <f t="shared" si="65"/>
        <v>457.4</v>
      </c>
      <c r="O112" s="96" t="str">
        <f t="shared" si="66"/>
        <v/>
      </c>
      <c r="P112" s="96" t="str">
        <f t="shared" si="67"/>
        <v/>
      </c>
      <c r="Q112" s="96">
        <f t="shared" si="68"/>
        <v>457.4</v>
      </c>
      <c r="R112" s="92" t="str">
        <f t="shared" si="69"/>
        <v/>
      </c>
      <c r="S112" s="42" t="str">
        <f t="shared" si="70"/>
        <v/>
      </c>
      <c r="T112" s="167" t="str">
        <f>IF(L112="","",VLOOKUP(L112,classifications!C:K,9,FALSE))</f>
        <v>Sparse</v>
      </c>
      <c r="U112" s="168">
        <f t="shared" si="71"/>
        <v>457.4</v>
      </c>
      <c r="V112" s="174">
        <f>IF(U112="","",IF($I$8="A",(RANK(U112,U$11:U$343)+COUNTIF(U$11:U112,U112)-1),(RANK(U112,U$11:U$343,1)+COUNTIF(U$11:U112,U112)-1)))</f>
        <v>20</v>
      </c>
      <c r="W112" s="175"/>
      <c r="X112" s="5" t="str">
        <f>IF(L112="","",VLOOKUP($L112,classifications!$C:$J,6,FALSE))</f>
        <v>Urban with Significant Rural (rural including hub towns 26-49%)</v>
      </c>
      <c r="Y112" t="str">
        <f t="shared" si="72"/>
        <v/>
      </c>
      <c r="Z112" s="40" t="str">
        <f>IF(Y112="","",IF(I$8="A",(RANK(Y112,Y$11:Y$343,1)+COUNTIF(Y$11:Y112,Y112)-1),(RANK(Y112,Y$11:Y$343)+COUNTIF(Y$11:Y112,Y112)-1)))</f>
        <v/>
      </c>
      <c r="AA112" s="180" t="str">
        <f>IF(L112="","",VLOOKUP($L112,classifications!C:I,7,FALSE))</f>
        <v>Significant Rural</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Hampshire</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South East</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483.6</v>
      </c>
    </row>
    <row r="113" spans="1:50">
      <c r="A113" s="59" t="str">
        <f>$D$1&amp;103</f>
        <v>SD103</v>
      </c>
      <c r="B113" s="60">
        <f>IF(ISERROR(VLOOKUP(A115,classifications!A:C,3,FALSE)),0,VLOOKUP(A115,classifications!A:C,3,FALSE))</f>
        <v>0</v>
      </c>
      <c r="C113" t="s">
        <v>66</v>
      </c>
      <c r="D113" t="str">
        <f>VLOOKUP($C113,classifications!$C:$J,4,FALSE)</f>
        <v>SD</v>
      </c>
      <c r="E113">
        <f>VLOOKUP(C113,classifications!C:K,9,FALSE)</f>
        <v>0</v>
      </c>
      <c r="F113">
        <f t="shared" si="60"/>
        <v>450.9</v>
      </c>
      <c r="G113" s="15"/>
      <c r="H113" s="42">
        <f t="shared" si="61"/>
        <v>450.9</v>
      </c>
      <c r="I113" s="79">
        <f>IF(H113="","",IF($I$8="A",(RANK(H113,H$11:H$343,1)+COUNTIF(H$11:H113,H113)-1),(RANK(H113,H$11:H$343)+COUNTIF(H$11:H113,H113)-1)))</f>
        <v>96</v>
      </c>
      <c r="J113" s="41"/>
      <c r="K113" s="36">
        <f t="shared" si="62"/>
        <v>103</v>
      </c>
      <c r="L113" t="str">
        <f t="shared" si="63"/>
        <v>East Hertfordshire</v>
      </c>
      <c r="M113" s="117">
        <f t="shared" si="64"/>
        <v>458.2</v>
      </c>
      <c r="N113" s="112">
        <f t="shared" si="65"/>
        <v>458.2</v>
      </c>
      <c r="O113" s="96" t="str">
        <f t="shared" si="66"/>
        <v/>
      </c>
      <c r="P113" s="96" t="str">
        <f t="shared" si="67"/>
        <v/>
      </c>
      <c r="Q113" s="96">
        <f t="shared" si="68"/>
        <v>458.2</v>
      </c>
      <c r="R113" s="92" t="str">
        <f t="shared" si="69"/>
        <v/>
      </c>
      <c r="S113" s="42" t="str">
        <f t="shared" si="70"/>
        <v/>
      </c>
      <c r="T113" s="167">
        <f>IF(L113="","",VLOOKUP(L113,classifications!C:K,9,FALSE))</f>
        <v>0</v>
      </c>
      <c r="U113" s="168" t="str">
        <f t="shared" si="71"/>
        <v/>
      </c>
      <c r="V113" s="174" t="str">
        <f>IF(U113="","",IF($I$8="A",(RANK(U113,U$11:U$343)+COUNTIF(U$11:U113,U113)-1),(RANK(U113,U$11:U$343,1)+COUNTIF(U$11:U113,U113)-1)))</f>
        <v/>
      </c>
      <c r="W113" s="175"/>
      <c r="X113" s="5" t="str">
        <f>IF(L113="","",VLOOKUP($L113,classifications!$C:$J,6,FALSE))</f>
        <v>Urban with Significant Rural (rural including hub towns 26-49%)</v>
      </c>
      <c r="Y113" t="str">
        <f t="shared" si="72"/>
        <v/>
      </c>
      <c r="Z113" s="40" t="str">
        <f>IF(Y113="","",IF(I$8="A",(RANK(Y113,Y$11:Y$343,1)+COUNTIF(Y$11:Y113,Y113)-1),(RANK(Y113,Y$11:Y$343)+COUNTIF(Y$11:Y113,Y113)-1)))</f>
        <v/>
      </c>
      <c r="AA113" s="180" t="str">
        <f>IF(L113="","",VLOOKUP($L113,classifications!C:I,7,FALSE))</f>
        <v>Significant Rural</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Hertfordshire</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East of England</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450.9</v>
      </c>
    </row>
    <row r="114" spans="1:50">
      <c r="A114" s="59" t="str">
        <f>$D$1&amp;104</f>
        <v>SD104</v>
      </c>
      <c r="B114" s="60">
        <f>IF(ISERROR(VLOOKUP(A116,classifications!A:C,3,FALSE)),0,VLOOKUP(A116,classifications!A:C,3,FALSE))</f>
        <v>0</v>
      </c>
      <c r="C114" t="s">
        <v>67</v>
      </c>
      <c r="D114" t="str">
        <f>VLOOKUP($C114,classifications!$C:$J,4,FALSE)</f>
        <v>SD</v>
      </c>
      <c r="E114">
        <f>VLOOKUP(C114,classifications!C:K,9,FALSE)</f>
        <v>0</v>
      </c>
      <c r="F114">
        <f t="shared" si="60"/>
        <v>447.3</v>
      </c>
      <c r="G114" s="15"/>
      <c r="H114" s="42">
        <f t="shared" si="61"/>
        <v>447.3</v>
      </c>
      <c r="I114" s="79">
        <f>IF(H114="","",IF($I$8="A",(RANK(H114,H$11:H$343,1)+COUNTIF(H$11:H114,H114)-1),(RANK(H114,H$11:H$343)+COUNTIF(H$11:H114,H114)-1)))</f>
        <v>91</v>
      </c>
      <c r="J114" s="41"/>
      <c r="K114" s="36">
        <f t="shared" si="62"/>
        <v>104</v>
      </c>
      <c r="L114" t="str">
        <f t="shared" si="63"/>
        <v>East Hampshire</v>
      </c>
      <c r="M114" s="117">
        <f t="shared" si="64"/>
        <v>459.4</v>
      </c>
      <c r="N114" s="112">
        <f t="shared" si="65"/>
        <v>459.4</v>
      </c>
      <c r="O114" s="96" t="str">
        <f t="shared" si="66"/>
        <v/>
      </c>
      <c r="P114" s="96" t="str">
        <f t="shared" si="67"/>
        <v/>
      </c>
      <c r="Q114" s="96">
        <f t="shared" si="68"/>
        <v>459.4</v>
      </c>
      <c r="R114" s="92" t="str">
        <f t="shared" si="69"/>
        <v/>
      </c>
      <c r="S114" s="42" t="str">
        <f t="shared" si="70"/>
        <v/>
      </c>
      <c r="T114" s="167">
        <f>IF(L114="","",VLOOKUP(L114,classifications!C:K,9,FALSE))</f>
        <v>0</v>
      </c>
      <c r="U114" s="168" t="str">
        <f t="shared" si="71"/>
        <v/>
      </c>
      <c r="V114" s="174" t="str">
        <f>IF(U114="","",IF($I$8="A",(RANK(U114,U$11:U$343)+COUNTIF(U$11:U114,U114)-1),(RANK(U114,U$11:U$343,1)+COUNTIF(U$11:U114,U114)-1)))</f>
        <v/>
      </c>
      <c r="W114" s="175"/>
      <c r="X114" s="5" t="str">
        <f>IF(L114="","",VLOOKUP($L114,classifications!$C:$J,6,FALSE))</f>
        <v xml:space="preserve">Mainly Rural (rural including hub towns &gt;=80%) </v>
      </c>
      <c r="Y114">
        <f t="shared" si="72"/>
        <v>459.4</v>
      </c>
      <c r="Z114" s="40">
        <f>IF(Y114="","",IF(I$8="A",(RANK(Y114,Y$11:Y$343,1)+COUNTIF(Y$11:Y114,Y114)-1),(RANK(Y114,Y$11:Y$343)+COUNTIF(Y$11:Y114,Y114)-1)))</f>
        <v>23</v>
      </c>
      <c r="AA114" s="180" t="str">
        <f>IF(L114="","",VLOOKUP($L114,classifications!C:I,7,FALSE))</f>
        <v>Predominantly Rural</v>
      </c>
      <c r="AB114" s="174">
        <f t="shared" si="73"/>
        <v>459.4</v>
      </c>
      <c r="AC114" s="174">
        <f>IF(AB114="","",IF($I$8="A",(RANK(AB114,AB$11:AB$343)+COUNTIF(AB$11:AB114,AB114)-1),(RANK(AB114,AB$11:AB$343,1)+COUNTIF(AB$11:AB114,AB114)-1)))</f>
        <v>29</v>
      </c>
      <c r="AD114" s="174"/>
      <c r="AE114" s="36" t="str">
        <f t="shared" si="74"/>
        <v/>
      </c>
      <c r="AG114" s="15"/>
      <c r="AH114" s="3"/>
      <c r="AI114" s="5" t="str">
        <f>IF(L114="","",VLOOKUP($L114,classifications!$C:$J,8,FALSE))</f>
        <v>Hampshire</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South East</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447.3</v>
      </c>
    </row>
    <row r="115" spans="1:50">
      <c r="A115" s="59" t="str">
        <f>$D$1&amp;105</f>
        <v>SD105</v>
      </c>
      <c r="B115" s="60">
        <f>IF(ISERROR(VLOOKUP(A117,classifications!A:C,3,FALSE)),0,VLOOKUP(A117,classifications!A:C,3,FALSE))</f>
        <v>0</v>
      </c>
      <c r="C115" t="s">
        <v>68</v>
      </c>
      <c r="D115" t="str">
        <f>VLOOKUP($C115,classifications!$C:$J,4,FALSE)</f>
        <v>SD</v>
      </c>
      <c r="E115">
        <f>VLOOKUP(C115,classifications!C:K,9,FALSE)</f>
        <v>0</v>
      </c>
      <c r="F115">
        <f t="shared" si="60"/>
        <v>551.4</v>
      </c>
      <c r="G115" s="15"/>
      <c r="H115" s="42">
        <f t="shared" si="61"/>
        <v>551.4</v>
      </c>
      <c r="I115" s="79">
        <f>IF(H115="","",IF($I$8="A",(RANK(H115,H$11:H$343,1)+COUNTIF(H$11:H115,H115)-1),(RANK(H115,H$11:H$343)+COUNTIF(H$11:H115,H115)-1)))</f>
        <v>165</v>
      </c>
      <c r="J115" s="41"/>
      <c r="K115" s="36">
        <f t="shared" si="62"/>
        <v>105</v>
      </c>
      <c r="L115" t="str">
        <f t="shared" si="63"/>
        <v>Fylde</v>
      </c>
      <c r="M115" s="117">
        <f t="shared" si="64"/>
        <v>460</v>
      </c>
      <c r="N115" s="112">
        <f t="shared" si="65"/>
        <v>460</v>
      </c>
      <c r="O115" s="96" t="str">
        <f t="shared" si="66"/>
        <v/>
      </c>
      <c r="P115" s="96" t="str">
        <f t="shared" si="67"/>
        <v/>
      </c>
      <c r="Q115" s="96">
        <f t="shared" si="68"/>
        <v>460</v>
      </c>
      <c r="R115" s="92" t="str">
        <f t="shared" si="69"/>
        <v/>
      </c>
      <c r="S115" s="42" t="str">
        <f t="shared" si="70"/>
        <v/>
      </c>
      <c r="T115" s="167">
        <f>IF(L115="","",VLOOKUP(L115,classifications!C:K,9,FALSE))</f>
        <v>0</v>
      </c>
      <c r="U115" s="168" t="str">
        <f t="shared" si="71"/>
        <v/>
      </c>
      <c r="V115" s="174" t="str">
        <f>IF(U115="","",IF($I$8="A",(RANK(U115,U$11:U$343)+COUNTIF(U$11:U115,U115)-1),(RANK(U115,U$11:U$343,1)+COUNTIF(U$11:U115,U115)-1)))</f>
        <v/>
      </c>
      <c r="W115" s="175"/>
      <c r="X115" s="5" t="str">
        <f>IF(L115="","",VLOOKUP($L115,classifications!$C:$J,6,FALSE))</f>
        <v>Urban with City and Town</v>
      </c>
      <c r="Y115" t="str">
        <f t="shared" si="72"/>
        <v/>
      </c>
      <c r="Z115" s="40" t="str">
        <f>IF(Y115="","",IF(I$8="A",(RANK(Y115,Y$11:Y$343,1)+COUNTIF(Y$11:Y115,Y115)-1),(RANK(Y115,Y$11:Y$343)+COUNTIF(Y$11:Y115,Y115)-1)))</f>
        <v/>
      </c>
      <c r="AA115" s="180" t="str">
        <f>IF(L115="","",VLOOKUP($L115,classifications!C:I,7,FALSE))</f>
        <v>Predominantly Urban</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Lancashire</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North West</v>
      </c>
      <c r="AQ115" s="43">
        <f t="shared" si="79"/>
        <v>460</v>
      </c>
      <c r="AR115" s="40">
        <f>IF(AQ115="","",IF(I$8="A",(RANK(AQ115,AQ$11:AQ$343,1)+COUNTIF(AQ$11:AQ115,AQ115)-1),(RANK(AQ115,AQ$11:AQ$343)+COUNTIF(AQ$11:AQ115,AQ115)-1)))</f>
        <v>6</v>
      </c>
      <c r="AS115" s="3" t="str">
        <f t="shared" si="80"/>
        <v/>
      </c>
      <c r="AT115" s="40" t="str">
        <f t="shared" si="81"/>
        <v/>
      </c>
      <c r="AU115" s="43" t="str">
        <f t="shared" si="82"/>
        <v/>
      </c>
      <c r="AX115">
        <f>HLOOKUP($AX$9&amp;$AX$10,Data!$A$1:$ZZ$1980,(MATCH($C115,Data!$A$1:$A$1980,0)),FALSE)</f>
        <v>551.4</v>
      </c>
    </row>
    <row r="116" spans="1:50">
      <c r="A116" s="59" t="str">
        <f>$D$1&amp;106</f>
        <v>SD106</v>
      </c>
      <c r="B116" s="60">
        <f>IF(ISERROR(VLOOKUP(A118,classifications!A:C,3,FALSE)),0,VLOOKUP(A118,classifications!A:C,3,FALSE))</f>
        <v>0</v>
      </c>
      <c r="C116" t="s">
        <v>70</v>
      </c>
      <c r="D116" t="str">
        <f>VLOOKUP($C116,classifications!$C:$J,4,FALSE)</f>
        <v>SD</v>
      </c>
      <c r="E116" t="str">
        <f>VLOOKUP(C116,classifications!C:K,9,FALSE)</f>
        <v>Sparse</v>
      </c>
      <c r="F116">
        <f t="shared" si="60"/>
        <v>395.6</v>
      </c>
      <c r="G116" s="15"/>
      <c r="H116" s="42">
        <f t="shared" si="61"/>
        <v>395.6</v>
      </c>
      <c r="I116" s="79">
        <f>IF(H116="","",IF($I$8="A",(RANK(H116,H$11:H$343,1)+COUNTIF(H$11:H116,H116)-1),(RANK(H116,H$11:H$343)+COUNTIF(H$11:H116,H116)-1)))</f>
        <v>43</v>
      </c>
      <c r="J116" s="41"/>
      <c r="K116" s="36">
        <f t="shared" si="62"/>
        <v>106</v>
      </c>
      <c r="L116" t="str">
        <f t="shared" si="63"/>
        <v>Richmondshire</v>
      </c>
      <c r="M116" s="117">
        <f t="shared" si="64"/>
        <v>461</v>
      </c>
      <c r="N116" s="112">
        <f t="shared" si="65"/>
        <v>461</v>
      </c>
      <c r="O116" s="96" t="str">
        <f t="shared" si="66"/>
        <v/>
      </c>
      <c r="P116" s="96" t="str">
        <f t="shared" si="67"/>
        <v/>
      </c>
      <c r="Q116" s="96">
        <f t="shared" si="68"/>
        <v>461</v>
      </c>
      <c r="R116" s="92" t="str">
        <f t="shared" si="69"/>
        <v/>
      </c>
      <c r="S116" s="42" t="str">
        <f t="shared" si="70"/>
        <v/>
      </c>
      <c r="T116" s="167" t="str">
        <f>IF(L116="","",VLOOKUP(L116,classifications!C:K,9,FALSE))</f>
        <v>Sparse</v>
      </c>
      <c r="U116" s="168">
        <f t="shared" si="71"/>
        <v>461</v>
      </c>
      <c r="V116" s="174">
        <f>IF(U116="","",IF($I$8="A",(RANK(U116,U$11:U$343)+COUNTIF(U$11:U116,U116)-1),(RANK(U116,U$11:U$343,1)+COUNTIF(U$11:U116,U116)-1)))</f>
        <v>19</v>
      </c>
      <c r="W116" s="175"/>
      <c r="X116" s="5" t="str">
        <f>IF(L116="","",VLOOKUP($L116,classifications!$C:$J,6,FALSE))</f>
        <v xml:space="preserve">Mainly Rural (rural including hub towns &gt;=80%) </v>
      </c>
      <c r="Y116">
        <f t="shared" si="72"/>
        <v>461</v>
      </c>
      <c r="Z116" s="40">
        <f>IF(Y116="","",IF(I$8="A",(RANK(Y116,Y$11:Y$343,1)+COUNTIF(Y$11:Y116,Y116)-1),(RANK(Y116,Y$11:Y$343)+COUNTIF(Y$11:Y116,Y116)-1)))</f>
        <v>24</v>
      </c>
      <c r="AA116" s="180" t="str">
        <f>IF(L116="","",VLOOKUP($L116,classifications!C:I,7,FALSE))</f>
        <v>Predominantly Rural</v>
      </c>
      <c r="AB116" s="174">
        <f t="shared" si="73"/>
        <v>461</v>
      </c>
      <c r="AC116" s="174">
        <f>IF(AB116="","",IF($I$8="A",(RANK(AB116,AB$11:AB$343)+COUNTIF(AB$11:AB116,AB116)-1),(RANK(AB116,AB$11:AB$343,1)+COUNTIF(AB$11:AB116,AB116)-1)))</f>
        <v>28</v>
      </c>
      <c r="AD116" s="174"/>
      <c r="AE116" s="36" t="str">
        <f t="shared" si="74"/>
        <v/>
      </c>
      <c r="AG116" s="15"/>
      <c r="AH116" s="3"/>
      <c r="AI116" s="5" t="str">
        <f>IF(L116="","",VLOOKUP($L116,classifications!$C:$J,8,FALSE))</f>
        <v>North Yorkshire</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Yorkshire &amp; Humberside</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395.6</v>
      </c>
    </row>
    <row r="117" spans="1:50">
      <c r="A117" s="59" t="str">
        <f>$D$1&amp;107</f>
        <v>SD107</v>
      </c>
      <c r="B117" s="60">
        <f>IF(ISERROR(VLOOKUP(A119,classifications!A:C,3,FALSE)),0,VLOOKUP(A119,classifications!A:C,3,FALSE))</f>
        <v>0</v>
      </c>
      <c r="C117" t="s">
        <v>71</v>
      </c>
      <c r="D117" t="str">
        <f>VLOOKUP($C117,classifications!$C:$J,4,FALSE)</f>
        <v>SD</v>
      </c>
      <c r="E117">
        <f>VLOOKUP(C117,classifications!C:K,9,FALSE)</f>
        <v>0</v>
      </c>
      <c r="F117">
        <f t="shared" si="60"/>
        <v>460</v>
      </c>
      <c r="G117" s="15"/>
      <c r="H117" s="42">
        <f t="shared" si="61"/>
        <v>460</v>
      </c>
      <c r="I117" s="79">
        <f>IF(H117="","",IF($I$8="A",(RANK(H117,H$11:H$343,1)+COUNTIF(H$11:H117,H117)-1),(RANK(H117,H$11:H$343)+COUNTIF(H$11:H117,H117)-1)))</f>
        <v>105</v>
      </c>
      <c r="J117" s="41"/>
      <c r="K117" s="36">
        <f t="shared" si="62"/>
        <v>107</v>
      </c>
      <c r="L117" t="str">
        <f t="shared" si="63"/>
        <v>Thanet</v>
      </c>
      <c r="M117" s="117">
        <f t="shared" si="64"/>
        <v>461.3</v>
      </c>
      <c r="N117" s="112">
        <f t="shared" si="65"/>
        <v>461.3</v>
      </c>
      <c r="O117" s="96" t="str">
        <f t="shared" si="66"/>
        <v/>
      </c>
      <c r="P117" s="96" t="str">
        <f t="shared" si="67"/>
        <v/>
      </c>
      <c r="Q117" s="96">
        <f t="shared" si="68"/>
        <v>461.3</v>
      </c>
      <c r="R117" s="92" t="str">
        <f t="shared" si="69"/>
        <v/>
      </c>
      <c r="S117" s="42" t="str">
        <f t="shared" si="70"/>
        <v/>
      </c>
      <c r="T117" s="167">
        <f>IF(L117="","",VLOOKUP(L117,classifications!C:K,9,FALSE))</f>
        <v>0</v>
      </c>
      <c r="U117" s="168" t="str">
        <f t="shared" si="71"/>
        <v/>
      </c>
      <c r="V117" s="174" t="str">
        <f>IF(U117="","",IF($I$8="A",(RANK(U117,U$11:U$343)+COUNTIF(U$11:U117,U117)-1),(RANK(U117,U$11:U$343,1)+COUNTIF(U$11:U117,U117)-1)))</f>
        <v/>
      </c>
      <c r="W117" s="175"/>
      <c r="X117" s="5" t="str">
        <f>IF(L117="","",VLOOKUP($L117,classifications!$C:$J,6,FALSE))</f>
        <v>Urban with City and Town</v>
      </c>
      <c r="Y117" t="str">
        <f t="shared" si="72"/>
        <v/>
      </c>
      <c r="Z117" s="40" t="str">
        <f>IF(Y117="","",IF(I$8="A",(RANK(Y117,Y$11:Y$343,1)+COUNTIF(Y$11:Y117,Y117)-1),(RANK(Y117,Y$11:Y$343)+COUNTIF(Y$11:Y117,Y117)-1)))</f>
        <v/>
      </c>
      <c r="AA117" s="180" t="str">
        <f>IF(L117="","",VLOOKUP($L117,classifications!C:I,7,FALSE))</f>
        <v>Predominantly Urban</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Kent</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South East</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460</v>
      </c>
    </row>
    <row r="118" spans="1:50">
      <c r="A118" s="59" t="str">
        <f>$D$1&amp;108</f>
        <v>SD108</v>
      </c>
      <c r="B118" s="60">
        <f>IF(ISERROR(VLOOKUP(A120,classifications!A:C,3,FALSE)),0,VLOOKUP(A120,classifications!A:C,3,FALSE))</f>
        <v>0</v>
      </c>
      <c r="C118" t="s">
        <v>232</v>
      </c>
      <c r="D118" t="str">
        <f>VLOOKUP($C118,classifications!$C:$J,4,FALSE)</f>
        <v>MD</v>
      </c>
      <c r="E118">
        <f>VLOOKUP(C118,classifications!C:K,9,FALSE)</f>
        <v>0</v>
      </c>
      <c r="F118">
        <f t="shared" si="60"/>
        <v>615.5</v>
      </c>
      <c r="G118" s="15"/>
      <c r="H118" s="42" t="str">
        <f t="shared" si="61"/>
        <v/>
      </c>
      <c r="I118" s="79" t="str">
        <f>IF(H118="","",IF($I$8="A",(RANK(H118,H$11:H$343,1)+COUNTIF(H$11:H118,H118)-1),(RANK(H118,H$11:H$343)+COUNTIF(H$11:H118,H118)-1)))</f>
        <v/>
      </c>
      <c r="J118" s="41"/>
      <c r="K118" s="36">
        <f t="shared" si="62"/>
        <v>108</v>
      </c>
      <c r="L118" t="str">
        <f t="shared" si="63"/>
        <v>Blaby</v>
      </c>
      <c r="M118" s="117">
        <f t="shared" si="64"/>
        <v>462.4</v>
      </c>
      <c r="N118" s="112">
        <f t="shared" si="65"/>
        <v>462.4</v>
      </c>
      <c r="O118" s="96" t="str">
        <f t="shared" si="66"/>
        <v/>
      </c>
      <c r="P118" s="96" t="str">
        <f t="shared" si="67"/>
        <v/>
      </c>
      <c r="Q118" s="96">
        <f t="shared" si="68"/>
        <v>462.4</v>
      </c>
      <c r="R118" s="92" t="str">
        <f t="shared" si="69"/>
        <v/>
      </c>
      <c r="S118" s="42" t="str">
        <f t="shared" si="70"/>
        <v/>
      </c>
      <c r="T118" s="167">
        <f>IF(L118="","",VLOOKUP(L118,classifications!C:K,9,FALSE))</f>
        <v>0</v>
      </c>
      <c r="U118" s="168" t="str">
        <f t="shared" si="71"/>
        <v/>
      </c>
      <c r="V118" s="174" t="str">
        <f>IF(U118="","",IF($I$8="A",(RANK(U118,U$11:U$343)+COUNTIF(U$11:U118,U118)-1),(RANK(U118,U$11:U$343,1)+COUNTIF(U$11:U118,U118)-1)))</f>
        <v/>
      </c>
      <c r="W118" s="175"/>
      <c r="X118" s="5" t="str">
        <f>IF(L118="","",VLOOKUP($L118,classifications!$C:$J,6,FALSE))</f>
        <v>Urban with City and Town</v>
      </c>
      <c r="Y118" t="str">
        <f t="shared" si="72"/>
        <v/>
      </c>
      <c r="Z118" s="40" t="str">
        <f>IF(Y118="","",IF(I$8="A",(RANK(Y118,Y$11:Y$343,1)+COUNTIF(Y$11:Y118,Y118)-1),(RANK(Y118,Y$11:Y$343)+COUNTIF(Y$11:Y118,Y118)-1)))</f>
        <v/>
      </c>
      <c r="AA118" s="180" t="str">
        <f>IF(L118="","",VLOOKUP($L118,classifications!C:I,7,FALSE))</f>
        <v>Predominantly Urban</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Leicestershire</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East Midlands</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615.5</v>
      </c>
    </row>
    <row r="119" spans="1:50">
      <c r="A119" s="59" t="str">
        <f>$D$1&amp;109</f>
        <v>SD109</v>
      </c>
      <c r="B119" s="60">
        <f>IF(ISERROR(VLOOKUP(A121,classifications!A:C,3,FALSE)),0,VLOOKUP(A121,classifications!A:C,3,FALSE))</f>
        <v>0</v>
      </c>
      <c r="C119" t="s">
        <v>72</v>
      </c>
      <c r="D119" t="str">
        <f>VLOOKUP($C119,classifications!$C:$J,4,FALSE)</f>
        <v>SD</v>
      </c>
      <c r="E119">
        <f>VLOOKUP(C119,classifications!C:K,9,FALSE)</f>
        <v>0</v>
      </c>
      <c r="F119">
        <f t="shared" si="60"/>
        <v>534.6</v>
      </c>
      <c r="G119" s="15"/>
      <c r="H119" s="42">
        <f t="shared" si="61"/>
        <v>534.6</v>
      </c>
      <c r="I119" s="79">
        <f>IF(H119="","",IF($I$8="A",(RANK(H119,H$11:H$343,1)+COUNTIF(H$11:H119,H119)-1),(RANK(H119,H$11:H$343)+COUNTIF(H$11:H119,H119)-1)))</f>
        <v>160</v>
      </c>
      <c r="J119" s="41"/>
      <c r="K119" s="36">
        <f t="shared" si="62"/>
        <v>109</v>
      </c>
      <c r="L119" t="str">
        <f t="shared" si="63"/>
        <v>Hertsmere</v>
      </c>
      <c r="M119" s="117">
        <f t="shared" si="64"/>
        <v>462.9</v>
      </c>
      <c r="N119" s="112">
        <f t="shared" si="65"/>
        <v>462.9</v>
      </c>
      <c r="O119" s="96" t="str">
        <f t="shared" si="66"/>
        <v/>
      </c>
      <c r="P119" s="96" t="str">
        <f t="shared" si="67"/>
        <v/>
      </c>
      <c r="Q119" s="96">
        <f t="shared" si="68"/>
        <v>462.9</v>
      </c>
      <c r="R119" s="92" t="str">
        <f t="shared" si="69"/>
        <v/>
      </c>
      <c r="S119" s="42" t="str">
        <f t="shared" si="70"/>
        <v/>
      </c>
      <c r="T119" s="167">
        <f>IF(L119="","",VLOOKUP(L119,classifications!C:K,9,FALSE))</f>
        <v>0</v>
      </c>
      <c r="U119" s="168" t="str">
        <f t="shared" si="71"/>
        <v/>
      </c>
      <c r="V119" s="174" t="str">
        <f>IF(U119="","",IF($I$8="A",(RANK(U119,U$11:U$343)+COUNTIF(U$11:U119,U119)-1),(RANK(U119,U$11:U$343,1)+COUNTIF(U$11:U119,U119)-1)))</f>
        <v/>
      </c>
      <c r="W119" s="175"/>
      <c r="X119" s="5" t="str">
        <f>IF(L119="","",VLOOKUP($L119,classifications!$C:$J,6,FALSE))</f>
        <v>Urban with Major Conurbation</v>
      </c>
      <c r="Y119" t="str">
        <f t="shared" si="72"/>
        <v/>
      </c>
      <c r="Z119" s="40" t="str">
        <f>IF(Y119="","",IF(I$8="A",(RANK(Y119,Y$11:Y$343,1)+COUNTIF(Y$11:Y119,Y119)-1),(RANK(Y119,Y$11:Y$343)+COUNTIF(Y$11:Y119,Y119)-1)))</f>
        <v/>
      </c>
      <c r="AA119" s="180" t="str">
        <f>IF(L119="","",VLOOKUP($L119,classifications!C:I,7,FALSE))</f>
        <v>Predominantly Urban</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Hertfordshire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East of England</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534.6</v>
      </c>
    </row>
    <row r="120" spans="1:50">
      <c r="A120" s="59" t="str">
        <f>$D$1&amp;110</f>
        <v>SD110</v>
      </c>
      <c r="B120" s="60">
        <f>IF(ISERROR(VLOOKUP(A122,classifications!A:C,3,FALSE)),0,VLOOKUP(A122,classifications!A:C,3,FALSE))</f>
        <v>0</v>
      </c>
      <c r="C120" t="s">
        <v>73</v>
      </c>
      <c r="D120" t="str">
        <f>VLOOKUP($C120,classifications!$C:$J,4,FALSE)</f>
        <v>SD</v>
      </c>
      <c r="E120">
        <f>VLOOKUP(C120,classifications!C:K,9,FALSE)</f>
        <v>0</v>
      </c>
      <c r="F120">
        <f t="shared" si="60"/>
        <v>438.2</v>
      </c>
      <c r="G120" s="15"/>
      <c r="H120" s="42">
        <f t="shared" si="61"/>
        <v>438.2</v>
      </c>
      <c r="I120" s="79">
        <f>IF(H120="","",IF($I$8="A",(RANK(H120,H$11:H$343,1)+COUNTIF(H$11:H120,H120)-1),(RANK(H120,H$11:H$343)+COUNTIF(H$11:H120,H120)-1)))</f>
        <v>83</v>
      </c>
      <c r="J120" s="41"/>
      <c r="K120" s="36">
        <f t="shared" si="62"/>
        <v>110</v>
      </c>
      <c r="L120" t="str">
        <f t="shared" si="63"/>
        <v>Wyre</v>
      </c>
      <c r="M120" s="117">
        <f t="shared" si="64"/>
        <v>463.6</v>
      </c>
      <c r="N120" s="112">
        <f t="shared" si="65"/>
        <v>463.6</v>
      </c>
      <c r="O120" s="96" t="str">
        <f t="shared" si="66"/>
        <v/>
      </c>
      <c r="P120" s="96" t="str">
        <f t="shared" si="67"/>
        <v/>
      </c>
      <c r="Q120" s="96">
        <f t="shared" si="68"/>
        <v>463.6</v>
      </c>
      <c r="R120" s="92" t="str">
        <f t="shared" si="69"/>
        <v/>
      </c>
      <c r="S120" s="42" t="str">
        <f t="shared" si="70"/>
        <v/>
      </c>
      <c r="T120" s="167">
        <f>IF(L120="","",VLOOKUP(L120,classifications!C:K,9,FALSE))</f>
        <v>0</v>
      </c>
      <c r="U120" s="168" t="str">
        <f t="shared" si="71"/>
        <v/>
      </c>
      <c r="V120" s="174" t="str">
        <f>IF(U120="","",IF($I$8="A",(RANK(U120,U$11:U$343)+COUNTIF(U$11:U120,U120)-1),(RANK(U120,U$11:U$343,1)+COUNTIF(U$11:U120,U120)-1)))</f>
        <v/>
      </c>
      <c r="W120" s="175"/>
      <c r="X120" s="5" t="str">
        <f>IF(L120="","",VLOOKUP($L120,classifications!$C:$J,6,FALSE))</f>
        <v xml:space="preserve">Largely Rural (rural including hub towns 50-79%) </v>
      </c>
      <c r="Y120" t="str">
        <f t="shared" si="72"/>
        <v/>
      </c>
      <c r="Z120" s="40" t="str">
        <f>IF(Y120="","",IF(I$8="A",(RANK(Y120,Y$11:Y$343,1)+COUNTIF(Y$11:Y120,Y120)-1),(RANK(Y120,Y$11:Y$343)+COUNTIF(Y$11:Y120,Y120)-1)))</f>
        <v/>
      </c>
      <c r="AA120" s="180" t="str">
        <f>IF(L120="","",VLOOKUP($L120,classifications!C:I,7,FALSE))</f>
        <v>Predominantly Rural</v>
      </c>
      <c r="AB120" s="174">
        <f t="shared" si="73"/>
        <v>463.6</v>
      </c>
      <c r="AC120" s="174">
        <f>IF(AB120="","",IF($I$8="A",(RANK(AB120,AB$11:AB$343)+COUNTIF(AB$11:AB120,AB120)-1),(RANK(AB120,AB$11:AB$343,1)+COUNTIF(AB$11:AB120,AB120)-1)))</f>
        <v>27</v>
      </c>
      <c r="AD120" s="174"/>
      <c r="AE120" s="36" t="str">
        <f t="shared" si="74"/>
        <v/>
      </c>
      <c r="AG120" s="15"/>
      <c r="AH120" s="3"/>
      <c r="AI120" s="5" t="str">
        <f>IF(L120="","",VLOOKUP($L120,classifications!$C:$J,8,FALSE))</f>
        <v>Lancashire</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North West</v>
      </c>
      <c r="AQ120" s="43">
        <f t="shared" si="79"/>
        <v>463.6</v>
      </c>
      <c r="AR120" s="40">
        <f>IF(AQ120="","",IF(I$8="A",(RANK(AQ120,AQ$11:AQ$343,1)+COUNTIF(AQ$11:AQ120,AQ120)-1),(RANK(AQ120,AQ$11:AQ$343)+COUNTIF(AQ$11:AQ120,AQ120)-1)))</f>
        <v>7</v>
      </c>
      <c r="AS120" s="3" t="str">
        <f t="shared" si="80"/>
        <v/>
      </c>
      <c r="AT120" s="40" t="str">
        <f t="shared" si="81"/>
        <v/>
      </c>
      <c r="AU120" s="43" t="str">
        <f t="shared" si="82"/>
        <v/>
      </c>
      <c r="AX120">
        <f>HLOOKUP($AX$9&amp;$AX$10,Data!$A$1:$ZZ$1980,(MATCH($C120,Data!$A$1:$A$1980,0)),FALSE)</f>
        <v>438.2</v>
      </c>
    </row>
    <row r="121" spans="1:50">
      <c r="A121" s="59" t="str">
        <f>$D$1&amp;111</f>
        <v>SD111</v>
      </c>
      <c r="B121" s="60">
        <f>IF(ISERROR(VLOOKUP(A123,classifications!A:C,3,FALSE)),0,VLOOKUP(A123,classifications!A:C,3,FALSE))</f>
        <v>0</v>
      </c>
      <c r="C121" t="s">
        <v>313</v>
      </c>
      <c r="D121" t="str">
        <f>VLOOKUP($C121,classifications!$C:$J,4,FALSE)</f>
        <v>SC</v>
      </c>
      <c r="E121">
        <f>VLOOKUP(C121,classifications!C:K,9,FALSE)</f>
        <v>0</v>
      </c>
      <c r="F121">
        <f t="shared" si="60"/>
        <v>431.3</v>
      </c>
      <c r="G121" s="15"/>
      <c r="H121" s="42" t="str">
        <f t="shared" si="61"/>
        <v/>
      </c>
      <c r="I121" s="79" t="str">
        <f>IF(H121="","",IF($I$8="A",(RANK(H121,H$11:H$343,1)+COUNTIF(H$11:H121,H121)-1),(RANK(H121,H$11:H$343)+COUNTIF(H$11:H121,H121)-1)))</f>
        <v/>
      </c>
      <c r="J121" s="41"/>
      <c r="K121" s="36">
        <f t="shared" si="62"/>
        <v>111</v>
      </c>
      <c r="L121" t="str">
        <f t="shared" si="63"/>
        <v>Hart</v>
      </c>
      <c r="M121" s="117">
        <f t="shared" si="64"/>
        <v>464.1</v>
      </c>
      <c r="N121" s="112">
        <f t="shared" si="65"/>
        <v>464.1</v>
      </c>
      <c r="O121" s="96" t="str">
        <f t="shared" si="66"/>
        <v/>
      </c>
      <c r="P121" s="96" t="str">
        <f t="shared" si="67"/>
        <v/>
      </c>
      <c r="Q121" s="96">
        <f t="shared" si="68"/>
        <v>464.1</v>
      </c>
      <c r="R121" s="92" t="str">
        <f t="shared" si="69"/>
        <v/>
      </c>
      <c r="S121" s="42" t="str">
        <f t="shared" si="70"/>
        <v/>
      </c>
      <c r="T121" s="167">
        <f>IF(L121="","",VLOOKUP(L121,classifications!C:K,9,FALSE))</f>
        <v>0</v>
      </c>
      <c r="U121" s="168" t="str">
        <f t="shared" si="71"/>
        <v/>
      </c>
      <c r="V121" s="174" t="str">
        <f>IF(U121="","",IF($I$8="A",(RANK(U121,U$11:U$343)+COUNTIF(U$11:U121,U121)-1),(RANK(U121,U$11:U$343,1)+COUNTIF(U$11:U121,U121)-1)))</f>
        <v/>
      </c>
      <c r="W121" s="175"/>
      <c r="X121" s="5" t="str">
        <f>IF(L121="","",VLOOKUP($L121,classifications!$C:$J,6,FALSE))</f>
        <v>Urban with Significant Rural (rural including hub towns 26-49%)</v>
      </c>
      <c r="Y121" t="str">
        <f t="shared" si="72"/>
        <v/>
      </c>
      <c r="Z121" s="40" t="str">
        <f>IF(Y121="","",IF(I$8="A",(RANK(Y121,Y$11:Y$343,1)+COUNTIF(Y$11:Y121,Y121)-1),(RANK(Y121,Y$11:Y$343)+COUNTIF(Y$11:Y121,Y121)-1)))</f>
        <v/>
      </c>
      <c r="AA121" s="180" t="str">
        <f>IF(L121="","",VLOOKUP($L121,classifications!C:I,7,FALSE))</f>
        <v>Significant Rural</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Hampshire</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South East</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431.3</v>
      </c>
    </row>
    <row r="122" spans="1:50">
      <c r="A122" s="59" t="str">
        <f>$D$1&amp;112</f>
        <v>SD112</v>
      </c>
      <c r="B122" s="60">
        <f>IF(ISERROR(VLOOKUP(A124,classifications!A:C,3,FALSE)),0,VLOOKUP(A124,classifications!A:C,3,FALSE))</f>
        <v>0</v>
      </c>
      <c r="C122" t="s">
        <v>74</v>
      </c>
      <c r="D122" t="str">
        <f>VLOOKUP($C122,classifications!$C:$J,4,FALSE)</f>
        <v>SD</v>
      </c>
      <c r="E122">
        <f>VLOOKUP(C122,classifications!C:K,9,FALSE)</f>
        <v>0</v>
      </c>
      <c r="F122">
        <f t="shared" si="60"/>
        <v>456.6</v>
      </c>
      <c r="G122" s="15"/>
      <c r="H122" s="42">
        <f t="shared" si="61"/>
        <v>456.6</v>
      </c>
      <c r="I122" s="79">
        <f>IF(H122="","",IF($I$8="A",(RANK(H122,H$11:H$343,1)+COUNTIF(H$11:H122,H122)-1),(RANK(H122,H$11:H$343)+COUNTIF(H$11:H122,H122)-1)))</f>
        <v>100</v>
      </c>
      <c r="J122" s="41"/>
      <c r="K122" s="36">
        <f t="shared" si="62"/>
        <v>112</v>
      </c>
      <c r="L122" t="str">
        <f t="shared" si="63"/>
        <v>Mid Suffolk &amp; Babergh</v>
      </c>
      <c r="M122" s="117">
        <f t="shared" si="64"/>
        <v>464.3</v>
      </c>
      <c r="N122" s="112">
        <f t="shared" si="65"/>
        <v>464.3</v>
      </c>
      <c r="O122" s="96" t="str">
        <f t="shared" si="66"/>
        <v/>
      </c>
      <c r="P122" s="96" t="str">
        <f t="shared" si="67"/>
        <v/>
      </c>
      <c r="Q122" s="96">
        <f t="shared" si="68"/>
        <v>464.3</v>
      </c>
      <c r="R122" s="92" t="str">
        <f t="shared" si="69"/>
        <v/>
      </c>
      <c r="S122" s="42" t="str">
        <f t="shared" si="70"/>
        <v/>
      </c>
      <c r="T122" s="167" t="str">
        <f>IF(L122="","",VLOOKUP(L122,classifications!C:K,9,FALSE))</f>
        <v>Sparse</v>
      </c>
      <c r="U122" s="168">
        <f t="shared" si="71"/>
        <v>464.3</v>
      </c>
      <c r="V122" s="174">
        <f>IF(U122="","",IF($I$8="A",(RANK(U122,U$11:U$343)+COUNTIF(U$11:U122,U122)-1),(RANK(U122,U$11:U$343,1)+COUNTIF(U$11:U122,U122)-1)))</f>
        <v>18</v>
      </c>
      <c r="W122" s="175"/>
      <c r="X122" s="5" t="str">
        <f>IF(L122="","",VLOOKUP($L122,classifications!$C:$J,6,FALSE))</f>
        <v xml:space="preserve">Mainly Rural (rural including hub towns &gt;=80%) </v>
      </c>
      <c r="Y122">
        <f t="shared" si="72"/>
        <v>464.3</v>
      </c>
      <c r="Z122" s="40">
        <f>IF(Y122="","",IF(I$8="A",(RANK(Y122,Y$11:Y$343,1)+COUNTIF(Y$11:Y122,Y122)-1),(RANK(Y122,Y$11:Y$343)+COUNTIF(Y$11:Y122,Y122)-1)))</f>
        <v>25</v>
      </c>
      <c r="AA122" s="180" t="str">
        <f>IF(L122="","",VLOOKUP($L122,classifications!C:I,7,FALSE))</f>
        <v>Predominantly Rural</v>
      </c>
      <c r="AB122" s="174">
        <f t="shared" si="73"/>
        <v>464.3</v>
      </c>
      <c r="AC122" s="174">
        <f>IF(AB122="","",IF($I$8="A",(RANK(AB122,AB$11:AB$343)+COUNTIF(AB$11:AB122,AB122)-1),(RANK(AB122,AB$11:AB$343,1)+COUNTIF(AB$11:AB122,AB122)-1)))</f>
        <v>26</v>
      </c>
      <c r="AD122" s="174"/>
      <c r="AE122" s="36" t="str">
        <f t="shared" si="74"/>
        <v/>
      </c>
      <c r="AG122" s="15"/>
      <c r="AH122" s="3"/>
      <c r="AI122" s="5" t="str">
        <f>IF(L122="","",VLOOKUP($L122,classifications!$C:$J,8,FALSE))</f>
        <v>Suffolk</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East of England</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456.6</v>
      </c>
    </row>
    <row r="123" spans="1:50">
      <c r="A123" s="59" t="str">
        <f>$D$1&amp;113</f>
        <v>SD113</v>
      </c>
      <c r="B123" s="60">
        <f>IF(ISERROR(VLOOKUP(A125,classifications!A:C,3,FALSE)),0,VLOOKUP(A125,classifications!A:C,3,FALSE))</f>
        <v>0</v>
      </c>
      <c r="C123" t="s">
        <v>75</v>
      </c>
      <c r="D123" t="str">
        <f>VLOOKUP($C123,classifications!$C:$J,4,FALSE)</f>
        <v>SD</v>
      </c>
      <c r="E123">
        <f>VLOOKUP(C123,classifications!C:K,9,FALSE)</f>
        <v>0</v>
      </c>
      <c r="F123">
        <f t="shared" si="60"/>
        <v>475.2</v>
      </c>
      <c r="G123" s="15"/>
      <c r="H123" s="42">
        <f t="shared" si="61"/>
        <v>475.2</v>
      </c>
      <c r="I123" s="79">
        <f>IF(H123="","",IF($I$8="A",(RANK(H123,H$11:H$343,1)+COUNTIF(H$11:H123,H123)-1),(RANK(H123,H$11:H$343)+COUNTIF(H$11:H123,H123)-1)))</f>
        <v>123</v>
      </c>
      <c r="J123" s="41"/>
      <c r="K123" s="36">
        <f t="shared" si="62"/>
        <v>113</v>
      </c>
      <c r="L123" t="str">
        <f t="shared" si="63"/>
        <v>King's Lynn &amp; West Norfolk</v>
      </c>
      <c r="M123" s="117">
        <f t="shared" si="64"/>
        <v>464.5</v>
      </c>
      <c r="N123" s="112">
        <f t="shared" si="65"/>
        <v>464.5</v>
      </c>
      <c r="O123" s="96" t="str">
        <f t="shared" si="66"/>
        <v/>
      </c>
      <c r="P123" s="96" t="str">
        <f t="shared" si="67"/>
        <v/>
      </c>
      <c r="Q123" s="96">
        <f t="shared" si="68"/>
        <v>464.5</v>
      </c>
      <c r="R123" s="92" t="str">
        <f t="shared" si="69"/>
        <v/>
      </c>
      <c r="S123" s="42" t="str">
        <f t="shared" si="70"/>
        <v/>
      </c>
      <c r="T123" s="167" t="str">
        <f>IF(L123="","",VLOOKUP(L123,classifications!C:K,9,FALSE))</f>
        <v>Sparse</v>
      </c>
      <c r="U123" s="168">
        <f t="shared" si="71"/>
        <v>464.5</v>
      </c>
      <c r="V123" s="174">
        <f>IF(U123="","",IF($I$8="A",(RANK(U123,U$11:U$343)+COUNTIF(U$11:U123,U123)-1),(RANK(U123,U$11:U$343,1)+COUNTIF(U$11:U123,U123)-1)))</f>
        <v>17</v>
      </c>
      <c r="W123" s="175"/>
      <c r="X123" s="5" t="str">
        <f>IF(L123="","",VLOOKUP($L123,classifications!$C:$J,6,FALSE))</f>
        <v xml:space="preserve">Largely Rural (rural including hub towns 50-79%) </v>
      </c>
      <c r="Y123" t="str">
        <f t="shared" si="72"/>
        <v/>
      </c>
      <c r="Z123" s="40" t="str">
        <f>IF(Y123="","",IF(I$8="A",(RANK(Y123,Y$11:Y$343,1)+COUNTIF(Y$11:Y123,Y123)-1),(RANK(Y123,Y$11:Y$343)+COUNTIF(Y$11:Y123,Y123)-1)))</f>
        <v/>
      </c>
      <c r="AA123" s="180" t="str">
        <f>IF(L123="","",VLOOKUP($L123,classifications!C:I,7,FALSE))</f>
        <v>Predominantly Rural</v>
      </c>
      <c r="AB123" s="174">
        <f t="shared" si="73"/>
        <v>464.5</v>
      </c>
      <c r="AC123" s="174">
        <f>IF(AB123="","",IF($I$8="A",(RANK(AB123,AB$11:AB$343)+COUNTIF(AB$11:AB123,AB123)-1),(RANK(AB123,AB$11:AB$343,1)+COUNTIF(AB$11:AB123,AB123)-1)))</f>
        <v>25</v>
      </c>
      <c r="AD123" s="174"/>
      <c r="AE123" s="36" t="str">
        <f t="shared" si="74"/>
        <v/>
      </c>
      <c r="AG123" s="15"/>
      <c r="AH123" s="3"/>
      <c r="AI123" s="5" t="str">
        <f>IF(L123="","",VLOOKUP($L123,classifications!$C:$J,8,FALSE))</f>
        <v>Norfolk</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East of England</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475.2</v>
      </c>
    </row>
    <row r="124" spans="1:50">
      <c r="A124" s="59" t="str">
        <f>$D$1&amp;114</f>
        <v>SD114</v>
      </c>
      <c r="B124" s="60">
        <f>IF(ISERROR(VLOOKUP(A126,classifications!A:C,3,FALSE)),0,VLOOKUP(A126,classifications!A:C,3,FALSE))</f>
        <v>0</v>
      </c>
      <c r="C124" t="s">
        <v>76</v>
      </c>
      <c r="D124" t="str">
        <f>VLOOKUP($C124,classifications!$C:$J,4,FALSE)</f>
        <v>SD</v>
      </c>
      <c r="E124">
        <f>VLOOKUP(C124,classifications!C:K,9,FALSE)</f>
        <v>0</v>
      </c>
      <c r="F124">
        <f t="shared" si="60"/>
        <v>529</v>
      </c>
      <c r="G124" s="15"/>
      <c r="H124" s="42">
        <f t="shared" si="61"/>
        <v>529</v>
      </c>
      <c r="I124" s="79">
        <f>IF(H124="","",IF($I$8="A",(RANK(H124,H$11:H$343,1)+COUNTIF(H$11:H124,H124)-1),(RANK(H124,H$11:H$343)+COUNTIF(H$11:H124,H124)-1)))</f>
        <v>158</v>
      </c>
      <c r="J124" s="41"/>
      <c r="K124" s="36">
        <f t="shared" si="62"/>
        <v>114</v>
      </c>
      <c r="L124" t="str">
        <f t="shared" si="63"/>
        <v>Ryedale</v>
      </c>
      <c r="M124" s="117">
        <f t="shared" si="64"/>
        <v>464.6</v>
      </c>
      <c r="N124" s="112">
        <f t="shared" si="65"/>
        <v>464.6</v>
      </c>
      <c r="O124" s="96" t="str">
        <f t="shared" si="66"/>
        <v/>
      </c>
      <c r="P124" s="96" t="str">
        <f t="shared" si="67"/>
        <v/>
      </c>
      <c r="Q124" s="96">
        <f t="shared" si="68"/>
        <v>464.6</v>
      </c>
      <c r="R124" s="92" t="str">
        <f t="shared" si="69"/>
        <v/>
      </c>
      <c r="S124" s="42" t="str">
        <f t="shared" si="70"/>
        <v/>
      </c>
      <c r="T124" s="167" t="str">
        <f>IF(L124="","",VLOOKUP(L124,classifications!C:K,9,FALSE))</f>
        <v>Sparse</v>
      </c>
      <c r="U124" s="168">
        <f t="shared" si="71"/>
        <v>464.6</v>
      </c>
      <c r="V124" s="174">
        <f>IF(U124="","",IF($I$8="A",(RANK(U124,U$11:U$343)+COUNTIF(U$11:U124,U124)-1),(RANK(U124,U$11:U$343,1)+COUNTIF(U$11:U124,U124)-1)))</f>
        <v>16</v>
      </c>
      <c r="W124" s="175"/>
      <c r="X124" s="5" t="str">
        <f>IF(L124="","",VLOOKUP($L124,classifications!$C:$J,6,FALSE))</f>
        <v xml:space="preserve">Mainly Rural (rural including hub towns &gt;=80%) </v>
      </c>
      <c r="Y124">
        <f t="shared" si="72"/>
        <v>464.6</v>
      </c>
      <c r="Z124" s="40">
        <f>IF(Y124="","",IF(I$8="A",(RANK(Y124,Y$11:Y$343,1)+COUNTIF(Y$11:Y124,Y124)-1),(RANK(Y124,Y$11:Y$343)+COUNTIF(Y$11:Y124,Y124)-1)))</f>
        <v>26</v>
      </c>
      <c r="AA124" s="180" t="str">
        <f>IF(L124="","",VLOOKUP($L124,classifications!C:I,7,FALSE))</f>
        <v>Predominantly Rural</v>
      </c>
      <c r="AB124" s="174">
        <f t="shared" si="73"/>
        <v>464.6</v>
      </c>
      <c r="AC124" s="174">
        <f>IF(AB124="","",IF($I$8="A",(RANK(AB124,AB$11:AB$343)+COUNTIF(AB$11:AB124,AB124)-1),(RANK(AB124,AB$11:AB$343,1)+COUNTIF(AB$11:AB124,AB124)-1)))</f>
        <v>24</v>
      </c>
      <c r="AD124" s="174"/>
      <c r="AE124" s="36" t="str">
        <f t="shared" si="74"/>
        <v/>
      </c>
      <c r="AG124" s="15"/>
      <c r="AH124" s="3"/>
      <c r="AI124" s="5" t="str">
        <f>IF(L124="","",VLOOKUP($L124,classifications!$C:$J,8,FALSE))</f>
        <v>North Yorkshire</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Yorkshire &amp; Humberside</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529</v>
      </c>
    </row>
    <row r="125" spans="1:50">
      <c r="A125" s="59" t="str">
        <f>$D$1&amp;115</f>
        <v>SD115</v>
      </c>
      <c r="B125" s="60">
        <f>IF(ISERROR(VLOOKUP(A127,classifications!A:C,3,FALSE)),0,VLOOKUP(A127,classifications!A:C,3,FALSE))</f>
        <v>0</v>
      </c>
      <c r="C125" t="s">
        <v>205</v>
      </c>
      <c r="D125" t="str">
        <f>VLOOKUP($C125,classifications!$C:$J,4,FALSE)</f>
        <v>L</v>
      </c>
      <c r="E125">
        <f>VLOOKUP(C125,classifications!C:K,9,FALSE)</f>
        <v>0</v>
      </c>
      <c r="F125">
        <f t="shared" si="60"/>
        <v>576.29999999999995</v>
      </c>
      <c r="G125" s="15"/>
      <c r="H125" s="42" t="str">
        <f t="shared" si="61"/>
        <v/>
      </c>
      <c r="I125" s="79" t="str">
        <f>IF(H125="","",IF($I$8="A",(RANK(H125,H$11:H$343,1)+COUNTIF(H$11:H125,H125)-1),(RANK(H125,H$11:H$343)+COUNTIF(H$11:H125,H125)-1)))</f>
        <v/>
      </c>
      <c r="J125" s="41"/>
      <c r="K125" s="36">
        <f t="shared" si="62"/>
        <v>115</v>
      </c>
      <c r="L125" t="str">
        <f t="shared" si="63"/>
        <v>Harborough</v>
      </c>
      <c r="M125" s="117">
        <f t="shared" si="64"/>
        <v>464.8</v>
      </c>
      <c r="N125" s="112">
        <f t="shared" si="65"/>
        <v>464.8</v>
      </c>
      <c r="O125" s="96" t="str">
        <f t="shared" si="66"/>
        <v/>
      </c>
      <c r="P125" s="96" t="str">
        <f t="shared" si="67"/>
        <v/>
      </c>
      <c r="Q125" s="96">
        <f t="shared" si="68"/>
        <v>464.8</v>
      </c>
      <c r="R125" s="92" t="str">
        <f t="shared" si="69"/>
        <v/>
      </c>
      <c r="S125" s="42" t="str">
        <f t="shared" si="70"/>
        <v/>
      </c>
      <c r="T125" s="167" t="str">
        <f>IF(L125="","",VLOOKUP(L125,classifications!C:K,9,FALSE))</f>
        <v>Sparse</v>
      </c>
      <c r="U125" s="168">
        <f t="shared" si="71"/>
        <v>464.8</v>
      </c>
      <c r="V125" s="174">
        <f>IF(U125="","",IF($I$8="A",(RANK(U125,U$11:U$343)+COUNTIF(U$11:U125,U125)-1),(RANK(U125,U$11:U$343,1)+COUNTIF(U$11:U125,U125)-1)))</f>
        <v>15</v>
      </c>
      <c r="W125" s="175"/>
      <c r="X125" s="5" t="str">
        <f>IF(L125="","",VLOOKUP($L125,classifications!$C:$J,6,FALSE))</f>
        <v xml:space="preserve">Mainly Rural (rural including hub towns &gt;=80%) </v>
      </c>
      <c r="Y125">
        <f t="shared" si="72"/>
        <v>464.8</v>
      </c>
      <c r="Z125" s="40">
        <f>IF(Y125="","",IF(I$8="A",(RANK(Y125,Y$11:Y$343,1)+COUNTIF(Y$11:Y125,Y125)-1),(RANK(Y125,Y$11:Y$343)+COUNTIF(Y$11:Y125,Y125)-1)))</f>
        <v>27</v>
      </c>
      <c r="AA125" s="180" t="str">
        <f>IF(L125="","",VLOOKUP($L125,classifications!C:I,7,FALSE))</f>
        <v>Predominantly Rural</v>
      </c>
      <c r="AB125" s="174">
        <f t="shared" si="73"/>
        <v>464.8</v>
      </c>
      <c r="AC125" s="174">
        <f>IF(AB125="","",IF($I$8="A",(RANK(AB125,AB$11:AB$343)+COUNTIF(AB$11:AB125,AB125)-1),(RANK(AB125,AB$11:AB$343,1)+COUNTIF(AB$11:AB125,AB125)-1)))</f>
        <v>23</v>
      </c>
      <c r="AD125" s="174"/>
      <c r="AE125" s="36" t="str">
        <f t="shared" si="74"/>
        <v/>
      </c>
      <c r="AG125" s="15"/>
      <c r="AH125" s="3"/>
      <c r="AI125" s="5" t="str">
        <f>IF(L125="","",VLOOKUP($L125,classifications!$C:$J,8,FALSE))</f>
        <v>Leicestershire</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Midlands</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576.29999999999995</v>
      </c>
    </row>
    <row r="126" spans="1:50">
      <c r="A126" s="59" t="str">
        <f>$D$1&amp;116</f>
        <v>SD116</v>
      </c>
      <c r="B126" s="60">
        <f>IF(ISERROR(VLOOKUP(A128,classifications!A:C,3,FALSE)),0,VLOOKUP(A128,classifications!A:C,3,FALSE))</f>
        <v>0</v>
      </c>
      <c r="C126" t="s">
        <v>77</v>
      </c>
      <c r="D126" t="str">
        <f>VLOOKUP($C126,classifications!$C:$J,4,FALSE)</f>
        <v>SD</v>
      </c>
      <c r="E126">
        <f>VLOOKUP(C126,classifications!C:K,9,FALSE)</f>
        <v>0</v>
      </c>
      <c r="F126">
        <f t="shared" si="60"/>
        <v>360</v>
      </c>
      <c r="G126" s="15"/>
      <c r="H126" s="42">
        <f t="shared" si="61"/>
        <v>360</v>
      </c>
      <c r="I126" s="79">
        <f>IF(H126="","",IF($I$8="A",(RANK(H126,H$11:H$343,1)+COUNTIF(H$11:H126,H126)-1),(RANK(H126,H$11:H$343)+COUNTIF(H$11:H126,H126)-1)))</f>
        <v>25</v>
      </c>
      <c r="J126" s="41"/>
      <c r="K126" s="36">
        <f t="shared" si="62"/>
        <v>116</v>
      </c>
      <c r="L126" t="str">
        <f t="shared" si="63"/>
        <v>North West Leicestershire</v>
      </c>
      <c r="M126" s="117">
        <f t="shared" si="64"/>
        <v>465.1</v>
      </c>
      <c r="N126" s="112">
        <f t="shared" si="65"/>
        <v>465.1</v>
      </c>
      <c r="O126" s="96" t="str">
        <f t="shared" si="66"/>
        <v/>
      </c>
      <c r="P126" s="96" t="str">
        <f t="shared" si="67"/>
        <v/>
      </c>
      <c r="Q126" s="96">
        <f t="shared" si="68"/>
        <v>465.1</v>
      </c>
      <c r="R126" s="92" t="str">
        <f t="shared" si="69"/>
        <v/>
      </c>
      <c r="S126" s="42" t="str">
        <f t="shared" si="70"/>
        <v/>
      </c>
      <c r="T126" s="167">
        <f>IF(L126="","",VLOOKUP(L126,classifications!C:K,9,FALSE))</f>
        <v>0</v>
      </c>
      <c r="U126" s="168" t="str">
        <f t="shared" si="71"/>
        <v/>
      </c>
      <c r="V126" s="174" t="str">
        <f>IF(U126="","",IF($I$8="A",(RANK(U126,U$11:U$343)+COUNTIF(U$11:U126,U126)-1),(RANK(U126,U$11:U$343,1)+COUNTIF(U$11:U126,U126)-1)))</f>
        <v/>
      </c>
      <c r="W126" s="175"/>
      <c r="X126" s="5" t="str">
        <f>IF(L126="","",VLOOKUP($L126,classifications!$C:$J,6,FALSE))</f>
        <v xml:space="preserve">Largely Rural (rural including hub towns 50-79%) </v>
      </c>
      <c r="Y126" t="str">
        <f t="shared" si="72"/>
        <v/>
      </c>
      <c r="Z126" s="40" t="str">
        <f>IF(Y126="","",IF(I$8="A",(RANK(Y126,Y$11:Y$343,1)+COUNTIF(Y$11:Y126,Y126)-1),(RANK(Y126,Y$11:Y$343)+COUNTIF(Y$11:Y126,Y126)-1)))</f>
        <v/>
      </c>
      <c r="AA126" s="180" t="str">
        <f>IF(L126="","",VLOOKUP($L126,classifications!C:I,7,FALSE))</f>
        <v>Predominantly Rural</v>
      </c>
      <c r="AB126" s="174">
        <f t="shared" si="73"/>
        <v>465.1</v>
      </c>
      <c r="AC126" s="174">
        <f>IF(AB126="","",IF($I$8="A",(RANK(AB126,AB$11:AB$343)+COUNTIF(AB$11:AB126,AB126)-1),(RANK(AB126,AB$11:AB$343,1)+COUNTIF(AB$11:AB126,AB126)-1)))</f>
        <v>22</v>
      </c>
      <c r="AD126" s="174"/>
      <c r="AE126" s="36" t="str">
        <f t="shared" si="74"/>
        <v/>
      </c>
      <c r="AG126" s="15"/>
      <c r="AH126" s="3"/>
      <c r="AI126" s="5" t="str">
        <f>IF(L126="","",VLOOKUP($L126,classifications!$C:$J,8,FALSE))</f>
        <v>Leicestershire</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East Midlands</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360</v>
      </c>
    </row>
    <row r="127" spans="1:50">
      <c r="A127" s="59" t="str">
        <f>$D$1&amp;117</f>
        <v>SD117</v>
      </c>
      <c r="B127" s="60">
        <f>IF(ISERROR(VLOOKUP(A129,classifications!A:C,3,FALSE)),0,VLOOKUP(A129,classifications!A:C,3,FALSE))</f>
        <v>0</v>
      </c>
      <c r="C127" t="s">
        <v>206</v>
      </c>
      <c r="D127" t="str">
        <f>VLOOKUP($C127,classifications!$C:$J,4,FALSE)</f>
        <v>L</v>
      </c>
      <c r="E127">
        <f>VLOOKUP(C127,classifications!C:K,9,FALSE)</f>
        <v>0</v>
      </c>
      <c r="F127">
        <f t="shared" si="60"/>
        <v>511.9</v>
      </c>
      <c r="G127" s="15"/>
      <c r="H127" s="42" t="str">
        <f t="shared" si="61"/>
        <v/>
      </c>
      <c r="I127" s="79" t="str">
        <f>IF(H127="","",IF($I$8="A",(RANK(H127,H$11:H$343,1)+COUNTIF(H$11:H127,H127)-1),(RANK(H127,H$11:H$343)+COUNTIF(H$11:H127,H127)-1)))</f>
        <v/>
      </c>
      <c r="J127" s="41"/>
      <c r="K127" s="36">
        <f t="shared" si="62"/>
        <v>117</v>
      </c>
      <c r="L127" t="str">
        <f t="shared" si="63"/>
        <v>Carlisle</v>
      </c>
      <c r="M127" s="117">
        <f t="shared" si="64"/>
        <v>467.3</v>
      </c>
      <c r="N127" s="112">
        <f t="shared" si="65"/>
        <v>467.3</v>
      </c>
      <c r="O127" s="96" t="str">
        <f t="shared" si="66"/>
        <v/>
      </c>
      <c r="P127" s="96" t="str">
        <f t="shared" si="67"/>
        <v/>
      </c>
      <c r="Q127" s="96">
        <f t="shared" si="68"/>
        <v>467.3</v>
      </c>
      <c r="R127" s="92" t="str">
        <f t="shared" si="69"/>
        <v/>
      </c>
      <c r="S127" s="42" t="str">
        <f t="shared" si="70"/>
        <v/>
      </c>
      <c r="T127" s="167">
        <f>IF(L127="","",VLOOKUP(L127,classifications!C:K,9,FALSE))</f>
        <v>0</v>
      </c>
      <c r="U127" s="168" t="str">
        <f t="shared" si="71"/>
        <v/>
      </c>
      <c r="V127" s="174" t="str">
        <f>IF(U127="","",IF($I$8="A",(RANK(U127,U$11:U$343)+COUNTIF(U$11:U127,U127)-1),(RANK(U127,U$11:U$343,1)+COUNTIF(U$11:U127,U127)-1)))</f>
        <v/>
      </c>
      <c r="W127" s="175"/>
      <c r="X127" s="5" t="str">
        <f>IF(L127="","",VLOOKUP($L127,classifications!$C:$J,6,FALSE))</f>
        <v>Urban with Significant Rural (rural including hub towns 26-49%)</v>
      </c>
      <c r="Y127" t="str">
        <f t="shared" si="72"/>
        <v/>
      </c>
      <c r="Z127" s="40" t="str">
        <f>IF(Y127="","",IF(I$8="A",(RANK(Y127,Y$11:Y$343,1)+COUNTIF(Y$11:Y127,Y127)-1),(RANK(Y127,Y$11:Y$343)+COUNTIF(Y$11:Y127,Y127)-1)))</f>
        <v/>
      </c>
      <c r="AA127" s="180" t="str">
        <f>IF(L127="","",VLOOKUP($L127,classifications!C:I,7,FALSE))</f>
        <v>Significant Rural</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Cumbria</v>
      </c>
      <c r="AJ127" s="43">
        <f t="shared" si="75"/>
        <v>467.3</v>
      </c>
      <c r="AK127" s="40">
        <f>IF(AJ127="","",IF(I$8="A",(RANK(AJ127,AJ$11:AJ$343,1)+COUNTIF(AJ$11:AJ127,AJ127)-1),(RANK(AJ127,AJ$11:AJ$343)+COUNTIF(AJ$11:AJ127,AJ127)-1)))</f>
        <v>3</v>
      </c>
      <c r="AL127" s="3" t="str">
        <f t="shared" si="76"/>
        <v/>
      </c>
      <c r="AM127" t="str">
        <f t="shared" si="77"/>
        <v/>
      </c>
      <c r="AN127" t="str">
        <f t="shared" si="78"/>
        <v/>
      </c>
      <c r="AP127" s="5" t="str">
        <f>IF(L127="","",VLOOKUP($L127,classifications!$C:$E,3,FALSE))</f>
        <v>North West</v>
      </c>
      <c r="AQ127" s="43">
        <f t="shared" si="79"/>
        <v>467.3</v>
      </c>
      <c r="AR127" s="40">
        <f>IF(AQ127="","",IF(I$8="A",(RANK(AQ127,AQ$11:AQ$343,1)+COUNTIF(AQ$11:AQ127,AQ127)-1),(RANK(AQ127,AQ$11:AQ$343)+COUNTIF(AQ$11:AQ127,AQ127)-1)))</f>
        <v>8</v>
      </c>
      <c r="AS127" s="3" t="str">
        <f t="shared" si="80"/>
        <v/>
      </c>
      <c r="AT127" s="40" t="str">
        <f t="shared" si="81"/>
        <v/>
      </c>
      <c r="AU127" s="43" t="str">
        <f t="shared" si="82"/>
        <v/>
      </c>
      <c r="AX127">
        <f>HLOOKUP($AX$9&amp;$AX$10,Data!$A$1:$ZZ$1980,(MATCH($C127,Data!$A$1:$A$1980,0)),FALSE)</f>
        <v>511.9</v>
      </c>
    </row>
    <row r="128" spans="1:50">
      <c r="A128" s="59" t="str">
        <f>$D$1&amp;118</f>
        <v>SD118</v>
      </c>
      <c r="B128" s="60">
        <f>IF(ISERROR(VLOOKUP(A130,classifications!A:C,3,FALSE)),0,VLOOKUP(A130,classifications!A:C,3,FALSE))</f>
        <v>0</v>
      </c>
      <c r="C128" t="s">
        <v>269</v>
      </c>
      <c r="D128" t="str">
        <f>VLOOKUP($C128,classifications!$C:$J,4,FALSE)</f>
        <v>UA</v>
      </c>
      <c r="E128">
        <f>VLOOKUP(C128,classifications!C:K,9,FALSE)</f>
        <v>0</v>
      </c>
      <c r="F128">
        <f t="shared" si="60"/>
        <v>598.9</v>
      </c>
      <c r="G128" s="15"/>
      <c r="H128" s="42" t="str">
        <f t="shared" si="61"/>
        <v/>
      </c>
      <c r="I128" s="79" t="str">
        <f>IF(H128="","",IF($I$8="A",(RANK(H128,H$11:H$343,1)+COUNTIF(H$11:H128,H128)-1),(RANK(H128,H$11:H$343)+COUNTIF(H$11:H128,H128)-1)))</f>
        <v/>
      </c>
      <c r="J128" s="41"/>
      <c r="K128" s="36">
        <f t="shared" si="62"/>
        <v>118</v>
      </c>
      <c r="L128" t="str">
        <f t="shared" si="63"/>
        <v>South Norfolk</v>
      </c>
      <c r="M128" s="117">
        <f t="shared" si="64"/>
        <v>468.5</v>
      </c>
      <c r="N128" s="112">
        <f t="shared" si="65"/>
        <v>468.5</v>
      </c>
      <c r="O128" s="96" t="str">
        <f t="shared" si="66"/>
        <v/>
      </c>
      <c r="P128" s="96" t="str">
        <f t="shared" si="67"/>
        <v/>
      </c>
      <c r="Q128" s="96">
        <f t="shared" si="68"/>
        <v>468.5</v>
      </c>
      <c r="R128" s="92" t="str">
        <f t="shared" si="69"/>
        <v/>
      </c>
      <c r="S128" s="42" t="str">
        <f t="shared" si="70"/>
        <v/>
      </c>
      <c r="T128" s="167" t="str">
        <f>IF(L128="","",VLOOKUP(L128,classifications!C:K,9,FALSE))</f>
        <v>Sparse</v>
      </c>
      <c r="U128" s="168">
        <f t="shared" si="71"/>
        <v>468.5</v>
      </c>
      <c r="V128" s="174">
        <f>IF(U128="","",IF($I$8="A",(RANK(U128,U$11:U$343)+COUNTIF(U$11:U128,U128)-1),(RANK(U128,U$11:U$343,1)+COUNTIF(U$11:U128,U128)-1)))</f>
        <v>14</v>
      </c>
      <c r="W128" s="175"/>
      <c r="X128" s="5" t="str">
        <f>IF(L128="","",VLOOKUP($L128,classifications!$C:$J,6,FALSE))</f>
        <v xml:space="preserve">Mainly Rural (rural including hub towns &gt;=80%) </v>
      </c>
      <c r="Y128">
        <f t="shared" si="72"/>
        <v>468.5</v>
      </c>
      <c r="Z128" s="40">
        <f>IF(Y128="","",IF(I$8="A",(RANK(Y128,Y$11:Y$343,1)+COUNTIF(Y$11:Y128,Y128)-1),(RANK(Y128,Y$11:Y$343)+COUNTIF(Y$11:Y128,Y128)-1)))</f>
        <v>28</v>
      </c>
      <c r="AA128" s="180" t="str">
        <f>IF(L128="","",VLOOKUP($L128,classifications!C:I,7,FALSE))</f>
        <v>Predominantly Rural</v>
      </c>
      <c r="AB128" s="174">
        <f t="shared" si="73"/>
        <v>468.5</v>
      </c>
      <c r="AC128" s="174">
        <f>IF(AB128="","",IF($I$8="A",(RANK(AB128,AB$11:AB$343)+COUNTIF(AB$11:AB128,AB128)-1),(RANK(AB128,AB$11:AB$343,1)+COUNTIF(AB$11:AB128,AB128)-1)))</f>
        <v>21</v>
      </c>
      <c r="AD128" s="174"/>
      <c r="AE128" s="36" t="str">
        <f t="shared" si="74"/>
        <v/>
      </c>
      <c r="AG128" s="15"/>
      <c r="AH128" s="3"/>
      <c r="AI128" s="5" t="str">
        <f>IF(L128="","",VLOOKUP($L128,classifications!$C:$J,8,FALSE))</f>
        <v>Norfolk</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East of England</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598.9</v>
      </c>
    </row>
    <row r="129" spans="1:50">
      <c r="A129" s="59" t="str">
        <f>$D$1&amp;119</f>
        <v>SD119</v>
      </c>
      <c r="B129" s="60">
        <f>IF(ISERROR(VLOOKUP(A131,classifications!A:C,3,FALSE)),0,VLOOKUP(A131,classifications!A:C,3,FALSE))</f>
        <v>0</v>
      </c>
      <c r="C129" t="s">
        <v>78</v>
      </c>
      <c r="D129" t="str">
        <f>VLOOKUP($C129,classifications!$C:$J,4,FALSE)</f>
        <v>SD</v>
      </c>
      <c r="E129" t="str">
        <f>VLOOKUP(C129,classifications!C:K,9,FALSE)</f>
        <v>Sparse</v>
      </c>
      <c r="F129">
        <f t="shared" si="60"/>
        <v>400.9</v>
      </c>
      <c r="G129" s="15"/>
      <c r="H129" s="42">
        <f t="shared" si="61"/>
        <v>400.9</v>
      </c>
      <c r="I129" s="79">
        <f>IF(H129="","",IF($I$8="A",(RANK(H129,H$11:H$343,1)+COUNTIF(H$11:H129,H129)-1),(RANK(H129,H$11:H$343)+COUNTIF(H$11:H129,H129)-1)))</f>
        <v>48</v>
      </c>
      <c r="J129" s="41"/>
      <c r="K129" s="36">
        <f t="shared" si="62"/>
        <v>119</v>
      </c>
      <c r="L129" t="str">
        <f t="shared" si="63"/>
        <v>South Staffordshire</v>
      </c>
      <c r="M129" s="117">
        <f t="shared" si="64"/>
        <v>468.6</v>
      </c>
      <c r="N129" s="112">
        <f t="shared" si="65"/>
        <v>468.6</v>
      </c>
      <c r="O129" s="96" t="str">
        <f t="shared" si="66"/>
        <v/>
      </c>
      <c r="P129" s="96" t="str">
        <f t="shared" si="67"/>
        <v/>
      </c>
      <c r="Q129" s="96">
        <f t="shared" si="68"/>
        <v>468.6</v>
      </c>
      <c r="R129" s="92" t="str">
        <f t="shared" si="69"/>
        <v/>
      </c>
      <c r="S129" s="42" t="str">
        <f t="shared" si="70"/>
        <v/>
      </c>
      <c r="T129" s="167">
        <f>IF(L129="","",VLOOKUP(L129,classifications!C:K,9,FALSE))</f>
        <v>0</v>
      </c>
      <c r="U129" s="168" t="str">
        <f t="shared" si="71"/>
        <v/>
      </c>
      <c r="V129" s="174" t="str">
        <f>IF(U129="","",IF($I$8="A",(RANK(U129,U$11:U$343)+COUNTIF(U$11:U129,U129)-1),(RANK(U129,U$11:U$343,1)+COUNTIF(U$11:U129,U129)-1)))</f>
        <v/>
      </c>
      <c r="W129" s="175"/>
      <c r="X129" s="5" t="str">
        <f>IF(L129="","",VLOOKUP($L129,classifications!$C:$J,6,FALSE))</f>
        <v>Urban with Significant Rural (rural including hub towns 26-49%)</v>
      </c>
      <c r="Y129" t="str">
        <f t="shared" si="72"/>
        <v/>
      </c>
      <c r="Z129" s="40" t="str">
        <f>IF(Y129="","",IF(I$8="A",(RANK(Y129,Y$11:Y$343,1)+COUNTIF(Y$11:Y129,Y129)-1),(RANK(Y129,Y$11:Y$343)+COUNTIF(Y$11:Y129,Y129)-1)))</f>
        <v/>
      </c>
      <c r="AA129" s="180" t="str">
        <f>IF(L129="","",VLOOKUP($L129,classifications!C:I,7,FALSE))</f>
        <v>Significant Rural</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Staffordshire</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West Midlands</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400.9</v>
      </c>
    </row>
    <row r="130" spans="1:50">
      <c r="A130" s="59" t="str">
        <f>$D$1&amp;120</f>
        <v>SD120</v>
      </c>
      <c r="B130" s="60">
        <f>IF(ISERROR(VLOOKUP(A132,classifications!A:C,3,FALSE)),0,VLOOKUP(A132,classifications!A:C,3,FALSE))</f>
        <v>0</v>
      </c>
      <c r="C130" t="s">
        <v>337</v>
      </c>
      <c r="D130" t="str">
        <f>VLOOKUP($C130,classifications!$C:$J,4,FALSE)</f>
        <v>L</v>
      </c>
      <c r="E130">
        <f>VLOOKUP(C130,classifications!C:K,9,FALSE)</f>
        <v>0</v>
      </c>
      <c r="F130">
        <f t="shared" si="60"/>
        <v>334.7</v>
      </c>
      <c r="G130" s="15"/>
      <c r="H130" s="42" t="str">
        <f t="shared" si="61"/>
        <v/>
      </c>
      <c r="I130" s="79" t="str">
        <f>IF(H130="","",IF($I$8="A",(RANK(H130,H$11:H$343,1)+COUNTIF(H$11:H130,H130)-1),(RANK(H130,H$11:H$343)+COUNTIF(H$11:H130,H130)-1)))</f>
        <v/>
      </c>
      <c r="J130" s="41"/>
      <c r="K130" s="36">
        <f t="shared" si="62"/>
        <v>120</v>
      </c>
      <c r="L130" t="str">
        <f t="shared" si="63"/>
        <v>South Derbyshire</v>
      </c>
      <c r="M130" s="117">
        <f t="shared" si="64"/>
        <v>469.5</v>
      </c>
      <c r="N130" s="112">
        <f t="shared" si="65"/>
        <v>469.5</v>
      </c>
      <c r="O130" s="96" t="str">
        <f t="shared" si="66"/>
        <v/>
      </c>
      <c r="P130" s="96" t="str">
        <f t="shared" si="67"/>
        <v/>
      </c>
      <c r="Q130" s="96">
        <f t="shared" si="68"/>
        <v>469.5</v>
      </c>
      <c r="R130" s="92" t="str">
        <f t="shared" si="69"/>
        <v/>
      </c>
      <c r="S130" s="42" t="str">
        <f t="shared" si="70"/>
        <v/>
      </c>
      <c r="T130" s="167">
        <f>IF(L130="","",VLOOKUP(L130,classifications!C:K,9,FALSE))</f>
        <v>0</v>
      </c>
      <c r="U130" s="168" t="str">
        <f t="shared" si="71"/>
        <v/>
      </c>
      <c r="V130" s="174" t="str">
        <f>IF(U130="","",IF($I$8="A",(RANK(U130,U$11:U$343)+COUNTIF(U$11:U130,U130)-1),(RANK(U130,U$11:U$343,1)+COUNTIF(U$11:U130,U130)-1)))</f>
        <v/>
      </c>
      <c r="W130" s="175"/>
      <c r="X130" s="5" t="str">
        <f>IF(L130="","",VLOOKUP($L130,classifications!$C:$J,6,FALSE))</f>
        <v>Urban with Significant Rural (rural including hub towns 26-49%)</v>
      </c>
      <c r="Y130" t="str">
        <f t="shared" si="72"/>
        <v/>
      </c>
      <c r="Z130" s="40" t="str">
        <f>IF(Y130="","",IF(I$8="A",(RANK(Y130,Y$11:Y$343,1)+COUNTIF(Y$11:Y130,Y130)-1),(RANK(Y130,Y$11:Y$343)+COUNTIF(Y$11:Y130,Y130)-1)))</f>
        <v/>
      </c>
      <c r="AA130" s="180" t="str">
        <f>IF(L130="","",VLOOKUP($L130,classifications!C:I,7,FALSE))</f>
        <v>Significant Rural</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Derbyshire</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East Midlands</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334.7</v>
      </c>
    </row>
    <row r="131" spans="1:50">
      <c r="A131" s="59" t="str">
        <f>$D$1&amp;121</f>
        <v>SD121</v>
      </c>
      <c r="B131" s="60">
        <f>IF(ISERROR(VLOOKUP(A133,classifications!A:C,3,FALSE)),0,VLOOKUP(A133,classifications!A:C,3,FALSE))</f>
        <v>0</v>
      </c>
      <c r="C131" t="s">
        <v>314</v>
      </c>
      <c r="D131" t="str">
        <f>VLOOKUP($C131,classifications!$C:$J,4,FALSE)</f>
        <v>SC</v>
      </c>
      <c r="E131" t="str">
        <f>VLOOKUP(C131,classifications!C:K,9,FALSE)</f>
        <v>Sparse</v>
      </c>
      <c r="F131">
        <f t="shared" si="60"/>
        <v>557.29999999999995</v>
      </c>
      <c r="G131" s="15"/>
      <c r="H131" s="42" t="str">
        <f t="shared" si="61"/>
        <v/>
      </c>
      <c r="I131" s="79" t="str">
        <f>IF(H131="","",IF($I$8="A",(RANK(H131,H$11:H$343,1)+COUNTIF(H$11:H131,H131)-1),(RANK(H131,H$11:H$343)+COUNTIF(H$11:H131,H131)-1)))</f>
        <v/>
      </c>
      <c r="J131" s="41"/>
      <c r="K131" s="36">
        <f t="shared" si="62"/>
        <v>121</v>
      </c>
      <c r="L131" t="str">
        <f t="shared" si="63"/>
        <v>East Suffolk</v>
      </c>
      <c r="M131" s="117">
        <f t="shared" si="64"/>
        <v>470</v>
      </c>
      <c r="N131" s="112">
        <f t="shared" si="65"/>
        <v>470</v>
      </c>
      <c r="O131" s="96" t="str">
        <f t="shared" si="66"/>
        <v/>
      </c>
      <c r="P131" s="96" t="str">
        <f t="shared" si="67"/>
        <v/>
      </c>
      <c r="Q131" s="96">
        <f t="shared" si="68"/>
        <v>470</v>
      </c>
      <c r="R131" s="92" t="str">
        <f t="shared" si="69"/>
        <v/>
      </c>
      <c r="S131" s="42" t="str">
        <f t="shared" si="70"/>
        <v/>
      </c>
      <c r="T131" s="167" t="str">
        <f>IF(L131="","",VLOOKUP(L131,classifications!C:K,9,FALSE))</f>
        <v>Sparse</v>
      </c>
      <c r="U131" s="168">
        <f t="shared" si="71"/>
        <v>470</v>
      </c>
      <c r="V131" s="174">
        <f>IF(U131="","",IF($I$8="A",(RANK(U131,U$11:U$343)+COUNTIF(U$11:U131,U131)-1),(RANK(U131,U$11:U$343,1)+COUNTIF(U$11:U131,U131)-1)))</f>
        <v>13</v>
      </c>
      <c r="W131" s="175"/>
      <c r="X131" s="5" t="str">
        <f>IF(L131="","",VLOOKUP($L131,classifications!$C:$J,6,FALSE))</f>
        <v xml:space="preserve">Largely Rural (rural including hub towns 50-79%) </v>
      </c>
      <c r="Y131" t="str">
        <f t="shared" si="72"/>
        <v/>
      </c>
      <c r="Z131" s="40" t="str">
        <f>IF(Y131="","",IF(I$8="A",(RANK(Y131,Y$11:Y$343,1)+COUNTIF(Y$11:Y131,Y131)-1),(RANK(Y131,Y$11:Y$343)+COUNTIF(Y$11:Y131,Y131)-1)))</f>
        <v/>
      </c>
      <c r="AA131" s="180" t="str">
        <f>IF(L131="","",VLOOKUP($L131,classifications!C:I,7,FALSE))</f>
        <v>Predominantly Rural</v>
      </c>
      <c r="AB131" s="174">
        <f t="shared" si="73"/>
        <v>470</v>
      </c>
      <c r="AC131" s="174">
        <f>IF(AB131="","",IF($I$8="A",(RANK(AB131,AB$11:AB$343)+COUNTIF(AB$11:AB131,AB131)-1),(RANK(AB131,AB$11:AB$343,1)+COUNTIF(AB$11:AB131,AB131)-1)))</f>
        <v>20</v>
      </c>
      <c r="AD131" s="174"/>
      <c r="AE131" s="36" t="str">
        <f t="shared" si="74"/>
        <v/>
      </c>
      <c r="AG131" s="15"/>
      <c r="AH131" s="3"/>
      <c r="AI131" s="5" t="str">
        <f>IF(L131="","",VLOOKUP($L131,classifications!$C:$J,8,FALSE))</f>
        <v>Suffolk</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557.29999999999995</v>
      </c>
    </row>
    <row r="132" spans="1:50">
      <c r="A132" s="59" t="str">
        <f>$D$1&amp;122</f>
        <v>SD122</v>
      </c>
      <c r="B132" s="60">
        <f>IF(ISERROR(VLOOKUP(A134,classifications!A:C,3,FALSE)),0,VLOOKUP(A134,classifications!A:C,3,FALSE))</f>
        <v>0</v>
      </c>
      <c r="C132" t="s">
        <v>79</v>
      </c>
      <c r="D132" t="str">
        <f>VLOOKUP($C132,classifications!$C:$J,4,FALSE)</f>
        <v>SD</v>
      </c>
      <c r="E132" t="str">
        <f>VLOOKUP(C132,classifications!C:K,9,FALSE)</f>
        <v>Sparse</v>
      </c>
      <c r="F132">
        <f t="shared" si="60"/>
        <v>464.8</v>
      </c>
      <c r="G132" s="15"/>
      <c r="H132" s="42">
        <f t="shared" si="61"/>
        <v>464.8</v>
      </c>
      <c r="I132" s="79">
        <f>IF(H132="","",IF($I$8="A",(RANK(H132,H$11:H$343,1)+COUNTIF(H$11:H132,H132)-1),(RANK(H132,H$11:H$343)+COUNTIF(H$11:H132,H132)-1)))</f>
        <v>115</v>
      </c>
      <c r="J132" s="41"/>
      <c r="K132" s="36">
        <f t="shared" si="62"/>
        <v>122</v>
      </c>
      <c r="L132" t="str">
        <f t="shared" si="63"/>
        <v>Test Valley</v>
      </c>
      <c r="M132" s="117">
        <f t="shared" si="64"/>
        <v>472.2</v>
      </c>
      <c r="N132" s="112">
        <f t="shared" si="65"/>
        <v>472.2</v>
      </c>
      <c r="O132" s="96" t="str">
        <f t="shared" si="66"/>
        <v/>
      </c>
      <c r="P132" s="96" t="str">
        <f t="shared" si="67"/>
        <v/>
      </c>
      <c r="Q132" s="96">
        <f t="shared" si="68"/>
        <v>472.2</v>
      </c>
      <c r="R132" s="92" t="str">
        <f t="shared" si="69"/>
        <v/>
      </c>
      <c r="S132" s="42" t="str">
        <f t="shared" si="70"/>
        <v/>
      </c>
      <c r="T132" s="167">
        <f>IF(L132="","",VLOOKUP(L132,classifications!C:K,9,FALSE))</f>
        <v>0</v>
      </c>
      <c r="U132" s="168" t="str">
        <f t="shared" si="71"/>
        <v/>
      </c>
      <c r="V132" s="174" t="str">
        <f>IF(U132="","",IF($I$8="A",(RANK(U132,U$11:U$343)+COUNTIF(U$11:U132,U132)-1),(RANK(U132,U$11:U$343,1)+COUNTIF(U$11:U132,U132)-1)))</f>
        <v/>
      </c>
      <c r="W132" s="175"/>
      <c r="X132" s="5" t="str">
        <f>IF(L132="","",VLOOKUP($L132,classifications!$C:$J,6,FALSE))</f>
        <v>Urban with Significant Rural (rural including hub towns 26-49%)</v>
      </c>
      <c r="Y132" t="str">
        <f t="shared" si="72"/>
        <v/>
      </c>
      <c r="Z132" s="40" t="str">
        <f>IF(Y132="","",IF(I$8="A",(RANK(Y132,Y$11:Y$343,1)+COUNTIF(Y$11:Y132,Y132)-1),(RANK(Y132,Y$11:Y$343)+COUNTIF(Y$11:Y132,Y132)-1)))</f>
        <v/>
      </c>
      <c r="AA132" s="180" t="str">
        <f>IF(L132="","",VLOOKUP($L132,classifications!C:I,7,FALSE))</f>
        <v>Significant Rural</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Hampshire</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South East</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464.8</v>
      </c>
    </row>
    <row r="133" spans="1:50">
      <c r="A133" s="59" t="str">
        <f>$D$1&amp;123</f>
        <v>SD123</v>
      </c>
      <c r="B133" s="60">
        <f>IF(ISERROR(VLOOKUP(A135,classifications!A:C,3,FALSE)),0,VLOOKUP(A135,classifications!A:C,3,FALSE))</f>
        <v>0</v>
      </c>
      <c r="C133" t="s">
        <v>207</v>
      </c>
      <c r="D133" t="str">
        <f>VLOOKUP($C133,classifications!$C:$J,4,FALSE)</f>
        <v>L</v>
      </c>
      <c r="E133">
        <f>VLOOKUP(C133,classifications!C:K,9,FALSE)</f>
        <v>0</v>
      </c>
      <c r="F133">
        <f t="shared" si="60"/>
        <v>522.70000000000005</v>
      </c>
      <c r="G133" s="15"/>
      <c r="H133" s="42" t="str">
        <f t="shared" si="61"/>
        <v/>
      </c>
      <c r="I133" s="79" t="str">
        <f>IF(H133="","",IF($I$8="A",(RANK(H133,H$11:H$343,1)+COUNTIF(H$11:H133,H133)-1),(RANK(H133,H$11:H$343)+COUNTIF(H$11:H133,H133)-1)))</f>
        <v/>
      </c>
      <c r="J133" s="41"/>
      <c r="K133" s="36">
        <f t="shared" si="62"/>
        <v>123</v>
      </c>
      <c r="L133" t="str">
        <f t="shared" si="63"/>
        <v>Gravesham</v>
      </c>
      <c r="M133" s="117">
        <f t="shared" si="64"/>
        <v>475.2</v>
      </c>
      <c r="N133" s="112">
        <f t="shared" si="65"/>
        <v>475.2</v>
      </c>
      <c r="O133" s="96" t="str">
        <f t="shared" si="66"/>
        <v/>
      </c>
      <c r="P133" s="96" t="str">
        <f t="shared" si="67"/>
        <v/>
      </c>
      <c r="Q133" s="96">
        <f t="shared" si="68"/>
        <v>475.2</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Urban with Major Conurbation</v>
      </c>
      <c r="Y133" t="str">
        <f t="shared" si="72"/>
        <v/>
      </c>
      <c r="Z133" s="40" t="str">
        <f>IF(Y133="","",IF(I$8="A",(RANK(Y133,Y$11:Y$343,1)+COUNTIF(Y$11:Y133,Y133)-1),(RANK(Y133,Y$11:Y$343)+COUNTIF(Y$11:Y133,Y133)-1)))</f>
        <v/>
      </c>
      <c r="AA133" s="180" t="str">
        <f>IF(L133="","",VLOOKUP($L133,classifications!C:I,7,FALSE))</f>
        <v>Predominantly Urban</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Kent</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South East</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522.70000000000005</v>
      </c>
    </row>
    <row r="134" spans="1:50">
      <c r="A134" s="59" t="str">
        <f>$D$1&amp;124</f>
        <v>SD124</v>
      </c>
      <c r="B134" s="60">
        <f>IF(ISERROR(VLOOKUP(A136,classifications!A:C,3,FALSE)),0,VLOOKUP(A136,classifications!A:C,3,FALSE))</f>
        <v>0</v>
      </c>
      <c r="C134" t="s">
        <v>80</v>
      </c>
      <c r="D134" t="str">
        <f>VLOOKUP($C134,classifications!$C:$J,4,FALSE)</f>
        <v>SD</v>
      </c>
      <c r="E134">
        <f>VLOOKUP(C134,classifications!C:K,9,FALSE)</f>
        <v>0</v>
      </c>
      <c r="F134">
        <f t="shared" si="60"/>
        <v>427.7</v>
      </c>
      <c r="G134" s="15"/>
      <c r="H134" s="42">
        <f t="shared" si="61"/>
        <v>427.7</v>
      </c>
      <c r="I134" s="79">
        <f>IF(H134="","",IF($I$8="A",(RANK(H134,H$11:H$343,1)+COUNTIF(H$11:H134,H134)-1),(RANK(H134,H$11:H$343)+COUNTIF(H$11:H134,H134)-1)))</f>
        <v>71</v>
      </c>
      <c r="J134" s="41"/>
      <c r="K134" s="36">
        <f t="shared" si="62"/>
        <v>124</v>
      </c>
      <c r="L134" t="str">
        <f t="shared" si="63"/>
        <v>Burnley</v>
      </c>
      <c r="M134" s="117">
        <f t="shared" si="64"/>
        <v>476.8</v>
      </c>
      <c r="N134" s="112">
        <f t="shared" si="65"/>
        <v>476.8</v>
      </c>
      <c r="O134" s="96" t="str">
        <f t="shared" si="66"/>
        <v/>
      </c>
      <c r="P134" s="96" t="str">
        <f t="shared" si="67"/>
        <v/>
      </c>
      <c r="Q134" s="96">
        <f t="shared" si="68"/>
        <v>476.8</v>
      </c>
      <c r="R134" s="92" t="str">
        <f t="shared" si="69"/>
        <v/>
      </c>
      <c r="S134" s="42" t="str">
        <f t="shared" si="70"/>
        <v/>
      </c>
      <c r="T134" s="167">
        <f>IF(L134="","",VLOOKUP(L134,classifications!C:K,9,FALSE))</f>
        <v>0</v>
      </c>
      <c r="U134" s="168" t="str">
        <f t="shared" si="71"/>
        <v/>
      </c>
      <c r="V134" s="174" t="str">
        <f>IF(U134="","",IF($I$8="A",(RANK(U134,U$11:U$343)+COUNTIF(U$11:U134,U134)-1),(RANK(U134,U$11:U$343,1)+COUNTIF(U$11:U134,U134)-1)))</f>
        <v/>
      </c>
      <c r="W134" s="175"/>
      <c r="X134" s="5" t="str">
        <f>IF(L134="","",VLOOKUP($L134,classifications!$C:$J,6,FALSE))</f>
        <v>Urban with City and Town</v>
      </c>
      <c r="Y134" t="str">
        <f t="shared" si="72"/>
        <v/>
      </c>
      <c r="Z134" s="40" t="str">
        <f>IF(Y134="","",IF(I$8="A",(RANK(Y134,Y$11:Y$343,1)+COUNTIF(Y$11:Y134,Y134)-1),(RANK(Y134,Y$11:Y$343)+COUNTIF(Y$11:Y134,Y134)-1)))</f>
        <v/>
      </c>
      <c r="AA134" s="180" t="str">
        <f>IF(L134="","",VLOOKUP($L134,classifications!C:I,7,FALSE))</f>
        <v>Predominantly Urban</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Lancashire</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North West</v>
      </c>
      <c r="AQ134" s="43">
        <f t="shared" si="79"/>
        <v>476.8</v>
      </c>
      <c r="AR134" s="40">
        <f>IF(AQ134="","",IF(I$8="A",(RANK(AQ134,AQ$11:AQ$343,1)+COUNTIF(AQ$11:AQ134,AQ134)-1),(RANK(AQ134,AQ$11:AQ$343)+COUNTIF(AQ$11:AQ134,AQ134)-1)))</f>
        <v>9</v>
      </c>
      <c r="AS134" s="3" t="str">
        <f t="shared" si="80"/>
        <v/>
      </c>
      <c r="AT134" s="40" t="str">
        <f t="shared" si="81"/>
        <v/>
      </c>
      <c r="AU134" s="43" t="str">
        <f t="shared" si="82"/>
        <v/>
      </c>
      <c r="AX134">
        <f>HLOOKUP($AX$9&amp;$AX$10,Data!$A$1:$ZZ$1980,(MATCH($C134,Data!$A$1:$A$1980,0)),FALSE)</f>
        <v>427.7</v>
      </c>
    </row>
    <row r="135" spans="1:50">
      <c r="A135" s="59" t="str">
        <f>$D$1&amp;125</f>
        <v>SD125</v>
      </c>
      <c r="B135" s="60">
        <f>IF(ISERROR(VLOOKUP(A137,classifications!A:C,3,FALSE)),0,VLOOKUP(A137,classifications!A:C,3,FALSE))</f>
        <v>0</v>
      </c>
      <c r="C135" t="s">
        <v>81</v>
      </c>
      <c r="D135" t="str">
        <f>VLOOKUP($C135,classifications!$C:$J,4,FALSE)</f>
        <v>SD</v>
      </c>
      <c r="E135" t="str">
        <f>VLOOKUP(C135,classifications!C:K,9,FALSE)</f>
        <v>Sparse</v>
      </c>
      <c r="F135">
        <f t="shared" si="60"/>
        <v>396.7</v>
      </c>
      <c r="G135" s="15"/>
      <c r="H135" s="42">
        <f t="shared" si="61"/>
        <v>396.7</v>
      </c>
      <c r="I135" s="79">
        <f>IF(H135="","",IF($I$8="A",(RANK(H135,H$11:H$343,1)+COUNTIF(H$11:H135,H135)-1),(RANK(H135,H$11:H$343)+COUNTIF(H$11:H135,H135)-1)))</f>
        <v>45</v>
      </c>
      <c r="J135" s="41"/>
      <c r="K135" s="36">
        <f t="shared" si="62"/>
        <v>125</v>
      </c>
      <c r="L135" t="str">
        <f t="shared" si="63"/>
        <v>Swale</v>
      </c>
      <c r="M135" s="117">
        <f t="shared" si="64"/>
        <v>481.7</v>
      </c>
      <c r="N135" s="112">
        <f t="shared" si="65"/>
        <v>481.7</v>
      </c>
      <c r="O135" s="96" t="str">
        <f t="shared" si="66"/>
        <v/>
      </c>
      <c r="P135" s="96" t="str">
        <f t="shared" si="67"/>
        <v/>
      </c>
      <c r="Q135" s="96">
        <f t="shared" si="68"/>
        <v>481.7</v>
      </c>
      <c r="R135" s="92" t="str">
        <f t="shared" si="69"/>
        <v/>
      </c>
      <c r="S135" s="42" t="str">
        <f t="shared" si="70"/>
        <v/>
      </c>
      <c r="T135" s="167">
        <f>IF(L135="","",VLOOKUP(L135,classifications!C:K,9,FALSE))</f>
        <v>0</v>
      </c>
      <c r="U135" s="168" t="str">
        <f t="shared" si="71"/>
        <v/>
      </c>
      <c r="V135" s="174" t="str">
        <f>IF(U135="","",IF($I$8="A",(RANK(U135,U$11:U$343)+COUNTIF(U$11:U135,U135)-1),(RANK(U135,U$11:U$343,1)+COUNTIF(U$11:U135,U135)-1)))</f>
        <v/>
      </c>
      <c r="W135" s="175"/>
      <c r="X135" s="5" t="str">
        <f>IF(L135="","",VLOOKUP($L135,classifications!$C:$J,6,FALSE))</f>
        <v xml:space="preserve">Largely Rural (rural including hub towns 50-79%) </v>
      </c>
      <c r="Y135" t="str">
        <f t="shared" si="72"/>
        <v/>
      </c>
      <c r="Z135" s="40" t="str">
        <f>IF(Y135="","",IF(I$8="A",(RANK(Y135,Y$11:Y$343,1)+COUNTIF(Y$11:Y135,Y135)-1),(RANK(Y135,Y$11:Y$343)+COUNTIF(Y$11:Y135,Y135)-1)))</f>
        <v/>
      </c>
      <c r="AA135" s="180" t="str">
        <f>IF(L135="","",VLOOKUP($L135,classifications!C:I,7,FALSE))</f>
        <v>Predominantly Rural</v>
      </c>
      <c r="AB135" s="174">
        <f t="shared" si="73"/>
        <v>481.7</v>
      </c>
      <c r="AC135" s="174">
        <f>IF(AB135="","",IF($I$8="A",(RANK(AB135,AB$11:AB$343)+COUNTIF(AB$11:AB135,AB135)-1),(RANK(AB135,AB$11:AB$343,1)+COUNTIF(AB$11:AB135,AB135)-1)))</f>
        <v>19</v>
      </c>
      <c r="AD135" s="174"/>
      <c r="AE135" s="36" t="str">
        <f t="shared" si="74"/>
        <v/>
      </c>
      <c r="AG135" s="15"/>
      <c r="AH135" s="3"/>
      <c r="AI135" s="5" t="str">
        <f>IF(L135="","",VLOOKUP($L135,classifications!$C:$J,8,FALSE))</f>
        <v>Kent</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South East</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396.7</v>
      </c>
    </row>
    <row r="136" spans="1:50">
      <c r="A136" s="59" t="str">
        <f>$D$1&amp;126</f>
        <v>SD126</v>
      </c>
      <c r="B136" s="60">
        <f>IF(ISERROR(VLOOKUP(A138,classifications!A:C,3,FALSE)),0,VLOOKUP(A138,classifications!A:C,3,FALSE))</f>
        <v>0</v>
      </c>
      <c r="C136" t="s">
        <v>208</v>
      </c>
      <c r="D136" t="str">
        <f>VLOOKUP($C136,classifications!$C:$J,4,FALSE)</f>
        <v>L</v>
      </c>
      <c r="E136">
        <f>VLOOKUP(C136,classifications!C:K,9,FALSE)</f>
        <v>0</v>
      </c>
      <c r="F136">
        <f t="shared" si="60"/>
        <v>678.8</v>
      </c>
      <c r="G136" s="15"/>
      <c r="H136" s="42" t="str">
        <f t="shared" si="61"/>
        <v/>
      </c>
      <c r="I136" s="79" t="str">
        <f>IF(H136="","",IF($I$8="A",(RANK(H136,H$11:H$343,1)+COUNTIF(H$11:H136,H136)-1),(RANK(H136,H$11:H$343)+COUNTIF(H$11:H136,H136)-1)))</f>
        <v/>
      </c>
      <c r="J136" s="41"/>
      <c r="K136" s="36">
        <f t="shared" si="62"/>
        <v>126</v>
      </c>
      <c r="L136" t="str">
        <f t="shared" si="63"/>
        <v>Melton</v>
      </c>
      <c r="M136" s="117">
        <f t="shared" si="64"/>
        <v>482.7</v>
      </c>
      <c r="N136" s="112">
        <f t="shared" si="65"/>
        <v>482.7</v>
      </c>
      <c r="O136" s="96" t="str">
        <f t="shared" si="66"/>
        <v/>
      </c>
      <c r="P136" s="96" t="str">
        <f t="shared" si="67"/>
        <v/>
      </c>
      <c r="Q136" s="96">
        <f t="shared" si="68"/>
        <v>482.7</v>
      </c>
      <c r="R136" s="92" t="str">
        <f t="shared" si="69"/>
        <v/>
      </c>
      <c r="S136" s="42" t="str">
        <f t="shared" si="70"/>
        <v/>
      </c>
      <c r="T136" s="167" t="str">
        <f>IF(L136="","",VLOOKUP(L136,classifications!C:K,9,FALSE))</f>
        <v>Sparse</v>
      </c>
      <c r="U136" s="168">
        <f t="shared" si="71"/>
        <v>482.7</v>
      </c>
      <c r="V136" s="174">
        <f>IF(U136="","",IF($I$8="A",(RANK(U136,U$11:U$343)+COUNTIF(U$11:U136,U136)-1),(RANK(U136,U$11:U$343,1)+COUNTIF(U$11:U136,U136)-1)))</f>
        <v>12</v>
      </c>
      <c r="W136" s="175"/>
      <c r="X136" s="5" t="str">
        <f>IF(L136="","",VLOOKUP($L136,classifications!$C:$J,6,FALSE))</f>
        <v xml:space="preserve">Mainly Rural (rural including hub towns &gt;=80%) </v>
      </c>
      <c r="Y136">
        <f t="shared" si="72"/>
        <v>482.7</v>
      </c>
      <c r="Z136" s="40">
        <f>IF(Y136="","",IF(I$8="A",(RANK(Y136,Y$11:Y$343,1)+COUNTIF(Y$11:Y136,Y136)-1),(RANK(Y136,Y$11:Y$343)+COUNTIF(Y$11:Y136,Y136)-1)))</f>
        <v>29</v>
      </c>
      <c r="AA136" s="180" t="str">
        <f>IF(L136="","",VLOOKUP($L136,classifications!C:I,7,FALSE))</f>
        <v>Predominantly Rural</v>
      </c>
      <c r="AB136" s="174">
        <f t="shared" si="73"/>
        <v>482.7</v>
      </c>
      <c r="AC136" s="174">
        <f>IF(AB136="","",IF($I$8="A",(RANK(AB136,AB$11:AB$343)+COUNTIF(AB$11:AB136,AB136)-1),(RANK(AB136,AB$11:AB$343,1)+COUNTIF(AB$11:AB136,AB136)-1)))</f>
        <v>18</v>
      </c>
      <c r="AD136" s="174"/>
      <c r="AE136" s="36" t="str">
        <f t="shared" si="74"/>
        <v/>
      </c>
      <c r="AG136" s="15"/>
      <c r="AH136" s="3"/>
      <c r="AI136" s="5" t="str">
        <f>IF(L136="","",VLOOKUP($L136,classifications!$C:$J,8,FALSE))</f>
        <v>Leicestershire</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East Midlands</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678.8</v>
      </c>
    </row>
    <row r="137" spans="1:50">
      <c r="A137" s="59" t="str">
        <f>$D$1&amp;127</f>
        <v>SD127</v>
      </c>
      <c r="B137" s="60">
        <f>IF(ISERROR(VLOOKUP(A139,classifications!A:C,3,FALSE)),0,VLOOKUP(A139,classifications!A:C,3,FALSE))</f>
        <v>0</v>
      </c>
      <c r="C137" t="s">
        <v>82</v>
      </c>
      <c r="D137" t="str">
        <f>VLOOKUP($C137,classifications!$C:$J,4,FALSE)</f>
        <v>SD</v>
      </c>
      <c r="E137">
        <f>VLOOKUP(C137,classifications!C:K,9,FALSE)</f>
        <v>0</v>
      </c>
      <c r="F137">
        <f t="shared" si="60"/>
        <v>464.1</v>
      </c>
      <c r="G137" s="15"/>
      <c r="H137" s="42">
        <f t="shared" si="61"/>
        <v>464.1</v>
      </c>
      <c r="I137" s="79">
        <f>IF(H137="","",IF($I$8="A",(RANK(H137,H$11:H$343,1)+COUNTIF(H$11:H137,H137)-1),(RANK(H137,H$11:H$343)+COUNTIF(H$11:H137,H137)-1)))</f>
        <v>111</v>
      </c>
      <c r="J137" s="41"/>
      <c r="K137" s="36">
        <f t="shared" si="62"/>
        <v>127</v>
      </c>
      <c r="L137" t="str">
        <f t="shared" si="63"/>
        <v>Copeland</v>
      </c>
      <c r="M137" s="117">
        <f t="shared" si="64"/>
        <v>482.8</v>
      </c>
      <c r="N137" s="112">
        <f t="shared" si="65"/>
        <v>482.8</v>
      </c>
      <c r="O137" s="96" t="str">
        <f t="shared" si="66"/>
        <v/>
      </c>
      <c r="P137" s="96" t="str">
        <f t="shared" si="67"/>
        <v/>
      </c>
      <c r="Q137" s="96">
        <f t="shared" si="68"/>
        <v>482.8</v>
      </c>
      <c r="R137" s="92" t="str">
        <f t="shared" si="69"/>
        <v/>
      </c>
      <c r="S137" s="42" t="str">
        <f t="shared" si="70"/>
        <v/>
      </c>
      <c r="T137" s="167" t="str">
        <f>IF(L137="","",VLOOKUP(L137,classifications!C:K,9,FALSE))</f>
        <v>Sparse</v>
      </c>
      <c r="U137" s="168">
        <f t="shared" si="71"/>
        <v>482.8</v>
      </c>
      <c r="V137" s="174">
        <f>IF(U137="","",IF($I$8="A",(RANK(U137,U$11:U$343)+COUNTIF(U$11:U137,U137)-1),(RANK(U137,U$11:U$343,1)+COUNTIF(U$11:U137,U137)-1)))</f>
        <v>11</v>
      </c>
      <c r="W137" s="175"/>
      <c r="X137" s="5" t="str">
        <f>IF(L137="","",VLOOKUP($L137,classifications!$C:$J,6,FALSE))</f>
        <v xml:space="preserve">Mainly Rural (rural including hub towns &gt;=80%) </v>
      </c>
      <c r="Y137">
        <f t="shared" si="72"/>
        <v>482.8</v>
      </c>
      <c r="Z137" s="40">
        <f>IF(Y137="","",IF(I$8="A",(RANK(Y137,Y$11:Y$343,1)+COUNTIF(Y$11:Y137,Y137)-1),(RANK(Y137,Y$11:Y$343)+COUNTIF(Y$11:Y137,Y137)-1)))</f>
        <v>30</v>
      </c>
      <c r="AA137" s="180" t="str">
        <f>IF(L137="","",VLOOKUP($L137,classifications!C:I,7,FALSE))</f>
        <v>Predominantly Rural</v>
      </c>
      <c r="AB137" s="174">
        <f t="shared" si="73"/>
        <v>482.8</v>
      </c>
      <c r="AC137" s="174">
        <f>IF(AB137="","",IF($I$8="A",(RANK(AB137,AB$11:AB$343)+COUNTIF(AB$11:AB137,AB137)-1),(RANK(AB137,AB$11:AB$343,1)+COUNTIF(AB$11:AB137,AB137)-1)))</f>
        <v>17</v>
      </c>
      <c r="AD137" s="174"/>
      <c r="AE137" s="36" t="str">
        <f t="shared" si="74"/>
        <v/>
      </c>
      <c r="AG137" s="15"/>
      <c r="AH137" s="3"/>
      <c r="AI137" s="5" t="str">
        <f>IF(L137="","",VLOOKUP($L137,classifications!$C:$J,8,FALSE))</f>
        <v>Cumbria</v>
      </c>
      <c r="AJ137" s="43">
        <f t="shared" si="75"/>
        <v>482.8</v>
      </c>
      <c r="AK137" s="40">
        <f>IF(AJ137="","",IF(I$8="A",(RANK(AJ137,AJ$11:AJ$343,1)+COUNTIF(AJ$11:AJ137,AJ137)-1),(RANK(AJ137,AJ$11:AJ$343)+COUNTIF(AJ$11:AJ137,AJ137)-1)))</f>
        <v>4</v>
      </c>
      <c r="AL137" s="3" t="str">
        <f t="shared" si="76"/>
        <v/>
      </c>
      <c r="AM137" t="str">
        <f t="shared" si="77"/>
        <v/>
      </c>
      <c r="AN137" t="str">
        <f t="shared" si="78"/>
        <v/>
      </c>
      <c r="AP137" s="5" t="str">
        <f>IF(L137="","",VLOOKUP($L137,classifications!$C:$E,3,FALSE))</f>
        <v>North West</v>
      </c>
      <c r="AQ137" s="43">
        <f t="shared" si="79"/>
        <v>482.8</v>
      </c>
      <c r="AR137" s="40">
        <f>IF(AQ137="","",IF(I$8="A",(RANK(AQ137,AQ$11:AQ$343,1)+COUNTIF(AQ$11:AQ137,AQ137)-1),(RANK(AQ137,AQ$11:AQ$343)+COUNTIF(AQ$11:AQ137,AQ137)-1)))</f>
        <v>10</v>
      </c>
      <c r="AS137" s="3" t="str">
        <f t="shared" si="80"/>
        <v/>
      </c>
      <c r="AT137" s="40" t="str">
        <f t="shared" si="81"/>
        <v/>
      </c>
      <c r="AU137" s="43" t="str">
        <f t="shared" si="82"/>
        <v/>
      </c>
      <c r="AX137">
        <f>HLOOKUP($AX$9&amp;$AX$10,Data!$A$1:$ZZ$1980,(MATCH($C137,Data!$A$1:$A$1980,0)),FALSE)</f>
        <v>464.1</v>
      </c>
    </row>
    <row r="138" spans="1:50">
      <c r="A138" s="59" t="str">
        <f>$D$1&amp;128</f>
        <v>SD128</v>
      </c>
      <c r="B138" s="60">
        <f>IF(ISERROR(VLOOKUP(A140,classifications!A:C,3,FALSE)),0,VLOOKUP(A140,classifications!A:C,3,FALSE))</f>
        <v>0</v>
      </c>
      <c r="C138" t="s">
        <v>270</v>
      </c>
      <c r="D138" t="str">
        <f>VLOOKUP($C138,classifications!$C:$J,4,FALSE)</f>
        <v>UA</v>
      </c>
      <c r="E138">
        <f>VLOOKUP(C138,classifications!C:K,9,FALSE)</f>
        <v>0</v>
      </c>
      <c r="F138">
        <f t="shared" si="60"/>
        <v>572.9</v>
      </c>
      <c r="G138" s="15"/>
      <c r="H138" s="42" t="str">
        <f t="shared" si="61"/>
        <v/>
      </c>
      <c r="I138" s="79" t="str">
        <f>IF(H138="","",IF($I$8="A",(RANK(H138,H$11:H$343,1)+COUNTIF(H$11:H138,H138)-1),(RANK(H138,H$11:H$343)+COUNTIF(H$11:H138,H138)-1)))</f>
        <v/>
      </c>
      <c r="J138" s="41"/>
      <c r="K138" s="36">
        <f t="shared" si="62"/>
        <v>128</v>
      </c>
      <c r="L138" t="str">
        <f t="shared" si="63"/>
        <v>Erewash</v>
      </c>
      <c r="M138" s="117">
        <f t="shared" si="64"/>
        <v>483</v>
      </c>
      <c r="N138" s="112">
        <f t="shared" si="65"/>
        <v>483</v>
      </c>
      <c r="O138" s="96" t="str">
        <f t="shared" si="66"/>
        <v/>
      </c>
      <c r="P138" s="96" t="str">
        <f t="shared" si="67"/>
        <v/>
      </c>
      <c r="Q138" s="96">
        <f t="shared" si="68"/>
        <v>483</v>
      </c>
      <c r="R138" s="92" t="str">
        <f t="shared" si="69"/>
        <v/>
      </c>
      <c r="S138" s="42" t="str">
        <f t="shared" si="70"/>
        <v/>
      </c>
      <c r="T138" s="167">
        <f>IF(L138="","",VLOOKUP(L138,classifications!C:K,9,FALSE))</f>
        <v>0</v>
      </c>
      <c r="U138" s="168" t="str">
        <f t="shared" si="71"/>
        <v/>
      </c>
      <c r="V138" s="174" t="str">
        <f>IF(U138="","",IF($I$8="A",(RANK(U138,U$11:U$343)+COUNTIF(U$11:U138,U138)-1),(RANK(U138,U$11:U$343,1)+COUNTIF(U$11:U138,U138)-1)))</f>
        <v/>
      </c>
      <c r="W138" s="175"/>
      <c r="X138" s="5" t="str">
        <f>IF(L138="","",VLOOKUP($L138,classifications!$C:$J,6,FALSE))</f>
        <v>Urban with Minor Conurbation</v>
      </c>
      <c r="Y138" t="str">
        <f t="shared" si="72"/>
        <v/>
      </c>
      <c r="Z138" s="40" t="str">
        <f>IF(Y138="","",IF(I$8="A",(RANK(Y138,Y$11:Y$343,1)+COUNTIF(Y$11:Y138,Y138)-1),(RANK(Y138,Y$11:Y$343)+COUNTIF(Y$11:Y138,Y138)-1)))</f>
        <v/>
      </c>
      <c r="AA138" s="180" t="str">
        <f>IF(L138="","",VLOOKUP($L138,classifications!C:I,7,FALSE))</f>
        <v>Predominantly Urban</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Derbyshire</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East Midlands</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572.9</v>
      </c>
    </row>
    <row r="139" spans="1:50">
      <c r="A139" s="59" t="str">
        <f>$D$1&amp;129</f>
        <v>SD129</v>
      </c>
      <c r="B139" s="60">
        <f>IF(ISERROR(VLOOKUP(A141,classifications!A:C,3,FALSE)),0,VLOOKUP(A141,classifications!A:C,3,FALSE))</f>
        <v>0</v>
      </c>
      <c r="C139" t="s">
        <v>83</v>
      </c>
      <c r="D139" t="str">
        <f>VLOOKUP($C139,classifications!$C:$J,4,FALSE)</f>
        <v>SD</v>
      </c>
      <c r="E139">
        <f>VLOOKUP(C139,classifications!C:K,9,FALSE)</f>
        <v>0</v>
      </c>
      <c r="F139">
        <f t="shared" si="60"/>
        <v>484.9</v>
      </c>
      <c r="G139" s="15"/>
      <c r="H139" s="42">
        <f t="shared" si="61"/>
        <v>484.9</v>
      </c>
      <c r="I139" s="79">
        <f>IF(H139="","",IF($I$8="A",(RANK(H139,H$11:H$343,1)+COUNTIF(H$11:H139,H139)-1),(RANK(H139,H$11:H$343)+COUNTIF(H$11:H139,H139)-1)))</f>
        <v>130</v>
      </c>
      <c r="J139" s="41"/>
      <c r="K139" s="36">
        <f t="shared" si="62"/>
        <v>129</v>
      </c>
      <c r="L139" t="str">
        <f t="shared" si="63"/>
        <v>Wyre Forest</v>
      </c>
      <c r="M139" s="117">
        <f t="shared" si="64"/>
        <v>483.9</v>
      </c>
      <c r="N139" s="112">
        <f t="shared" si="65"/>
        <v>483.9</v>
      </c>
      <c r="O139" s="96" t="str">
        <f t="shared" si="66"/>
        <v/>
      </c>
      <c r="P139" s="96" t="str">
        <f t="shared" si="67"/>
        <v/>
      </c>
      <c r="Q139" s="96">
        <f t="shared" si="68"/>
        <v>483.9</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Urban with Significant Rural (rural including hub towns 26-49%)</v>
      </c>
      <c r="Y139" t="str">
        <f t="shared" si="72"/>
        <v/>
      </c>
      <c r="Z139" s="40" t="str">
        <f>IF(Y139="","",IF(I$8="A",(RANK(Y139,Y$11:Y$343,1)+COUNTIF(Y$11:Y139,Y139)-1),(RANK(Y139,Y$11:Y$343)+COUNTIF(Y$11:Y139,Y139)-1)))</f>
        <v/>
      </c>
      <c r="AA139" s="180" t="str">
        <f>IF(L139="","",VLOOKUP($L139,classifications!C:I,7,FALSE))</f>
        <v>Significant Rural</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Worcestershire</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West Midlands</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484.9</v>
      </c>
    </row>
    <row r="140" spans="1:50">
      <c r="A140" s="59" t="str">
        <f>$D$1&amp;130</f>
        <v>SD130</v>
      </c>
      <c r="B140" s="60">
        <f>IF(ISERROR(VLOOKUP(A142,classifications!A:C,3,FALSE)),0,VLOOKUP(A142,classifications!A:C,3,FALSE))</f>
        <v>0</v>
      </c>
      <c r="C140" t="s">
        <v>84</v>
      </c>
      <c r="D140" t="str">
        <f>VLOOKUP($C140,classifications!$C:$J,4,FALSE)</f>
        <v>SD</v>
      </c>
      <c r="E140">
        <f>VLOOKUP(C140,classifications!C:K,9,FALSE)</f>
        <v>0</v>
      </c>
      <c r="F140">
        <f t="shared" si="60"/>
        <v>511.9</v>
      </c>
      <c r="G140" s="15"/>
      <c r="H140" s="42">
        <f t="shared" si="61"/>
        <v>511.9</v>
      </c>
      <c r="I140" s="79">
        <f>IF(H140="","",IF($I$8="A",(RANK(H140,H$11:H$343,1)+COUNTIF(H$11:H140,H140)-1),(RANK(H140,H$11:H$343)+COUNTIF(H$11:H140,H140)-1)))</f>
        <v>150</v>
      </c>
      <c r="J140" s="41"/>
      <c r="K140" s="36">
        <f t="shared" si="62"/>
        <v>130</v>
      </c>
      <c r="L140" t="str">
        <f t="shared" si="63"/>
        <v>Hastings</v>
      </c>
      <c r="M140" s="117">
        <f t="shared" si="64"/>
        <v>484.9</v>
      </c>
      <c r="N140" s="112">
        <f t="shared" si="65"/>
        <v>484.9</v>
      </c>
      <c r="O140" s="96" t="str">
        <f t="shared" si="66"/>
        <v/>
      </c>
      <c r="P140" s="96" t="str">
        <f t="shared" si="67"/>
        <v/>
      </c>
      <c r="Q140" s="96">
        <f t="shared" si="68"/>
        <v>484.9</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Urban with City and Town</v>
      </c>
      <c r="Y140" t="str">
        <f t="shared" si="72"/>
        <v/>
      </c>
      <c r="Z140" s="40" t="str">
        <f>IF(Y140="","",IF(I$8="A",(RANK(Y140,Y$11:Y$343,1)+COUNTIF(Y$11:Y140,Y140)-1),(RANK(Y140,Y$11:Y$343)+COUNTIF(Y$11:Y140,Y140)-1)))</f>
        <v/>
      </c>
      <c r="AA140" s="180" t="str">
        <f>IF(L140="","",VLOOKUP($L140,classifications!C:I,7,FALSE))</f>
        <v>Predominantly Urban</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East Sussex</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South East</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511.9</v>
      </c>
    </row>
    <row r="141" spans="1:50">
      <c r="A141" s="59" t="str">
        <f>$D$1&amp;131</f>
        <v>SD131</v>
      </c>
      <c r="B141" s="60">
        <f>IF(ISERROR(VLOOKUP(A143,classifications!A:C,3,FALSE)),0,VLOOKUP(A143,classifications!A:C,3,FALSE))</f>
        <v>0</v>
      </c>
      <c r="C141" t="s">
        <v>209</v>
      </c>
      <c r="D141" t="str">
        <f>VLOOKUP($C141,classifications!$C:$J,4,FALSE)</f>
        <v>L</v>
      </c>
      <c r="E141">
        <f>VLOOKUP(C141,classifications!C:K,9,FALSE)</f>
        <v>0</v>
      </c>
      <c r="F141">
        <f t="shared" si="60"/>
        <v>609.9</v>
      </c>
      <c r="G141" s="15"/>
      <c r="H141" s="42" t="str">
        <f t="shared" si="61"/>
        <v/>
      </c>
      <c r="I141" s="79" t="str">
        <f>IF(H141="","",IF($I$8="A",(RANK(H141,H$11:H$343,1)+COUNTIF(H$11:H141,H141)-1),(RANK(H141,H$11:H$343)+COUNTIF(H$11:H141,H141)-1)))</f>
        <v/>
      </c>
      <c r="J141" s="41"/>
      <c r="K141" s="36">
        <f t="shared" si="62"/>
        <v>131</v>
      </c>
      <c r="L141" t="str">
        <f t="shared" si="63"/>
        <v>North Kesteven</v>
      </c>
      <c r="M141" s="117">
        <f t="shared" si="64"/>
        <v>485.6</v>
      </c>
      <c r="N141" s="112">
        <f t="shared" si="65"/>
        <v>485.6</v>
      </c>
      <c r="O141" s="96" t="str">
        <f t="shared" si="66"/>
        <v/>
      </c>
      <c r="P141" s="96" t="str">
        <f t="shared" si="67"/>
        <v/>
      </c>
      <c r="Q141" s="96">
        <f t="shared" si="68"/>
        <v>485.6</v>
      </c>
      <c r="R141" s="92" t="str">
        <f t="shared" si="69"/>
        <v/>
      </c>
      <c r="S141" s="42" t="str">
        <f t="shared" si="70"/>
        <v/>
      </c>
      <c r="T141" s="167" t="str">
        <f>IF(L141="","",VLOOKUP(L141,classifications!C:K,9,FALSE))</f>
        <v>Sparse</v>
      </c>
      <c r="U141" s="168">
        <f t="shared" si="71"/>
        <v>485.6</v>
      </c>
      <c r="V141" s="174">
        <f>IF(U141="","",IF($I$8="A",(RANK(U141,U$11:U$343)+COUNTIF(U$11:U141,U141)-1),(RANK(U141,U$11:U$343,1)+COUNTIF(U$11:U141,U141)-1)))</f>
        <v>10</v>
      </c>
      <c r="W141" s="175"/>
      <c r="X141" s="5" t="str">
        <f>IF(L141="","",VLOOKUP($L141,classifications!$C:$J,6,FALSE))</f>
        <v xml:space="preserve">Mainly Rural (rural including hub towns &gt;=80%) </v>
      </c>
      <c r="Y141">
        <f t="shared" si="72"/>
        <v>485.6</v>
      </c>
      <c r="Z141" s="40">
        <f>IF(Y141="","",IF(I$8="A",(RANK(Y141,Y$11:Y$343,1)+COUNTIF(Y$11:Y141,Y141)-1),(RANK(Y141,Y$11:Y$343)+COUNTIF(Y$11:Y141,Y141)-1)))</f>
        <v>31</v>
      </c>
      <c r="AA141" s="180" t="str">
        <f>IF(L141="","",VLOOKUP($L141,classifications!C:I,7,FALSE))</f>
        <v>Predominantly Rural</v>
      </c>
      <c r="AB141" s="174">
        <f t="shared" si="73"/>
        <v>485.6</v>
      </c>
      <c r="AC141" s="174">
        <f>IF(AB141="","",IF($I$8="A",(RANK(AB141,AB$11:AB$343)+COUNTIF(AB$11:AB141,AB141)-1),(RANK(AB141,AB$11:AB$343,1)+COUNTIF(AB$11:AB141,AB141)-1)))</f>
        <v>16</v>
      </c>
      <c r="AD141" s="174"/>
      <c r="AE141" s="36" t="str">
        <f t="shared" si="74"/>
        <v/>
      </c>
      <c r="AG141" s="15"/>
      <c r="AH141" s="3"/>
      <c r="AI141" s="5" t="str">
        <f>IF(L141="","",VLOOKUP($L141,classifications!$C:$J,8,FALSE))</f>
        <v>Lincolnshire</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East Midlands</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609.9</v>
      </c>
    </row>
    <row r="142" spans="1:50">
      <c r="A142" s="59" t="str">
        <f>$D$1&amp;132</f>
        <v>SD132</v>
      </c>
      <c r="B142" s="60">
        <f>IF(ISERROR(VLOOKUP(A144,classifications!A:C,3,FALSE)),0,VLOOKUP(A144,classifications!A:C,3,FALSE))</f>
        <v>0</v>
      </c>
      <c r="C142" t="s">
        <v>818</v>
      </c>
      <c r="D142" t="str">
        <f>VLOOKUP($C142,classifications!$C:$J,4,FALSE)</f>
        <v>UA</v>
      </c>
      <c r="E142" t="str">
        <f>VLOOKUP(C142,classifications!C:K,9,FALSE)</f>
        <v>Sparse</v>
      </c>
      <c r="F142">
        <f t="shared" si="60"/>
        <v>481.2</v>
      </c>
      <c r="G142" s="15"/>
      <c r="H142" s="42" t="str">
        <f t="shared" si="61"/>
        <v/>
      </c>
      <c r="I142" s="79" t="str">
        <f>IF(H142="","",IF($I$8="A",(RANK(H142,H$11:H$343,1)+COUNTIF(H$11:H142,H142)-1),(RANK(H142,H$11:H$343)+COUNTIF(H$11:H142,H142)-1)))</f>
        <v/>
      </c>
      <c r="J142" s="41"/>
      <c r="K142" s="36">
        <f t="shared" si="62"/>
        <v>132</v>
      </c>
      <c r="L142" t="str">
        <f t="shared" si="63"/>
        <v>South Kesteven</v>
      </c>
      <c r="M142" s="117">
        <f t="shared" si="64"/>
        <v>485.9</v>
      </c>
      <c r="N142" s="112">
        <f t="shared" si="65"/>
        <v>485.9</v>
      </c>
      <c r="O142" s="96" t="str">
        <f t="shared" si="66"/>
        <v/>
      </c>
      <c r="P142" s="96" t="str">
        <f t="shared" si="67"/>
        <v/>
      </c>
      <c r="Q142" s="96" t="str">
        <f t="shared" si="68"/>
        <v/>
      </c>
      <c r="R142" s="92">
        <f t="shared" si="69"/>
        <v>485.9</v>
      </c>
      <c r="S142" s="42" t="str">
        <f t="shared" si="70"/>
        <v/>
      </c>
      <c r="T142" s="167" t="str">
        <f>IF(L142="","",VLOOKUP(L142,classifications!C:K,9,FALSE))</f>
        <v>Sparse</v>
      </c>
      <c r="U142" s="168">
        <f t="shared" si="71"/>
        <v>485.9</v>
      </c>
      <c r="V142" s="174">
        <f>IF(U142="","",IF($I$8="A",(RANK(U142,U$11:U$343)+COUNTIF(U$11:U142,U142)-1),(RANK(U142,U$11:U$343,1)+COUNTIF(U$11:U142,U142)-1)))</f>
        <v>9</v>
      </c>
      <c r="W142" s="175"/>
      <c r="X142" s="5" t="str">
        <f>IF(L142="","",VLOOKUP($L142,classifications!$C:$J,6,FALSE))</f>
        <v xml:space="preserve">Largely Rural (rural including hub towns 50-79%) </v>
      </c>
      <c r="Y142" t="str">
        <f t="shared" si="72"/>
        <v/>
      </c>
      <c r="Z142" s="40" t="str">
        <f>IF(Y142="","",IF(I$8="A",(RANK(Y142,Y$11:Y$343,1)+COUNTIF(Y$11:Y142,Y142)-1),(RANK(Y142,Y$11:Y$343)+COUNTIF(Y$11:Y142,Y142)-1)))</f>
        <v/>
      </c>
      <c r="AA142" s="180" t="str">
        <f>IF(L142="","",VLOOKUP($L142,classifications!C:I,7,FALSE))</f>
        <v>Predominantly Rural</v>
      </c>
      <c r="AB142" s="174">
        <f t="shared" si="73"/>
        <v>485.9</v>
      </c>
      <c r="AC142" s="174">
        <f>IF(AB142="","",IF($I$8="A",(RANK(AB142,AB$11:AB$343)+COUNTIF(AB$11:AB142,AB142)-1),(RANK(AB142,AB$11:AB$343,1)+COUNTIF(AB$11:AB142,AB142)-1)))</f>
        <v>15</v>
      </c>
      <c r="AD142" s="174"/>
      <c r="AE142" s="36" t="str">
        <f t="shared" si="74"/>
        <v/>
      </c>
      <c r="AG142" s="15"/>
      <c r="AH142" s="3"/>
      <c r="AI142" s="5" t="str">
        <f>IF(L142="","",VLOOKUP($L142,classifications!$C:$J,8,FALSE))</f>
        <v>Lincolnshire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East Midlands</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481.2</v>
      </c>
    </row>
    <row r="143" spans="1:50">
      <c r="A143" s="59" t="str">
        <f>$D$1&amp;133</f>
        <v>SD133</v>
      </c>
      <c r="B143" s="60">
        <f>IF(ISERROR(VLOOKUP(A145,classifications!A:C,3,FALSE)),0,VLOOKUP(A145,classifications!A:C,3,FALSE))</f>
        <v>0</v>
      </c>
      <c r="C143" t="s">
        <v>315</v>
      </c>
      <c r="D143" t="str">
        <f>VLOOKUP($C143,classifications!$C:$J,4,FALSE)</f>
        <v>SC</v>
      </c>
      <c r="E143">
        <f>VLOOKUP(C143,classifications!C:K,9,FALSE)</f>
        <v>0</v>
      </c>
      <c r="F143">
        <f t="shared" si="60"/>
        <v>449.7</v>
      </c>
      <c r="G143" s="15"/>
      <c r="H143" s="42" t="str">
        <f t="shared" si="61"/>
        <v/>
      </c>
      <c r="I143" s="79" t="str">
        <f>IF(H143="","",IF($I$8="A",(RANK(H143,H$11:H$343,1)+COUNTIF(H$11:H143,H143)-1),(RANK(H143,H$11:H$343)+COUNTIF(H$11:H143,H143)-1)))</f>
        <v/>
      </c>
      <c r="J143" s="41"/>
      <c r="K143" s="36">
        <f t="shared" si="62"/>
        <v>133</v>
      </c>
      <c r="L143" t="str">
        <f t="shared" si="63"/>
        <v>Hinckley &amp; Bosworth</v>
      </c>
      <c r="M143" s="117">
        <f t="shared" si="64"/>
        <v>486.5</v>
      </c>
      <c r="N143" s="112">
        <f t="shared" si="65"/>
        <v>486.5</v>
      </c>
      <c r="O143" s="96" t="str">
        <f t="shared" si="66"/>
        <v/>
      </c>
      <c r="P143" s="96" t="str">
        <f t="shared" si="67"/>
        <v/>
      </c>
      <c r="Q143" s="96" t="str">
        <f t="shared" si="68"/>
        <v/>
      </c>
      <c r="R143" s="92">
        <f t="shared" si="69"/>
        <v>486.5</v>
      </c>
      <c r="S143" s="42" t="str">
        <f t="shared" si="70"/>
        <v/>
      </c>
      <c r="T143" s="167">
        <f>IF(L143="","",VLOOKUP(L143,classifications!C:K,9,FALSE))</f>
        <v>0</v>
      </c>
      <c r="U143" s="168" t="str">
        <f t="shared" si="71"/>
        <v/>
      </c>
      <c r="V143" s="174" t="str">
        <f>IF(U143="","",IF($I$8="A",(RANK(U143,U$11:U$343)+COUNTIF(U$11:U143,U143)-1),(RANK(U143,U$11:U$343,1)+COUNTIF(U$11:U143,U143)-1)))</f>
        <v/>
      </c>
      <c r="W143" s="175"/>
      <c r="X143" s="5" t="str">
        <f>IF(L143="","",VLOOKUP($L143,classifications!$C:$J,6,FALSE))</f>
        <v xml:space="preserve">Largely Rural (rural including hub towns 50-79%) </v>
      </c>
      <c r="Y143" t="str">
        <f t="shared" si="72"/>
        <v/>
      </c>
      <c r="Z143" s="40" t="str">
        <f>IF(Y143="","",IF(I$8="A",(RANK(Y143,Y$11:Y$343,1)+COUNTIF(Y$11:Y143,Y143)-1),(RANK(Y143,Y$11:Y$343)+COUNTIF(Y$11:Y143,Y143)-1)))</f>
        <v/>
      </c>
      <c r="AA143" s="180" t="str">
        <f>IF(L143="","",VLOOKUP($L143,classifications!C:I,7,FALSE))</f>
        <v>Predominantly Rural</v>
      </c>
      <c r="AB143" s="174">
        <f t="shared" si="73"/>
        <v>486.5</v>
      </c>
      <c r="AC143" s="174">
        <f>IF(AB143="","",IF($I$8="A",(RANK(AB143,AB$11:AB$343)+COUNTIF(AB$11:AB143,AB143)-1),(RANK(AB143,AB$11:AB$343,1)+COUNTIF(AB$11:AB143,AB143)-1)))</f>
        <v>14</v>
      </c>
      <c r="AD143" s="174"/>
      <c r="AE143" s="36" t="str">
        <f t="shared" si="74"/>
        <v/>
      </c>
      <c r="AG143" s="15"/>
      <c r="AH143" s="3"/>
      <c r="AI143" s="5" t="str">
        <f>IF(L143="","",VLOOKUP($L143,classifications!$C:$J,8,FALSE))</f>
        <v>Leicestershire</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East Midlands</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449.7</v>
      </c>
    </row>
    <row r="144" spans="1:50">
      <c r="A144" s="59" t="str">
        <f>$D$1&amp;134</f>
        <v>SD134</v>
      </c>
      <c r="B144" s="60">
        <f>IF(ISERROR(VLOOKUP(A146,classifications!A:C,3,FALSE)),0,VLOOKUP(A146,classifications!A:C,3,FALSE))</f>
        <v>0</v>
      </c>
      <c r="C144" t="s">
        <v>85</v>
      </c>
      <c r="D144" t="str">
        <f>VLOOKUP($C144,classifications!$C:$J,4,FALSE)</f>
        <v>SD</v>
      </c>
      <c r="E144">
        <f>VLOOKUP(C144,classifications!C:K,9,FALSE)</f>
        <v>0</v>
      </c>
      <c r="F144">
        <f t="shared" si="60"/>
        <v>462.9</v>
      </c>
      <c r="G144" s="15"/>
      <c r="H144" s="42">
        <f t="shared" si="61"/>
        <v>462.9</v>
      </c>
      <c r="I144" s="79">
        <f>IF(H144="","",IF($I$8="A",(RANK(H144,H$11:H$343,1)+COUNTIF(H$11:H144,H144)-1),(RANK(H144,H$11:H$343)+COUNTIF(H$11:H144,H144)-1)))</f>
        <v>109</v>
      </c>
      <c r="J144" s="41"/>
      <c r="K144" s="36">
        <f t="shared" si="62"/>
        <v>134</v>
      </c>
      <c r="L144" t="str">
        <f t="shared" si="63"/>
        <v>Lancaster</v>
      </c>
      <c r="M144" s="117">
        <f t="shared" si="64"/>
        <v>488</v>
      </c>
      <c r="N144" s="112">
        <f t="shared" si="65"/>
        <v>488</v>
      </c>
      <c r="O144" s="96" t="str">
        <f t="shared" si="66"/>
        <v/>
      </c>
      <c r="P144" s="96" t="str">
        <f t="shared" si="67"/>
        <v/>
      </c>
      <c r="Q144" s="96" t="str">
        <f t="shared" si="68"/>
        <v/>
      </c>
      <c r="R144" s="92">
        <f t="shared" si="69"/>
        <v>488</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Urban with Significant Rural (rural including hub towns 26-49%)</v>
      </c>
      <c r="Y144" t="str">
        <f t="shared" si="72"/>
        <v/>
      </c>
      <c r="Z144" s="40" t="str">
        <f>IF(Y144="","",IF(I$8="A",(RANK(Y144,Y$11:Y$343,1)+COUNTIF(Y$11:Y144,Y144)-1),(RANK(Y144,Y$11:Y$343)+COUNTIF(Y$11:Y144,Y144)-1)))</f>
        <v/>
      </c>
      <c r="AA144" s="180" t="str">
        <f>IF(L144="","",VLOOKUP($L144,classifications!C:I,7,FALSE))</f>
        <v>Significant Rural</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Lancashire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North West</v>
      </c>
      <c r="AQ144" s="43">
        <f t="shared" si="79"/>
        <v>488</v>
      </c>
      <c r="AR144" s="40">
        <f>IF(AQ144="","",IF(I$8="A",(RANK(AQ144,AQ$11:AQ$343,1)+COUNTIF(AQ$11:AQ144,AQ144)-1),(RANK(AQ144,AQ$11:AQ$343)+COUNTIF(AQ$11:AQ144,AQ144)-1)))</f>
        <v>11</v>
      </c>
      <c r="AS144" s="3" t="str">
        <f t="shared" si="80"/>
        <v/>
      </c>
      <c r="AT144" s="40" t="str">
        <f t="shared" si="81"/>
        <v/>
      </c>
      <c r="AU144" s="43" t="str">
        <f t="shared" si="82"/>
        <v/>
      </c>
      <c r="AX144">
        <f>HLOOKUP($AX$9&amp;$AX$10,Data!$A$1:$ZZ$1980,(MATCH($C144,Data!$A$1:$A$1980,0)),FALSE)</f>
        <v>462.9</v>
      </c>
    </row>
    <row r="145" spans="1:50">
      <c r="A145" s="59" t="str">
        <f>$D$1&amp;135</f>
        <v>SD135</v>
      </c>
      <c r="B145" s="60">
        <f>IF(ISERROR(VLOOKUP(A147,classifications!A:C,3,FALSE)),0,VLOOKUP(A147,classifications!A:C,3,FALSE))</f>
        <v>0</v>
      </c>
      <c r="C145" t="s">
        <v>86</v>
      </c>
      <c r="D145" t="str">
        <f>VLOOKUP($C145,classifications!$C:$J,4,FALSE)</f>
        <v>SD</v>
      </c>
      <c r="E145">
        <f>VLOOKUP(C145,classifications!C:K,9,FALSE)</f>
        <v>0</v>
      </c>
      <c r="F145">
        <f t="shared" si="60"/>
        <v>402.9</v>
      </c>
      <c r="G145" s="15"/>
      <c r="H145" s="42">
        <f t="shared" si="61"/>
        <v>402.9</v>
      </c>
      <c r="I145" s="79">
        <f>IF(H145="","",IF($I$8="A",(RANK(H145,H$11:H$343,1)+COUNTIF(H$11:H145,H145)-1),(RANK(H145,H$11:H$343)+COUNTIF(H$11:H145,H145)-1)))</f>
        <v>49</v>
      </c>
      <c r="J145" s="41"/>
      <c r="K145" s="36">
        <f t="shared" si="62"/>
        <v>135</v>
      </c>
      <c r="L145" t="str">
        <f t="shared" si="63"/>
        <v>Cannock Chase</v>
      </c>
      <c r="M145" s="117">
        <f t="shared" si="64"/>
        <v>488.7</v>
      </c>
      <c r="N145" s="112">
        <f t="shared" si="65"/>
        <v>488.7</v>
      </c>
      <c r="O145" s="96" t="str">
        <f t="shared" si="66"/>
        <v/>
      </c>
      <c r="P145" s="96" t="str">
        <f t="shared" si="67"/>
        <v/>
      </c>
      <c r="Q145" s="96" t="str">
        <f t="shared" si="68"/>
        <v/>
      </c>
      <c r="R145" s="92">
        <f t="shared" si="69"/>
        <v>488.7</v>
      </c>
      <c r="S145" s="42" t="str">
        <f t="shared" si="70"/>
        <v/>
      </c>
      <c r="T145" s="167">
        <f>IF(L145="","",VLOOKUP(L145,classifications!C:K,9,FALSE))</f>
        <v>0</v>
      </c>
      <c r="U145" s="168" t="str">
        <f t="shared" si="71"/>
        <v/>
      </c>
      <c r="V145" s="174" t="str">
        <f>IF(U145="","",IF($I$8="A",(RANK(U145,U$11:U$343)+COUNTIF(U$11:U145,U145)-1),(RANK(U145,U$11:U$343,1)+COUNTIF(U$11:U145,U145)-1)))</f>
        <v/>
      </c>
      <c r="W145" s="175"/>
      <c r="X145" s="5" t="str">
        <f>IF(L145="","",VLOOKUP($L145,classifications!$C:$J,6,FALSE))</f>
        <v>Urban with Significant Rural (rural including hub towns 26-49%)</v>
      </c>
      <c r="Y145" t="str">
        <f t="shared" si="72"/>
        <v/>
      </c>
      <c r="Z145" s="40" t="str">
        <f>IF(Y145="","",IF(I$8="A",(RANK(Y145,Y$11:Y$343,1)+COUNTIF(Y$11:Y145,Y145)-1),(RANK(Y145,Y$11:Y$343)+COUNTIF(Y$11:Y145,Y145)-1)))</f>
        <v/>
      </c>
      <c r="AA145" s="180" t="str">
        <f>IF(L145="","",VLOOKUP($L145,classifications!C:I,7,FALSE))</f>
        <v>Significant Rural</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Staffordshire</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West Midlands</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402.9</v>
      </c>
    </row>
    <row r="146" spans="1:50">
      <c r="A146" s="59" t="str">
        <f>$D$1&amp;136</f>
        <v>SD136</v>
      </c>
      <c r="B146" s="60">
        <f>IF(ISERROR(VLOOKUP(A148,classifications!A:C,3,FALSE)),0,VLOOKUP(A148,classifications!A:C,3,FALSE))</f>
        <v>0</v>
      </c>
      <c r="C146" t="s">
        <v>210</v>
      </c>
      <c r="D146" t="str">
        <f>VLOOKUP($C146,classifications!$C:$J,4,FALSE)</f>
        <v>L</v>
      </c>
      <c r="E146">
        <f>VLOOKUP(C146,classifications!C:K,9,FALSE)</f>
        <v>0</v>
      </c>
      <c r="F146">
        <f t="shared" si="60"/>
        <v>517.20000000000005</v>
      </c>
      <c r="G146" s="15"/>
      <c r="H146" s="42" t="str">
        <f t="shared" si="61"/>
        <v/>
      </c>
      <c r="I146" s="79" t="str">
        <f>IF(H146="","",IF($I$8="A",(RANK(H146,H$11:H$343,1)+COUNTIF(H$11:H146,H146)-1),(RANK(H146,H$11:H$343)+COUNTIF(H$11:H146,H146)-1)))</f>
        <v/>
      </c>
      <c r="J146" s="41"/>
      <c r="K146" s="36">
        <f t="shared" si="62"/>
        <v>136</v>
      </c>
      <c r="L146" t="str">
        <f t="shared" si="63"/>
        <v>Braintree</v>
      </c>
      <c r="M146" s="117">
        <f t="shared" si="64"/>
        <v>489.3</v>
      </c>
      <c r="N146" s="112">
        <f t="shared" si="65"/>
        <v>489.3</v>
      </c>
      <c r="O146" s="96" t="str">
        <f t="shared" si="66"/>
        <v/>
      </c>
      <c r="P146" s="96" t="str">
        <f t="shared" si="67"/>
        <v/>
      </c>
      <c r="Q146" s="96" t="str">
        <f t="shared" si="68"/>
        <v/>
      </c>
      <c r="R146" s="92">
        <f t="shared" si="69"/>
        <v>489.3</v>
      </c>
      <c r="S146" s="42" t="str">
        <f t="shared" si="70"/>
        <v/>
      </c>
      <c r="T146" s="167" t="str">
        <f>IF(L146="","",VLOOKUP(L146,classifications!C:K,9,FALSE))</f>
        <v>Sparse</v>
      </c>
      <c r="U146" s="168">
        <f t="shared" si="71"/>
        <v>489.3</v>
      </c>
      <c r="V146" s="174">
        <f>IF(U146="","",IF($I$8="A",(RANK(U146,U$11:U$343)+COUNTIF(U$11:U146,U146)-1),(RANK(U146,U$11:U$343,1)+COUNTIF(U$11:U146,U146)-1)))</f>
        <v>8</v>
      </c>
      <c r="W146" s="175"/>
      <c r="X146" s="5" t="str">
        <f>IF(L146="","",VLOOKUP($L146,classifications!$C:$J,6,FALSE))</f>
        <v xml:space="preserve">Largely Rural (rural including hub towns 50-79%) </v>
      </c>
      <c r="Y146" t="str">
        <f t="shared" si="72"/>
        <v/>
      </c>
      <c r="Z146" s="40" t="str">
        <f>IF(Y146="","",IF(I$8="A",(RANK(Y146,Y$11:Y$343,1)+COUNTIF(Y$11:Y146,Y146)-1),(RANK(Y146,Y$11:Y$343)+COUNTIF(Y$11:Y146,Y146)-1)))</f>
        <v/>
      </c>
      <c r="AA146" s="180" t="str">
        <f>IF(L146="","",VLOOKUP($L146,classifications!C:I,7,FALSE))</f>
        <v>Predominantly Rural</v>
      </c>
      <c r="AB146" s="174">
        <f t="shared" si="73"/>
        <v>489.3</v>
      </c>
      <c r="AC146" s="174">
        <f>IF(AB146="","",IF($I$8="A",(RANK(AB146,AB$11:AB$343)+COUNTIF(AB$11:AB146,AB146)-1),(RANK(AB146,AB$11:AB$343,1)+COUNTIF(AB$11:AB146,AB146)-1)))</f>
        <v>13</v>
      </c>
      <c r="AD146" s="174"/>
      <c r="AE146" s="36" t="str">
        <f t="shared" si="74"/>
        <v/>
      </c>
      <c r="AG146" s="15"/>
      <c r="AH146" s="3"/>
      <c r="AI146" s="5" t="str">
        <f>IF(L146="","",VLOOKUP($L146,classifications!$C:$J,8,FALSE))</f>
        <v>Essex</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East of England</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517.20000000000005</v>
      </c>
    </row>
    <row r="147" spans="1:50">
      <c r="A147" s="59" t="str">
        <f>$D$1&amp;137</f>
        <v>SD137</v>
      </c>
      <c r="B147" s="60">
        <f>IF(ISERROR(VLOOKUP(A149,classifications!A:C,3,FALSE)),0,VLOOKUP(A149,classifications!A:C,3,FALSE))</f>
        <v>0</v>
      </c>
      <c r="C147" t="s">
        <v>346</v>
      </c>
      <c r="D147" t="str">
        <f>VLOOKUP($C147,classifications!$C:$J,4,FALSE)</f>
        <v>SD</v>
      </c>
      <c r="E147">
        <f>VLOOKUP(C147,classifications!C:K,9,FALSE)</f>
        <v>0</v>
      </c>
      <c r="F147">
        <f t="shared" si="60"/>
        <v>486.5</v>
      </c>
      <c r="G147" s="15"/>
      <c r="H147" s="42">
        <f t="shared" si="61"/>
        <v>486.5</v>
      </c>
      <c r="I147" s="79">
        <f>IF(H147="","",IF($I$8="A",(RANK(H147,H$11:H$343,1)+COUNTIF(H$11:H147,H147)-1),(RANK(H147,H$11:H$343)+COUNTIF(H$11:H147,H147)-1)))</f>
        <v>133</v>
      </c>
      <c r="J147" s="41"/>
      <c r="K147" s="36">
        <f t="shared" si="62"/>
        <v>137</v>
      </c>
      <c r="L147" t="str">
        <f t="shared" si="63"/>
        <v>West Lindsey</v>
      </c>
      <c r="M147" s="117">
        <f t="shared" si="64"/>
        <v>490.9</v>
      </c>
      <c r="N147" s="112">
        <f t="shared" si="65"/>
        <v>490.9</v>
      </c>
      <c r="O147" s="96" t="str">
        <f t="shared" si="66"/>
        <v/>
      </c>
      <c r="P147" s="96" t="str">
        <f t="shared" si="67"/>
        <v/>
      </c>
      <c r="Q147" s="96" t="str">
        <f t="shared" si="68"/>
        <v/>
      </c>
      <c r="R147" s="92">
        <f t="shared" si="69"/>
        <v>490.9</v>
      </c>
      <c r="S147" s="42" t="str">
        <f t="shared" si="70"/>
        <v/>
      </c>
      <c r="T147" s="167" t="str">
        <f>IF(L147="","",VLOOKUP(L147,classifications!C:K,9,FALSE))</f>
        <v>Sparse</v>
      </c>
      <c r="U147" s="168">
        <f t="shared" si="71"/>
        <v>490.9</v>
      </c>
      <c r="V147" s="174">
        <f>IF(U147="","",IF($I$8="A",(RANK(U147,U$11:U$343)+COUNTIF(U$11:U147,U147)-1),(RANK(U147,U$11:U$343,1)+COUNTIF(U$11:U147,U147)-1)))</f>
        <v>7</v>
      </c>
      <c r="W147" s="175"/>
      <c r="X147" s="5" t="str">
        <f>IF(L147="","",VLOOKUP($L147,classifications!$C:$J,6,FALSE))</f>
        <v xml:space="preserve">Mainly Rural (rural including hub towns &gt;=80%) </v>
      </c>
      <c r="Y147">
        <f t="shared" si="72"/>
        <v>490.9</v>
      </c>
      <c r="Z147" s="40">
        <f>IF(Y147="","",IF(I$8="A",(RANK(Y147,Y$11:Y$343,1)+COUNTIF(Y$11:Y147,Y147)-1),(RANK(Y147,Y$11:Y$343)+COUNTIF(Y$11:Y147,Y147)-1)))</f>
        <v>32</v>
      </c>
      <c r="AA147" s="180" t="str">
        <f>IF(L147="","",VLOOKUP($L147,classifications!C:I,7,FALSE))</f>
        <v>Predominantly Rural</v>
      </c>
      <c r="AB147" s="174">
        <f t="shared" si="73"/>
        <v>490.9</v>
      </c>
      <c r="AC147" s="174">
        <f>IF(AB147="","",IF($I$8="A",(RANK(AB147,AB$11:AB$343)+COUNTIF(AB$11:AB147,AB147)-1),(RANK(AB147,AB$11:AB$343,1)+COUNTIF(AB$11:AB147,AB147)-1)))</f>
        <v>12</v>
      </c>
      <c r="AD147" s="174"/>
      <c r="AE147" s="36" t="str">
        <f t="shared" si="74"/>
        <v/>
      </c>
      <c r="AG147" s="15"/>
      <c r="AH147" s="3"/>
      <c r="AI147" s="5" t="str">
        <f>IF(L147="","",VLOOKUP($L147,classifications!$C:$J,8,FALSE))</f>
        <v>Lincolnshire</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East Midlands</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486.5</v>
      </c>
    </row>
    <row r="148" spans="1:50">
      <c r="A148" s="59" t="str">
        <f>$D$1&amp;138</f>
        <v>SD138</v>
      </c>
      <c r="B148" s="60">
        <f>IF(ISERROR(VLOOKUP(A150,classifications!A:C,3,FALSE)),0,VLOOKUP(A150,classifications!A:C,3,FALSE))</f>
        <v>0</v>
      </c>
      <c r="C148" t="s">
        <v>87</v>
      </c>
      <c r="D148" t="str">
        <f>VLOOKUP($C148,classifications!$C:$J,4,FALSE)</f>
        <v>SD</v>
      </c>
      <c r="E148">
        <f>VLOOKUP(C148,classifications!C:K,9,FALSE)</f>
        <v>0</v>
      </c>
      <c r="F148">
        <f t="shared" si="60"/>
        <v>387.5</v>
      </c>
      <c r="G148" s="15"/>
      <c r="H148" s="42">
        <f t="shared" si="61"/>
        <v>387.5</v>
      </c>
      <c r="I148" s="79">
        <f>IF(H148="","",IF($I$8="A",(RANK(H148,H$11:H$343,1)+COUNTIF(H$11:H148,H148)-1),(RANK(H148,H$11:H$343)+COUNTIF(H$11:H148,H148)-1)))</f>
        <v>37</v>
      </c>
      <c r="J148" s="41"/>
      <c r="K148" s="36">
        <f t="shared" si="62"/>
        <v>138</v>
      </c>
      <c r="L148" t="str">
        <f t="shared" si="63"/>
        <v>Stevenage</v>
      </c>
      <c r="M148" s="117">
        <f t="shared" si="64"/>
        <v>495</v>
      </c>
      <c r="N148" s="112">
        <f t="shared" si="65"/>
        <v>495</v>
      </c>
      <c r="O148" s="96" t="str">
        <f t="shared" si="66"/>
        <v/>
      </c>
      <c r="P148" s="96" t="str">
        <f t="shared" si="67"/>
        <v/>
      </c>
      <c r="Q148" s="96" t="str">
        <f t="shared" si="68"/>
        <v/>
      </c>
      <c r="R148" s="92">
        <f t="shared" si="69"/>
        <v>495</v>
      </c>
      <c r="S148" s="42" t="str">
        <f t="shared" si="70"/>
        <v/>
      </c>
      <c r="T148" s="167">
        <f>IF(L148="","",VLOOKUP(L148,classifications!C:K,9,FALSE))</f>
        <v>0</v>
      </c>
      <c r="U148" s="168" t="str">
        <f t="shared" si="71"/>
        <v/>
      </c>
      <c r="V148" s="174" t="str">
        <f>IF(U148="","",IF($I$8="A",(RANK(U148,U$11:U$343)+COUNTIF(U$11:U148,U148)-1),(RANK(U148,U$11:U$343,1)+COUNTIF(U$11:U148,U148)-1)))</f>
        <v/>
      </c>
      <c r="W148" s="175"/>
      <c r="X148" s="5" t="str">
        <f>IF(L148="","",VLOOKUP($L148,classifications!$C:$J,6,FALSE))</f>
        <v>Urban with City and Town</v>
      </c>
      <c r="Y148" t="str">
        <f t="shared" si="72"/>
        <v/>
      </c>
      <c r="Z148" s="40" t="str">
        <f>IF(Y148="","",IF(I$8="A",(RANK(Y148,Y$11:Y$343,1)+COUNTIF(Y$11:Y148,Y148)-1),(RANK(Y148,Y$11:Y$343)+COUNTIF(Y$11:Y148,Y148)-1)))</f>
        <v/>
      </c>
      <c r="AA148" s="180" t="str">
        <f>IF(L148="","",VLOOKUP($L148,classifications!C:I,7,FALSE))</f>
        <v>Predominantly Urban</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Hertfordshire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East of England</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387.5</v>
      </c>
    </row>
    <row r="149" spans="1:50">
      <c r="A149" s="59" t="str">
        <f>$D$1&amp;139</f>
        <v>SD139</v>
      </c>
      <c r="B149" s="60">
        <f>IF(ISERROR(VLOOKUP(A151,classifications!A:C,3,FALSE)),0,VLOOKUP(A151,classifications!A:C,3,FALSE))</f>
        <v>0</v>
      </c>
      <c r="C149" t="s">
        <v>211</v>
      </c>
      <c r="D149" t="str">
        <f>VLOOKUP($C149,classifications!$C:$J,4,FALSE)</f>
        <v>L</v>
      </c>
      <c r="E149">
        <f>VLOOKUP(C149,classifications!C:K,9,FALSE)</f>
        <v>0</v>
      </c>
      <c r="F149">
        <f t="shared" si="60"/>
        <v>501.8</v>
      </c>
      <c r="G149" s="15"/>
      <c r="H149" s="42" t="str">
        <f t="shared" si="61"/>
        <v/>
      </c>
      <c r="I149" s="79" t="str">
        <f>IF(H149="","",IF($I$8="A",(RANK(H149,H$11:H$343,1)+COUNTIF(H$11:H149,H149)-1),(RANK(H149,H$11:H$343)+COUNTIF(H$11:H149,H149)-1)))</f>
        <v/>
      </c>
      <c r="J149" s="41"/>
      <c r="K149" s="36">
        <f t="shared" si="62"/>
        <v>139</v>
      </c>
      <c r="L149" t="str">
        <f t="shared" si="63"/>
        <v>Breckland</v>
      </c>
      <c r="M149" s="117">
        <f t="shared" si="64"/>
        <v>495.4</v>
      </c>
      <c r="N149" s="112">
        <f t="shared" si="65"/>
        <v>495.4</v>
      </c>
      <c r="O149" s="96" t="str">
        <f t="shared" si="66"/>
        <v/>
      </c>
      <c r="P149" s="96" t="str">
        <f t="shared" si="67"/>
        <v/>
      </c>
      <c r="Q149" s="96" t="str">
        <f t="shared" si="68"/>
        <v/>
      </c>
      <c r="R149" s="92">
        <f t="shared" si="69"/>
        <v>495.4</v>
      </c>
      <c r="S149" s="42" t="str">
        <f t="shared" si="70"/>
        <v/>
      </c>
      <c r="T149" s="167">
        <f>IF(L149="","",VLOOKUP(L149,classifications!C:K,9,FALSE))</f>
        <v>0</v>
      </c>
      <c r="U149" s="168" t="str">
        <f t="shared" si="71"/>
        <v/>
      </c>
      <c r="V149" s="174" t="str">
        <f>IF(U149="","",IF($I$8="A",(RANK(U149,U$11:U$343)+COUNTIF(U$11:U149,U149)-1),(RANK(U149,U$11:U$343,1)+COUNTIF(U$11:U149,U149)-1)))</f>
        <v/>
      </c>
      <c r="W149" s="175"/>
      <c r="X149" s="5" t="str">
        <f>IF(L149="","",VLOOKUP($L149,classifications!$C:$J,6,FALSE))</f>
        <v xml:space="preserve">Mainly Rural (rural including hub towns &gt;=80%) </v>
      </c>
      <c r="Y149">
        <f t="shared" si="72"/>
        <v>495.4</v>
      </c>
      <c r="Z149" s="40">
        <f>IF(Y149="","",IF(I$8="A",(RANK(Y149,Y$11:Y$343,1)+COUNTIF(Y$11:Y149,Y149)-1),(RANK(Y149,Y$11:Y$343)+COUNTIF(Y$11:Y149,Y149)-1)))</f>
        <v>33</v>
      </c>
      <c r="AA149" s="180" t="str">
        <f>IF(L149="","",VLOOKUP($L149,classifications!C:I,7,FALSE))</f>
        <v>Predominantly Rural</v>
      </c>
      <c r="AB149" s="174">
        <f t="shared" si="73"/>
        <v>495.4</v>
      </c>
      <c r="AC149" s="174">
        <f>IF(AB149="","",IF($I$8="A",(RANK(AB149,AB$11:AB$343)+COUNTIF(AB$11:AB149,AB149)-1),(RANK(AB149,AB$11:AB$343,1)+COUNTIF(AB$11:AB149,AB149)-1)))</f>
        <v>11</v>
      </c>
      <c r="AD149" s="174"/>
      <c r="AE149" s="36" t="str">
        <f t="shared" si="74"/>
        <v/>
      </c>
      <c r="AG149" s="15"/>
      <c r="AH149" s="3"/>
      <c r="AI149" s="5" t="str">
        <f>IF(L149="","",VLOOKUP($L149,classifications!$C:$J,8,FALSE))</f>
        <v>Norfolk</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East of England</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501.8</v>
      </c>
    </row>
    <row r="150" spans="1:50">
      <c r="A150" s="59" t="str">
        <f>$D$1&amp;140</f>
        <v>SD140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372.8</v>
      </c>
      <c r="G150" s="15"/>
      <c r="H150" s="42">
        <f t="shared" ref="H150:H213" si="84">IF(D150=$D$1,HLOOKUP($D$6,$AX$10:$ZZ$355,ROW()-9,FALSE),"")</f>
        <v>372.8</v>
      </c>
      <c r="I150" s="79">
        <f>IF(H150="","",IF($I$8="A",(RANK(H150,H$11:H$343,1)+COUNTIF(H$11:H150,H150)-1),(RANK(H150,H$11:H$343)+COUNTIF(H$11:H150,H150)-1)))</f>
        <v>29</v>
      </c>
      <c r="J150" s="41"/>
      <c r="K150" s="36">
        <f t="shared" ref="K150:K213" si="85">IF(K149="","",IF(K149+1&gt;(COUNT(H$11:H$343)),"",K149+1))</f>
        <v>140</v>
      </c>
      <c r="L150" t="str">
        <f t="shared" ref="L150:L213" si="86">IF(K150="","",INDEX(C$11:C$343,MATCH(K150,I$11:I$343,0)))</f>
        <v>Crawley</v>
      </c>
      <c r="M150" s="117">
        <f t="shared" ref="M150:M213" si="87">IF(L150="","",IF(VLOOKUP(L150,C:D,2,FALSE)=$F$3,VLOOKUP(L150,C:H,6,FALSE),""))</f>
        <v>495.6</v>
      </c>
      <c r="N150" s="112">
        <f t="shared" ref="N150:N213" si="88">IF(L150="","",IF($H$8="%%",M150*100,M150))</f>
        <v>495.6</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495.6</v>
      </c>
      <c r="S150" s="42" t="str">
        <f t="shared" ref="S150:S213" si="93">IF(L150=D$3,"u","")</f>
        <v/>
      </c>
      <c r="T150" s="167">
        <f>IF(L150="","",VLOOKUP(L150,classifications!C:K,9,FALSE))</f>
        <v>0</v>
      </c>
      <c r="U150" s="168" t="str">
        <f t="shared" ref="U150:U213" si="94">IF(T150="Sparse",M150,"")</f>
        <v/>
      </c>
      <c r="V150" s="174" t="str">
        <f>IF(U150="","",IF($I$8="A",(RANK(U150,U$11:U$343)+COUNTIF(U$11:U150,U150)-1),(RANK(U150,U$11:U$343,1)+COUNTIF(U$11:U150,U150)-1)))</f>
        <v/>
      </c>
      <c r="W150" s="175"/>
      <c r="X150" s="5" t="str">
        <f>IF(L150="","",VLOOKUP($L150,classifications!$C:$J,6,FALSE))</f>
        <v>Urban with City and Town</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Predominantly Urban</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West Sussex</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South East</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372.8</v>
      </c>
    </row>
    <row r="151" spans="1:50">
      <c r="A151" s="59" t="str">
        <f>$D$1&amp;141</f>
        <v>SD141</v>
      </c>
      <c r="B151" s="60">
        <f>IF(ISERROR(VLOOKUP(A153,classifications!A:C,3,FALSE)),0,VLOOKUP(A153,classifications!A:C,3,FALSE))</f>
        <v>0</v>
      </c>
      <c r="C151" t="s">
        <v>89</v>
      </c>
      <c r="D151" t="str">
        <f>VLOOKUP($C151,classifications!$C:$J,4,FALSE)</f>
        <v>SD</v>
      </c>
      <c r="E151">
        <f>VLOOKUP(C151,classifications!C:K,9,FALSE)</f>
        <v>0</v>
      </c>
      <c r="F151">
        <f t="shared" si="83"/>
        <v>435.7</v>
      </c>
      <c r="G151" s="15"/>
      <c r="H151" s="42">
        <f t="shared" si="84"/>
        <v>435.7</v>
      </c>
      <c r="I151" s="79">
        <f>IF(H151="","",IF($I$8="A",(RANK(H151,H$11:H$343,1)+COUNTIF(H$11:H151,H151)-1),(RANK(H151,H$11:H$343)+COUNTIF(H$11:H151,H151)-1)))</f>
        <v>81</v>
      </c>
      <c r="J151" s="41"/>
      <c r="K151" s="36">
        <f t="shared" si="85"/>
        <v>141</v>
      </c>
      <c r="L151" t="str">
        <f t="shared" si="86"/>
        <v>West Lancashire</v>
      </c>
      <c r="M151" s="117">
        <f t="shared" si="87"/>
        <v>496.9</v>
      </c>
      <c r="N151" s="112">
        <f t="shared" si="88"/>
        <v>496.9</v>
      </c>
      <c r="O151" s="96" t="str">
        <f t="shared" si="89"/>
        <v/>
      </c>
      <c r="P151" s="96" t="str">
        <f t="shared" si="90"/>
        <v/>
      </c>
      <c r="Q151" s="96" t="str">
        <f t="shared" si="91"/>
        <v/>
      </c>
      <c r="R151" s="92">
        <f t="shared" si="92"/>
        <v>496.9</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Urban with Significant Rural (rural including hub towns 26-49%)</v>
      </c>
      <c r="Y151" t="str">
        <f t="shared" si="95"/>
        <v/>
      </c>
      <c r="Z151" s="40" t="str">
        <f>IF(Y151="","",IF(I$8="A",(RANK(Y151,Y$11:Y$343,1)+COUNTIF(Y$11:Y151,Y151)-1),(RANK(Y151,Y$11:Y$343)+COUNTIF(Y$11:Y151,Y151)-1)))</f>
        <v/>
      </c>
      <c r="AA151" s="180" t="str">
        <f>IF(L151="","",VLOOKUP($L151,classifications!C:I,7,FALSE))</f>
        <v>Significant Rural</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Lancashire</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North West</v>
      </c>
      <c r="AQ151" s="43">
        <f t="shared" si="102"/>
        <v>496.9</v>
      </c>
      <c r="AR151" s="40">
        <f>IF(AQ151="","",IF(I$8="A",(RANK(AQ151,AQ$11:AQ$343,1)+COUNTIF(AQ$11:AQ151,AQ151)-1),(RANK(AQ151,AQ$11:AQ$343)+COUNTIF(AQ$11:AQ151,AQ151)-1)))</f>
        <v>12</v>
      </c>
      <c r="AS151" s="3" t="str">
        <f t="shared" si="103"/>
        <v/>
      </c>
      <c r="AT151" s="40" t="str">
        <f t="shared" si="104"/>
        <v/>
      </c>
      <c r="AU151" s="43" t="str">
        <f t="shared" si="105"/>
        <v/>
      </c>
      <c r="AX151">
        <f>HLOOKUP($AX$9&amp;$AX$10,Data!$A$1:$ZZ$1980,(MATCH($C151,Data!$A$1:$A$1980,0)),FALSE)</f>
        <v>435.7</v>
      </c>
    </row>
    <row r="152" spans="1:50">
      <c r="A152" s="59" t="str">
        <f>$D$1&amp;142</f>
        <v>SD142</v>
      </c>
      <c r="B152" s="60">
        <f>IF(ISERROR(VLOOKUP(A154,classifications!A:C,3,FALSE)),0,VLOOKUP(A154,classifications!A:C,3,FALSE))</f>
        <v>0</v>
      </c>
      <c r="C152" t="s">
        <v>90</v>
      </c>
      <c r="D152" t="str">
        <f>VLOOKUP($C152,classifications!$C:$J,4,FALSE)</f>
        <v>SD</v>
      </c>
      <c r="E152">
        <f>VLOOKUP(C152,classifications!C:K,9,FALSE)</f>
        <v>0</v>
      </c>
      <c r="F152">
        <f t="shared" si="83"/>
        <v>553.20000000000005</v>
      </c>
      <c r="G152" s="15"/>
      <c r="H152" s="42">
        <f t="shared" si="84"/>
        <v>553.20000000000005</v>
      </c>
      <c r="I152" s="79">
        <f>IF(H152="","",IF($I$8="A",(RANK(H152,H$11:H$343,1)+COUNTIF(H$11:H152,H152)-1),(RANK(H152,H$11:H$343)+COUNTIF(H$11:H152,H152)-1)))</f>
        <v>166</v>
      </c>
      <c r="J152" s="41"/>
      <c r="K152" s="36">
        <f t="shared" si="85"/>
        <v>142</v>
      </c>
      <c r="L152" t="str">
        <f t="shared" si="86"/>
        <v>Brentwood</v>
      </c>
      <c r="M152" s="117">
        <f t="shared" si="87"/>
        <v>499.5</v>
      </c>
      <c r="N152" s="112">
        <f t="shared" si="88"/>
        <v>499.5</v>
      </c>
      <c r="O152" s="96" t="str">
        <f t="shared" si="89"/>
        <v/>
      </c>
      <c r="P152" s="96" t="str">
        <f t="shared" si="90"/>
        <v/>
      </c>
      <c r="Q152" s="96" t="str">
        <f t="shared" si="91"/>
        <v/>
      </c>
      <c r="R152" s="92">
        <f t="shared" si="92"/>
        <v>499.5</v>
      </c>
      <c r="S152" s="42" t="str">
        <f t="shared" si="93"/>
        <v/>
      </c>
      <c r="T152" s="167">
        <f>IF(L152="","",VLOOKUP(L152,classifications!C:K,9,FALSE))</f>
        <v>0</v>
      </c>
      <c r="U152" s="168" t="str">
        <f t="shared" si="94"/>
        <v/>
      </c>
      <c r="V152" s="174" t="str">
        <f>IF(U152="","",IF($I$8="A",(RANK(U152,U$11:U$343)+COUNTIF(U$11:U152,U152)-1),(RANK(U152,U$11:U$343,1)+COUNTIF(U$11:U152,U152)-1)))</f>
        <v/>
      </c>
      <c r="W152" s="175"/>
      <c r="X152" s="5" t="str">
        <f>IF(L152="","",VLOOKUP($L152,classifications!$C:$J,6,FALSE))</f>
        <v>Urban with Significant Rural (rural including hub towns 26-49%)</v>
      </c>
      <c r="Y152" t="str">
        <f t="shared" si="95"/>
        <v/>
      </c>
      <c r="Z152" s="40" t="str">
        <f>IF(Y152="","",IF(I$8="A",(RANK(Y152,Y$11:Y$343,1)+COUNTIF(Y$11:Y152,Y152)-1),(RANK(Y152,Y$11:Y$343)+COUNTIF(Y$11:Y152,Y152)-1)))</f>
        <v/>
      </c>
      <c r="AA152" s="180" t="str">
        <f>IF(L152="","",VLOOKUP($L152,classifications!C:I,7,FALSE))</f>
        <v>Significant Rural</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Essex</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East of England</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553.20000000000005</v>
      </c>
    </row>
    <row r="153" spans="1:50">
      <c r="A153" s="59" t="str">
        <f>$D$1&amp;143</f>
        <v>SD143</v>
      </c>
      <c r="B153" s="60">
        <f>IF(ISERROR(VLOOKUP(A155,classifications!A:C,3,FALSE)),0,VLOOKUP(A155,classifications!A:C,3,FALSE))</f>
        <v>0</v>
      </c>
      <c r="C153" t="s">
        <v>271</v>
      </c>
      <c r="D153" t="str">
        <f>VLOOKUP($C153,classifications!$C:$J,4,FALSE)</f>
        <v>UA</v>
      </c>
      <c r="E153" t="str">
        <f>VLOOKUP(C153,classifications!C:K,9,FALSE)</f>
        <v>Sparse</v>
      </c>
      <c r="F153">
        <f t="shared" si="83"/>
        <v>397.1</v>
      </c>
      <c r="G153" s="15"/>
      <c r="H153" s="42" t="str">
        <f t="shared" si="84"/>
        <v/>
      </c>
      <c r="I153" s="79" t="str">
        <f>IF(H153="","",IF($I$8="A",(RANK(H153,H$11:H$343,1)+COUNTIF(H$11:H153,H153)-1),(RANK(H153,H$11:H$343)+COUNTIF(H$11:H153,H153)-1)))</f>
        <v/>
      </c>
      <c r="J153" s="41"/>
      <c r="K153" s="36">
        <f t="shared" si="85"/>
        <v>143</v>
      </c>
      <c r="L153" t="str">
        <f t="shared" si="86"/>
        <v>Lincoln</v>
      </c>
      <c r="M153" s="117">
        <f t="shared" si="87"/>
        <v>500</v>
      </c>
      <c r="N153" s="112">
        <f t="shared" si="88"/>
        <v>500</v>
      </c>
      <c r="O153" s="96" t="str">
        <f t="shared" si="89"/>
        <v/>
      </c>
      <c r="P153" s="96" t="str">
        <f t="shared" si="90"/>
        <v/>
      </c>
      <c r="Q153" s="96" t="str">
        <f t="shared" si="91"/>
        <v/>
      </c>
      <c r="R153" s="92">
        <f t="shared" si="92"/>
        <v>500</v>
      </c>
      <c r="S153" s="42" t="str">
        <f t="shared" si="93"/>
        <v/>
      </c>
      <c r="T153" s="167">
        <f>IF(L153="","",VLOOKUP(L153,classifications!C:K,9,FALSE))</f>
        <v>0</v>
      </c>
      <c r="U153" s="168" t="str">
        <f t="shared" si="94"/>
        <v/>
      </c>
      <c r="V153" s="174" t="str">
        <f>IF(U153="","",IF($I$8="A",(RANK(U153,U$11:U$343)+COUNTIF(U$11:U153,U153)-1),(RANK(U153,U$11:U$343,1)+COUNTIF(U$11:U153,U153)-1)))</f>
        <v/>
      </c>
      <c r="W153" s="175"/>
      <c r="X153" s="5" t="str">
        <f>IF(L153="","",VLOOKUP($L153,classifications!$C:$J,6,FALSE))</f>
        <v>Urban with City and Town</v>
      </c>
      <c r="Y153" t="str">
        <f t="shared" si="95"/>
        <v/>
      </c>
      <c r="Z153" s="40" t="str">
        <f>IF(Y153="","",IF(I$8="A",(RANK(Y153,Y$11:Y$343,1)+COUNTIF(Y$11:Y153,Y153)-1),(RANK(Y153,Y$11:Y$343)+COUNTIF(Y$11:Y153,Y153)-1)))</f>
        <v/>
      </c>
      <c r="AA153" s="180" t="str">
        <f>IF(L153="","",VLOOKUP($L153,classifications!C:I,7,FALSE))</f>
        <v>Predominantly Urban</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Lincolnshire</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East Midlands</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397.1</v>
      </c>
    </row>
    <row r="154" spans="1:50">
      <c r="A154" s="59" t="str">
        <f>$D$1&amp;144</f>
        <v>SD144</v>
      </c>
      <c r="B154" s="60">
        <f>IF(ISERROR(VLOOKUP(A156,classifications!A:C,3,FALSE)),0,VLOOKUP(A156,classifications!A:C,3,FALSE))</f>
        <v>0</v>
      </c>
      <c r="C154" t="s">
        <v>2</v>
      </c>
      <c r="D154">
        <f>VLOOKUP($C154,classifications!$C:$J,4,FALSE)</f>
        <v>0</v>
      </c>
      <c r="E154">
        <f>VLOOKUP(C154,classifications!C:K,9,FALSE)</f>
        <v>0</v>
      </c>
      <c r="F154">
        <f t="shared" si="83"/>
        <v>827</v>
      </c>
      <c r="G154" s="15"/>
      <c r="H154" s="42" t="str">
        <f t="shared" si="84"/>
        <v/>
      </c>
      <c r="I154" s="79" t="str">
        <f>IF(H154="","",IF($I$8="A",(RANK(H154,H$11:H$343,1)+COUNTIF(H$11:H154,H154)-1),(RANK(H154,H$11:H$343)+COUNTIF(H$11:H154,H154)-1)))</f>
        <v/>
      </c>
      <c r="J154" s="41"/>
      <c r="K154" s="36">
        <f t="shared" si="85"/>
        <v>144</v>
      </c>
      <c r="L154" t="str">
        <f t="shared" si="86"/>
        <v>Bromsgrove</v>
      </c>
      <c r="M154" s="117">
        <f t="shared" si="87"/>
        <v>501.5</v>
      </c>
      <c r="N154" s="112">
        <f t="shared" si="88"/>
        <v>501.5</v>
      </c>
      <c r="O154" s="96" t="str">
        <f t="shared" si="89"/>
        <v/>
      </c>
      <c r="P154" s="96" t="str">
        <f t="shared" si="90"/>
        <v/>
      </c>
      <c r="Q154" s="96" t="str">
        <f t="shared" si="91"/>
        <v/>
      </c>
      <c r="R154" s="92">
        <f t="shared" si="92"/>
        <v>501.5</v>
      </c>
      <c r="S154" s="42" t="str">
        <f t="shared" si="93"/>
        <v/>
      </c>
      <c r="T154" s="167">
        <f>IF(L154="","",VLOOKUP(L154,classifications!C:K,9,FALSE))</f>
        <v>0</v>
      </c>
      <c r="U154" s="168" t="str">
        <f t="shared" si="94"/>
        <v/>
      </c>
      <c r="V154" s="174" t="str">
        <f>IF(U154="","",IF($I$8="A",(RANK(U154,U$11:U$343)+COUNTIF(U$11:U154,U154)-1),(RANK(U154,U$11:U$343,1)+COUNTIF(U$11:U154,U154)-1)))</f>
        <v/>
      </c>
      <c r="W154" s="175"/>
      <c r="X154" s="5" t="str">
        <f>IF(L154="","",VLOOKUP($L154,classifications!$C:$J,6,FALSE))</f>
        <v>Urban with City and Town</v>
      </c>
      <c r="Y154" t="str">
        <f t="shared" si="95"/>
        <v/>
      </c>
      <c r="Z154" s="40" t="str">
        <f>IF(Y154="","",IF(I$8="A",(RANK(Y154,Y$11:Y$343,1)+COUNTIF(Y$11:Y154,Y154)-1),(RANK(Y154,Y$11:Y$343)+COUNTIF(Y$11:Y154,Y154)-1)))</f>
        <v/>
      </c>
      <c r="AA154" s="180" t="str">
        <f>IF(L154="","",VLOOKUP($L154,classifications!C:I,7,FALSE))</f>
        <v>Predominantly Urban</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Worcestershire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West Midlands</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827</v>
      </c>
    </row>
    <row r="155" spans="1:50">
      <c r="A155" s="59" t="str">
        <f>$D$1&amp;145</f>
        <v>SD145</v>
      </c>
      <c r="B155" s="60">
        <f>IF(ISERROR(VLOOKUP(A157,classifications!A:C,3,FALSE)),0,VLOOKUP(A157,classifications!A:C,3,FALSE))</f>
        <v>0</v>
      </c>
      <c r="C155" t="s">
        <v>212</v>
      </c>
      <c r="D155" t="str">
        <f>VLOOKUP($C155,classifications!$C:$J,4,FALSE)</f>
        <v>L</v>
      </c>
      <c r="E155">
        <f>VLOOKUP(C155,classifications!C:K,9,FALSE)</f>
        <v>0</v>
      </c>
      <c r="F155">
        <f t="shared" si="83"/>
        <v>349</v>
      </c>
      <c r="G155" s="15"/>
      <c r="H155" s="42" t="str">
        <f t="shared" si="84"/>
        <v/>
      </c>
      <c r="I155" s="79" t="str">
        <f>IF(H155="","",IF($I$8="A",(RANK(H155,H$11:H$343,1)+COUNTIF(H$11:H155,H155)-1),(RANK(H155,H$11:H$343)+COUNTIF(H$11:H155,H155)-1)))</f>
        <v/>
      </c>
      <c r="J155" s="41"/>
      <c r="K155" s="36">
        <f t="shared" si="85"/>
        <v>145</v>
      </c>
      <c r="L155" t="str">
        <f t="shared" si="86"/>
        <v>Nuneaton &amp; Bedworth</v>
      </c>
      <c r="M155" s="117">
        <f t="shared" si="87"/>
        <v>501.7</v>
      </c>
      <c r="N155" s="112">
        <f t="shared" si="88"/>
        <v>501.7</v>
      </c>
      <c r="O155" s="96" t="str">
        <f t="shared" si="89"/>
        <v/>
      </c>
      <c r="P155" s="96" t="str">
        <f t="shared" si="90"/>
        <v/>
      </c>
      <c r="Q155" s="96" t="str">
        <f t="shared" si="91"/>
        <v/>
      </c>
      <c r="R155" s="92">
        <f t="shared" si="92"/>
        <v>501.7</v>
      </c>
      <c r="S155" s="42" t="str">
        <f t="shared" si="93"/>
        <v/>
      </c>
      <c r="T155" s="167">
        <f>IF(L155="","",VLOOKUP(L155,classifications!C:K,9,FALSE))</f>
        <v>0</v>
      </c>
      <c r="U155" s="168" t="str">
        <f t="shared" si="94"/>
        <v/>
      </c>
      <c r="V155" s="174" t="str">
        <f>IF(U155="","",IF($I$8="A",(RANK(U155,U$11:U$343)+COUNTIF(U$11:U155,U155)-1),(RANK(U155,U$11:U$343,1)+COUNTIF(U$11:U155,U155)-1)))</f>
        <v/>
      </c>
      <c r="W155" s="175"/>
      <c r="X155" s="5" t="str">
        <f>IF(L155="","",VLOOKUP($L155,classifications!$C:$J,6,FALSE))</f>
        <v>Urban with City and Town</v>
      </c>
      <c r="Y155" t="str">
        <f t="shared" si="95"/>
        <v/>
      </c>
      <c r="Z155" s="40" t="str">
        <f>IF(Y155="","",IF(I$8="A",(RANK(Y155,Y$11:Y$343,1)+COUNTIF(Y$11:Y155,Y155)-1),(RANK(Y155,Y$11:Y$343)+COUNTIF(Y$11:Y155,Y155)-1)))</f>
        <v/>
      </c>
      <c r="AA155" s="180" t="str">
        <f>IF(L155="","",VLOOKUP($L155,classifications!C:I,7,FALSE))</f>
        <v>Predominantly Urban</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Warwickshire</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West Midlands</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349</v>
      </c>
    </row>
    <row r="156" spans="1:50">
      <c r="A156" s="59" t="str">
        <f>$D$1&amp;146</f>
        <v>SD146</v>
      </c>
      <c r="B156" s="60">
        <f>IF(ISERROR(VLOOKUP(A158,classifications!A:C,3,FALSE)),0,VLOOKUP(A158,classifications!A:C,3,FALSE))</f>
        <v>0</v>
      </c>
      <c r="C156" t="s">
        <v>338</v>
      </c>
      <c r="D156" t="str">
        <f>VLOOKUP($C156,classifications!$C:$J,4,FALSE)</f>
        <v>L</v>
      </c>
      <c r="E156">
        <f>VLOOKUP(C156,classifications!C:K,9,FALSE)</f>
        <v>0</v>
      </c>
      <c r="F156">
        <f t="shared" si="83"/>
        <v>381.2</v>
      </c>
      <c r="G156" s="15"/>
      <c r="H156" s="42" t="str">
        <f t="shared" si="84"/>
        <v/>
      </c>
      <c r="I156" s="79" t="str">
        <f>IF(H156="","",IF($I$8="A",(RANK(H156,H$11:H$343,1)+COUNTIF(H$11:H156,H156)-1),(RANK(H156,H$11:H$343)+COUNTIF(H$11:H156,H156)-1)))</f>
        <v/>
      </c>
      <c r="J156" s="41"/>
      <c r="K156" s="36">
        <f t="shared" si="85"/>
        <v>146</v>
      </c>
      <c r="L156" t="str">
        <f t="shared" si="86"/>
        <v>East Staffordshire</v>
      </c>
      <c r="M156" s="117">
        <f t="shared" si="87"/>
        <v>504.3</v>
      </c>
      <c r="N156" s="112">
        <f t="shared" si="88"/>
        <v>504.3</v>
      </c>
      <c r="O156" s="96" t="str">
        <f t="shared" si="89"/>
        <v/>
      </c>
      <c r="P156" s="96" t="str">
        <f t="shared" si="90"/>
        <v/>
      </c>
      <c r="Q156" s="96" t="str">
        <f t="shared" si="91"/>
        <v/>
      </c>
      <c r="R156" s="92">
        <f t="shared" si="92"/>
        <v>504.3</v>
      </c>
      <c r="S156" s="42" t="str">
        <f t="shared" si="93"/>
        <v/>
      </c>
      <c r="T156" s="167">
        <f>IF(L156="","",VLOOKUP(L156,classifications!C:K,9,FALSE))</f>
        <v>0</v>
      </c>
      <c r="U156" s="168" t="str">
        <f t="shared" si="94"/>
        <v/>
      </c>
      <c r="V156" s="174" t="str">
        <f>IF(U156="","",IF($I$8="A",(RANK(U156,U$11:U$343)+COUNTIF(U$11:U156,U156)-1),(RANK(U156,U$11:U$343,1)+COUNTIF(U$11:U156,U156)-1)))</f>
        <v/>
      </c>
      <c r="W156" s="175"/>
      <c r="X156" s="5" t="str">
        <f>IF(L156="","",VLOOKUP($L156,classifications!$C:$J,6,FALSE))</f>
        <v>Urban with Significant Rural (rural including hub towns 26-49%)</v>
      </c>
      <c r="Y156" t="str">
        <f t="shared" si="95"/>
        <v/>
      </c>
      <c r="Z156" s="40" t="str">
        <f>IF(Y156="","",IF(I$8="A",(RANK(Y156,Y$11:Y$343,1)+COUNTIF(Y$11:Y156,Y156)-1),(RANK(Y156,Y$11:Y$343)+COUNTIF(Y$11:Y156,Y156)-1)))</f>
        <v/>
      </c>
      <c r="AA156" s="180" t="str">
        <f>IF(L156="","",VLOOKUP($L156,classifications!C:I,7,FALSE))</f>
        <v>Significant Rural</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Staffordshire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West Midlands</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381.2</v>
      </c>
    </row>
    <row r="157" spans="1:50">
      <c r="A157" s="59" t="str">
        <f>$D$1&amp;147</f>
        <v>SD147</v>
      </c>
      <c r="B157" s="60">
        <f>IF(ISERROR(VLOOKUP(A159,classifications!A:C,3,FALSE)),0,VLOOKUP(A159,classifications!A:C,3,FALSE))</f>
        <v>0</v>
      </c>
      <c r="C157" t="s">
        <v>316</v>
      </c>
      <c r="D157" t="str">
        <f>VLOOKUP($C157,classifications!$C:$J,4,FALSE)</f>
        <v>SC</v>
      </c>
      <c r="E157">
        <f>VLOOKUP(C157,classifications!C:K,9,FALSE)</f>
        <v>0</v>
      </c>
      <c r="F157">
        <f t="shared" si="83"/>
        <v>530.70000000000005</v>
      </c>
      <c r="G157" s="15"/>
      <c r="H157" s="42" t="str">
        <f t="shared" si="84"/>
        <v/>
      </c>
      <c r="I157" s="79" t="str">
        <f>IF(H157="","",IF($I$8="A",(RANK(H157,H$11:H$343,1)+COUNTIF(H$11:H157,H157)-1),(RANK(H157,H$11:H$343)+COUNTIF(H$11:H157,H157)-1)))</f>
        <v/>
      </c>
      <c r="J157" s="41"/>
      <c r="K157" s="36">
        <f t="shared" si="85"/>
        <v>147</v>
      </c>
      <c r="L157" t="str">
        <f t="shared" si="86"/>
        <v>West Suffolk</v>
      </c>
      <c r="M157" s="117">
        <f t="shared" si="87"/>
        <v>504.4</v>
      </c>
      <c r="N157" s="112">
        <f t="shared" si="88"/>
        <v>504.4</v>
      </c>
      <c r="O157" s="96" t="str">
        <f t="shared" si="89"/>
        <v/>
      </c>
      <c r="P157" s="96" t="str">
        <f t="shared" si="90"/>
        <v/>
      </c>
      <c r="Q157" s="96" t="str">
        <f t="shared" si="91"/>
        <v/>
      </c>
      <c r="R157" s="92">
        <f t="shared" si="92"/>
        <v>504.4</v>
      </c>
      <c r="S157" s="42" t="str">
        <f t="shared" si="93"/>
        <v/>
      </c>
      <c r="T157" s="167" t="str">
        <f>IF(L157="","",VLOOKUP(L157,classifications!C:K,9,FALSE))</f>
        <v>Sparse</v>
      </c>
      <c r="U157" s="168">
        <f t="shared" si="94"/>
        <v>504.4</v>
      </c>
      <c r="V157" s="174">
        <f>IF(U157="","",IF($I$8="A",(RANK(U157,U$11:U$343)+COUNTIF(U$11:U157,U157)-1),(RANK(U157,U$11:U$343,1)+COUNTIF(U$11:U157,U157)-1)))</f>
        <v>6</v>
      </c>
      <c r="W157" s="175"/>
      <c r="X157" s="5" t="str">
        <f>IF(L157="","",VLOOKUP($L157,classifications!$C:$J,6,FALSE))</f>
        <v xml:space="preserve">Largely Rural (rural including hub towns 50-79%) </v>
      </c>
      <c r="Y157" t="str">
        <f t="shared" si="95"/>
        <v/>
      </c>
      <c r="Z157" s="40" t="str">
        <f>IF(Y157="","",IF(I$8="A",(RANK(Y157,Y$11:Y$343,1)+COUNTIF(Y$11:Y157,Y157)-1),(RANK(Y157,Y$11:Y$343)+COUNTIF(Y$11:Y157,Y157)-1)))</f>
        <v/>
      </c>
      <c r="AA157" s="180" t="str">
        <f>IF(L157="","",VLOOKUP($L157,classifications!C:I,7,FALSE))</f>
        <v>Predominantly Rural</v>
      </c>
      <c r="AB157" s="174">
        <f t="shared" si="96"/>
        <v>504.4</v>
      </c>
      <c r="AC157" s="174">
        <f>IF(AB157="","",IF($I$8="A",(RANK(AB157,AB$11:AB$343)+COUNTIF(AB$11:AB157,AB157)-1),(RANK(AB157,AB$11:AB$343,1)+COUNTIF(AB$11:AB157,AB157)-1)))</f>
        <v>10</v>
      </c>
      <c r="AD157" s="174"/>
      <c r="AE157" s="36" t="str">
        <f t="shared" si="97"/>
        <v/>
      </c>
      <c r="AG157" s="15"/>
      <c r="AH157" s="3"/>
      <c r="AI157" s="5" t="str">
        <f>IF(L157="","",VLOOKUP($L157,classifications!$C:$J,8,FALSE))</f>
        <v>Suffolk</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East of England</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530.70000000000005</v>
      </c>
    </row>
    <row r="158" spans="1:50">
      <c r="A158" s="59" t="str">
        <f>$D$1&amp;148</f>
        <v>SD148</v>
      </c>
      <c r="B158" s="60">
        <f>IF(ISERROR(VLOOKUP(A161,classifications!A:C,3,FALSE)),0,VLOOKUP(A161,classifications!A:C,3,FALSE))</f>
        <v>0</v>
      </c>
      <c r="C158" t="s">
        <v>378</v>
      </c>
      <c r="D158" t="str">
        <f>VLOOKUP($C158,classifications!$C:$J,4,FALSE)</f>
        <v>SD</v>
      </c>
      <c r="E158" t="str">
        <f>VLOOKUP(C158,classifications!C:K,9,FALSE)</f>
        <v>Sparse</v>
      </c>
      <c r="F158">
        <f t="shared" si="83"/>
        <v>464.5</v>
      </c>
      <c r="G158" s="15"/>
      <c r="H158" s="42">
        <f t="shared" si="84"/>
        <v>464.5</v>
      </c>
      <c r="I158" s="79">
        <f>IF(H158="","",IF($I$8="A",(RANK(H158,H$11:H$343,1)+COUNTIF(H$11:H158,H158)-1),(RANK(H158,H$11:H$343)+COUNTIF(H$11:H158,H158)-1)))</f>
        <v>113</v>
      </c>
      <c r="J158" s="41"/>
      <c r="K158" s="36">
        <f t="shared" si="85"/>
        <v>148</v>
      </c>
      <c r="L158" t="str">
        <f t="shared" si="86"/>
        <v>Ashfield</v>
      </c>
      <c r="M158" s="117">
        <f t="shared" si="87"/>
        <v>507.7</v>
      </c>
      <c r="N158" s="112">
        <f t="shared" si="88"/>
        <v>507.7</v>
      </c>
      <c r="O158" s="96" t="str">
        <f t="shared" si="89"/>
        <v/>
      </c>
      <c r="P158" s="96" t="str">
        <f t="shared" si="90"/>
        <v/>
      </c>
      <c r="Q158" s="96" t="str">
        <f t="shared" si="91"/>
        <v/>
      </c>
      <c r="R158" s="92">
        <f t="shared" si="92"/>
        <v>507.7</v>
      </c>
      <c r="S158" s="42" t="str">
        <f t="shared" si="93"/>
        <v/>
      </c>
      <c r="T158" s="167">
        <f>IF(L158="","",VLOOKUP(L158,classifications!C:K,9,FALSE))</f>
        <v>0</v>
      </c>
      <c r="U158" s="168" t="str">
        <f t="shared" si="94"/>
        <v/>
      </c>
      <c r="V158" s="174" t="str">
        <f>IF(U158="","",IF($I$8="A",(RANK(U158,U$11:U$343)+COUNTIF(U$11:U158,U158)-1),(RANK(U158,U$11:U$343,1)+COUNTIF(U$11:U158,U158)-1)))</f>
        <v/>
      </c>
      <c r="W158" s="175"/>
      <c r="X158" s="5" t="str">
        <f>IF(L158="","",VLOOKUP($L158,classifications!$C:$J,6,FALSE))</f>
        <v>Urban with City and Town</v>
      </c>
      <c r="Y158" t="str">
        <f t="shared" si="95"/>
        <v/>
      </c>
      <c r="Z158" s="40" t="str">
        <f>IF(Y158="","",IF(I$8="A",(RANK(Y158,Y$11:Y$343,1)+COUNTIF(Y$11:Y158,Y158)-1),(RANK(Y158,Y$11:Y$343)+COUNTIF(Y$11:Y158,Y158)-1)))</f>
        <v/>
      </c>
      <c r="AA158" s="180" t="str">
        <f>IF(L158="","",VLOOKUP($L158,classifications!C:I,7,FALSE))</f>
        <v>Predominantly Urban</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Nottinghamshire</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East Midlands</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464.5</v>
      </c>
    </row>
    <row r="159" spans="1:50">
      <c r="A159" s="59" t="str">
        <f>$D$1&amp;149</f>
        <v>SD149</v>
      </c>
      <c r="B159" s="60">
        <f>IF(ISERROR(VLOOKUP(A162,classifications!A:C,3,FALSE)),0,VLOOKUP(A162,classifications!A:C,3,FALSE))</f>
        <v>0</v>
      </c>
      <c r="C159" t="s">
        <v>819</v>
      </c>
      <c r="D159" t="str">
        <f>VLOOKUP($C159,classifications!$C:$J,4,FALSE)</f>
        <v>UA</v>
      </c>
      <c r="E159">
        <f>VLOOKUP(C159,classifications!C:K,9,FALSE)</f>
        <v>0</v>
      </c>
      <c r="F159">
        <f t="shared" si="83"/>
        <v>444.1</v>
      </c>
      <c r="G159" s="15"/>
      <c r="H159" s="42" t="str">
        <f t="shared" si="84"/>
        <v/>
      </c>
      <c r="I159" s="79" t="str">
        <f>IF(H159="","",IF($I$8="A",(RANK(H159,H$11:H$343,1)+COUNTIF(H$11:H159,H159)-1),(RANK(H159,H$11:H$343)+COUNTIF(H$11:H159,H159)-1)))</f>
        <v/>
      </c>
      <c r="J159" s="41"/>
      <c r="K159" s="36">
        <f t="shared" si="85"/>
        <v>149</v>
      </c>
      <c r="L159" t="str">
        <f t="shared" si="86"/>
        <v>Rossendale</v>
      </c>
      <c r="M159" s="117">
        <f t="shared" si="87"/>
        <v>508.7</v>
      </c>
      <c r="N159" s="112">
        <f t="shared" si="88"/>
        <v>508.7</v>
      </c>
      <c r="O159" s="96" t="str">
        <f t="shared" si="89"/>
        <v/>
      </c>
      <c r="P159" s="96" t="str">
        <f t="shared" si="90"/>
        <v/>
      </c>
      <c r="Q159" s="96" t="str">
        <f t="shared" si="91"/>
        <v/>
      </c>
      <c r="R159" s="92">
        <f t="shared" si="92"/>
        <v>508.7</v>
      </c>
      <c r="S159" s="42" t="str">
        <f t="shared" si="93"/>
        <v/>
      </c>
      <c r="T159" s="167">
        <f>IF(L159="","",VLOOKUP(L159,classifications!C:K,9,FALSE))</f>
        <v>0</v>
      </c>
      <c r="U159" s="168" t="str">
        <f t="shared" si="94"/>
        <v/>
      </c>
      <c r="V159" s="174" t="str">
        <f>IF(U159="","",IF($I$8="A",(RANK(U159,U$11:U$343)+COUNTIF(U$11:U159,U159)-1),(RANK(U159,U$11:U$343,1)+COUNTIF(U$11:U159,U159)-1)))</f>
        <v/>
      </c>
      <c r="W159" s="175"/>
      <c r="X159" s="5" t="str">
        <f>IF(L159="","",VLOOKUP($L159,classifications!$C:$J,6,FALSE))</f>
        <v>Urban with City and Town</v>
      </c>
      <c r="Y159" t="str">
        <f t="shared" si="95"/>
        <v/>
      </c>
      <c r="Z159" s="40" t="str">
        <f>IF(Y159="","",IF(I$8="A",(RANK(Y159,Y$11:Y$343,1)+COUNTIF(Y$11:Y159,Y159)-1),(RANK(Y159,Y$11:Y$343)+COUNTIF(Y$11:Y159,Y159)-1)))</f>
        <v/>
      </c>
      <c r="AA159" s="180" t="str">
        <f>IF(L159="","",VLOOKUP($L159,classifications!C:I,7,FALSE))</f>
        <v>Predominantly Urban</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Lancashire</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North West</v>
      </c>
      <c r="AQ159" s="43">
        <f t="shared" si="102"/>
        <v>508.7</v>
      </c>
      <c r="AR159" s="40">
        <f>IF(AQ159="","",IF(I$8="A",(RANK(AQ159,AQ$11:AQ$343,1)+COUNTIF(AQ$11:AQ159,AQ159)-1),(RANK(AQ159,AQ$11:AQ$343)+COUNTIF(AQ$11:AQ159,AQ159)-1)))</f>
        <v>13</v>
      </c>
      <c r="AS159" s="3" t="str">
        <f t="shared" si="103"/>
        <v/>
      </c>
      <c r="AT159" s="40" t="str">
        <f t="shared" si="104"/>
        <v/>
      </c>
      <c r="AU159" s="43" t="str">
        <f t="shared" si="105"/>
        <v/>
      </c>
      <c r="AX159">
        <f>HLOOKUP($AX$9&amp;$AX$10,Data!$A$1:$ZZ$1980,(MATCH($C159,Data!$A$1:$A$1980,0)),FALSE)</f>
        <v>444.1</v>
      </c>
    </row>
    <row r="160" spans="1:50">
      <c r="A160" s="59" t="str">
        <f>$D$1&amp;150</f>
        <v>SD150</v>
      </c>
      <c r="B160" s="60">
        <f>IF(ISERROR(VLOOKUP(A163,classifications!A:C,3,FALSE)),0,VLOOKUP(A163,classifications!A:C,3,FALSE))</f>
        <v>0</v>
      </c>
      <c r="C160" t="s">
        <v>394</v>
      </c>
      <c r="D160" t="str">
        <f>VLOOKUP($C160,classifications!$C:$J,4,FALSE)</f>
        <v>L</v>
      </c>
      <c r="E160">
        <f>VLOOKUP(C160,classifications!C:K,9,FALSE)</f>
        <v>0</v>
      </c>
      <c r="F160">
        <f t="shared" si="83"/>
        <v>423.8</v>
      </c>
      <c r="G160" s="15"/>
      <c r="H160" s="42" t="str">
        <f t="shared" si="84"/>
        <v/>
      </c>
      <c r="I160" s="79" t="str">
        <f>IF(H160="","",IF($I$8="A",(RANK(H160,H$11:H$343,1)+COUNTIF(H$11:H160,H160)-1),(RANK(H160,H$11:H$343)+COUNTIF(H$11:H160,H160)-1)))</f>
        <v/>
      </c>
      <c r="J160" s="41"/>
      <c r="K160" s="36">
        <f t="shared" si="85"/>
        <v>150</v>
      </c>
      <c r="L160" t="str">
        <f t="shared" si="86"/>
        <v>Havant</v>
      </c>
      <c r="M160" s="117">
        <f t="shared" si="87"/>
        <v>511.9</v>
      </c>
      <c r="N160" s="112">
        <f t="shared" si="88"/>
        <v>511.9</v>
      </c>
      <c r="O160" s="96" t="str">
        <f t="shared" si="89"/>
        <v/>
      </c>
      <c r="P160" s="96" t="str">
        <f t="shared" si="90"/>
        <v/>
      </c>
      <c r="Q160" s="96" t="str">
        <f t="shared" si="91"/>
        <v/>
      </c>
      <c r="R160" s="92">
        <f t="shared" si="92"/>
        <v>511.9</v>
      </c>
      <c r="S160" s="42" t="str">
        <f t="shared" si="93"/>
        <v/>
      </c>
      <c r="T160" s="167">
        <f>IF(L160="","",VLOOKUP(L160,classifications!C:K,9,FALSE))</f>
        <v>0</v>
      </c>
      <c r="U160" s="168" t="str">
        <f t="shared" si="94"/>
        <v/>
      </c>
      <c r="V160" s="174" t="str">
        <f>IF(U160="","",IF($I$8="A",(RANK(U160,U$11:U$343)+COUNTIF(U$11:U160,U160)-1),(RANK(U160,U$11:U$343,1)+COUNTIF(U$11:U160,U160)-1)))</f>
        <v/>
      </c>
      <c r="W160" s="175"/>
      <c r="X160" s="5" t="str">
        <f>IF(L160="","",VLOOKUP($L160,classifications!$C:$J,6,FALSE))</f>
        <v>Urban with City and Town</v>
      </c>
      <c r="Y160" t="str">
        <f t="shared" si="95"/>
        <v/>
      </c>
      <c r="Z160" s="40" t="str">
        <f>IF(Y160="","",IF(I$8="A",(RANK(Y160,Y$11:Y$343,1)+COUNTIF(Y$11:Y160,Y160)-1),(RANK(Y160,Y$11:Y$343)+COUNTIF(Y$11:Y160,Y160)-1)))</f>
        <v/>
      </c>
      <c r="AA160" s="180" t="str">
        <f>IF(L160="","",VLOOKUP($L160,classifications!C:I,7,FALSE))</f>
        <v>Predominantly Urban</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Hampshire</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South East</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423.8</v>
      </c>
    </row>
    <row r="161" spans="1:50">
      <c r="A161" s="59" t="str">
        <f>$D$1&amp;151</f>
        <v>SD151</v>
      </c>
      <c r="B161" s="60">
        <f>IF(ISERROR(VLOOKUP(A164,classifications!A:C,3,FALSE)),0,VLOOKUP(A164,classifications!A:C,3,FALSE))</f>
        <v>0</v>
      </c>
      <c r="C161" t="s">
        <v>233</v>
      </c>
      <c r="D161" t="str">
        <f>VLOOKUP($C161,classifications!$C:$J,4,FALSE)</f>
        <v>MD</v>
      </c>
      <c r="E161">
        <f>VLOOKUP(C161,classifications!C:K,9,FALSE)</f>
        <v>0</v>
      </c>
      <c r="F161">
        <f t="shared" si="83"/>
        <v>599.70000000000005</v>
      </c>
      <c r="G161" s="15"/>
      <c r="H161" s="42" t="str">
        <f t="shared" si="84"/>
        <v/>
      </c>
      <c r="I161" s="79" t="str">
        <f>IF(H161="","",IF($I$8="A",(RANK(H161,H$11:H$343,1)+COUNTIF(H$11:H161,H161)-1),(RANK(H161,H$11:H$343)+COUNTIF(H$11:H161,H161)-1)))</f>
        <v/>
      </c>
      <c r="J161" s="41"/>
      <c r="K161" s="36">
        <f t="shared" si="85"/>
        <v>151</v>
      </c>
      <c r="L161" t="str">
        <f t="shared" si="86"/>
        <v>Newark &amp; Sherwood</v>
      </c>
      <c r="M161" s="117">
        <f t="shared" si="87"/>
        <v>514.9</v>
      </c>
      <c r="N161" s="112">
        <f t="shared" si="88"/>
        <v>514.9</v>
      </c>
      <c r="O161" s="96" t="str">
        <f t="shared" si="89"/>
        <v/>
      </c>
      <c r="P161" s="96" t="str">
        <f t="shared" si="90"/>
        <v/>
      </c>
      <c r="Q161" s="96" t="str">
        <f t="shared" si="91"/>
        <v/>
      </c>
      <c r="R161" s="92">
        <f t="shared" si="92"/>
        <v>514.9</v>
      </c>
      <c r="S161" s="42" t="str">
        <f t="shared" si="93"/>
        <v/>
      </c>
      <c r="T161" s="167">
        <f>IF(L161="","",VLOOKUP(L161,classifications!C:K,9,FALSE))</f>
        <v>0</v>
      </c>
      <c r="U161" s="168" t="str">
        <f t="shared" si="94"/>
        <v/>
      </c>
      <c r="V161" s="174" t="str">
        <f>IF(U161="","",IF($I$8="A",(RANK(U161,U$11:U$343)+COUNTIF(U$11:U161,U161)-1),(RANK(U161,U$11:U$343,1)+COUNTIF(U$11:U161,U161)-1)))</f>
        <v/>
      </c>
      <c r="W161" s="175"/>
      <c r="X161" s="5" t="str">
        <f>IF(L161="","",VLOOKUP($L161,classifications!$C:$J,6,FALSE))</f>
        <v xml:space="preserve">Largely Rural (rural including hub towns 50-79%) </v>
      </c>
      <c r="Y161" t="str">
        <f t="shared" si="95"/>
        <v/>
      </c>
      <c r="Z161" s="40" t="str">
        <f>IF(Y161="","",IF(I$8="A",(RANK(Y161,Y$11:Y$343,1)+COUNTIF(Y$11:Y161,Y161)-1),(RANK(Y161,Y$11:Y$343)+COUNTIF(Y$11:Y161,Y161)-1)))</f>
        <v/>
      </c>
      <c r="AA161" s="180" t="str">
        <f>IF(L161="","",VLOOKUP($L161,classifications!C:I,7,FALSE))</f>
        <v>Predominantly Rural</v>
      </c>
      <c r="AB161" s="174">
        <f t="shared" si="96"/>
        <v>514.9</v>
      </c>
      <c r="AC161" s="174">
        <f>IF(AB161="","",IF($I$8="A",(RANK(AB161,AB$11:AB$343)+COUNTIF(AB$11:AB161,AB161)-1),(RANK(AB161,AB$11:AB$343,1)+COUNTIF(AB$11:AB161,AB161)-1)))</f>
        <v>9</v>
      </c>
      <c r="AD161" s="174"/>
      <c r="AE161" s="36" t="str">
        <f t="shared" si="97"/>
        <v/>
      </c>
      <c r="AG161" s="15"/>
      <c r="AH161" s="3"/>
      <c r="AI161" s="5" t="str">
        <f>IF(L161="","",VLOOKUP($L161,classifications!$C:$J,8,FALSE))</f>
        <v>Nottinghamshire</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East Midlands</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599.70000000000005</v>
      </c>
    </row>
    <row r="162" spans="1:50">
      <c r="A162" s="59" t="str">
        <f>$D$1&amp;152</f>
        <v>SD152</v>
      </c>
      <c r="B162" s="60">
        <f>IF(ISERROR(VLOOKUP(A165,classifications!A:C,3,FALSE)),0,VLOOKUP(A165,classifications!A:C,3,FALSE))</f>
        <v>0</v>
      </c>
      <c r="C162" t="s">
        <v>234</v>
      </c>
      <c r="D162" t="str">
        <f>VLOOKUP($C162,classifications!$C:$J,4,FALSE)</f>
        <v>MD</v>
      </c>
      <c r="E162">
        <f>VLOOKUP(C162,classifications!C:K,9,FALSE)</f>
        <v>0</v>
      </c>
      <c r="F162">
        <f t="shared" si="83"/>
        <v>616.1</v>
      </c>
      <c r="G162" s="15"/>
      <c r="H162" s="42" t="str">
        <f t="shared" si="84"/>
        <v/>
      </c>
      <c r="I162" s="79" t="str">
        <f>IF(H162="","",IF($I$8="A",(RANK(H162,H$11:H$343,1)+COUNTIF(H$11:H162,H162)-1),(RANK(H162,H$11:H$343)+COUNTIF(H$11:H162,H162)-1)))</f>
        <v/>
      </c>
      <c r="J162" s="41"/>
      <c r="K162" s="36">
        <f t="shared" si="85"/>
        <v>152</v>
      </c>
      <c r="L162" t="str">
        <f t="shared" si="86"/>
        <v>Tamworth</v>
      </c>
      <c r="M162" s="117">
        <f t="shared" si="87"/>
        <v>518</v>
      </c>
      <c r="N162" s="112">
        <f t="shared" si="88"/>
        <v>518</v>
      </c>
      <c r="O162" s="96" t="str">
        <f t="shared" si="89"/>
        <v/>
      </c>
      <c r="P162" s="96" t="str">
        <f t="shared" si="90"/>
        <v/>
      </c>
      <c r="Q162" s="96" t="str">
        <f t="shared" si="91"/>
        <v/>
      </c>
      <c r="R162" s="92">
        <f t="shared" si="92"/>
        <v>518</v>
      </c>
      <c r="S162" s="42" t="str">
        <f t="shared" si="93"/>
        <v/>
      </c>
      <c r="T162" s="167">
        <f>IF(L162="","",VLOOKUP(L162,classifications!C:K,9,FALSE))</f>
        <v>0</v>
      </c>
      <c r="U162" s="168" t="str">
        <f t="shared" si="94"/>
        <v/>
      </c>
      <c r="V162" s="174" t="str">
        <f>IF(U162="","",IF($I$8="A",(RANK(U162,U$11:U$343)+COUNTIF(U$11:U162,U162)-1),(RANK(U162,U$11:U$343,1)+COUNTIF(U$11:U162,U162)-1)))</f>
        <v/>
      </c>
      <c r="W162" s="175"/>
      <c r="X162" s="5" t="str">
        <f>IF(L162="","",VLOOKUP($L162,classifications!$C:$J,6,FALSE))</f>
        <v>Urban with City and Town</v>
      </c>
      <c r="Y162" t="str">
        <f t="shared" si="95"/>
        <v/>
      </c>
      <c r="Z162" s="40" t="str">
        <f>IF(Y162="","",IF(I$8="A",(RANK(Y162,Y$11:Y$343,1)+COUNTIF(Y$11:Y162,Y162)-1),(RANK(Y162,Y$11:Y$343)+COUNTIF(Y$11:Y162,Y162)-1)))</f>
        <v/>
      </c>
      <c r="AA162" s="180" t="str">
        <f>IF(L162="","",VLOOKUP($L162,classifications!C:I,7,FALSE))</f>
        <v>Predominantly Urban</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Staffordshire</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West Midlands</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616.1</v>
      </c>
    </row>
    <row r="163" spans="1:50">
      <c r="A163" s="59" t="str">
        <f>$D$1&amp;153</f>
        <v>SD153</v>
      </c>
      <c r="B163" s="60">
        <f>IF(ISERROR(VLOOKUP(A166,classifications!A:C,3,FALSE)),0,VLOOKUP(A166,classifications!A:C,3,FALSE))</f>
        <v>0</v>
      </c>
      <c r="C163" t="s">
        <v>213</v>
      </c>
      <c r="D163" t="str">
        <f>VLOOKUP($C163,classifications!$C:$J,4,FALSE)</f>
        <v>L</v>
      </c>
      <c r="E163">
        <f>VLOOKUP(C163,classifications!C:K,9,FALSE)</f>
        <v>0</v>
      </c>
      <c r="F163">
        <f t="shared" si="83"/>
        <v>318.8</v>
      </c>
      <c r="G163" s="15"/>
      <c r="H163" s="42" t="str">
        <f t="shared" si="84"/>
        <v/>
      </c>
      <c r="I163" s="79" t="str">
        <f>IF(H163="","",IF($I$8="A",(RANK(H163,H$11:H$343,1)+COUNTIF(H$11:H163,H163)-1),(RANK(H163,H$11:H$343)+COUNTIF(H$11:H163,H163)-1)))</f>
        <v/>
      </c>
      <c r="J163" s="41"/>
      <c r="K163" s="36">
        <f t="shared" si="85"/>
        <v>153</v>
      </c>
      <c r="L163" t="str">
        <f t="shared" si="86"/>
        <v>Broxtowe</v>
      </c>
      <c r="M163" s="117">
        <f t="shared" si="87"/>
        <v>520.20000000000005</v>
      </c>
      <c r="N163" s="112">
        <f t="shared" si="88"/>
        <v>520.20000000000005</v>
      </c>
      <c r="O163" s="96" t="str">
        <f t="shared" si="89"/>
        <v/>
      </c>
      <c r="P163" s="96" t="str">
        <f t="shared" si="90"/>
        <v/>
      </c>
      <c r="Q163" s="96" t="str">
        <f t="shared" si="91"/>
        <v/>
      </c>
      <c r="R163" s="92">
        <f t="shared" si="92"/>
        <v>520.20000000000005</v>
      </c>
      <c r="S163" s="42" t="str">
        <f t="shared" si="93"/>
        <v/>
      </c>
      <c r="T163" s="167">
        <f>IF(L163="","",VLOOKUP(L163,classifications!C:K,9,FALSE))</f>
        <v>0</v>
      </c>
      <c r="U163" s="168" t="str">
        <f t="shared" si="94"/>
        <v/>
      </c>
      <c r="V163" s="174" t="str">
        <f>IF(U163="","",IF($I$8="A",(RANK(U163,U$11:U$343)+COUNTIF(U$11:U163,U163)-1),(RANK(U163,U$11:U$343,1)+COUNTIF(U$11:U163,U163)-1)))</f>
        <v/>
      </c>
      <c r="W163" s="175"/>
      <c r="X163" s="5" t="str">
        <f>IF(L163="","",VLOOKUP($L163,classifications!$C:$J,6,FALSE))</f>
        <v>Urban with Minor Conurbation</v>
      </c>
      <c r="Y163" t="str">
        <f t="shared" si="95"/>
        <v/>
      </c>
      <c r="Z163" s="40" t="str">
        <f>IF(Y163="","",IF(I$8="A",(RANK(Y163,Y$11:Y$343,1)+COUNTIF(Y$11:Y163,Y163)-1),(RANK(Y163,Y$11:Y$343)+COUNTIF(Y$11:Y163,Y163)-1)))</f>
        <v/>
      </c>
      <c r="AA163" s="180" t="str">
        <f>IF(L163="","",VLOOKUP($L163,classifications!C:I,7,FALSE))</f>
        <v>Predominantly Urban</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Nottinghamshire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East Midlands</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318.8</v>
      </c>
    </row>
    <row r="164" spans="1:50">
      <c r="A164" s="59" t="str">
        <f>$D$1&amp;154</f>
        <v>SD154</v>
      </c>
      <c r="B164" s="60">
        <f>IF(ISERROR(VLOOKUP(A167,classifications!A:C,3,FALSE)),0,VLOOKUP(A167,classifications!A:C,3,FALSE))</f>
        <v>0</v>
      </c>
      <c r="C164" t="s">
        <v>317</v>
      </c>
      <c r="D164" t="str">
        <f>VLOOKUP($C164,classifications!$C:$J,4,FALSE)</f>
        <v>SC</v>
      </c>
      <c r="E164" t="str">
        <f>VLOOKUP(C164,classifications!C:K,9,FALSE)</f>
        <v>Sparse</v>
      </c>
      <c r="F164">
        <f t="shared" si="83"/>
        <v>528.9</v>
      </c>
      <c r="G164" s="15"/>
      <c r="H164" s="42" t="str">
        <f t="shared" si="84"/>
        <v/>
      </c>
      <c r="I164" s="79" t="str">
        <f>IF(H164="","",IF($I$8="A",(RANK(H164,H$11:H$343,1)+COUNTIF(H$11:H164,H164)-1),(RANK(H164,H$11:H$343)+COUNTIF(H$11:H164,H164)-1)))</f>
        <v/>
      </c>
      <c r="J164" s="41"/>
      <c r="K164" s="36">
        <f t="shared" si="85"/>
        <v>154</v>
      </c>
      <c r="L164" t="str">
        <f t="shared" si="86"/>
        <v>Redditch</v>
      </c>
      <c r="M164" s="117">
        <f t="shared" si="87"/>
        <v>521.5</v>
      </c>
      <c r="N164" s="112">
        <f t="shared" si="88"/>
        <v>521.5</v>
      </c>
      <c r="O164" s="96" t="str">
        <f t="shared" si="89"/>
        <v/>
      </c>
      <c r="P164" s="96" t="str">
        <f t="shared" si="90"/>
        <v/>
      </c>
      <c r="Q164" s="96" t="str">
        <f t="shared" si="91"/>
        <v/>
      </c>
      <c r="R164" s="92">
        <f t="shared" si="92"/>
        <v>521.5</v>
      </c>
      <c r="S164" s="42" t="str">
        <f t="shared" si="93"/>
        <v/>
      </c>
      <c r="T164" s="167">
        <f>IF(L164="","",VLOOKUP(L164,classifications!C:K,9,FALSE))</f>
        <v>0</v>
      </c>
      <c r="U164" s="168" t="str">
        <f t="shared" si="94"/>
        <v/>
      </c>
      <c r="V164" s="174" t="str">
        <f>IF(U164="","",IF($I$8="A",(RANK(U164,U$11:U$343)+COUNTIF(U$11:U164,U164)-1),(RANK(U164,U$11:U$343,1)+COUNTIF(U$11:U164,U164)-1)))</f>
        <v/>
      </c>
      <c r="W164" s="175"/>
      <c r="X164" s="5" t="str">
        <f>IF(L164="","",VLOOKUP($L164,classifications!$C:$J,6,FALSE))</f>
        <v>Urban with City and Town</v>
      </c>
      <c r="Y164" t="str">
        <f t="shared" si="95"/>
        <v/>
      </c>
      <c r="Z164" s="40" t="str">
        <f>IF(Y164="","",IF(I$8="A",(RANK(Y164,Y$11:Y$343,1)+COUNTIF(Y$11:Y164,Y164)-1),(RANK(Y164,Y$11:Y$343)+COUNTIF(Y$11:Y164,Y164)-1)))</f>
        <v/>
      </c>
      <c r="AA164" s="180" t="str">
        <f>IF(L164="","",VLOOKUP($L164,classifications!C:I,7,FALSE))</f>
        <v>Predominantly Urban</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Worcestershire</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West Midlands</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528.9</v>
      </c>
    </row>
    <row r="165" spans="1:50">
      <c r="A165" s="59" t="str">
        <f>$D$1&amp;155</f>
        <v>SD155</v>
      </c>
      <c r="B165" s="60">
        <f>IF(ISERROR(VLOOKUP(A168,classifications!A:C,3,FALSE)),0,VLOOKUP(A168,classifications!A:C,3,FALSE))</f>
        <v>0</v>
      </c>
      <c r="C165" t="s">
        <v>92</v>
      </c>
      <c r="D165" t="str">
        <f>VLOOKUP($C165,classifications!$C:$J,4,FALSE)</f>
        <v>SD</v>
      </c>
      <c r="E165">
        <f>VLOOKUP(C165,classifications!C:K,9,FALSE)</f>
        <v>0</v>
      </c>
      <c r="F165">
        <f t="shared" si="83"/>
        <v>488</v>
      </c>
      <c r="G165" s="15"/>
      <c r="H165" s="42">
        <f t="shared" si="84"/>
        <v>488</v>
      </c>
      <c r="I165" s="79">
        <f>IF(H165="","",IF($I$8="A",(RANK(H165,H$11:H$343,1)+COUNTIF(H$11:H165,H165)-1),(RANK(H165,H$11:H$343)+COUNTIF(H$11:H165,H165)-1)))</f>
        <v>134</v>
      </c>
      <c r="J165" s="41"/>
      <c r="K165" s="36">
        <f t="shared" si="85"/>
        <v>155</v>
      </c>
      <c r="L165" t="str">
        <f t="shared" si="86"/>
        <v>Ribble Valley</v>
      </c>
      <c r="M165" s="117">
        <f t="shared" si="87"/>
        <v>521.79999999999995</v>
      </c>
      <c r="N165" s="112">
        <f t="shared" si="88"/>
        <v>521.79999999999995</v>
      </c>
      <c r="O165" s="96" t="str">
        <f t="shared" si="89"/>
        <v/>
      </c>
      <c r="P165" s="96" t="str">
        <f t="shared" si="90"/>
        <v/>
      </c>
      <c r="Q165" s="96" t="str">
        <f t="shared" si="91"/>
        <v/>
      </c>
      <c r="R165" s="92">
        <f t="shared" si="92"/>
        <v>521.79999999999995</v>
      </c>
      <c r="S165" s="42" t="str">
        <f t="shared" si="93"/>
        <v/>
      </c>
      <c r="T165" s="167" t="str">
        <f>IF(L165="","",VLOOKUP(L165,classifications!C:K,9,FALSE))</f>
        <v>Sparse</v>
      </c>
      <c r="U165" s="168">
        <f t="shared" si="94"/>
        <v>521.79999999999995</v>
      </c>
      <c r="V165" s="174">
        <f>IF(U165="","",IF($I$8="A",(RANK(U165,U$11:U$343)+COUNTIF(U$11:U165,U165)-1),(RANK(U165,U$11:U$343,1)+COUNTIF(U$11:U165,U165)-1)))</f>
        <v>5</v>
      </c>
      <c r="W165" s="175"/>
      <c r="X165" s="5" t="str">
        <f>IF(L165="","",VLOOKUP($L165,classifications!$C:$J,6,FALSE))</f>
        <v xml:space="preserve">Mainly Rural (rural including hub towns &gt;=80%) </v>
      </c>
      <c r="Y165">
        <f t="shared" si="95"/>
        <v>521.79999999999995</v>
      </c>
      <c r="Z165" s="40">
        <f>IF(Y165="","",IF(I$8="A",(RANK(Y165,Y$11:Y$343,1)+COUNTIF(Y$11:Y165,Y165)-1),(RANK(Y165,Y$11:Y$343)+COUNTIF(Y$11:Y165,Y165)-1)))</f>
        <v>34</v>
      </c>
      <c r="AA165" s="180" t="str">
        <f>IF(L165="","",VLOOKUP($L165,classifications!C:I,7,FALSE))</f>
        <v>Predominantly Rural</v>
      </c>
      <c r="AB165" s="174">
        <f t="shared" si="96"/>
        <v>521.79999999999995</v>
      </c>
      <c r="AC165" s="174">
        <f>IF(AB165="","",IF($I$8="A",(RANK(AB165,AB$11:AB$343)+COUNTIF(AB$11:AB165,AB165)-1),(RANK(AB165,AB$11:AB$343,1)+COUNTIF(AB$11:AB165,AB165)-1)))</f>
        <v>8</v>
      </c>
      <c r="AD165" s="174"/>
      <c r="AE165" s="36" t="str">
        <f t="shared" si="97"/>
        <v/>
      </c>
      <c r="AG165" s="15"/>
      <c r="AH165" s="3"/>
      <c r="AI165" s="5" t="str">
        <f>IF(L165="","",VLOOKUP($L165,classifications!$C:$J,8,FALSE))</f>
        <v>Lancashire</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North West</v>
      </c>
      <c r="AQ165" s="43">
        <f t="shared" si="102"/>
        <v>521.79999999999995</v>
      </c>
      <c r="AR165" s="40">
        <f>IF(AQ165="","",IF(I$8="A",(RANK(AQ165,AQ$11:AQ$343,1)+COUNTIF(AQ$11:AQ165,AQ165)-1),(RANK(AQ165,AQ$11:AQ$343)+COUNTIF(AQ$11:AQ165,AQ165)-1)))</f>
        <v>14</v>
      </c>
      <c r="AS165" s="3" t="str">
        <f t="shared" si="103"/>
        <v/>
      </c>
      <c r="AT165" s="40" t="str">
        <f t="shared" si="104"/>
        <v/>
      </c>
      <c r="AU165" s="43" t="str">
        <f t="shared" si="105"/>
        <v/>
      </c>
      <c r="AX165">
        <f>HLOOKUP($AX$9&amp;$AX$10,Data!$A$1:$ZZ$1980,(MATCH($C165,Data!$A$1:$A$1980,0)),FALSE)</f>
        <v>488</v>
      </c>
    </row>
    <row r="166" spans="1:50">
      <c r="A166" s="59" t="str">
        <f>$D$1&amp;156</f>
        <v>SD156</v>
      </c>
      <c r="B166" s="60">
        <f>IF(ISERROR(VLOOKUP(A169,classifications!A:C,3,FALSE)),0,VLOOKUP(A169,classifications!A:C,3,FALSE))</f>
        <v>0</v>
      </c>
      <c r="C166" t="s">
        <v>235</v>
      </c>
      <c r="D166" t="str">
        <f>VLOOKUP($C166,classifications!$C:$J,4,FALSE)</f>
        <v>MD</v>
      </c>
      <c r="E166">
        <f>VLOOKUP(C166,classifications!C:K,9,FALSE)</f>
        <v>0</v>
      </c>
      <c r="F166">
        <f t="shared" si="83"/>
        <v>527.9</v>
      </c>
      <c r="G166" s="15"/>
      <c r="H166" s="42" t="str">
        <f t="shared" si="84"/>
        <v/>
      </c>
      <c r="I166" s="79" t="str">
        <f>IF(H166="","",IF($I$8="A",(RANK(H166,H$11:H$343,1)+COUNTIF(H$11:H166,H166)-1),(RANK(H166,H$11:H$343)+COUNTIF(H$11:H166,H166)-1)))</f>
        <v/>
      </c>
      <c r="J166" s="41"/>
      <c r="K166" s="36">
        <f t="shared" si="85"/>
        <v>156</v>
      </c>
      <c r="L166" t="str">
        <f t="shared" si="86"/>
        <v>Allerdale</v>
      </c>
      <c r="M166" s="117">
        <f t="shared" si="87"/>
        <v>522.20000000000005</v>
      </c>
      <c r="N166" s="112">
        <f t="shared" si="88"/>
        <v>522.20000000000005</v>
      </c>
      <c r="O166" s="96" t="str">
        <f t="shared" si="89"/>
        <v/>
      </c>
      <c r="P166" s="96" t="str">
        <f t="shared" si="90"/>
        <v/>
      </c>
      <c r="Q166" s="96" t="str">
        <f t="shared" si="91"/>
        <v/>
      </c>
      <c r="R166" s="92">
        <f t="shared" si="92"/>
        <v>522.20000000000005</v>
      </c>
      <c r="S166" s="42" t="str">
        <f t="shared" si="93"/>
        <v>u</v>
      </c>
      <c r="T166" s="167" t="str">
        <f>IF(L166="","",VLOOKUP(L166,classifications!C:K,9,FALSE))</f>
        <v>Sparse</v>
      </c>
      <c r="U166" s="168">
        <f t="shared" si="94"/>
        <v>522.20000000000005</v>
      </c>
      <c r="V166" s="174">
        <f>IF(U166="","",IF($I$8="A",(RANK(U166,U$11:U$343)+COUNTIF(U$11:U166,U166)-1),(RANK(U166,U$11:U$343,1)+COUNTIF(U$11:U166,U166)-1)))</f>
        <v>4</v>
      </c>
      <c r="W166" s="175"/>
      <c r="X166" s="5" t="str">
        <f>IF(L166="","",VLOOKUP($L166,classifications!$C:$J,6,FALSE))</f>
        <v xml:space="preserve">Mainly Rural (rural including hub towns &gt;=80%) </v>
      </c>
      <c r="Y166">
        <f t="shared" si="95"/>
        <v>522.20000000000005</v>
      </c>
      <c r="Z166" s="40">
        <f>IF(Y166="","",IF(I$8="A",(RANK(Y166,Y$11:Y$343,1)+COUNTIF(Y$11:Y166,Y166)-1),(RANK(Y166,Y$11:Y$343)+COUNTIF(Y$11:Y166,Y166)-1)))</f>
        <v>35</v>
      </c>
      <c r="AA166" s="180" t="str">
        <f>IF(L166="","",VLOOKUP($L166,classifications!C:I,7,FALSE))</f>
        <v>Predominantly Rural</v>
      </c>
      <c r="AB166" s="174">
        <f t="shared" si="96"/>
        <v>522.20000000000005</v>
      </c>
      <c r="AC166" s="174">
        <f>IF(AB166="","",IF($I$8="A",(RANK(AB166,AB$11:AB$343)+COUNTIF(AB$11:AB166,AB166)-1),(RANK(AB166,AB$11:AB$343,1)+COUNTIF(AB$11:AB166,AB166)-1)))</f>
        <v>7</v>
      </c>
      <c r="AD166" s="174"/>
      <c r="AE166" s="36" t="str">
        <f t="shared" si="97"/>
        <v/>
      </c>
      <c r="AG166" s="15"/>
      <c r="AH166" s="3"/>
      <c r="AI166" s="5" t="str">
        <f>IF(L166="","",VLOOKUP($L166,classifications!$C:$J,8,FALSE))</f>
        <v>Cumbria</v>
      </c>
      <c r="AJ166" s="43">
        <f t="shared" si="98"/>
        <v>522.20000000000005</v>
      </c>
      <c r="AK166" s="40">
        <f>IF(AJ166="","",IF(I$8="A",(RANK(AJ166,AJ$11:AJ$343,1)+COUNTIF(AJ$11:AJ166,AJ166)-1),(RANK(AJ166,AJ$11:AJ$343)+COUNTIF(AJ$11:AJ166,AJ166)-1)))</f>
        <v>5</v>
      </c>
      <c r="AL166" s="3" t="str">
        <f t="shared" si="99"/>
        <v/>
      </c>
      <c r="AM166" t="str">
        <f t="shared" si="100"/>
        <v/>
      </c>
      <c r="AN166" t="str">
        <f t="shared" si="101"/>
        <v/>
      </c>
      <c r="AP166" s="5" t="str">
        <f>IF(L166="","",VLOOKUP($L166,classifications!$C:$E,3,FALSE))</f>
        <v>North West</v>
      </c>
      <c r="AQ166" s="43">
        <f t="shared" si="102"/>
        <v>522.20000000000005</v>
      </c>
      <c r="AR166" s="40">
        <f>IF(AQ166="","",IF(I$8="A",(RANK(AQ166,AQ$11:AQ$343,1)+COUNTIF(AQ$11:AQ166,AQ166)-1),(RANK(AQ166,AQ$11:AQ$343)+COUNTIF(AQ$11:AQ166,AQ166)-1)))</f>
        <v>15</v>
      </c>
      <c r="AS166" s="3" t="str">
        <f t="shared" si="103"/>
        <v/>
      </c>
      <c r="AT166" s="40" t="str">
        <f t="shared" si="104"/>
        <v/>
      </c>
      <c r="AU166" s="43" t="str">
        <f t="shared" si="105"/>
        <v/>
      </c>
      <c r="AX166">
        <f>HLOOKUP($AX$9&amp;$AX$10,Data!$A$1:$ZZ$1980,(MATCH($C166,Data!$A$1:$A$1980,0)),FALSE)</f>
        <v>527.9</v>
      </c>
    </row>
    <row r="167" spans="1:50">
      <c r="A167" s="59" t="str">
        <f>$D$1&amp;157</f>
        <v>SD157</v>
      </c>
      <c r="B167" s="60">
        <f>IF(ISERROR(VLOOKUP(A170,classifications!A:C,3,FALSE)),0,VLOOKUP(A170,classifications!A:C,3,FALSE))</f>
        <v>0</v>
      </c>
      <c r="C167" t="s">
        <v>272</v>
      </c>
      <c r="D167" t="str">
        <f>VLOOKUP($C167,classifications!$C:$J,4,FALSE)</f>
        <v>UA</v>
      </c>
      <c r="E167">
        <f>VLOOKUP(C167,classifications!C:K,9,FALSE)</f>
        <v>0</v>
      </c>
      <c r="F167">
        <f t="shared" si="83"/>
        <v>521.9</v>
      </c>
      <c r="G167" s="15"/>
      <c r="H167" s="42" t="str">
        <f t="shared" si="84"/>
        <v/>
      </c>
      <c r="I167" s="79" t="str">
        <f>IF(H167="","",IF($I$8="A",(RANK(H167,H$11:H$343,1)+COUNTIF(H$11:H167,H167)-1),(RANK(H167,H$11:H$343)+COUNTIF(H$11:H167,H167)-1)))</f>
        <v/>
      </c>
      <c r="J167" s="41"/>
      <c r="K167" s="36">
        <f t="shared" si="85"/>
        <v>157</v>
      </c>
      <c r="L167" t="str">
        <f t="shared" si="86"/>
        <v>Amber Valley</v>
      </c>
      <c r="M167" s="117">
        <f t="shared" si="87"/>
        <v>526.29999999999995</v>
      </c>
      <c r="N167" s="112">
        <f t="shared" si="88"/>
        <v>526.29999999999995</v>
      </c>
      <c r="O167" s="96" t="str">
        <f t="shared" si="89"/>
        <v/>
      </c>
      <c r="P167" s="96" t="str">
        <f t="shared" si="90"/>
        <v/>
      </c>
      <c r="Q167" s="96" t="str">
        <f t="shared" si="91"/>
        <v/>
      </c>
      <c r="R167" s="92">
        <f t="shared" si="92"/>
        <v>526.29999999999995</v>
      </c>
      <c r="S167" s="42" t="str">
        <f t="shared" si="93"/>
        <v/>
      </c>
      <c r="T167" s="167">
        <f>IF(L167="","",VLOOKUP(L167,classifications!C:K,9,FALSE))</f>
        <v>0</v>
      </c>
      <c r="U167" s="168" t="str">
        <f t="shared" si="94"/>
        <v/>
      </c>
      <c r="V167" s="174" t="str">
        <f>IF(U167="","",IF($I$8="A",(RANK(U167,U$11:U$343)+COUNTIF(U$11:U167,U167)-1),(RANK(U167,U$11:U$343,1)+COUNTIF(U$11:U167,U167)-1)))</f>
        <v/>
      </c>
      <c r="W167" s="175"/>
      <c r="X167" s="5" t="str">
        <f>IF(L167="","",VLOOKUP($L167,classifications!$C:$J,6,FALSE))</f>
        <v>Urban with Minor Conurbation</v>
      </c>
      <c r="Y167" t="str">
        <f t="shared" si="95"/>
        <v/>
      </c>
      <c r="Z167" s="40" t="str">
        <f>IF(Y167="","",IF(I$8="A",(RANK(Y167,Y$11:Y$343,1)+COUNTIF(Y$11:Y167,Y167)-1),(RANK(Y167,Y$11:Y$343)+COUNTIF(Y$11:Y167,Y167)-1)))</f>
        <v/>
      </c>
      <c r="AA167" s="180" t="str">
        <f>IF(L167="","",VLOOKUP($L167,classifications!C:I,7,FALSE))</f>
        <v>Predominantly Urban</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Derbyshire</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East Midlands</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521.9</v>
      </c>
    </row>
    <row r="168" spans="1:50">
      <c r="A168" s="59" t="str">
        <f>$D$1&amp;158</f>
        <v>SD158</v>
      </c>
      <c r="B168" s="60">
        <f>IF(ISERROR(VLOOKUP(A171,classifications!A:C,3,FALSE)),0,VLOOKUP(A171,classifications!A:C,3,FALSE))</f>
        <v>0</v>
      </c>
      <c r="C168" t="s">
        <v>318</v>
      </c>
      <c r="D168" t="str">
        <f>VLOOKUP($C168,classifications!$C:$J,4,FALSE)</f>
        <v>SC</v>
      </c>
      <c r="E168">
        <f>VLOOKUP(C168,classifications!C:K,9,FALSE)</f>
        <v>0</v>
      </c>
      <c r="F168">
        <f t="shared" si="83"/>
        <v>540.1</v>
      </c>
      <c r="G168" s="15"/>
      <c r="H168" s="42" t="str">
        <f t="shared" si="84"/>
        <v/>
      </c>
      <c r="I168" s="79" t="str">
        <f>IF(H168="","",IF($I$8="A",(RANK(H168,H$11:H$343,1)+COUNTIF(H$11:H168,H168)-1),(RANK(H168,H$11:H$343)+COUNTIF(H$11:H168,H168)-1)))</f>
        <v/>
      </c>
      <c r="J168" s="41"/>
      <c r="K168" s="36">
        <f t="shared" si="85"/>
        <v>158</v>
      </c>
      <c r="L168" t="str">
        <f t="shared" si="86"/>
        <v>Great Yarmouth</v>
      </c>
      <c r="M168" s="117">
        <f t="shared" si="87"/>
        <v>529</v>
      </c>
      <c r="N168" s="112">
        <f t="shared" si="88"/>
        <v>529</v>
      </c>
      <c r="O168" s="96" t="str">
        <f t="shared" si="89"/>
        <v/>
      </c>
      <c r="P168" s="96" t="str">
        <f t="shared" si="90"/>
        <v/>
      </c>
      <c r="Q168" s="96" t="str">
        <f t="shared" si="91"/>
        <v/>
      </c>
      <c r="R168" s="92">
        <f t="shared" si="92"/>
        <v>529</v>
      </c>
      <c r="S168" s="42" t="str">
        <f t="shared" si="93"/>
        <v/>
      </c>
      <c r="T168" s="167">
        <f>IF(L168="","",VLOOKUP(L168,classifications!C:K,9,FALSE))</f>
        <v>0</v>
      </c>
      <c r="U168" s="168" t="str">
        <f t="shared" si="94"/>
        <v/>
      </c>
      <c r="V168" s="174" t="str">
        <f>IF(U168="","",IF($I$8="A",(RANK(U168,U$11:U$343)+COUNTIF(U$11:U168,U168)-1),(RANK(U168,U$11:U$343,1)+COUNTIF(U$11:U168,U168)-1)))</f>
        <v/>
      </c>
      <c r="W168" s="175"/>
      <c r="X168" s="5" t="str">
        <f>IF(L168="","",VLOOKUP($L168,classifications!$C:$J,6,FALSE))</f>
        <v>Urban with Significant Rural (rural including hub towns 26-49%)</v>
      </c>
      <c r="Y168" t="str">
        <f t="shared" si="95"/>
        <v/>
      </c>
      <c r="Z168" s="40" t="str">
        <f>IF(Y168="","",IF(I$8="A",(RANK(Y168,Y$11:Y$343,1)+COUNTIF(Y$11:Y168,Y168)-1),(RANK(Y168,Y$11:Y$343)+COUNTIF(Y$11:Y168,Y168)-1)))</f>
        <v/>
      </c>
      <c r="AA168" s="180" t="str">
        <f>IF(L168="","",VLOOKUP($L168,classifications!C:I,7,FALSE))</f>
        <v>Significant Rural</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Norfolk</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East of England</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540.1</v>
      </c>
    </row>
    <row r="169" spans="1:50">
      <c r="A169" s="59" t="str">
        <f>$D$1&amp;159</f>
        <v>SD159</v>
      </c>
      <c r="B169" s="60">
        <f>IF(ISERROR(VLOOKUP(A172,classifications!A:C,3,FALSE)),0,VLOOKUP(A172,classifications!A:C,3,FALSE))</f>
        <v>0</v>
      </c>
      <c r="C169" t="s">
        <v>93</v>
      </c>
      <c r="D169" t="str">
        <f>VLOOKUP($C169,classifications!$C:$J,4,FALSE)</f>
        <v>SD</v>
      </c>
      <c r="E169" t="str">
        <f>VLOOKUP(C169,classifications!C:K,9,FALSE)</f>
        <v>Sparse</v>
      </c>
      <c r="F169">
        <f t="shared" si="83"/>
        <v>426.3</v>
      </c>
      <c r="G169" s="15"/>
      <c r="H169" s="42">
        <f t="shared" si="84"/>
        <v>426.3</v>
      </c>
      <c r="I169" s="79">
        <f>IF(H169="","",IF($I$8="A",(RANK(H169,H$11:H$343,1)+COUNTIF(H$11:H169,H169)-1),(RANK(H169,H$11:H$343)+COUNTIF(H$11:H169,H169)-1)))</f>
        <v>69</v>
      </c>
      <c r="J169" s="41"/>
      <c r="K169" s="36">
        <f t="shared" si="85"/>
        <v>159</v>
      </c>
      <c r="L169" t="str">
        <f t="shared" si="86"/>
        <v>Selby</v>
      </c>
      <c r="M169" s="117">
        <f t="shared" si="87"/>
        <v>530</v>
      </c>
      <c r="N169" s="112">
        <f t="shared" si="88"/>
        <v>530</v>
      </c>
      <c r="O169" s="96" t="str">
        <f t="shared" si="89"/>
        <v/>
      </c>
      <c r="P169" s="96" t="str">
        <f t="shared" si="90"/>
        <v/>
      </c>
      <c r="Q169" s="96" t="str">
        <f t="shared" si="91"/>
        <v/>
      </c>
      <c r="R169" s="92">
        <f t="shared" si="92"/>
        <v>530</v>
      </c>
      <c r="S169" s="42" t="str">
        <f t="shared" si="93"/>
        <v/>
      </c>
      <c r="T169" s="167" t="str">
        <f>IF(L169="","",VLOOKUP(L169,classifications!C:K,9,FALSE))</f>
        <v>Sparse</v>
      </c>
      <c r="U169" s="168">
        <f t="shared" si="94"/>
        <v>530</v>
      </c>
      <c r="V169" s="174">
        <f>IF(U169="","",IF($I$8="A",(RANK(U169,U$11:U$343)+COUNTIF(U$11:U169,U169)-1),(RANK(U169,U$11:U$343,1)+COUNTIF(U$11:U169,U169)-1)))</f>
        <v>3</v>
      </c>
      <c r="W169" s="175"/>
      <c r="X169" s="5" t="str">
        <f>IF(L169="","",VLOOKUP($L169,classifications!$C:$J,6,FALSE))</f>
        <v xml:space="preserve">Mainly Rural (rural including hub towns &gt;=80%) </v>
      </c>
      <c r="Y169">
        <f t="shared" si="95"/>
        <v>530</v>
      </c>
      <c r="Z169" s="40">
        <f>IF(Y169="","",IF(I$8="A",(RANK(Y169,Y$11:Y$343,1)+COUNTIF(Y$11:Y169,Y169)-1),(RANK(Y169,Y$11:Y$343)+COUNTIF(Y$11:Y169,Y169)-1)))</f>
        <v>36</v>
      </c>
      <c r="AA169" s="180" t="str">
        <f>IF(L169="","",VLOOKUP($L169,classifications!C:I,7,FALSE))</f>
        <v>Predominantly Rural</v>
      </c>
      <c r="AB169" s="174">
        <f t="shared" si="96"/>
        <v>530</v>
      </c>
      <c r="AC169" s="174">
        <f>IF(AB169="","",IF($I$8="A",(RANK(AB169,AB$11:AB$343)+COUNTIF(AB$11:AB169,AB169)-1),(RANK(AB169,AB$11:AB$343,1)+COUNTIF(AB$11:AB169,AB169)-1)))</f>
        <v>6</v>
      </c>
      <c r="AD169" s="174"/>
      <c r="AE169" s="36" t="str">
        <f t="shared" si="97"/>
        <v/>
      </c>
      <c r="AG169" s="15"/>
      <c r="AH169" s="3"/>
      <c r="AI169" s="5" t="str">
        <f>IF(L169="","",VLOOKUP($L169,classifications!$C:$J,8,FALSE))</f>
        <v>North Yorkshire</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Yorkshire &amp; Humberside</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426.3</v>
      </c>
    </row>
    <row r="170" spans="1:50">
      <c r="A170" s="59" t="str">
        <f>$D$1&amp;160</f>
        <v>SD160</v>
      </c>
      <c r="B170" s="60">
        <f>IF(ISERROR(VLOOKUP(A173,classifications!A:C,3,FALSE)),0,VLOOKUP(A173,classifications!A:C,3,FALSE))</f>
        <v>0</v>
      </c>
      <c r="C170" t="s">
        <v>214</v>
      </c>
      <c r="D170" t="str">
        <f>VLOOKUP($C170,classifications!$C:$J,4,FALSE)</f>
        <v>L</v>
      </c>
      <c r="E170">
        <f>VLOOKUP(C170,classifications!C:K,9,FALSE)</f>
        <v>0</v>
      </c>
      <c r="F170">
        <f t="shared" si="83"/>
        <v>513</v>
      </c>
      <c r="G170" s="15"/>
      <c r="H170" s="42" t="str">
        <f t="shared" si="84"/>
        <v/>
      </c>
      <c r="I170" s="79" t="str">
        <f>IF(H170="","",IF($I$8="A",(RANK(H170,H$11:H$343,1)+COUNTIF(H$11:H170,H170)-1),(RANK(H170,H$11:H$343)+COUNTIF(H$11:H170,H170)-1)))</f>
        <v/>
      </c>
      <c r="J170" s="41"/>
      <c r="K170" s="36">
        <f t="shared" si="85"/>
        <v>160</v>
      </c>
      <c r="L170" t="str">
        <f t="shared" si="86"/>
        <v>Gedling</v>
      </c>
      <c r="M170" s="117">
        <f t="shared" si="87"/>
        <v>534.6</v>
      </c>
      <c r="N170" s="112">
        <f t="shared" si="88"/>
        <v>534.6</v>
      </c>
      <c r="O170" s="96" t="str">
        <f t="shared" si="89"/>
        <v/>
      </c>
      <c r="P170" s="96" t="str">
        <f t="shared" si="90"/>
        <v/>
      </c>
      <c r="Q170" s="96" t="str">
        <f t="shared" si="91"/>
        <v/>
      </c>
      <c r="R170" s="92">
        <f t="shared" si="92"/>
        <v>534.6</v>
      </c>
      <c r="S170" s="42" t="str">
        <f t="shared" si="93"/>
        <v/>
      </c>
      <c r="T170" s="167">
        <f>IF(L170="","",VLOOKUP(L170,classifications!C:K,9,FALSE))</f>
        <v>0</v>
      </c>
      <c r="U170" s="168" t="str">
        <f t="shared" si="94"/>
        <v/>
      </c>
      <c r="V170" s="174" t="str">
        <f>IF(U170="","",IF($I$8="A",(RANK(U170,U$11:U$343)+COUNTIF(U$11:U170,U170)-1),(RANK(U170,U$11:U$343,1)+COUNTIF(U$11:U170,U170)-1)))</f>
        <v/>
      </c>
      <c r="W170" s="175"/>
      <c r="X170" s="5" t="str">
        <f>IF(L170="","",VLOOKUP($L170,classifications!$C:$J,6,FALSE))</f>
        <v>Urban with Minor Conurbation</v>
      </c>
      <c r="Y170" t="str">
        <f t="shared" si="95"/>
        <v/>
      </c>
      <c r="Z170" s="40" t="str">
        <f>IF(Y170="","",IF(I$8="A",(RANK(Y170,Y$11:Y$343,1)+COUNTIF(Y$11:Y170,Y170)-1),(RANK(Y170,Y$11:Y$343)+COUNTIF(Y$11:Y170,Y170)-1)))</f>
        <v/>
      </c>
      <c r="AA170" s="180" t="str">
        <f>IF(L170="","",VLOOKUP($L170,classifications!C:I,7,FALSE))</f>
        <v>Predominantly Urban</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Nottinghamshire</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East Midlands</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513</v>
      </c>
    </row>
    <row r="171" spans="1:50">
      <c r="A171" s="59" t="str">
        <f>$D$1&amp;161</f>
        <v>SD161</v>
      </c>
      <c r="B171" s="60">
        <f>IF(ISERROR(VLOOKUP(A174,classifications!A:C,3,FALSE)),0,VLOOKUP(A174,classifications!A:C,3,FALSE))</f>
        <v>0</v>
      </c>
      <c r="C171" t="s">
        <v>94</v>
      </c>
      <c r="D171" t="str">
        <f>VLOOKUP($C171,classifications!$C:$J,4,FALSE)</f>
        <v>SD</v>
      </c>
      <c r="E171" t="str">
        <f>VLOOKUP(C171,classifications!C:K,9,FALSE)</f>
        <v>Sparse</v>
      </c>
      <c r="F171">
        <f t="shared" si="83"/>
        <v>455.7</v>
      </c>
      <c r="G171" s="15"/>
      <c r="H171" s="42">
        <f t="shared" si="84"/>
        <v>455.7</v>
      </c>
      <c r="I171" s="79">
        <f>IF(H171="","",IF($I$8="A",(RANK(H171,H$11:H$343,1)+COUNTIF(H$11:H171,H171)-1),(RANK(H171,H$11:H$343)+COUNTIF(H$11:H171,H171)-1)))</f>
        <v>98</v>
      </c>
      <c r="J171" s="41"/>
      <c r="K171" s="36">
        <f t="shared" si="85"/>
        <v>161</v>
      </c>
      <c r="L171" t="str">
        <f t="shared" si="86"/>
        <v>Preston</v>
      </c>
      <c r="M171" s="117">
        <f t="shared" si="87"/>
        <v>535.79999999999995</v>
      </c>
      <c r="N171" s="112">
        <f t="shared" si="88"/>
        <v>535.79999999999995</v>
      </c>
      <c r="O171" s="96" t="str">
        <f t="shared" si="89"/>
        <v/>
      </c>
      <c r="P171" s="96" t="str">
        <f t="shared" si="90"/>
        <v/>
      </c>
      <c r="Q171" s="96" t="str">
        <f t="shared" si="91"/>
        <v/>
      </c>
      <c r="R171" s="92">
        <f t="shared" si="92"/>
        <v>535.79999999999995</v>
      </c>
      <c r="S171" s="42" t="str">
        <f t="shared" si="93"/>
        <v/>
      </c>
      <c r="T171" s="167">
        <f>IF(L171="","",VLOOKUP(L171,classifications!C:K,9,FALSE))</f>
        <v>0</v>
      </c>
      <c r="U171" s="168" t="str">
        <f t="shared" si="94"/>
        <v/>
      </c>
      <c r="V171" s="174" t="str">
        <f>IF(U171="","",IF($I$8="A",(RANK(U171,U$11:U$343)+COUNTIF(U$11:U171,U171)-1),(RANK(U171,U$11:U$343,1)+COUNTIF(U$11:U171,U171)-1)))</f>
        <v/>
      </c>
      <c r="W171" s="175"/>
      <c r="X171" s="5" t="str">
        <f>IF(L171="","",VLOOKUP($L171,classifications!$C:$J,6,FALSE))</f>
        <v>Urban with City and Town</v>
      </c>
      <c r="Y171" t="str">
        <f t="shared" si="95"/>
        <v/>
      </c>
      <c r="Z171" s="40" t="str">
        <f>IF(Y171="","",IF(I$8="A",(RANK(Y171,Y$11:Y$343,1)+COUNTIF(Y$11:Y171,Y171)-1),(RANK(Y171,Y$11:Y$343)+COUNTIF(Y$11:Y171,Y171)-1)))</f>
        <v/>
      </c>
      <c r="AA171" s="180" t="str">
        <f>IF(L171="","",VLOOKUP($L171,classifications!C:I,7,FALSE))</f>
        <v>Predominantly Urban</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Lancashire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North West</v>
      </c>
      <c r="AQ171" s="43">
        <f t="shared" si="102"/>
        <v>535.79999999999995</v>
      </c>
      <c r="AR171" s="40">
        <f>IF(AQ171="","",IF(I$8="A",(RANK(AQ171,AQ$11:AQ$343,1)+COUNTIF(AQ$11:AQ171,AQ171)-1),(RANK(AQ171,AQ$11:AQ$343)+COUNTIF(AQ$11:AQ171,AQ171)-1)))</f>
        <v>16</v>
      </c>
      <c r="AS171" s="3" t="str">
        <f t="shared" si="103"/>
        <v/>
      </c>
      <c r="AT171" s="40" t="str">
        <f t="shared" si="104"/>
        <v/>
      </c>
      <c r="AU171" s="43" t="str">
        <f t="shared" si="105"/>
        <v/>
      </c>
      <c r="AX171">
        <f>HLOOKUP($AX$9&amp;$AX$10,Data!$A$1:$ZZ$1980,(MATCH($C171,Data!$A$1:$A$1980,0)),FALSE)</f>
        <v>455.7</v>
      </c>
    </row>
    <row r="172" spans="1:50">
      <c r="A172" s="59" t="str">
        <f>$D$1&amp;162</f>
        <v>SD162</v>
      </c>
      <c r="B172" s="60">
        <f>IF(ISERROR(VLOOKUP(A175,classifications!A:C,3,FALSE)),0,VLOOKUP(A175,classifications!A:C,3,FALSE))</f>
        <v>0</v>
      </c>
      <c r="C172" t="s">
        <v>95</v>
      </c>
      <c r="D172" t="str">
        <f>VLOOKUP($C172,classifications!$C:$J,4,FALSE)</f>
        <v>SD</v>
      </c>
      <c r="E172">
        <f>VLOOKUP(C172,classifications!C:K,9,FALSE)</f>
        <v>0</v>
      </c>
      <c r="F172">
        <f t="shared" si="83"/>
        <v>500</v>
      </c>
      <c r="G172" s="15"/>
      <c r="H172" s="42">
        <f t="shared" si="84"/>
        <v>500</v>
      </c>
      <c r="I172" s="79">
        <f>IF(H172="","",IF($I$8="A",(RANK(H172,H$11:H$343,1)+COUNTIF(H$11:H172,H172)-1),(RANK(H172,H$11:H$343)+COUNTIF(H$11:H172,H172)-1)))</f>
        <v>143</v>
      </c>
      <c r="J172" s="41"/>
      <c r="K172" s="36">
        <f t="shared" si="85"/>
        <v>162</v>
      </c>
      <c r="L172" t="str">
        <f t="shared" si="86"/>
        <v>Basildon</v>
      </c>
      <c r="M172" s="117">
        <f t="shared" si="87"/>
        <v>536</v>
      </c>
      <c r="N172" s="112">
        <f t="shared" si="88"/>
        <v>536</v>
      </c>
      <c r="O172" s="96" t="str">
        <f t="shared" si="89"/>
        <v/>
      </c>
      <c r="P172" s="96" t="str">
        <f t="shared" si="90"/>
        <v/>
      </c>
      <c r="Q172" s="96" t="str">
        <f t="shared" si="91"/>
        <v/>
      </c>
      <c r="R172" s="92">
        <f t="shared" si="92"/>
        <v>536</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City and Town</v>
      </c>
      <c r="Y172" t="str">
        <f t="shared" si="95"/>
        <v/>
      </c>
      <c r="Z172" s="40" t="str">
        <f>IF(Y172="","",IF(I$8="A",(RANK(Y172,Y$11:Y$343,1)+COUNTIF(Y$11:Y172,Y172)-1),(RANK(Y172,Y$11:Y$343)+COUNTIF(Y$11:Y172,Y172)-1)))</f>
        <v/>
      </c>
      <c r="AA172" s="180" t="str">
        <f>IF(L172="","",VLOOKUP($L172,classifications!C:I,7,FALSE))</f>
        <v>Predominantly Urban</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Essex</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East of England</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500</v>
      </c>
    </row>
    <row r="173" spans="1:50">
      <c r="A173" s="59" t="str">
        <f>$D$1&amp;163</f>
        <v>SD163</v>
      </c>
      <c r="B173" s="60">
        <f>IF(ISERROR(VLOOKUP(A176,classifications!A:C,3,FALSE)),0,VLOOKUP(A176,classifications!A:C,3,FALSE))</f>
        <v>0</v>
      </c>
      <c r="C173" t="s">
        <v>319</v>
      </c>
      <c r="D173" t="str">
        <f>VLOOKUP($C173,classifications!$C:$J,4,FALSE)</f>
        <v>SC</v>
      </c>
      <c r="E173" t="str">
        <f>VLOOKUP(C173,classifications!C:K,9,FALSE)</f>
        <v>Sparse</v>
      </c>
      <c r="F173">
        <f t="shared" si="83"/>
        <v>560.4</v>
      </c>
      <c r="G173" s="15"/>
      <c r="H173" s="42" t="str">
        <f t="shared" si="84"/>
        <v/>
      </c>
      <c r="I173" s="79" t="str">
        <f>IF(H173="","",IF($I$8="A",(RANK(H173,H$11:H$343,1)+COUNTIF(H$11:H173,H173)-1),(RANK(H173,H$11:H$343)+COUNTIF(H$11:H173,H173)-1)))</f>
        <v/>
      </c>
      <c r="J173" s="41"/>
      <c r="K173" s="36">
        <f t="shared" si="85"/>
        <v>163</v>
      </c>
      <c r="L173" t="str">
        <f t="shared" si="86"/>
        <v>Basingstoke &amp; Deane</v>
      </c>
      <c r="M173" s="117">
        <f t="shared" si="87"/>
        <v>537</v>
      </c>
      <c r="N173" s="112">
        <f t="shared" si="88"/>
        <v>537</v>
      </c>
      <c r="O173" s="96" t="str">
        <f t="shared" si="89"/>
        <v/>
      </c>
      <c r="P173" s="96" t="str">
        <f t="shared" si="90"/>
        <v/>
      </c>
      <c r="Q173" s="96" t="str">
        <f t="shared" si="91"/>
        <v/>
      </c>
      <c r="R173" s="92">
        <f t="shared" si="92"/>
        <v>537</v>
      </c>
      <c r="S173" s="42" t="str">
        <f t="shared" si="93"/>
        <v/>
      </c>
      <c r="T173" s="167">
        <f>IF(L173="","",VLOOKUP(L173,classifications!C:K,9,FALSE))</f>
        <v>0</v>
      </c>
      <c r="U173" s="168" t="str">
        <f t="shared" si="94"/>
        <v/>
      </c>
      <c r="V173" s="174" t="str">
        <f>IF(U173="","",IF($I$8="A",(RANK(U173,U$11:U$343)+COUNTIF(U$11:U173,U173)-1),(RANK(U173,U$11:U$343,1)+COUNTIF(U$11:U173,U173)-1)))</f>
        <v/>
      </c>
      <c r="W173" s="175"/>
      <c r="X173" s="5" t="str">
        <f>IF(L173="","",VLOOKUP($L173,classifications!$C:$J,6,FALSE))</f>
        <v>Urban with Significant Rural (rural including hub towns 26-49%)</v>
      </c>
      <c r="Y173" t="str">
        <f t="shared" si="95"/>
        <v/>
      </c>
      <c r="Z173" s="40" t="str">
        <f>IF(Y173="","",IF(I$8="A",(RANK(Y173,Y$11:Y$343,1)+COUNTIF(Y$11:Y173,Y173)-1),(RANK(Y173,Y$11:Y$343)+COUNTIF(Y$11:Y173,Y173)-1)))</f>
        <v/>
      </c>
      <c r="AA173" s="180" t="str">
        <f>IF(L173="","",VLOOKUP($L173,classifications!C:I,7,FALSE))</f>
        <v>Significant Rural</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Hampshire</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South East</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560.4</v>
      </c>
    </row>
    <row r="174" spans="1:50">
      <c r="A174" s="59" t="str">
        <f>$D$1&amp;164</f>
        <v>SD164</v>
      </c>
      <c r="B174" s="60">
        <f>IF(ISERROR(VLOOKUP(A177,classifications!A:C,3,FALSE)),0,VLOOKUP(A177,classifications!A:C,3,FALSE))</f>
        <v>0</v>
      </c>
      <c r="C174" t="s">
        <v>236</v>
      </c>
      <c r="D174" t="str">
        <f>VLOOKUP($C174,classifications!$C:$J,4,FALSE)</f>
        <v>MD</v>
      </c>
      <c r="E174">
        <f>VLOOKUP(C174,classifications!C:K,9,FALSE)</f>
        <v>0</v>
      </c>
      <c r="F174">
        <f t="shared" si="83"/>
        <v>633.5</v>
      </c>
      <c r="G174" s="15"/>
      <c r="H174" s="42" t="str">
        <f t="shared" si="84"/>
        <v/>
      </c>
      <c r="I174" s="79" t="str">
        <f>IF(H174="","",IF($I$8="A",(RANK(H174,H$11:H$343,1)+COUNTIF(H$11:H174,H174)-1),(RANK(H174,H$11:H$343)+COUNTIF(H$11:H174,H174)-1)))</f>
        <v/>
      </c>
      <c r="J174" s="41"/>
      <c r="K174" s="36">
        <f t="shared" si="85"/>
        <v>164</v>
      </c>
      <c r="L174" t="str">
        <f t="shared" si="86"/>
        <v>Bolsover</v>
      </c>
      <c r="M174" s="117">
        <f t="shared" si="87"/>
        <v>547.6</v>
      </c>
      <c r="N174" s="112">
        <f t="shared" si="88"/>
        <v>547.6</v>
      </c>
      <c r="O174" s="96" t="str">
        <f t="shared" si="89"/>
        <v/>
      </c>
      <c r="P174" s="96" t="str">
        <f t="shared" si="90"/>
        <v/>
      </c>
      <c r="Q174" s="96" t="str">
        <f t="shared" si="91"/>
        <v/>
      </c>
      <c r="R174" s="92">
        <f t="shared" si="92"/>
        <v>547.6</v>
      </c>
      <c r="S174" s="42" t="str">
        <f t="shared" si="93"/>
        <v/>
      </c>
      <c r="T174" s="167">
        <f>IF(L174="","",VLOOKUP(L174,classifications!C:K,9,FALSE))</f>
        <v>0</v>
      </c>
      <c r="U174" s="168" t="str">
        <f t="shared" si="94"/>
        <v/>
      </c>
      <c r="V174" s="174" t="str">
        <f>IF(U174="","",IF($I$8="A",(RANK(U174,U$11:U$343)+COUNTIF(U$11:U174,U174)-1),(RANK(U174,U$11:U$343,1)+COUNTIF(U$11:U174,U174)-1)))</f>
        <v/>
      </c>
      <c r="W174" s="175"/>
      <c r="X174" s="5" t="str">
        <f>IF(L174="","",VLOOKUP($L174,classifications!$C:$J,6,FALSE))</f>
        <v>Urban with Significant Rural (rural including hub towns 26-49%)</v>
      </c>
      <c r="Y174" t="str">
        <f t="shared" si="95"/>
        <v/>
      </c>
      <c r="Z174" s="40" t="str">
        <f>IF(Y174="","",IF(I$8="A",(RANK(Y174,Y$11:Y$343,1)+COUNTIF(Y$11:Y174,Y174)-1),(RANK(Y174,Y$11:Y$343)+COUNTIF(Y$11:Y174,Y174)-1)))</f>
        <v/>
      </c>
      <c r="AA174" s="180" t="str">
        <f>IF(L174="","",VLOOKUP($L174,classifications!C:I,7,FALSE))</f>
        <v>Significant Rural</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Derbyshire</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East Midlands</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633.5</v>
      </c>
    </row>
    <row r="175" spans="1:50">
      <c r="A175" s="59" t="str">
        <f>$D$1&amp;165</f>
        <v>SD165</v>
      </c>
      <c r="B175" s="60">
        <f>IF(ISERROR(VLOOKUP(A178,classifications!A:C,3,FALSE)),0,VLOOKUP(A178,classifications!A:C,3,FALSE))</f>
        <v>0</v>
      </c>
      <c r="C175" t="s">
        <v>273</v>
      </c>
      <c r="D175" t="str">
        <f>VLOOKUP($C175,classifications!$C:$J,4,FALSE)</f>
        <v>UA</v>
      </c>
      <c r="E175">
        <f>VLOOKUP(C175,classifications!C:K,9,FALSE)</f>
        <v>0</v>
      </c>
      <c r="F175">
        <f t="shared" si="83"/>
        <v>664.8</v>
      </c>
      <c r="G175" s="15"/>
      <c r="H175" s="42" t="str">
        <f t="shared" si="84"/>
        <v/>
      </c>
      <c r="I175" s="79" t="str">
        <f>IF(H175="","",IF($I$8="A",(RANK(H175,H$11:H$343,1)+COUNTIF(H$11:H175,H175)-1),(RANK(H175,H$11:H$343)+COUNTIF(H$11:H175,H175)-1)))</f>
        <v/>
      </c>
      <c r="J175" s="41"/>
      <c r="K175" s="36">
        <f t="shared" si="85"/>
        <v>165</v>
      </c>
      <c r="L175" t="str">
        <f t="shared" si="86"/>
        <v>Fenland</v>
      </c>
      <c r="M175" s="117">
        <f t="shared" si="87"/>
        <v>551.4</v>
      </c>
      <c r="N175" s="112">
        <f t="shared" si="88"/>
        <v>551.4</v>
      </c>
      <c r="O175" s="96" t="str">
        <f t="shared" si="89"/>
        <v/>
      </c>
      <c r="P175" s="96" t="str">
        <f t="shared" si="90"/>
        <v/>
      </c>
      <c r="Q175" s="96" t="str">
        <f t="shared" si="91"/>
        <v/>
      </c>
      <c r="R175" s="92">
        <f t="shared" si="92"/>
        <v>551.4</v>
      </c>
      <c r="S175" s="42" t="str">
        <f t="shared" si="93"/>
        <v/>
      </c>
      <c r="T175" s="167">
        <f>IF(L175="","",VLOOKUP(L175,classifications!C:K,9,FALSE))</f>
        <v>0</v>
      </c>
      <c r="U175" s="168" t="str">
        <f t="shared" si="94"/>
        <v/>
      </c>
      <c r="V175" s="174" t="str">
        <f>IF(U175="","",IF($I$8="A",(RANK(U175,U$11:U$343)+COUNTIF(U$11:U175,U175)-1),(RANK(U175,U$11:U$343,1)+COUNTIF(U$11:U175,U175)-1)))</f>
        <v/>
      </c>
      <c r="W175" s="175"/>
      <c r="X175" s="5" t="str">
        <f>IF(L175="","",VLOOKUP($L175,classifications!$C:$J,6,FALSE))</f>
        <v xml:space="preserve">Largely Rural (rural including hub towns 50-79%) </v>
      </c>
      <c r="Y175" t="str">
        <f t="shared" si="95"/>
        <v/>
      </c>
      <c r="Z175" s="40" t="str">
        <f>IF(Y175="","",IF(I$8="A",(RANK(Y175,Y$11:Y$343,1)+COUNTIF(Y$11:Y175,Y175)-1),(RANK(Y175,Y$11:Y$343)+COUNTIF(Y$11:Y175,Y175)-1)))</f>
        <v/>
      </c>
      <c r="AA175" s="180" t="str">
        <f>IF(L175="","",VLOOKUP($L175,classifications!C:I,7,FALSE))</f>
        <v>Predominantly Rural</v>
      </c>
      <c r="AB175" s="174">
        <f t="shared" si="96"/>
        <v>551.4</v>
      </c>
      <c r="AC175" s="174">
        <f>IF(AB175="","",IF($I$8="A",(RANK(AB175,AB$11:AB$343)+COUNTIF(AB$11:AB175,AB175)-1),(RANK(AB175,AB$11:AB$343,1)+COUNTIF(AB$11:AB175,AB175)-1)))</f>
        <v>5</v>
      </c>
      <c r="AD175" s="174"/>
      <c r="AE175" s="36" t="str">
        <f t="shared" si="97"/>
        <v/>
      </c>
      <c r="AG175" s="15"/>
      <c r="AH175" s="3"/>
      <c r="AI175" s="5" t="str">
        <f>IF(L175="","",VLOOKUP($L175,classifications!$C:$J,8,FALSE))</f>
        <v>Cambridgeshire</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East of England</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664.8</v>
      </c>
    </row>
    <row r="176" spans="1:50">
      <c r="A176" s="59" t="str">
        <f>$D$1&amp;166</f>
        <v>SD166</v>
      </c>
      <c r="B176" s="60">
        <f>IF(ISERROR(VLOOKUP(A179,classifications!A:C,3,FALSE)),0,VLOOKUP(A179,classifications!A:C,3,FALSE))</f>
        <v>0</v>
      </c>
      <c r="C176" t="s">
        <v>96</v>
      </c>
      <c r="D176" t="str">
        <f>VLOOKUP($C176,classifications!$C:$J,4,FALSE)</f>
        <v>SD</v>
      </c>
      <c r="E176">
        <f>VLOOKUP(C176,classifications!C:K,9,FALSE)</f>
        <v>0</v>
      </c>
      <c r="F176">
        <f t="shared" si="83"/>
        <v>381.9</v>
      </c>
      <c r="G176" s="15"/>
      <c r="H176" s="42">
        <f t="shared" si="84"/>
        <v>381.9</v>
      </c>
      <c r="I176" s="79">
        <f>IF(H176="","",IF($I$8="A",(RANK(H176,H$11:H$343,1)+COUNTIF(H$11:H176,H176)-1),(RANK(H176,H$11:H$343)+COUNTIF(H$11:H176,H176)-1)))</f>
        <v>33</v>
      </c>
      <c r="J176" s="41"/>
      <c r="K176" s="36">
        <f t="shared" si="85"/>
        <v>166</v>
      </c>
      <c r="L176" t="str">
        <f t="shared" si="86"/>
        <v>Ipswich</v>
      </c>
      <c r="M176" s="117">
        <f t="shared" si="87"/>
        <v>553.20000000000005</v>
      </c>
      <c r="N176" s="112">
        <f t="shared" si="88"/>
        <v>553.20000000000005</v>
      </c>
      <c r="O176" s="96" t="str">
        <f t="shared" si="89"/>
        <v/>
      </c>
      <c r="P176" s="96" t="str">
        <f t="shared" si="90"/>
        <v/>
      </c>
      <c r="Q176" s="96" t="str">
        <f t="shared" si="91"/>
        <v/>
      </c>
      <c r="R176" s="92">
        <f t="shared" si="92"/>
        <v>553.20000000000005</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Urban with City and Town</v>
      </c>
      <c r="Y176" t="str">
        <f t="shared" si="95"/>
        <v/>
      </c>
      <c r="Z176" s="40" t="str">
        <f>IF(Y176="","",IF(I$8="A",(RANK(Y176,Y$11:Y$343,1)+COUNTIF(Y$11:Y176,Y176)-1),(RANK(Y176,Y$11:Y$343)+COUNTIF(Y$11:Y176,Y176)-1)))</f>
        <v/>
      </c>
      <c r="AA176" s="180" t="str">
        <f>IF(L176="","",VLOOKUP($L176,classifications!C:I,7,FALSE))</f>
        <v>Predominantly Urban</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Suffolk</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East of England</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381.9</v>
      </c>
    </row>
    <row r="177" spans="1:50">
      <c r="A177" s="59" t="str">
        <f>$D$1&amp;167</f>
        <v>SD167</v>
      </c>
      <c r="B177" s="60">
        <f>IF(ISERROR(VLOOKUP(A180,classifications!A:C,3,FALSE)),0,VLOOKUP(A180,classifications!A:C,3,FALSE))</f>
        <v>0</v>
      </c>
      <c r="C177" t="s">
        <v>97</v>
      </c>
      <c r="D177" t="str">
        <f>VLOOKUP($C177,classifications!$C:$J,4,FALSE)</f>
        <v>SD</v>
      </c>
      <c r="E177">
        <f>VLOOKUP(C177,classifications!C:K,9,FALSE)</f>
        <v>0</v>
      </c>
      <c r="F177">
        <f t="shared" si="83"/>
        <v>347.5</v>
      </c>
      <c r="G177" s="15"/>
      <c r="H177" s="42">
        <f t="shared" si="84"/>
        <v>347.5</v>
      </c>
      <c r="I177" s="79">
        <f>IF(H177="","",IF($I$8="A",(RANK(H177,H$11:H$343,1)+COUNTIF(H$11:H177,H177)-1),(RANK(H177,H$11:H$343)+COUNTIF(H$11:H177,H177)-1)))</f>
        <v>20</v>
      </c>
      <c r="J177" s="41"/>
      <c r="K177" s="36">
        <f t="shared" si="85"/>
        <v>167</v>
      </c>
      <c r="L177" t="str">
        <f t="shared" si="86"/>
        <v>South Holland</v>
      </c>
      <c r="M177" s="117">
        <f t="shared" si="87"/>
        <v>555.4</v>
      </c>
      <c r="N177" s="112">
        <f t="shared" si="88"/>
        <v>555.4</v>
      </c>
      <c r="O177" s="96" t="str">
        <f t="shared" si="89"/>
        <v/>
      </c>
      <c r="P177" s="96" t="str">
        <f t="shared" si="90"/>
        <v/>
      </c>
      <c r="Q177" s="96" t="str">
        <f t="shared" si="91"/>
        <v/>
      </c>
      <c r="R177" s="92">
        <f t="shared" si="92"/>
        <v>555.4</v>
      </c>
      <c r="S177" s="42" t="str">
        <f t="shared" si="93"/>
        <v/>
      </c>
      <c r="T177" s="167" t="str">
        <f>IF(L177="","",VLOOKUP(L177,classifications!C:K,9,FALSE))</f>
        <v>Sparse</v>
      </c>
      <c r="U177" s="168">
        <f t="shared" si="94"/>
        <v>555.4</v>
      </c>
      <c r="V177" s="174">
        <f>IF(U177="","",IF($I$8="A",(RANK(U177,U$11:U$343)+COUNTIF(U$11:U177,U177)-1),(RANK(U177,U$11:U$343,1)+COUNTIF(U$11:U177,U177)-1)))</f>
        <v>2</v>
      </c>
      <c r="W177" s="175"/>
      <c r="X177" s="5" t="str">
        <f>IF(L177="","",VLOOKUP($L177,classifications!$C:$J,6,FALSE))</f>
        <v xml:space="preserve">Largely Rural (rural including hub towns 50-79%) </v>
      </c>
      <c r="Y177" t="str">
        <f t="shared" si="95"/>
        <v/>
      </c>
      <c r="Z177" s="40" t="str">
        <f>IF(Y177="","",IF(I$8="A",(RANK(Y177,Y$11:Y$343,1)+COUNTIF(Y$11:Y177,Y177)-1),(RANK(Y177,Y$11:Y$343)+COUNTIF(Y$11:Y177,Y177)-1)))</f>
        <v/>
      </c>
      <c r="AA177" s="180" t="str">
        <f>IF(L177="","",VLOOKUP($L177,classifications!C:I,7,FALSE))</f>
        <v>Predominantly Rural</v>
      </c>
      <c r="AB177" s="174">
        <f t="shared" si="96"/>
        <v>555.4</v>
      </c>
      <c r="AC177" s="174">
        <f>IF(AB177="","",IF($I$8="A",(RANK(AB177,AB$11:AB$343)+COUNTIF(AB$11:AB177,AB177)-1),(RANK(AB177,AB$11:AB$343,1)+COUNTIF(AB$11:AB177,AB177)-1)))</f>
        <v>4</v>
      </c>
      <c r="AD177" s="174"/>
      <c r="AE177" s="36" t="str">
        <f t="shared" si="97"/>
        <v/>
      </c>
      <c r="AG177" s="15"/>
      <c r="AH177" s="3"/>
      <c r="AI177" s="5" t="str">
        <f>IF(L177="","",VLOOKUP($L177,classifications!$C:$J,8,FALSE))</f>
        <v>Lincolnshire</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East Midlands</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347.5</v>
      </c>
    </row>
    <row r="178" spans="1:50">
      <c r="A178" s="59" t="str">
        <f>$D$1&amp;168</f>
        <v>SD168</v>
      </c>
      <c r="B178" s="60">
        <f>IF(ISERROR(VLOOKUP(A181,classifications!A:C,3,FALSE)),0,VLOOKUP(A181,classifications!A:C,3,FALSE))</f>
        <v>0</v>
      </c>
      <c r="C178" t="s">
        <v>98</v>
      </c>
      <c r="D178" t="str">
        <f>VLOOKUP($C178,classifications!$C:$J,4,FALSE)</f>
        <v>SD</v>
      </c>
      <c r="E178" t="str">
        <f>VLOOKUP(C178,classifications!C:K,9,FALSE)</f>
        <v>Sparse</v>
      </c>
      <c r="F178">
        <f t="shared" si="83"/>
        <v>393.1</v>
      </c>
      <c r="G178" s="15"/>
      <c r="H178" s="42">
        <f t="shared" si="84"/>
        <v>393.1</v>
      </c>
      <c r="I178" s="79">
        <f>IF(H178="","",IF($I$8="A",(RANK(H178,H$11:H$343,1)+COUNTIF(H$11:H178,H178)-1),(RANK(H178,H$11:H$343)+COUNTIF(H$11:H178,H178)-1)))</f>
        <v>41</v>
      </c>
      <c r="J178" s="41"/>
      <c r="K178" s="36">
        <f t="shared" si="85"/>
        <v>168</v>
      </c>
      <c r="L178" t="str">
        <f t="shared" si="86"/>
        <v>North Warwickshire</v>
      </c>
      <c r="M178" s="117">
        <f t="shared" si="87"/>
        <v>557.5</v>
      </c>
      <c r="N178" s="112">
        <f t="shared" si="88"/>
        <v>557.5</v>
      </c>
      <c r="O178" s="96" t="str">
        <f t="shared" si="89"/>
        <v/>
      </c>
      <c r="P178" s="96" t="str">
        <f t="shared" si="90"/>
        <v/>
      </c>
      <c r="Q178" s="96" t="str">
        <f t="shared" si="91"/>
        <v/>
      </c>
      <c r="R178" s="92">
        <f t="shared" si="92"/>
        <v>557.5</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 xml:space="preserve">Mainly Rural (rural including hub towns &gt;=80%) </v>
      </c>
      <c r="Y178">
        <f t="shared" si="95"/>
        <v>557.5</v>
      </c>
      <c r="Z178" s="40">
        <f>IF(Y178="","",IF(I$8="A",(RANK(Y178,Y$11:Y$343,1)+COUNTIF(Y$11:Y178,Y178)-1),(RANK(Y178,Y$11:Y$343)+COUNTIF(Y$11:Y178,Y178)-1)))</f>
        <v>37</v>
      </c>
      <c r="AA178" s="180" t="str">
        <f>IF(L178="","",VLOOKUP($L178,classifications!C:I,7,FALSE))</f>
        <v>Predominantly Rural</v>
      </c>
      <c r="AB178" s="174">
        <f t="shared" si="96"/>
        <v>557.5</v>
      </c>
      <c r="AC178" s="174">
        <f>IF(AB178="","",IF($I$8="A",(RANK(AB178,AB$11:AB$343)+COUNTIF(AB$11:AB178,AB178)-1),(RANK(AB178,AB$11:AB$343,1)+COUNTIF(AB$11:AB178,AB178)-1)))</f>
        <v>3</v>
      </c>
      <c r="AD178" s="174"/>
      <c r="AE178" s="36" t="str">
        <f t="shared" si="97"/>
        <v/>
      </c>
      <c r="AG178" s="15"/>
      <c r="AH178" s="3"/>
      <c r="AI178" s="5" t="str">
        <f>IF(L178="","",VLOOKUP($L178,classifications!$C:$J,8,FALSE))</f>
        <v>Warwickshire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West Midlands</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393.1</v>
      </c>
    </row>
    <row r="179" spans="1:50">
      <c r="A179" s="59" t="str">
        <f>$D$1&amp;169</f>
        <v>SD169</v>
      </c>
      <c r="B179" s="60">
        <f>IF(ISERROR(VLOOKUP(A182,classifications!A:C,3,FALSE)),0,VLOOKUP(A182,classifications!A:C,3,FALSE))</f>
        <v>0</v>
      </c>
      <c r="C179" t="s">
        <v>237</v>
      </c>
      <c r="D179" t="str">
        <f>VLOOKUP($C179,classifications!$C:$J,4,FALSE)</f>
        <v>MD</v>
      </c>
      <c r="E179">
        <f>VLOOKUP(C179,classifications!C:K,9,FALSE)</f>
        <v>0</v>
      </c>
      <c r="F179">
        <f t="shared" si="83"/>
        <v>401.3</v>
      </c>
      <c r="G179" s="15"/>
      <c r="H179" s="42" t="str">
        <f t="shared" si="84"/>
        <v/>
      </c>
      <c r="I179" s="79" t="str">
        <f>IF(H179="","",IF($I$8="A",(RANK(H179,H$11:H$343,1)+COUNTIF(H$11:H179,H179)-1),(RANK(H179,H$11:H$343)+COUNTIF(H$11:H179,H179)-1)))</f>
        <v/>
      </c>
      <c r="J179" s="41"/>
      <c r="K179" s="36">
        <f t="shared" si="85"/>
        <v>169</v>
      </c>
      <c r="L179" t="str">
        <f t="shared" si="86"/>
        <v>Barrow-in-Furness</v>
      </c>
      <c r="M179" s="117">
        <f t="shared" si="87"/>
        <v>558.70000000000005</v>
      </c>
      <c r="N179" s="112">
        <f t="shared" si="88"/>
        <v>558.70000000000005</v>
      </c>
      <c r="O179" s="96" t="str">
        <f t="shared" si="89"/>
        <v/>
      </c>
      <c r="P179" s="96" t="str">
        <f t="shared" si="90"/>
        <v/>
      </c>
      <c r="Q179" s="96" t="str">
        <f t="shared" si="91"/>
        <v/>
      </c>
      <c r="R179" s="92">
        <f t="shared" si="92"/>
        <v>558.70000000000005</v>
      </c>
      <c r="S179" s="42" t="str">
        <f t="shared" si="93"/>
        <v/>
      </c>
      <c r="T179" s="167">
        <f>IF(L179="","",VLOOKUP(L179,classifications!C:K,9,FALSE))</f>
        <v>0</v>
      </c>
      <c r="U179" s="168" t="str">
        <f t="shared" si="94"/>
        <v/>
      </c>
      <c r="V179" s="174" t="str">
        <f>IF(U179="","",IF($I$8="A",(RANK(U179,U$11:U$343)+COUNTIF(U$11:U179,U179)-1),(RANK(U179,U$11:U$343,1)+COUNTIF(U$11:U179,U179)-1)))</f>
        <v/>
      </c>
      <c r="W179" s="175"/>
      <c r="X179" s="5" t="str">
        <f>IF(L179="","",VLOOKUP($L179,classifications!$C:$J,6,FALSE))</f>
        <v>Urban with Significant Rural (rural including hub towns 26-49%)</v>
      </c>
      <c r="Y179" t="str">
        <f t="shared" si="95"/>
        <v/>
      </c>
      <c r="Z179" s="40" t="str">
        <f>IF(Y179="","",IF(I$8="A",(RANK(Y179,Y$11:Y$343,1)+COUNTIF(Y$11:Y179,Y179)-1),(RANK(Y179,Y$11:Y$343)+COUNTIF(Y$11:Y179,Y179)-1)))</f>
        <v/>
      </c>
      <c r="AA179" s="180" t="str">
        <f>IF(L179="","",VLOOKUP($L179,classifications!C:I,7,FALSE))</f>
        <v>Significant Rural</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Cumbria</v>
      </c>
      <c r="AJ179" s="43">
        <f t="shared" si="98"/>
        <v>558.70000000000005</v>
      </c>
      <c r="AK179" s="40">
        <f>IF(AJ179="","",IF(I$8="A",(RANK(AJ179,AJ$11:AJ$343,1)+COUNTIF(AJ$11:AJ179,AJ179)-1),(RANK(AJ179,AJ$11:AJ$343)+COUNTIF(AJ$11:AJ179,AJ179)-1)))</f>
        <v>6</v>
      </c>
      <c r="AL179" s="3" t="str">
        <f t="shared" si="99"/>
        <v/>
      </c>
      <c r="AM179" t="str">
        <f t="shared" si="100"/>
        <v/>
      </c>
      <c r="AN179" t="str">
        <f t="shared" si="101"/>
        <v/>
      </c>
      <c r="AP179" s="5" t="str">
        <f>IF(L179="","",VLOOKUP($L179,classifications!$C:$E,3,FALSE))</f>
        <v>North West</v>
      </c>
      <c r="AQ179" s="43">
        <f t="shared" si="102"/>
        <v>558.70000000000005</v>
      </c>
      <c r="AR179" s="40">
        <f>IF(AQ179="","",IF(I$8="A",(RANK(AQ179,AQ$11:AQ$343,1)+COUNTIF(AQ$11:AQ179,AQ179)-1),(RANK(AQ179,AQ$11:AQ$343)+COUNTIF(AQ$11:AQ179,AQ179)-1)))</f>
        <v>17</v>
      </c>
      <c r="AS179" s="3" t="str">
        <f t="shared" si="103"/>
        <v/>
      </c>
      <c r="AT179" s="40" t="str">
        <f t="shared" si="104"/>
        <v/>
      </c>
      <c r="AU179" s="43" t="str">
        <f t="shared" si="105"/>
        <v/>
      </c>
      <c r="AX179">
        <f>HLOOKUP($AX$9&amp;$AX$10,Data!$A$1:$ZZ$1980,(MATCH($C179,Data!$A$1:$A$1980,0)),FALSE)</f>
        <v>401.3</v>
      </c>
    </row>
    <row r="180" spans="1:50">
      <c r="A180" s="59" t="str">
        <f>$D$1&amp;170</f>
        <v>SD170</v>
      </c>
      <c r="B180" s="60">
        <f>IF(ISERROR(VLOOKUP(A183,classifications!A:C,3,FALSE)),0,VLOOKUP(A183,classifications!A:C,3,FALSE))</f>
        <v>0</v>
      </c>
      <c r="C180" t="s">
        <v>99</v>
      </c>
      <c r="D180" t="str">
        <f>VLOOKUP($C180,classifications!$C:$J,4,FALSE)</f>
        <v>SD</v>
      </c>
      <c r="E180">
        <f>VLOOKUP(C180,classifications!C:K,9,FALSE)</f>
        <v>0</v>
      </c>
      <c r="F180">
        <f t="shared" si="83"/>
        <v>586.6</v>
      </c>
      <c r="G180" s="15"/>
      <c r="H180" s="42">
        <f t="shared" si="84"/>
        <v>586.6</v>
      </c>
      <c r="I180" s="79">
        <f>IF(H180="","",IF($I$8="A",(RANK(H180,H$11:H$343,1)+COUNTIF(H$11:H180,H180)-1),(RANK(H180,H$11:H$343)+COUNTIF(H$11:H180,H180)-1)))</f>
        <v>174</v>
      </c>
      <c r="J180" s="41"/>
      <c r="K180" s="36">
        <f t="shared" si="85"/>
        <v>170</v>
      </c>
      <c r="L180" t="str">
        <f t="shared" si="86"/>
        <v>Pendle</v>
      </c>
      <c r="M180" s="117">
        <f t="shared" si="87"/>
        <v>564.5</v>
      </c>
      <c r="N180" s="112">
        <f t="shared" si="88"/>
        <v>564.5</v>
      </c>
      <c r="O180" s="96" t="str">
        <f t="shared" si="89"/>
        <v/>
      </c>
      <c r="P180" s="96" t="str">
        <f t="shared" si="90"/>
        <v/>
      </c>
      <c r="Q180" s="96" t="str">
        <f t="shared" si="91"/>
        <v/>
      </c>
      <c r="R180" s="92">
        <f t="shared" si="92"/>
        <v>564.5</v>
      </c>
      <c r="S180" s="42" t="str">
        <f t="shared" si="93"/>
        <v/>
      </c>
      <c r="T180" s="167">
        <f>IF(L180="","",VLOOKUP(L180,classifications!C:K,9,FALSE))</f>
        <v>0</v>
      </c>
      <c r="U180" s="168" t="str">
        <f t="shared" si="94"/>
        <v/>
      </c>
      <c r="V180" s="174" t="str">
        <f>IF(U180="","",IF($I$8="A",(RANK(U180,U$11:U$343)+COUNTIF(U$11:U180,U180)-1),(RANK(U180,U$11:U$343,1)+COUNTIF(U$11:U180,U180)-1)))</f>
        <v/>
      </c>
      <c r="W180" s="175"/>
      <c r="X180" s="5" t="str">
        <f>IF(L180="","",VLOOKUP($L180,classifications!$C:$J,6,FALSE))</f>
        <v>Urban with City and Town</v>
      </c>
      <c r="Y180" t="str">
        <f t="shared" si="95"/>
        <v/>
      </c>
      <c r="Z180" s="40" t="str">
        <f>IF(Y180="","",IF(I$8="A",(RANK(Y180,Y$11:Y$343,1)+COUNTIF(Y$11:Y180,Y180)-1),(RANK(Y180,Y$11:Y$343)+COUNTIF(Y$11:Y180,Y180)-1)))</f>
        <v/>
      </c>
      <c r="AA180" s="180" t="str">
        <f>IF(L180="","",VLOOKUP($L180,classifications!C:I,7,FALSE))</f>
        <v>Predominantly Urban</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Lancashire</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North West</v>
      </c>
      <c r="AQ180" s="43">
        <f t="shared" si="102"/>
        <v>564.5</v>
      </c>
      <c r="AR180" s="40">
        <f>IF(AQ180="","",IF(I$8="A",(RANK(AQ180,AQ$11:AQ$343,1)+COUNTIF(AQ$11:AQ180,AQ180)-1),(RANK(AQ180,AQ$11:AQ$343)+COUNTIF(AQ$11:AQ180,AQ180)-1)))</f>
        <v>18</v>
      </c>
      <c r="AS180" s="3" t="str">
        <f t="shared" si="103"/>
        <v/>
      </c>
      <c r="AT180" s="40" t="str">
        <f t="shared" si="104"/>
        <v/>
      </c>
      <c r="AU180" s="43" t="str">
        <f t="shared" si="105"/>
        <v/>
      </c>
      <c r="AX180">
        <f>HLOOKUP($AX$9&amp;$AX$10,Data!$A$1:$ZZ$1980,(MATCH($C180,Data!$A$1:$A$1980,0)),FALSE)</f>
        <v>586.6</v>
      </c>
    </row>
    <row r="181" spans="1:50">
      <c r="A181" s="59" t="str">
        <f>$D$1&amp;171</f>
        <v>SD171</v>
      </c>
      <c r="B181" s="60">
        <f>IF(ISERROR(VLOOKUP(A184,classifications!A:C,3,FALSE)),0,VLOOKUP(A184,classifications!A:C,3,FALSE))</f>
        <v>0</v>
      </c>
      <c r="C181" t="s">
        <v>274</v>
      </c>
      <c r="D181" t="str">
        <f>VLOOKUP($C181,classifications!$C:$J,4,FALSE)</f>
        <v>UA</v>
      </c>
      <c r="E181">
        <f>VLOOKUP(C181,classifications!C:K,9,FALSE)</f>
        <v>0</v>
      </c>
      <c r="F181">
        <f t="shared" si="83"/>
        <v>599.5</v>
      </c>
      <c r="G181" s="15"/>
      <c r="H181" s="42" t="str">
        <f t="shared" si="84"/>
        <v/>
      </c>
      <c r="I181" s="79" t="str">
        <f>IF(H181="","",IF($I$8="A",(RANK(H181,H$11:H$343,1)+COUNTIF(H$11:H181,H181)-1),(RANK(H181,H$11:H$343)+COUNTIF(H$11:H181,H181)-1)))</f>
        <v/>
      </c>
      <c r="J181" s="41"/>
      <c r="K181" s="36">
        <f t="shared" si="85"/>
        <v>171</v>
      </c>
      <c r="L181" t="str">
        <f t="shared" si="86"/>
        <v>Boston</v>
      </c>
      <c r="M181" s="117">
        <f t="shared" si="87"/>
        <v>569.29999999999995</v>
      </c>
      <c r="N181" s="112">
        <f t="shared" si="88"/>
        <v>569.29999999999995</v>
      </c>
      <c r="O181" s="96" t="str">
        <f t="shared" si="89"/>
        <v/>
      </c>
      <c r="P181" s="96" t="str">
        <f t="shared" si="90"/>
        <v/>
      </c>
      <c r="Q181" s="96" t="str">
        <f t="shared" si="91"/>
        <v/>
      </c>
      <c r="R181" s="92">
        <f t="shared" si="92"/>
        <v>569.29999999999995</v>
      </c>
      <c r="S181" s="42" t="str">
        <f t="shared" si="93"/>
        <v/>
      </c>
      <c r="T181" s="167" t="str">
        <f>IF(L181="","",VLOOKUP(L181,classifications!C:K,9,FALSE))</f>
        <v>Sparse</v>
      </c>
      <c r="U181" s="168">
        <f t="shared" si="94"/>
        <v>569.29999999999995</v>
      </c>
      <c r="V181" s="174">
        <f>IF(U181="","",IF($I$8="A",(RANK(U181,U$11:U$343)+COUNTIF(U$11:U181,U181)-1),(RANK(U181,U$11:U$343,1)+COUNTIF(U$11:U181,U181)-1)))</f>
        <v>1</v>
      </c>
      <c r="W181" s="175"/>
      <c r="X181" s="5" t="str">
        <f>IF(L181="","",VLOOKUP($L181,classifications!$C:$J,6,FALSE))</f>
        <v>Urban with Significant Rural (rural including hub towns 26-49%)</v>
      </c>
      <c r="Y181" t="str">
        <f t="shared" si="95"/>
        <v/>
      </c>
      <c r="Z181" s="40" t="str">
        <f>IF(Y181="","",IF(I$8="A",(RANK(Y181,Y$11:Y$343,1)+COUNTIF(Y$11:Y181,Y181)-1),(RANK(Y181,Y$11:Y$343)+COUNTIF(Y$11:Y181,Y181)-1)))</f>
        <v/>
      </c>
      <c r="AA181" s="180" t="str">
        <f>IF(L181="","",VLOOKUP($L181,classifications!C:I,7,FALSE))</f>
        <v>Significant Rural</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Lincolnshire</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East Midlands</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599.5</v>
      </c>
    </row>
    <row r="182" spans="1:50">
      <c r="A182" s="59" t="str">
        <f>$D$1&amp;172</f>
        <v>SD172</v>
      </c>
      <c r="B182" s="60">
        <f>IF(ISERROR(VLOOKUP(A185,classifications!A:C,3,FALSE)),0,VLOOKUP(A185,classifications!A:C,3,FALSE))</f>
        <v>0</v>
      </c>
      <c r="C182" t="s">
        <v>100</v>
      </c>
      <c r="D182" t="str">
        <f>VLOOKUP($C182,classifications!$C:$J,4,FALSE)</f>
        <v>SD</v>
      </c>
      <c r="E182" t="str">
        <f>VLOOKUP(C182,classifications!C:K,9,FALSE)</f>
        <v>Sparse</v>
      </c>
      <c r="F182">
        <f t="shared" si="83"/>
        <v>482.7</v>
      </c>
      <c r="G182" s="15"/>
      <c r="H182" s="42">
        <f t="shared" si="84"/>
        <v>482.7</v>
      </c>
      <c r="I182" s="79">
        <f>IF(H182="","",IF($I$8="A",(RANK(H182,H$11:H$343,1)+COUNTIF(H$11:H182,H182)-1),(RANK(H182,H$11:H$343)+COUNTIF(H$11:H182,H182)-1)))</f>
        <v>126</v>
      </c>
      <c r="J182" s="41"/>
      <c r="K182" s="36">
        <f t="shared" si="85"/>
        <v>172</v>
      </c>
      <c r="L182" t="str">
        <f t="shared" si="86"/>
        <v>Sevenoaks</v>
      </c>
      <c r="M182" s="117">
        <f t="shared" si="87"/>
        <v>570.9</v>
      </c>
      <c r="N182" s="112">
        <f t="shared" si="88"/>
        <v>570.9</v>
      </c>
      <c r="O182" s="96" t="str">
        <f t="shared" si="89"/>
        <v/>
      </c>
      <c r="P182" s="96" t="str">
        <f t="shared" si="90"/>
        <v/>
      </c>
      <c r="Q182" s="96" t="str">
        <f t="shared" si="91"/>
        <v/>
      </c>
      <c r="R182" s="92">
        <f t="shared" si="92"/>
        <v>570.9</v>
      </c>
      <c r="S182" s="42" t="str">
        <f t="shared" si="93"/>
        <v/>
      </c>
      <c r="T182" s="167">
        <f>IF(L182="","",VLOOKUP(L182,classifications!C:K,9,FALSE))</f>
        <v>0</v>
      </c>
      <c r="U182" s="168" t="str">
        <f t="shared" si="94"/>
        <v/>
      </c>
      <c r="V182" s="174" t="str">
        <f>IF(U182="","",IF($I$8="A",(RANK(U182,U$11:U$343)+COUNTIF(U$11:U182,U182)-1),(RANK(U182,U$11:U$343,1)+COUNTIF(U$11:U182,U182)-1)))</f>
        <v/>
      </c>
      <c r="W182" s="175"/>
      <c r="X182" s="5" t="str">
        <f>IF(L182="","",VLOOKUP($L182,classifications!$C:$J,6,FALSE))</f>
        <v xml:space="preserve">Largely Rural (rural including hub towns 50-79%) </v>
      </c>
      <c r="Y182" t="str">
        <f t="shared" si="95"/>
        <v/>
      </c>
      <c r="Z182" s="40" t="str">
        <f>IF(Y182="","",IF(I$8="A",(RANK(Y182,Y$11:Y$343,1)+COUNTIF(Y$11:Y182,Y182)-1),(RANK(Y182,Y$11:Y$343)+COUNTIF(Y$11:Y182,Y182)-1)))</f>
        <v/>
      </c>
      <c r="AA182" s="180" t="str">
        <f>IF(L182="","",VLOOKUP($L182,classifications!C:I,7,FALSE))</f>
        <v>Predominantly Rural</v>
      </c>
      <c r="AB182" s="174">
        <f t="shared" si="96"/>
        <v>570.9</v>
      </c>
      <c r="AC182" s="174">
        <f>IF(AB182="","",IF($I$8="A",(RANK(AB182,AB$11:AB$343)+COUNTIF(AB$11:AB182,AB182)-1),(RANK(AB182,AB$11:AB$343,1)+COUNTIF(AB$11:AB182,AB182)-1)))</f>
        <v>2</v>
      </c>
      <c r="AD182" s="174"/>
      <c r="AE182" s="36" t="str">
        <f t="shared" si="97"/>
        <v/>
      </c>
      <c r="AG182" s="15"/>
      <c r="AH182" s="3"/>
      <c r="AI182" s="5" t="str">
        <f>IF(L182="","",VLOOKUP($L182,classifications!$C:$J,8,FALSE))</f>
        <v>Kent</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South East</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482.7</v>
      </c>
    </row>
    <row r="183" spans="1:50">
      <c r="A183" s="59" t="str">
        <f>$D$1&amp;173</f>
        <v>SD173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v>
      </c>
      <c r="I183" s="79" t="e">
        <f>IF(H183="","",IF($I$8="A",(RANK(H183,H$11:H$343,1)+COUNTIF(H$11:H183,H183)-1),(RANK(H183,H$11:H$343)+COUNTIF(H$11:H183,H183)-1)))</f>
        <v>#VALUE!</v>
      </c>
      <c r="J183" s="41"/>
      <c r="K183" s="36">
        <f t="shared" si="85"/>
        <v>173</v>
      </c>
      <c r="L183" t="str">
        <f t="shared" si="86"/>
        <v>Bassetlaw</v>
      </c>
      <c r="M183" s="117">
        <f t="shared" si="87"/>
        <v>586</v>
      </c>
      <c r="N183" s="112">
        <f t="shared" si="88"/>
        <v>586</v>
      </c>
      <c r="O183" s="96" t="str">
        <f t="shared" si="89"/>
        <v/>
      </c>
      <c r="P183" s="96" t="str">
        <f t="shared" si="90"/>
        <v/>
      </c>
      <c r="Q183" s="96" t="str">
        <f t="shared" si="91"/>
        <v/>
      </c>
      <c r="R183" s="92">
        <f t="shared" si="92"/>
        <v>586</v>
      </c>
      <c r="S183" s="42" t="str">
        <f t="shared" si="93"/>
        <v/>
      </c>
      <c r="T183" s="167">
        <f>IF(L183="","",VLOOKUP(L183,classifications!C:K,9,FALSE))</f>
        <v>0</v>
      </c>
      <c r="U183" s="168" t="str">
        <f t="shared" si="94"/>
        <v/>
      </c>
      <c r="V183" s="174" t="str">
        <f>IF(U183="","",IF($I$8="A",(RANK(U183,U$11:U$343)+COUNTIF(U$11:U183,U183)-1),(RANK(U183,U$11:U$343,1)+COUNTIF(U$11:U183,U183)-1)))</f>
        <v/>
      </c>
      <c r="W183" s="175"/>
      <c r="X183" s="5" t="str">
        <f>IF(L183="","",VLOOKUP($L183,classifications!$C:$J,6,FALSE))</f>
        <v xml:space="preserve">Largely Rural (rural including hub towns 50-79%) </v>
      </c>
      <c r="Y183" t="str">
        <f t="shared" si="95"/>
        <v/>
      </c>
      <c r="Z183" s="40" t="str">
        <f>IF(Y183="","",IF(I$8="A",(RANK(Y183,Y$11:Y$343,1)+COUNTIF(Y$11:Y183,Y183)-1),(RANK(Y183,Y$11:Y$343)+COUNTIF(Y$11:Y183,Y183)-1)))</f>
        <v/>
      </c>
      <c r="AA183" s="180" t="str">
        <f>IF(L183="","",VLOOKUP($L183,classifications!C:I,7,FALSE))</f>
        <v>Predominantly Rural</v>
      </c>
      <c r="AB183" s="174">
        <f t="shared" si="96"/>
        <v>586</v>
      </c>
      <c r="AC183" s="174">
        <f>IF(AB183="","",IF($I$8="A",(RANK(AB183,AB$11:AB$343)+COUNTIF(AB$11:AB183,AB183)-1),(RANK(AB183,AB$11:AB$343,1)+COUNTIF(AB$11:AB183,AB183)-1)))</f>
        <v>1</v>
      </c>
      <c r="AD183" s="174"/>
      <c r="AE183" s="36" t="str">
        <f t="shared" si="97"/>
        <v/>
      </c>
      <c r="AG183" s="15"/>
      <c r="AH183" s="3"/>
      <c r="AI183" s="5" t="str">
        <f>IF(L183="","",VLOOKUP($L183,classifications!$C:$J,8,FALSE))</f>
        <v>Nottinghamshire</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East Midlands</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SD174</v>
      </c>
      <c r="B184" s="60">
        <f>IF(ISERROR(VLOOKUP(A187,classifications!A:C,3,FALSE)),0,VLOOKUP(A187,classifications!A:C,3,FALSE))</f>
        <v>0</v>
      </c>
      <c r="C184" t="s">
        <v>215</v>
      </c>
      <c r="D184" t="str">
        <f>VLOOKUP($C184,classifications!$C:$J,4,FALSE)</f>
        <v>L</v>
      </c>
      <c r="E184">
        <f>VLOOKUP(C184,classifications!C:K,9,FALSE)</f>
        <v>0</v>
      </c>
      <c r="F184">
        <f t="shared" si="83"/>
        <v>447.4</v>
      </c>
      <c r="G184" s="15"/>
      <c r="H184" s="42" t="str">
        <f t="shared" si="84"/>
        <v/>
      </c>
      <c r="I184" s="79" t="str">
        <f>IF(H184="","",IF($I$8="A",(RANK(H184,H$11:H$343,1)+COUNTIF(H$11:H184,H184)-1),(RANK(H184,H$11:H$343)+COUNTIF(H$11:H184,H184)-1)))</f>
        <v/>
      </c>
      <c r="J184" s="41"/>
      <c r="K184" s="36">
        <f t="shared" si="85"/>
        <v>174</v>
      </c>
      <c r="L184" t="str">
        <f t="shared" si="86"/>
        <v>Mansfield</v>
      </c>
      <c r="M184" s="117">
        <f t="shared" si="87"/>
        <v>586.6</v>
      </c>
      <c r="N184" s="112">
        <f t="shared" si="88"/>
        <v>586.6</v>
      </c>
      <c r="O184" s="96" t="str">
        <f t="shared" si="89"/>
        <v/>
      </c>
      <c r="P184" s="96" t="str">
        <f t="shared" si="90"/>
        <v/>
      </c>
      <c r="Q184" s="96" t="str">
        <f t="shared" si="91"/>
        <v/>
      </c>
      <c r="R184" s="92">
        <f t="shared" si="92"/>
        <v>586.6</v>
      </c>
      <c r="S184" s="42" t="str">
        <f t="shared" si="93"/>
        <v/>
      </c>
      <c r="T184" s="167">
        <f>IF(L184="","",VLOOKUP(L184,classifications!C:K,9,FALSE))</f>
        <v>0</v>
      </c>
      <c r="U184" s="168" t="str">
        <f t="shared" si="94"/>
        <v/>
      </c>
      <c r="V184" s="174" t="str">
        <f>IF(U184="","",IF($I$8="A",(RANK(U184,U$11:U$343)+COUNTIF(U$11:U184,U184)-1),(RANK(U184,U$11:U$343,1)+COUNTIF(U$11:U184,U184)-1)))</f>
        <v/>
      </c>
      <c r="W184" s="175"/>
      <c r="X184" s="5" t="str">
        <f>IF(L184="","",VLOOKUP($L184,classifications!$C:$J,6,FALSE))</f>
        <v>Urban with City and Town</v>
      </c>
      <c r="Y184" t="str">
        <f t="shared" si="95"/>
        <v/>
      </c>
      <c r="Z184" s="40" t="str">
        <f>IF(Y184="","",IF(I$8="A",(RANK(Y184,Y$11:Y$343,1)+COUNTIF(Y$11:Y184,Y184)-1),(RANK(Y184,Y$11:Y$343)+COUNTIF(Y$11:Y184,Y184)-1)))</f>
        <v/>
      </c>
      <c r="AA184" s="180" t="str">
        <f>IF(L184="","",VLOOKUP($L184,classifications!C:I,7,FALSE))</f>
        <v>Predominantly Urban</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Nottinghamshire</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East Midlands</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447.4</v>
      </c>
    </row>
    <row r="185" spans="1:50">
      <c r="A185" s="59" t="str">
        <f>$D$1&amp;175</f>
        <v>SD175</v>
      </c>
      <c r="B185" s="60">
        <f>IF(ISERROR(VLOOKUP(A188,classifications!A:C,3,FALSE)),0,VLOOKUP(A188,classifications!A:C,3,FALSE))</f>
        <v>0</v>
      </c>
      <c r="C185" t="s">
        <v>102</v>
      </c>
      <c r="D185" t="str">
        <f>VLOOKUP($C185,classifications!$C:$J,4,FALSE)</f>
        <v>SD</v>
      </c>
      <c r="E185" t="str">
        <f>VLOOKUP(C185,classifications!C:K,9,FALSE)</f>
        <v>Sparse</v>
      </c>
      <c r="F185">
        <f t="shared" si="83"/>
        <v>324.8</v>
      </c>
      <c r="G185" s="15"/>
      <c r="H185" s="42">
        <f t="shared" si="84"/>
        <v>324.8</v>
      </c>
      <c r="I185" s="79">
        <f>IF(H185="","",IF($I$8="A",(RANK(H185,H$11:H$343,1)+COUNTIF(H$11:H185,H185)-1),(RANK(H185,H$11:H$343)+COUNTIF(H$11:H185,H185)-1)))</f>
        <v>10</v>
      </c>
      <c r="J185" s="41"/>
      <c r="K185" s="36">
        <f t="shared" si="85"/>
        <v>175</v>
      </c>
      <c r="L185" t="str">
        <f t="shared" si="86"/>
        <v>Dartford</v>
      </c>
      <c r="M185" s="117">
        <f t="shared" si="87"/>
        <v>612.9</v>
      </c>
      <c r="N185" s="112">
        <f t="shared" si="88"/>
        <v>612.9</v>
      </c>
      <c r="O185" s="96" t="str">
        <f t="shared" si="89"/>
        <v/>
      </c>
      <c r="P185" s="96" t="str">
        <f t="shared" si="90"/>
        <v/>
      </c>
      <c r="Q185" s="96" t="str">
        <f t="shared" si="91"/>
        <v/>
      </c>
      <c r="R185" s="92">
        <f t="shared" si="92"/>
        <v>612.9</v>
      </c>
      <c r="S185" s="42" t="str">
        <f t="shared" si="93"/>
        <v/>
      </c>
      <c r="T185" s="167">
        <f>IF(L185="","",VLOOKUP(L185,classifications!C:K,9,FALSE))</f>
        <v>0</v>
      </c>
      <c r="U185" s="168" t="str">
        <f t="shared" si="94"/>
        <v/>
      </c>
      <c r="V185" s="174" t="str">
        <f>IF(U185="","",IF($I$8="A",(RANK(U185,U$11:U$343)+COUNTIF(U$11:U185,U185)-1),(RANK(U185,U$11:U$343,1)+COUNTIF(U$11:U185,U185)-1)))</f>
        <v/>
      </c>
      <c r="W185" s="175"/>
      <c r="X185" s="5" t="str">
        <f>IF(L185="","",VLOOKUP($L185,classifications!$C:$J,6,FALSE))</f>
        <v>Urban with Major Conurbation</v>
      </c>
      <c r="Y185" t="str">
        <f t="shared" si="95"/>
        <v/>
      </c>
      <c r="Z185" s="40" t="str">
        <f>IF(Y185="","",IF(I$8="A",(RANK(Y185,Y$11:Y$343,1)+COUNTIF(Y$11:Y185,Y185)-1),(RANK(Y185,Y$11:Y$343)+COUNTIF(Y$11:Y185,Y185)-1)))</f>
        <v/>
      </c>
      <c r="AA185" s="180" t="str">
        <f>IF(L185="","",VLOOKUP($L185,classifications!C:I,7,FALSE))</f>
        <v>Predominantly Urban</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Kent</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South East</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324.8</v>
      </c>
    </row>
    <row r="186" spans="1:50">
      <c r="A186" s="59" t="str">
        <f>$D$1&amp;176</f>
        <v>SD176</v>
      </c>
      <c r="B186" s="60">
        <f>IF(ISERROR(VLOOKUP(A189,classifications!A:C,3,FALSE)),0,VLOOKUP(A189,classifications!A:C,3,FALSE))</f>
        <v>0</v>
      </c>
      <c r="C186" t="s">
        <v>911</v>
      </c>
      <c r="D186" t="str">
        <f>VLOOKUP($C186,classifications!$C:$J,4,FALSE)</f>
        <v>SD</v>
      </c>
      <c r="E186" t="str">
        <f>VLOOKUP(C186,classifications!C:K,9,FALSE)</f>
        <v>Sparse</v>
      </c>
      <c r="F186">
        <f t="shared" si="83"/>
        <v>464.3</v>
      </c>
      <c r="G186" s="15"/>
      <c r="H186" s="42">
        <f t="shared" si="84"/>
        <v>464.3</v>
      </c>
      <c r="I186" s="79">
        <f>IF(H186="","",IF($I$8="A",(RANK(H186,H$11:H$343,1)+COUNTIF(H$11:H186,H186)-1),(RANK(H186,H$11:H$343)+COUNTIF(H$11:H186,H186)-1)))</f>
        <v>112</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464.3</v>
      </c>
    </row>
    <row r="187" spans="1:50">
      <c r="A187" s="59" t="str">
        <f>$D$1&amp;177</f>
        <v>SD177</v>
      </c>
      <c r="B187" s="60">
        <f>IF(ISERROR(VLOOKUP(A190,classifications!A:C,3,FALSE)),0,VLOOKUP(A190,classifications!A:C,3,FALSE))</f>
        <v>0</v>
      </c>
      <c r="C187" t="s">
        <v>104</v>
      </c>
      <c r="D187" t="str">
        <f>VLOOKUP($C187,classifications!$C:$J,4,FALSE)</f>
        <v>SD</v>
      </c>
      <c r="E187">
        <f>VLOOKUP(C187,classifications!C:K,9,FALSE)</f>
        <v>0</v>
      </c>
      <c r="F187">
        <f t="shared" si="83"/>
        <v>420.1</v>
      </c>
      <c r="G187" s="15"/>
      <c r="H187" s="42">
        <f t="shared" si="84"/>
        <v>420.1</v>
      </c>
      <c r="I187" s="79">
        <f>IF(H187="","",IF($I$8="A",(RANK(H187,H$11:H$343,1)+COUNTIF(H$11:H187,H187)-1),(RANK(H187,H$11:H$343)+COUNTIF(H$11:H187,H187)-1)))</f>
        <v>63</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420.1</v>
      </c>
    </row>
    <row r="188" spans="1:50">
      <c r="A188" s="59" t="str">
        <f>$D$1&amp;178</f>
        <v>SD178</v>
      </c>
      <c r="B188" s="60">
        <f>IF(ISERROR(VLOOKUP(A191,classifications!A:C,3,FALSE)),0,VLOOKUP(A191,classifications!A:C,3,FALSE))</f>
        <v>0</v>
      </c>
      <c r="C188" t="s">
        <v>275</v>
      </c>
      <c r="D188" t="str">
        <f>VLOOKUP($C188,classifications!$C:$J,4,FALSE)</f>
        <v>UA</v>
      </c>
      <c r="E188">
        <f>VLOOKUP(C188,classifications!C:K,9,FALSE)</f>
        <v>0</v>
      </c>
      <c r="F188">
        <f t="shared" si="83"/>
        <v>759.1</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759.1</v>
      </c>
    </row>
    <row r="189" spans="1:50">
      <c r="A189" s="59" t="str">
        <f>$D$1&amp;179</f>
        <v>SD179</v>
      </c>
      <c r="B189" s="60">
        <f>IF(ISERROR(VLOOKUP(A192,classifications!A:C,3,FALSE)),0,VLOOKUP(A192,classifications!A:C,3,FALSE))</f>
        <v>0</v>
      </c>
      <c r="C189" t="s">
        <v>276</v>
      </c>
      <c r="D189" t="str">
        <f>VLOOKUP($C189,classifications!$C:$J,4,FALSE)</f>
        <v>UA</v>
      </c>
      <c r="E189">
        <f>VLOOKUP(C189,classifications!C:K,9,FALSE)</f>
        <v>0</v>
      </c>
      <c r="F189">
        <f t="shared" si="83"/>
        <v>492.9</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492.9</v>
      </c>
    </row>
    <row r="190" spans="1:50">
      <c r="A190" s="59" t="str">
        <f>$D$1&amp;180</f>
        <v>SD180</v>
      </c>
      <c r="B190" s="60">
        <f>IF(ISERROR(VLOOKUP(A193,classifications!A:C,3,FALSE)),0,VLOOKUP(A193,classifications!A:C,3,FALSE))</f>
        <v>0</v>
      </c>
      <c r="C190" t="s">
        <v>105</v>
      </c>
      <c r="D190" t="str">
        <f>VLOOKUP($C190,classifications!$C:$J,4,FALSE)</f>
        <v>SD</v>
      </c>
      <c r="E190">
        <f>VLOOKUP(C190,classifications!C:K,9,FALSE)</f>
        <v>0</v>
      </c>
      <c r="F190">
        <f t="shared" si="83"/>
        <v>366.6</v>
      </c>
      <c r="G190" s="15"/>
      <c r="H190" s="42">
        <f t="shared" si="84"/>
        <v>366.6</v>
      </c>
      <c r="I190" s="79">
        <f>IF(H190="","",IF($I$8="A",(RANK(H190,H$11:H$343,1)+COUNTIF(H$11:H190,H190)-1),(RANK(H190,H$11:H$343)+COUNTIF(H$11:H190,H190)-1)))</f>
        <v>27</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366.6</v>
      </c>
    </row>
    <row r="191" spans="1:50">
      <c r="A191" s="59" t="str">
        <f>$D$1&amp;181</f>
        <v>SD181</v>
      </c>
      <c r="B191" s="60">
        <f>IF(ISERROR(VLOOKUP(A194,classifications!A:C,3,FALSE)),0,VLOOKUP(A194,classifications!A:C,3,FALSE))</f>
        <v>0</v>
      </c>
      <c r="C191" t="s">
        <v>106</v>
      </c>
      <c r="D191" t="str">
        <f>VLOOKUP($C191,classifications!$C:$J,4,FALSE)</f>
        <v>SD</v>
      </c>
      <c r="E191" t="str">
        <f>VLOOKUP(C191,classifications!C:K,9,FALSE)</f>
        <v>Sparse</v>
      </c>
      <c r="F191">
        <f t="shared" si="83"/>
        <v>457.4</v>
      </c>
      <c r="G191" s="15"/>
      <c r="H191" s="42">
        <f t="shared" si="84"/>
        <v>457.4</v>
      </c>
      <c r="I191" s="79">
        <f>IF(H191="","",IF($I$8="A",(RANK(H191,H$11:H$343,1)+COUNTIF(H$11:H191,H191)-1),(RANK(H191,H$11:H$343)+COUNTIF(H$11:H191,H191)-1)))</f>
        <v>102</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457.4</v>
      </c>
    </row>
    <row r="192" spans="1:50">
      <c r="A192" s="59" t="str">
        <f>$D$1&amp;182</f>
        <v>SD182</v>
      </c>
      <c r="B192" s="60">
        <f>IF(ISERROR(VLOOKUP(A195,classifications!A:C,3,FALSE)),0,VLOOKUP(A195,classifications!A:C,3,FALSE))</f>
        <v>0</v>
      </c>
      <c r="C192" t="s">
        <v>347</v>
      </c>
      <c r="D192" t="str">
        <f>VLOOKUP($C192,classifications!$C:$J,4,FALSE)</f>
        <v>SD</v>
      </c>
      <c r="E192">
        <f>VLOOKUP(C192,classifications!C:K,9,FALSE)</f>
        <v>0</v>
      </c>
      <c r="F192">
        <f t="shared" si="83"/>
        <v>514.9</v>
      </c>
      <c r="G192" s="15"/>
      <c r="H192" s="42">
        <f t="shared" si="84"/>
        <v>514.9</v>
      </c>
      <c r="I192" s="79">
        <f>IF(H192="","",IF($I$8="A",(RANK(H192,H$11:H$343,1)+COUNTIF(H$11:H192,H192)-1),(RANK(H192,H$11:H$343)+COUNTIF(H$11:H192,H192)-1)))</f>
        <v>151</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514.9</v>
      </c>
    </row>
    <row r="193" spans="1:50">
      <c r="A193" s="59" t="str">
        <f>$D$1&amp;183</f>
        <v>SD183</v>
      </c>
      <c r="B193" s="60">
        <f>IF(ISERROR(VLOOKUP(A196,classifications!A:C,3,FALSE)),0,VLOOKUP(A196,classifications!A:C,3,FALSE))</f>
        <v>0</v>
      </c>
      <c r="C193" t="s">
        <v>238</v>
      </c>
      <c r="D193" t="str">
        <f>VLOOKUP($C193,classifications!$C:$J,4,FALSE)</f>
        <v>MD</v>
      </c>
      <c r="E193">
        <f>VLOOKUP(C193,classifications!C:K,9,FALSE)</f>
        <v>0</v>
      </c>
      <c r="F193">
        <f t="shared" si="83"/>
        <v>567.5</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567.5</v>
      </c>
    </row>
    <row r="194" spans="1:50">
      <c r="A194" s="59" t="str">
        <f>$D$1&amp;184</f>
        <v>SD184</v>
      </c>
      <c r="B194" s="60">
        <f>IF(ISERROR(VLOOKUP(A197,classifications!A:C,3,FALSE)),0,VLOOKUP(A197,classifications!A:C,3,FALSE))</f>
        <v>0</v>
      </c>
      <c r="C194" t="s">
        <v>107</v>
      </c>
      <c r="D194" t="str">
        <f>VLOOKUP($C194,classifications!$C:$J,4,FALSE)</f>
        <v>SD</v>
      </c>
      <c r="E194">
        <f>VLOOKUP(C194,classifications!C:K,9,FALSE)</f>
        <v>0</v>
      </c>
      <c r="F194">
        <f t="shared" si="83"/>
        <v>417.1</v>
      </c>
      <c r="G194" s="15"/>
      <c r="H194" s="42">
        <f t="shared" si="84"/>
        <v>417.1</v>
      </c>
      <c r="I194" s="79">
        <f>IF(H194="","",IF($I$8="A",(RANK(H194,H$11:H$343,1)+COUNTIF(H$11:H194,H194)-1),(RANK(H194,H$11:H$343)+COUNTIF(H$11:H194,H194)-1)))</f>
        <v>59</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417.1</v>
      </c>
    </row>
    <row r="195" spans="1:50">
      <c r="A195" s="59" t="str">
        <f>$D$1&amp;185</f>
        <v>SD185</v>
      </c>
      <c r="B195" s="60">
        <f>IF(ISERROR(VLOOKUP(A198,classifications!A:C,3,FALSE)),0,VLOOKUP(A198,classifications!A:C,3,FALSE))</f>
        <v>0</v>
      </c>
      <c r="C195" t="s">
        <v>216</v>
      </c>
      <c r="D195" t="str">
        <f>VLOOKUP($C195,classifications!$C:$J,4,FALSE)</f>
        <v>L</v>
      </c>
      <c r="E195">
        <f>VLOOKUP(C195,classifications!C:K,9,FALSE)</f>
        <v>0</v>
      </c>
      <c r="F195">
        <f t="shared" si="83"/>
        <v>694.8</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694.8</v>
      </c>
    </row>
    <row r="196" spans="1:50">
      <c r="A196" s="59" t="str">
        <f>$D$1&amp;186</f>
        <v>SD186</v>
      </c>
      <c r="B196" s="60">
        <f>IF(ISERROR(VLOOKUP(A199,classifications!A:C,3,FALSE)),0,VLOOKUP(A199,classifications!A:C,3,FALSE))</f>
        <v>0</v>
      </c>
      <c r="C196" t="s">
        <v>320</v>
      </c>
      <c r="D196" t="str">
        <f>VLOOKUP($C196,classifications!$C:$J,4,FALSE)</f>
        <v>SC</v>
      </c>
      <c r="E196" t="str">
        <f>VLOOKUP(C196,classifications!C:K,9,FALSE)</f>
        <v>Sparse</v>
      </c>
      <c r="F196">
        <f t="shared" si="83"/>
        <v>504.8</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504.8</v>
      </c>
    </row>
    <row r="197" spans="1:50">
      <c r="A197" s="59" t="str">
        <f>$D$1&amp;187</f>
        <v>SD187</v>
      </c>
      <c r="B197" s="60">
        <f>IF(ISERROR(VLOOKUP(A200,classifications!A:C,3,FALSE)),0,VLOOKUP(A200,classifications!A:C,3,FALSE))</f>
        <v>0</v>
      </c>
      <c r="C197" t="s">
        <v>108</v>
      </c>
      <c r="D197" t="str">
        <f>VLOOKUP($C197,classifications!$C:$J,4,FALSE)</f>
        <v>SD</v>
      </c>
      <c r="E197" t="str">
        <f>VLOOKUP(C197,classifications!C:K,9,FALSE)</f>
        <v>Sparse</v>
      </c>
      <c r="F197">
        <f t="shared" si="83"/>
        <v>414.5</v>
      </c>
      <c r="G197" s="15"/>
      <c r="H197" s="42">
        <f t="shared" si="84"/>
        <v>414.5</v>
      </c>
      <c r="I197" s="79">
        <f>IF(H197="","",IF($I$8="A",(RANK(H197,H$11:H$343,1)+COUNTIF(H$11:H197,H197)-1),(RANK(H197,H$11:H$343)+COUNTIF(H$11:H197,H197)-1)))</f>
        <v>58</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414.5</v>
      </c>
    </row>
    <row r="198" spans="1:50">
      <c r="A198" s="59" t="str">
        <f>$D$1&amp;188</f>
        <v>SD188</v>
      </c>
      <c r="B198" s="60">
        <f>IF(ISERROR(VLOOKUP(A201,classifications!A:C,3,FALSE)),0,VLOOKUP(A201,classifications!A:C,3,FALSE))</f>
        <v>0</v>
      </c>
      <c r="C198" t="s">
        <v>110</v>
      </c>
      <c r="D198" t="str">
        <f>VLOOKUP($C198,classifications!$C:$J,4,FALSE)</f>
        <v>SD</v>
      </c>
      <c r="E198">
        <f>VLOOKUP(C198,classifications!C:K,9,FALSE)</f>
        <v>0</v>
      </c>
      <c r="F198">
        <f t="shared" si="83"/>
        <v>450.2</v>
      </c>
      <c r="G198" s="15"/>
      <c r="H198" s="42">
        <f t="shared" si="84"/>
        <v>450.2</v>
      </c>
      <c r="I198" s="79">
        <f>IF(H198="","",IF($I$8="A",(RANK(H198,H$11:H$343,1)+COUNTIF(H$11:H198,H198)-1),(RANK(H198,H$11:H$343)+COUNTIF(H$11:H198,H198)-1)))</f>
        <v>95</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450.2</v>
      </c>
    </row>
    <row r="199" spans="1:50">
      <c r="A199" s="59" t="str">
        <f>$D$1&amp;189</f>
        <v>SD189</v>
      </c>
      <c r="B199" s="60">
        <f>IF(ISERROR(VLOOKUP(A202,classifications!A:C,3,FALSE)),0,VLOOKUP(A202,classifications!A:C,3,FALSE))</f>
        <v>0</v>
      </c>
      <c r="C199" t="s">
        <v>277</v>
      </c>
      <c r="D199" t="str">
        <f>VLOOKUP($C199,classifications!$C:$J,4,FALSE)</f>
        <v>UA</v>
      </c>
      <c r="E199">
        <f>VLOOKUP(C199,classifications!C:K,9,FALSE)</f>
        <v>0</v>
      </c>
      <c r="F199">
        <f t="shared" si="83"/>
        <v>562.20000000000005</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562.20000000000005</v>
      </c>
    </row>
    <row r="200" spans="1:50">
      <c r="A200" s="59" t="str">
        <f>$D$1&amp;190</f>
        <v>SD190</v>
      </c>
      <c r="B200" s="60">
        <f>IF(ISERROR(VLOOKUP(A203,classifications!A:C,3,FALSE)),0,VLOOKUP(A203,classifications!A:C,3,FALSE))</f>
        <v>0</v>
      </c>
      <c r="C200" t="s">
        <v>111</v>
      </c>
      <c r="D200" t="str">
        <f>VLOOKUP($C200,classifications!$C:$J,4,FALSE)</f>
        <v>SD</v>
      </c>
      <c r="E200">
        <f>VLOOKUP(C200,classifications!C:K,9,FALSE)</f>
        <v>0</v>
      </c>
      <c r="F200">
        <f t="shared" si="83"/>
        <v>342.4</v>
      </c>
      <c r="G200" s="15"/>
      <c r="H200" s="42">
        <f t="shared" si="84"/>
        <v>342.4</v>
      </c>
      <c r="I200" s="79">
        <f>IF(H200="","",IF($I$8="A",(RANK(H200,H$11:H$343,1)+COUNTIF(H$11:H200,H200)-1),(RANK(H200,H$11:H$343)+COUNTIF(H$11:H200,H200)-1)))</f>
        <v>18</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342.4</v>
      </c>
    </row>
    <row r="201" spans="1:50">
      <c r="A201" s="59" t="str">
        <f>$D$1&amp;191</f>
        <v>SD191</v>
      </c>
      <c r="B201" s="60">
        <f>IF(ISERROR(VLOOKUP(A204,classifications!A:C,3,FALSE)),0,VLOOKUP(A204,classifications!A:C,3,FALSE))</f>
        <v>0</v>
      </c>
      <c r="C201" t="s">
        <v>112</v>
      </c>
      <c r="D201" t="str">
        <f>VLOOKUP($C201,classifications!$C:$J,4,FALSE)</f>
        <v>SD</v>
      </c>
      <c r="E201" t="str">
        <f>VLOOKUP(C201,classifications!C:K,9,FALSE)</f>
        <v>Sparse</v>
      </c>
      <c r="F201">
        <f t="shared" si="83"/>
        <v>485.6</v>
      </c>
      <c r="G201" s="15"/>
      <c r="H201" s="42">
        <f t="shared" si="84"/>
        <v>485.6</v>
      </c>
      <c r="I201" s="79">
        <f>IF(H201="","",IF($I$8="A",(RANK(H201,H$11:H$343,1)+COUNTIF(H$11:H201,H201)-1),(RANK(H201,H$11:H$343)+COUNTIF(H$11:H201,H201)-1)))</f>
        <v>131</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485.6</v>
      </c>
    </row>
    <row r="202" spans="1:50">
      <c r="A202" s="59" t="str">
        <f>$D$1&amp;192</f>
        <v>SD192</v>
      </c>
      <c r="B202" s="60">
        <f>IF(ISERROR(VLOOKUP(A205,classifications!A:C,3,FALSE)),0,VLOOKUP(A205,classifications!A:C,3,FALSE))</f>
        <v>0</v>
      </c>
      <c r="C202" t="s">
        <v>278</v>
      </c>
      <c r="D202" t="str">
        <f>VLOOKUP($C202,classifications!$C:$J,4,FALSE)</f>
        <v>UA</v>
      </c>
      <c r="E202" t="str">
        <f>VLOOKUP(C202,classifications!C:K,9,FALSE)</f>
        <v>Sparse</v>
      </c>
      <c r="F202">
        <f t="shared" si="83"/>
        <v>514.4</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514.4</v>
      </c>
    </row>
    <row r="203" spans="1:50">
      <c r="A203" s="59" t="str">
        <f>$D$1&amp;193</f>
        <v>SD193</v>
      </c>
      <c r="B203" s="60">
        <f>IF(ISERROR(VLOOKUP(A206,classifications!A:C,3,FALSE)),0,VLOOKUP(A206,classifications!A:C,3,FALSE))</f>
        <v>0</v>
      </c>
      <c r="C203" t="s">
        <v>113</v>
      </c>
      <c r="D203" t="str">
        <f>VLOOKUP($C203,classifications!$C:$J,4,FALSE)</f>
        <v>SD</v>
      </c>
      <c r="E203" t="str">
        <f>VLOOKUP(C203,classifications!C:K,9,FALSE)</f>
        <v>Sparse</v>
      </c>
      <c r="F203">
        <f t="shared" si="83"/>
        <v>426.7</v>
      </c>
      <c r="G203" s="15"/>
      <c r="H203" s="42">
        <f t="shared" si="84"/>
        <v>426.7</v>
      </c>
      <c r="I203" s="79">
        <f>IF(H203="","",IF($I$8="A",(RANK(H203,H$11:H$343,1)+COUNTIF(H$11:H203,H203)-1),(RANK(H203,H$11:H$343)+COUNTIF(H$11:H203,H203)-1)))</f>
        <v>70</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426.7</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373.6</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373.6</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557.29999999999995</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557.29999999999995</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557.5</v>
      </c>
      <c r="G206" s="15"/>
      <c r="H206" s="42">
        <f t="shared" si="84"/>
        <v>557.5</v>
      </c>
      <c r="I206" s="79">
        <f>IF(H206="","",IF($I$8="A",(RANK(H206,H$11:H$343,1)+COUNTIF(H$11:H206,H206)-1),(RANK(H206,H$11:H$343)+COUNTIF(H$11:H206,H206)-1)))</f>
        <v>168</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557.5</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465.1</v>
      </c>
      <c r="G207" s="15"/>
      <c r="H207" s="42">
        <f t="shared" si="84"/>
        <v>465.1</v>
      </c>
      <c r="I207" s="79">
        <f>IF(H207="","",IF($I$8="A",(RANK(H207,H$11:H$343,1)+COUNTIF(H$11:H207,H207)-1),(RANK(H207,H$11:H$343)+COUNTIF(H$11:H207,H207)-1)))</f>
        <v>116</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465.1</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525.1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525.1</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602.29999999999995</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602.29999999999995</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388.5</v>
      </c>
      <c r="G210" s="15"/>
      <c r="H210" s="42">
        <f t="shared" si="84"/>
        <v>388.5</v>
      </c>
      <c r="I210" s="79">
        <f>IF(H210="","",IF($I$8="A",(RANK(H210,H$11:H$343,1)+COUNTIF(H$11:H210,H210)-1),(RANK(H210,H$11:H$343)+COUNTIF(H$11:H210,H210)-1)))</f>
        <v>38</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388.5</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577.6</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577.6</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566.9</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566.9</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501.7</v>
      </c>
      <c r="G213" s="15"/>
      <c r="H213" s="42">
        <f t="shared" si="84"/>
        <v>501.7</v>
      </c>
      <c r="I213" s="79">
        <f>IF(H213="","",IF($I$8="A",(RANK(H213,H$11:H$343,1)+COUNTIF(H$11:H213,H213)-1),(RANK(H213,H$11:H$343)+COUNTIF(H$11:H213,H213)-1)))</f>
        <v>145</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501.7</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428.6</v>
      </c>
      <c r="G214" s="15"/>
      <c r="H214" s="42">
        <f t="shared" ref="H214:H277" si="107">IF(D214=$D$1,HLOOKUP($D$6,$AX$10:$ZZ$355,ROW()-9,FALSE),"")</f>
        <v>428.6</v>
      </c>
      <c r="I214" s="79">
        <f>IF(H214="","",IF($I$8="A",(RANK(H214,H$11:H$343,1)+COUNTIF(H$11:H214,H214)-1),(RANK(H214,H$11:H$343)+COUNTIF(H$11:H214,H214)-1)))</f>
        <v>72</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428.6</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397.3</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397.3</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327</v>
      </c>
      <c r="G216" s="15"/>
      <c r="H216" s="42">
        <f t="shared" si="107"/>
        <v>327</v>
      </c>
      <c r="I216" s="79">
        <f>IF(H216="","",IF($I$8="A",(RANK(H216,H$11:H$343,1)+COUNTIF(H$11:H216,H216)-1),(RANK(H216,H$11:H$343)+COUNTIF(H$11:H216,H216)-1)))</f>
        <v>11</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327</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378.8</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378.8</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564.5</v>
      </c>
      <c r="G218" s="15"/>
      <c r="H218" s="42">
        <f t="shared" si="107"/>
        <v>564.5</v>
      </c>
      <c r="I218" s="79">
        <f>IF(H218="","",IF($I$8="A",(RANK(H218,H$11:H$343,1)+COUNTIF(H$11:H218,H218)-1),(RANK(H218,H$11:H$343)+COUNTIF(H$11:H218,H218)-1)))</f>
        <v>170</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564.5</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549.70000000000005</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549.70000000000005</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551.79999999999995</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551.79999999999995</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536.9</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536.9</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535.79999999999995</v>
      </c>
      <c r="G222" s="15"/>
      <c r="H222" s="42">
        <f t="shared" si="107"/>
        <v>535.79999999999995</v>
      </c>
      <c r="I222" s="79">
        <f>IF(H222="","",IF($I$8="A",(RANK(H222,H$11:H$343,1)+COUNTIF(H$11:H222,H222)-1),(RANK(H222,H$11:H$343)+COUNTIF(H$11:H222,H222)-1)))</f>
        <v>161</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535.79999999999995</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353</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353</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634.20000000000005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634.20000000000005</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568.29999999999995</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568.29999999999995</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521.5</v>
      </c>
      <c r="G226" s="15"/>
      <c r="H226" s="42">
        <f t="shared" si="107"/>
        <v>521.5</v>
      </c>
      <c r="I226" s="79">
        <f>IF(H226="","",IF($I$8="A",(RANK(H226,H$11:H$343,1)+COUNTIF(H$11:H226,H226)-1),(RANK(H226,H$11:H$343)+COUNTIF(H$11:H226,H226)-1)))</f>
        <v>154</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521.5</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375.1</v>
      </c>
      <c r="G227" s="15"/>
      <c r="H227" s="42">
        <f t="shared" si="107"/>
        <v>375.1</v>
      </c>
      <c r="I227" s="79">
        <f>IF(H227="","",IF($I$8="A",(RANK(H227,H$11:H$343,1)+COUNTIF(H$11:H227,H227)-1),(RANK(H227,H$11:H$343)+COUNTIF(H$11:H227,H227)-1)))</f>
        <v>31</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375.1</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521.79999999999995</v>
      </c>
      <c r="G228" s="15"/>
      <c r="H228" s="42">
        <f t="shared" si="107"/>
        <v>521.79999999999995</v>
      </c>
      <c r="I228" s="79">
        <f>IF(H228="","",IF($I$8="A",(RANK(H228,H$11:H$343,1)+COUNTIF(H$11:H228,H228)-1),(RANK(H228,H$11:H$343)+COUNTIF(H$11:H228,H228)-1)))</f>
        <v>155</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521.79999999999995</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497.6</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497.6</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461</v>
      </c>
      <c r="G230" s="15"/>
      <c r="H230" s="42">
        <f t="shared" si="107"/>
        <v>461</v>
      </c>
      <c r="I230" s="79">
        <f>IF(H230="","",IF($I$8="A",(RANK(H230,H$11:H$343,1)+COUNTIF(H$11:H230,H230)-1),(RANK(H230,H$11:H$343)+COUNTIF(H$11:H230,H230)-1)))</f>
        <v>106</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461</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384.5</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384.5</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367</v>
      </c>
      <c r="G232" s="15"/>
      <c r="H232" s="42">
        <f t="shared" si="107"/>
        <v>367</v>
      </c>
      <c r="I232" s="79">
        <f>IF(H232="","",IF($I$8="A",(RANK(H232,H$11:H$343,1)+COUNTIF(H$11:H232,H232)-1),(RANK(H232,H$11:H$343)+COUNTIF(H$11:H232,H232)-1)))</f>
        <v>28</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367</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508.7</v>
      </c>
      <c r="G233" s="15"/>
      <c r="H233" s="42">
        <f t="shared" si="107"/>
        <v>508.7</v>
      </c>
      <c r="I233" s="79">
        <f>IF(H233="","",IF($I$8="A",(RANK(H233,H$11:H$343,1)+COUNTIF(H$11:H233,H233)-1),(RANK(H233,H$11:H$343)+COUNTIF(H$11:H233,H233)-1)))</f>
        <v>149</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508.7</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443.9</v>
      </c>
      <c r="G234" s="15"/>
      <c r="H234" s="42">
        <f t="shared" si="107"/>
        <v>443.9</v>
      </c>
      <c r="I234" s="79">
        <f>IF(H234="","",IF($I$8="A",(RANK(H234,H$11:H$343,1)+COUNTIF(H$11:H234,H234)-1),(RANK(H234,H$11:H$343)+COUNTIF(H$11:H234,H234)-1)))</f>
        <v>87</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443.9</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473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473</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430.1</v>
      </c>
      <c r="G236" s="15"/>
      <c r="H236" s="42">
        <f t="shared" si="107"/>
        <v>430.1</v>
      </c>
      <c r="I236" s="79">
        <f>IF(H236="","",IF($I$8="A",(RANK(H236,H$11:H$343,1)+COUNTIF(H$11:H236,H236)-1),(RANK(H236,H$11:H$343)+COUNTIF(H$11:H236,H236)-1)))</f>
        <v>74</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430.1</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385.2</v>
      </c>
      <c r="G237" s="15"/>
      <c r="H237" s="42">
        <f t="shared" si="107"/>
        <v>385.2</v>
      </c>
      <c r="I237" s="79">
        <f>IF(H237="","",IF($I$8="A",(RANK(H237,H$11:H$343,1)+COUNTIF(H$11:H237,H237)-1),(RANK(H237,H$11:H$343)+COUNTIF(H$11:H237,H237)-1)))</f>
        <v>35</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385.2</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452.6</v>
      </c>
      <c r="G238" s="15"/>
      <c r="H238" s="42">
        <f t="shared" si="107"/>
        <v>452.6</v>
      </c>
      <c r="I238" s="79">
        <f>IF(H238="","",IF($I$8="A",(RANK(H238,H$11:H$343,1)+COUNTIF(H$11:H238,H238)-1),(RANK(H238,H$11:H$343)+COUNTIF(H$11:H238,H238)-1)))</f>
        <v>97</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452.6</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426</v>
      </c>
      <c r="G239" s="15"/>
      <c r="H239" s="42">
        <f t="shared" si="107"/>
        <v>426</v>
      </c>
      <c r="I239" s="79">
        <f>IF(H239="","",IF($I$8="A",(RANK(H239,H$11:H$343,1)+COUNTIF(H$11:H239,H239)-1),(RANK(H239,H$11:H$343)+COUNTIF(H$11:H239,H239)-1)))</f>
        <v>67</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426</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529.20000000000005</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529.20000000000005</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464.6</v>
      </c>
      <c r="G241" s="15"/>
      <c r="H241" s="42">
        <f t="shared" si="107"/>
        <v>464.6</v>
      </c>
      <c r="I241" s="79">
        <f>IF(H241="","",IF($I$8="A",(RANK(H241,H$11:H$343,1)+COUNTIF(H$11:H241,H241)-1),(RANK(H241,H$11:H$343)+COUNTIF(H$11:H241,H241)-1)))</f>
        <v>114</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464.6</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316.2</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316.2</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626.70000000000005</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626.70000000000005</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439.3</v>
      </c>
      <c r="G244" s="15"/>
      <c r="H244" s="42">
        <f t="shared" si="107"/>
        <v>439.3</v>
      </c>
      <c r="I244" s="79">
        <f>IF(H244="","",IF($I$8="A",(RANK(H244,H$11:H$343,1)+COUNTIF(H$11:H244,H244)-1),(RANK(H244,H$11:H$343)+COUNTIF(H$11:H244,H244)-1)))</f>
        <v>85</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439.3</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555.9</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555.9</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530</v>
      </c>
      <c r="G247" s="15"/>
      <c r="H247" s="42">
        <f t="shared" si="107"/>
        <v>530</v>
      </c>
      <c r="I247" s="79">
        <f>IF(H247="","",IF($I$8="A",(RANK(H247,H$11:H$343,1)+COUNTIF(H$11:H247,H247)-1),(RANK(H247,H$11:H$343)+COUNTIF(H$11:H247,H247)-1)))</f>
        <v>159</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530</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570.9</v>
      </c>
      <c r="G248" s="15"/>
      <c r="H248" s="42">
        <f t="shared" si="107"/>
        <v>570.9</v>
      </c>
      <c r="I248" s="79">
        <f>IF(H248="","",IF($I$8="A",(RANK(H248,H$11:H$343,1)+COUNTIF(H$11:H248,H248)-1),(RANK(H248,H$11:H$343)+COUNTIF(H$11:H248,H248)-1)))</f>
        <v>172</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570.9</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478.7</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478.7</v>
      </c>
    </row>
    <row r="250" spans="1:50">
      <c r="A250" s="59" t="str">
        <f>$D$1&amp;240</f>
        <v>SD240</v>
      </c>
      <c r="B250" s="60">
        <f>IF(ISERROR(VLOOKUP(A255,classifications!A:C,3,FALSE)),0,VLOOKUP(A255,classifications!A:C,3,FALSE))</f>
        <v>0</v>
      </c>
      <c r="C250" t="s">
        <v>903</v>
      </c>
      <c r="D250" t="str">
        <f>VLOOKUP($C250,classifications!$C:$J,4,FALSE)</f>
        <v>SD</v>
      </c>
      <c r="E250">
        <f>VLOOKUP(C250,classifications!C:K,9,FALSE)</f>
        <v>0</v>
      </c>
      <c r="F250">
        <f t="shared" si="106"/>
        <v>419.4</v>
      </c>
      <c r="G250" s="15"/>
      <c r="H250" s="42">
        <f t="shared" si="107"/>
        <v>419.4</v>
      </c>
      <c r="I250" s="79">
        <f>IF(H250="","",IF($I$8="A",(RANK(H250,H$11:H$343,1)+COUNTIF(H$11:H250,H250)-1),(RANK(H250,H$11:H$343)+COUNTIF(H$11:H250,H250)-1)))</f>
        <v>61</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419.4</v>
      </c>
    </row>
    <row r="251" spans="1:50">
      <c r="A251" s="59" t="str">
        <f>$D$1&amp;241</f>
        <v>SD241</v>
      </c>
      <c r="B251" s="60">
        <f>IF(ISERROR(VLOOKUP(A256,classifications!A:C,3,FALSE)),0,VLOOKUP(A256,classifications!A:C,3,FALSE))</f>
        <v>0</v>
      </c>
      <c r="C251" t="s">
        <v>326</v>
      </c>
      <c r="D251" t="str">
        <f>VLOOKUP($C251,classifications!$C:$J,4,FALSE)</f>
        <v>UA</v>
      </c>
      <c r="E251" t="str">
        <f>VLOOKUP(C251,classifications!C:K,9,FALSE)</f>
        <v>Sparse</v>
      </c>
      <c r="F251">
        <f t="shared" si="106"/>
        <v>502</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502</v>
      </c>
    </row>
    <row r="252" spans="1:50">
      <c r="A252" s="59" t="str">
        <f>$D$1&amp;242</f>
        <v>SD242</v>
      </c>
      <c r="B252" s="60">
        <f>IF(ISERROR(VLOOKUP(A257,classifications!A:C,3,FALSE)),0,VLOOKUP(A257,classifications!A:C,3,FALSE))</f>
        <v>0</v>
      </c>
      <c r="C252" t="s">
        <v>287</v>
      </c>
      <c r="D252" t="str">
        <f>VLOOKUP($C252,classifications!$C:$J,4,FALSE)</f>
        <v>UA</v>
      </c>
      <c r="E252">
        <f>VLOOKUP(C252,classifications!C:K,9,FALSE)</f>
        <v>0</v>
      </c>
      <c r="F252">
        <f t="shared" si="106"/>
        <v>660.8</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660.8</v>
      </c>
    </row>
    <row r="253" spans="1:50">
      <c r="A253" s="59" t="str">
        <f>$D$1&amp;243</f>
        <v>SD243</v>
      </c>
      <c r="B253" s="60">
        <f>IF(ISERROR(VLOOKUP(A258,classifications!A:C,3,FALSE)),0,VLOOKUP(A258,classifications!A:C,3,FALSE))</f>
        <v>0</v>
      </c>
      <c r="C253" t="s">
        <v>247</v>
      </c>
      <c r="D253" t="str">
        <f>VLOOKUP($C253,classifications!$C:$J,4,FALSE)</f>
        <v>MD</v>
      </c>
      <c r="E253">
        <f>VLOOKUP(C253,classifications!C:K,9,FALSE)</f>
        <v>0</v>
      </c>
      <c r="F253">
        <f t="shared" si="106"/>
        <v>541.4</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541.4</v>
      </c>
    </row>
    <row r="254" spans="1:50">
      <c r="A254" s="59" t="str">
        <f>$D$1&amp;244</f>
        <v>SD244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912</v>
      </c>
      <c r="D255" t="str">
        <f>VLOOKUP($C255,classifications!$C:$J,4,FALSE)</f>
        <v>SD</v>
      </c>
      <c r="E255" t="str">
        <f>VLOOKUP(C255,classifications!C:K,9,FALSE)</f>
        <v>Sparse</v>
      </c>
      <c r="F255">
        <f t="shared" si="106"/>
        <v>404.5</v>
      </c>
      <c r="G255" s="15"/>
      <c r="H255" s="42">
        <f t="shared" si="107"/>
        <v>404.5</v>
      </c>
      <c r="I255" s="79">
        <f>IF(H255="","",IF($I$8="A",(RANK(H255,H$11:H$343,1)+COUNTIF(H$11:H255,H255)-1),(RANK(H255,H$11:H$343)+COUNTIF(H$11:H255,H255)-1)))</f>
        <v>50</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404.5</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469.5</v>
      </c>
      <c r="G256" s="15"/>
      <c r="H256" s="42">
        <f t="shared" si="107"/>
        <v>469.5</v>
      </c>
      <c r="I256" s="79">
        <f>IF(H256="","",IF($I$8="A",(RANK(H256,H$11:H$343,1)+COUNTIF(H$11:H256,H256)-1),(RANK(H256,H$11:H$343)+COUNTIF(H$11:H256,H256)-1)))</f>
        <v>120</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469.5</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377.7</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377.7</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361.6</v>
      </c>
      <c r="G258" s="15"/>
      <c r="H258" s="42">
        <f t="shared" si="107"/>
        <v>361.6</v>
      </c>
      <c r="I258" s="79">
        <f>IF(H258="","",IF($I$8="A",(RANK(H258,H$11:H$343,1)+COUNTIF(H$11:H258,H258)-1),(RANK(H258,H$11:H$343)+COUNTIF(H$11:H258,H258)-1)))</f>
        <v>26</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361.6</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555.4</v>
      </c>
      <c r="G259" s="15"/>
      <c r="H259" s="42">
        <f t="shared" si="107"/>
        <v>555.4</v>
      </c>
      <c r="I259" s="79">
        <f>IF(H259="","",IF($I$8="A",(RANK(H259,H$11:H$343,1)+COUNTIF(H$11:H259,H259)-1),(RANK(H259,H$11:H$343)+COUNTIF(H$11:H259,H259)-1)))</f>
        <v>167</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555.4</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485.9</v>
      </c>
      <c r="G260" s="15"/>
      <c r="H260" s="42">
        <f t="shared" si="107"/>
        <v>485.9</v>
      </c>
      <c r="I260" s="79">
        <f>IF(H260="","",IF($I$8="A",(RANK(H260,H$11:H$343,1)+COUNTIF(H$11:H260,H260)-1),(RANK(H260,H$11:H$343)+COUNTIF(H$11:H260,H260)-1)))</f>
        <v>132</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485.9</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456.3</v>
      </c>
      <c r="G261" s="15"/>
      <c r="H261" s="42">
        <f t="shared" si="107"/>
        <v>456.3</v>
      </c>
      <c r="I261" s="79">
        <f>IF(H261="","",IF($I$8="A",(RANK(H261,H$11:H$343,1)+COUNTIF(H$11:H261,H261)-1),(RANK(H261,H$11:H$343)+COUNTIF(H$11:H261,H261)-1)))</f>
        <v>99</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456.3</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468.5</v>
      </c>
      <c r="G262" s="15"/>
      <c r="H262" s="42">
        <f t="shared" si="107"/>
        <v>468.5</v>
      </c>
      <c r="I262" s="79">
        <f>IF(H262="","",IF($I$8="A",(RANK(H262,H$11:H$343,1)+COUNTIF(H$11:H262,H262)-1),(RANK(H262,H$11:H$343)+COUNTIF(H$11:H262,H262)-1)))</f>
        <v>118</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468.5</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303.8</v>
      </c>
      <c r="G263" s="15"/>
      <c r="H263" s="42">
        <f t="shared" si="107"/>
        <v>303.8</v>
      </c>
      <c r="I263" s="79">
        <f>IF(H263="","",IF($I$8="A",(RANK(H263,H$11:H$343,1)+COUNTIF(H$11:H263,H263)-1),(RANK(H263,H$11:H$343)+COUNTIF(H$11:H263,H263)-1)))</f>
        <v>4</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303.8</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431.5</v>
      </c>
      <c r="G264" s="15"/>
      <c r="H264" s="42">
        <f t="shared" si="107"/>
        <v>431.5</v>
      </c>
      <c r="I264" s="79">
        <f>IF(H264="","",IF($I$8="A",(RANK(H264,H$11:H$343,1)+COUNTIF(H$11:H264,H264)-1),(RANK(H264,H$11:H$343)+COUNTIF(H$11:H264,H264)-1)))</f>
        <v>76</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431.5</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468.6</v>
      </c>
      <c r="G266" s="15"/>
      <c r="H266" s="42">
        <f t="shared" si="107"/>
        <v>468.6</v>
      </c>
      <c r="I266" s="79">
        <f>IF(H266="","",IF($I$8="A",(RANK(H266,H$11:H$343,1)+COUNTIF(H$11:H266,H266)-1),(RANK(H266,H$11:H$343)+COUNTIF(H$11:H266,H266)-1)))</f>
        <v>119</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468.6</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590.6</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590.6</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570</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570</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509.6</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509.6</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490.6</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490.6</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437.5</v>
      </c>
      <c r="G271" s="15"/>
      <c r="H271" s="42">
        <f t="shared" si="107"/>
        <v>437.5</v>
      </c>
      <c r="I271" s="79">
        <f>IF(H271="","",IF($I$8="A",(RANK(H271,H$11:H$343,1)+COUNTIF(H$11:H271,H271)-1),(RANK(H271,H$11:H$343)+COUNTIF(H$11:H271,H271)-1)))</f>
        <v>82</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437.5</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316.2</v>
      </c>
      <c r="G272" s="15"/>
      <c r="H272" s="42">
        <f t="shared" si="107"/>
        <v>316.2</v>
      </c>
      <c r="I272" s="79">
        <f>IF(H272="","",IF($I$8="A",(RANK(H272,H$11:H$343,1)+COUNTIF(H$11:H272,H272)-1),(RANK(H272,H$11:H$343)+COUNTIF(H$11:H272,H272)-1)))</f>
        <v>6</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316.2</v>
      </c>
    </row>
    <row r="273" spans="1:50">
      <c r="A273" s="59" t="str">
        <f>$D$1&amp;263</f>
        <v>SD263</v>
      </c>
      <c r="B273" s="60">
        <f>IF(ISERROR(VLOOKUP(A280,classifications!A:C,3,FALSE)),0,VLOOKUP(A280,classifications!A:C,3,FALSE))</f>
        <v>0</v>
      </c>
      <c r="C273" t="s">
        <v>901</v>
      </c>
      <c r="D273" t="str">
        <f>VLOOKUP($C273,classifications!$C:$J,4,FALSE)</f>
        <v>SD</v>
      </c>
      <c r="E273" t="str">
        <f>VLOOKUP(C273,classifications!C:K,9,FALSE)</f>
        <v>Sparse</v>
      </c>
      <c r="F273">
        <f t="shared" si="106"/>
        <v>504.4</v>
      </c>
      <c r="G273" s="15"/>
      <c r="H273" s="42">
        <f t="shared" si="107"/>
        <v>504.4</v>
      </c>
      <c r="I273" s="79">
        <f>IF(H273="","",IF($I$8="A",(RANK(H273,H$11:H$343,1)+COUNTIF(H$11:H273,H273)-1),(RANK(H273,H$11:H$343)+COUNTIF(H$11:H273,H273)-1)))</f>
        <v>147</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504.4</v>
      </c>
    </row>
    <row r="274" spans="1:50">
      <c r="A274" s="59" t="str">
        <f>$D$1&amp;264</f>
        <v>SD264</v>
      </c>
      <c r="B274" s="60">
        <f>IF(ISERROR(VLOOKUP(A281,classifications!A:C,3,FALSE)),0,VLOOKUP(A281,classifications!A:C,3,FALSE))</f>
        <v>0</v>
      </c>
      <c r="C274" t="s">
        <v>249</v>
      </c>
      <c r="D274" t="str">
        <f>VLOOKUP($C274,classifications!$C:$J,4,FALSE)</f>
        <v>MD</v>
      </c>
      <c r="E274">
        <f>VLOOKUP(C274,classifications!C:K,9,FALSE)</f>
        <v>0</v>
      </c>
      <c r="F274">
        <f t="shared" si="106"/>
        <v>485.6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485.6</v>
      </c>
    </row>
    <row r="275" spans="1:50">
      <c r="A275" s="59" t="str">
        <f>$D$1&amp;265</f>
        <v>SD265</v>
      </c>
      <c r="B275" s="60">
        <f>IF(ISERROR(VLOOKUP(A282,classifications!A:C,3,FALSE)),0,VLOOKUP(A282,classifications!A:C,3,FALSE))</f>
        <v>0</v>
      </c>
      <c r="C275" t="s">
        <v>154</v>
      </c>
      <c r="D275" t="str">
        <f>VLOOKUP($C275,classifications!$C:$J,4,FALSE)</f>
        <v>SD</v>
      </c>
      <c r="E275" t="str">
        <f>VLOOKUP(C275,classifications!C:K,9,FALSE)</f>
        <v>Sparse</v>
      </c>
      <c r="F275">
        <f t="shared" si="106"/>
        <v>449.4</v>
      </c>
      <c r="G275" s="15"/>
      <c r="H275" s="42">
        <f t="shared" si="107"/>
        <v>449.4</v>
      </c>
      <c r="I275" s="79">
        <f>IF(H275="","",IF($I$8="A",(RANK(H275,H$11:H$343,1)+COUNTIF(H$11:H275,H275)-1),(RANK(H275,H$11:H$343)+COUNTIF(H$11:H275,H275)-1)))</f>
        <v>93</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449.4</v>
      </c>
    </row>
    <row r="276" spans="1:50">
      <c r="A276" s="59" t="str">
        <f>$D$1&amp;266</f>
        <v>SD266</v>
      </c>
      <c r="B276" s="60">
        <f>IF(ISERROR(VLOOKUP(A283,classifications!A:C,3,FALSE)),0,VLOOKUP(A283,classifications!A:C,3,FALSE))</f>
        <v>0</v>
      </c>
      <c r="C276" t="s">
        <v>328</v>
      </c>
      <c r="D276" t="str">
        <f>VLOOKUP($C276,classifications!$C:$J,4,FALSE)</f>
        <v>SC</v>
      </c>
      <c r="E276" t="str">
        <f>VLOOKUP(C276,classifications!C:K,9,FALSE)</f>
        <v>Sparse</v>
      </c>
      <c r="F276">
        <f t="shared" si="106"/>
        <v>548.79999999999995</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548.79999999999995</v>
      </c>
    </row>
    <row r="277" spans="1:50">
      <c r="A277" s="59" t="str">
        <f>$D$1&amp;267</f>
        <v>SD267</v>
      </c>
      <c r="B277" s="60">
        <f>IF(ISERROR(VLOOKUP(A284,classifications!A:C,3,FALSE)),0,VLOOKUP(A284,classifications!A:C,3,FALSE))</f>
        <v>0</v>
      </c>
      <c r="C277" t="s">
        <v>155</v>
      </c>
      <c r="D277" t="str">
        <f>VLOOKUP($C277,classifications!$C:$J,4,FALSE)</f>
        <v>SD</v>
      </c>
      <c r="E277">
        <f>VLOOKUP(C277,classifications!C:K,9,FALSE)</f>
        <v>0</v>
      </c>
      <c r="F277">
        <f t="shared" si="106"/>
        <v>384.2</v>
      </c>
      <c r="G277" s="15"/>
      <c r="H277" s="42">
        <f t="shared" si="107"/>
        <v>384.2</v>
      </c>
      <c r="I277" s="79">
        <f>IF(H277="","",IF($I$8="A",(RANK(H277,H$11:H$343,1)+COUNTIF(H$11:H277,H277)-1),(RANK(H277,H$11:H$343)+COUNTIF(H$11:H277,H277)-1)))</f>
        <v>34</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384.2</v>
      </c>
    </row>
    <row r="278" spans="1:50">
      <c r="A278" s="59" t="str">
        <f>$D$1&amp;268</f>
        <v>SD268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495</v>
      </c>
      <c r="G278" s="15"/>
      <c r="H278" s="42">
        <f t="shared" ref="H278:H341" si="130">IF(D278=$D$1,HLOOKUP($D$6,$AX$10:$ZZ$355,ROW()-9,FALSE),"")</f>
        <v>495</v>
      </c>
      <c r="I278" s="79">
        <f>IF(H278="","",IF($I$8="A",(RANK(H278,H$11:H$343,1)+COUNTIF(H$11:H278,H278)-1),(RANK(H278,H$11:H$343)+COUNTIF(H$11:H278,H278)-1)))</f>
        <v>138</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495</v>
      </c>
    </row>
    <row r="279" spans="1:50">
      <c r="A279" s="59" t="str">
        <f>$D$1&amp;269</f>
        <v>SD269</v>
      </c>
      <c r="B279" s="60">
        <f>IF(ISERROR(VLOOKUP(A286,classifications!A:C,3,FALSE)),0,VLOOKUP(A286,classifications!A:C,3,FALSE))</f>
        <v>0</v>
      </c>
      <c r="C279" t="s">
        <v>250</v>
      </c>
      <c r="D279" t="str">
        <f>VLOOKUP($C279,classifications!$C:$J,4,FALSE)</f>
        <v>MD</v>
      </c>
      <c r="E279">
        <f>VLOOKUP(C279,classifications!C:K,9,FALSE)</f>
        <v>0</v>
      </c>
      <c r="F279">
        <f t="shared" si="129"/>
        <v>300.2</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300.2</v>
      </c>
    </row>
    <row r="280" spans="1:50">
      <c r="A280" s="59" t="str">
        <f>$D$1&amp;270</f>
        <v>SD270</v>
      </c>
      <c r="B280" s="60">
        <f>IF(ISERROR(VLOOKUP(A287,classifications!A:C,3,FALSE)),0,VLOOKUP(A287,classifications!A:C,3,FALSE))</f>
        <v>0</v>
      </c>
      <c r="C280" t="s">
        <v>291</v>
      </c>
      <c r="D280" t="str">
        <f>VLOOKUP($C280,classifications!$C:$J,4,FALSE)</f>
        <v>UA</v>
      </c>
      <c r="E280">
        <f>VLOOKUP(C280,classifications!C:K,9,FALSE)</f>
        <v>0</v>
      </c>
      <c r="F280">
        <f t="shared" si="129"/>
        <v>693.5</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693.5</v>
      </c>
    </row>
    <row r="281" spans="1:50">
      <c r="A281" s="59" t="str">
        <f>$D$1&amp;271</f>
        <v>SD271</v>
      </c>
      <c r="B281" s="60">
        <f>IF(ISERROR(VLOOKUP(A288,classifications!A:C,3,FALSE)),0,VLOOKUP(A288,classifications!A:C,3,FALSE))</f>
        <v>0</v>
      </c>
      <c r="C281" t="s">
        <v>292</v>
      </c>
      <c r="D281" t="str">
        <f>VLOOKUP($C281,classifications!$C:$J,4,FALSE)</f>
        <v>UA</v>
      </c>
      <c r="E281">
        <f>VLOOKUP(C281,classifications!C:K,9,FALSE)</f>
        <v>0</v>
      </c>
      <c r="F281">
        <f t="shared" si="129"/>
        <v>555.9</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555.9</v>
      </c>
    </row>
    <row r="282" spans="1:50">
      <c r="A282" s="59" t="str">
        <f>$D$1&amp;272</f>
        <v>SD272</v>
      </c>
      <c r="B282" s="60">
        <f>IF(ISERROR(VLOOKUP(A289,classifications!A:C,3,FALSE)),0,VLOOKUP(A289,classifications!A:C,3,FALSE))</f>
        <v>0</v>
      </c>
      <c r="C282" t="s">
        <v>157</v>
      </c>
      <c r="D282" t="str">
        <f>VLOOKUP($C282,classifications!$C:$J,4,FALSE)</f>
        <v>SD</v>
      </c>
      <c r="E282" t="str">
        <f>VLOOKUP(C282,classifications!C:K,9,FALSE)</f>
        <v>Sparse</v>
      </c>
      <c r="F282">
        <f t="shared" si="129"/>
        <v>319.60000000000002</v>
      </c>
      <c r="G282" s="15"/>
      <c r="H282" s="42">
        <f t="shared" si="130"/>
        <v>319.60000000000002</v>
      </c>
      <c r="I282" s="79">
        <f>IF(H282="","",IF($I$8="A",(RANK(H282,H$11:H$343,1)+COUNTIF(H$11:H282,H282)-1),(RANK(H282,H$11:H$343)+COUNTIF(H$11:H282,H282)-1)))</f>
        <v>8</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319.60000000000002</v>
      </c>
    </row>
    <row r="283" spans="1:50">
      <c r="A283" s="59" t="str">
        <f>$D$1&amp;273</f>
        <v>SD273</v>
      </c>
      <c r="B283" s="60">
        <f>IF(ISERROR(VLOOKUP(A290,classifications!A:C,3,FALSE)),0,VLOOKUP(A290,classifications!A:C,3,FALSE))</f>
        <v>0</v>
      </c>
      <c r="C283" t="s">
        <v>158</v>
      </c>
      <c r="D283" t="str">
        <f>VLOOKUP($C283,classifications!$C:$J,4,FALSE)</f>
        <v>SD</v>
      </c>
      <c r="E283" t="str">
        <f>VLOOKUP(C283,classifications!C:K,9,FALSE)</f>
        <v>Sparse</v>
      </c>
      <c r="F283">
        <f t="shared" si="129"/>
        <v>293.3</v>
      </c>
      <c r="G283" s="15"/>
      <c r="H283" s="42">
        <f t="shared" si="130"/>
        <v>293.3</v>
      </c>
      <c r="I283" s="79">
        <f>IF(H283="","",IF($I$8="A",(RANK(H283,H$11:H$343,1)+COUNTIF(H$11:H283,H283)-1),(RANK(H283,H$11:H$343)+COUNTIF(H$11:H283,H283)-1)))</f>
        <v>3</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293.3</v>
      </c>
    </row>
    <row r="284" spans="1:50">
      <c r="A284" s="59" t="str">
        <f>$D$1&amp;274</f>
        <v>SD274</v>
      </c>
      <c r="B284" s="60">
        <f>IF(ISERROR(VLOOKUP(A291,classifications!A:C,3,FALSE)),0,VLOOKUP(A291,classifications!A:C,3,FALSE))</f>
        <v>0</v>
      </c>
      <c r="C284" t="s">
        <v>329</v>
      </c>
      <c r="D284" t="str">
        <f>VLOOKUP($C284,classifications!$C:$J,4,FALSE)</f>
        <v>SC</v>
      </c>
      <c r="E284" t="str">
        <f>VLOOKUP(C284,classifications!C:K,9,FALSE)</f>
        <v>Sparse</v>
      </c>
      <c r="F284">
        <f t="shared" si="129"/>
        <v>557.70000000000005</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557.70000000000005</v>
      </c>
    </row>
    <row r="285" spans="1:50">
      <c r="A285" s="59" t="str">
        <f>$D$1&amp;275</f>
        <v>SD275</v>
      </c>
      <c r="B285" s="60">
        <f>IF(ISERROR(VLOOKUP(A292,classifications!A:C,3,FALSE)),0,VLOOKUP(A292,classifications!A:C,3,FALSE))</f>
        <v>0</v>
      </c>
      <c r="C285" t="s">
        <v>900</v>
      </c>
      <c r="D285" t="str">
        <f>VLOOKUP($C285,classifications!$C:$J,4,FALSE)</f>
        <v>SD</v>
      </c>
      <c r="E285" t="str">
        <f>VLOOKUP(C285,classifications!C:K,9,FALSE)</f>
        <v>Sparse</v>
      </c>
      <c r="F285">
        <f t="shared" si="129"/>
        <v>470</v>
      </c>
      <c r="G285" s="15"/>
      <c r="H285" s="42">
        <f t="shared" si="130"/>
        <v>470</v>
      </c>
      <c r="I285" s="79">
        <f>IF(H285="","",IF($I$8="A",(RANK(H285,H$11:H$343,1)+COUNTIF(H$11:H285,H285)-1),(RANK(H285,H$11:H$343)+COUNTIF(H$11:H285,H285)-1)))</f>
        <v>121</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470</v>
      </c>
    </row>
    <row r="286" spans="1:50">
      <c r="A286" s="59" t="str">
        <f>$D$1&amp;276</f>
        <v>SD276</v>
      </c>
      <c r="B286" s="60">
        <f>IF(ISERROR(VLOOKUP(A293,classifications!A:C,3,FALSE)),0,VLOOKUP(A293,classifications!A:C,3,FALSE))</f>
        <v>0</v>
      </c>
      <c r="C286" t="s">
        <v>251</v>
      </c>
      <c r="D286" t="str">
        <f>VLOOKUP($C286,classifications!$C:$J,4,FALSE)</f>
        <v>MD</v>
      </c>
      <c r="E286">
        <f>VLOOKUP(C286,classifications!C:K,9,FALSE)</f>
        <v>0</v>
      </c>
      <c r="F286">
        <f t="shared" si="129"/>
        <v>581.79999999999995</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581.79999999999995</v>
      </c>
    </row>
    <row r="287" spans="1:50">
      <c r="A287" s="59" t="str">
        <f>$D$1&amp;277</f>
        <v>SD277</v>
      </c>
      <c r="B287" s="60">
        <f>IF(ISERROR(VLOOKUP(A294,classifications!A:C,3,FALSE)),0,VLOOKUP(A294,classifications!A:C,3,FALSE))</f>
        <v>0</v>
      </c>
      <c r="C287" t="s">
        <v>330</v>
      </c>
      <c r="D287" t="str">
        <f>VLOOKUP($C287,classifications!$C:$J,4,FALSE)</f>
        <v>SC</v>
      </c>
      <c r="E287">
        <f>VLOOKUP(C287,classifications!C:K,9,FALSE)</f>
        <v>0</v>
      </c>
      <c r="F287">
        <f t="shared" si="129"/>
        <v>441.6</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441.6</v>
      </c>
    </row>
    <row r="288" spans="1:50">
      <c r="A288" s="59" t="str">
        <f>$D$1&amp;278</f>
        <v>SD278</v>
      </c>
      <c r="B288" s="60">
        <f>IF(ISERROR(VLOOKUP(A295,classifications!A:C,3,FALSE)),0,VLOOKUP(A295,classifications!A:C,3,FALSE))</f>
        <v>0</v>
      </c>
      <c r="C288" t="s">
        <v>160</v>
      </c>
      <c r="D288" t="str">
        <f>VLOOKUP($C288,classifications!$C:$J,4,FALSE)</f>
        <v>SD</v>
      </c>
      <c r="E288">
        <f>VLOOKUP(C288,classifications!C:K,9,FALSE)</f>
        <v>0</v>
      </c>
      <c r="F288">
        <f t="shared" si="129"/>
        <v>333.9</v>
      </c>
      <c r="G288" s="15"/>
      <c r="H288" s="42">
        <f t="shared" si="130"/>
        <v>333.9</v>
      </c>
      <c r="I288" s="79">
        <f>IF(H288="","",IF($I$8="A",(RANK(H288,H$11:H$343,1)+COUNTIF(H$11:H288,H288)-1),(RANK(H288,H$11:H$343)+COUNTIF(H$11:H288,H288)-1)))</f>
        <v>13</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333.9</v>
      </c>
    </row>
    <row r="289" spans="1:50">
      <c r="A289" s="59" t="str">
        <f>$D$1&amp;279</f>
        <v>SD279</v>
      </c>
      <c r="B289" s="60">
        <f>IF(ISERROR(VLOOKUP(A296,classifications!A:C,3,FALSE)),0,VLOOKUP(A296,classifications!A:C,3,FALSE))</f>
        <v>0</v>
      </c>
      <c r="C289" t="s">
        <v>219</v>
      </c>
      <c r="D289" t="str">
        <f>VLOOKUP($C289,classifications!$C:$J,4,FALSE)</f>
        <v>L</v>
      </c>
      <c r="E289">
        <f>VLOOKUP(C289,classifications!C:K,9,FALSE)</f>
        <v>0</v>
      </c>
      <c r="F289">
        <f t="shared" si="129"/>
        <v>439.1</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439.1</v>
      </c>
    </row>
    <row r="290" spans="1:50">
      <c r="A290" s="59" t="str">
        <f>$D$1&amp;280</f>
        <v>SD280</v>
      </c>
      <c r="B290" s="60">
        <f>IF(ISERROR(VLOOKUP(A297,classifications!A:C,3,FALSE)),0,VLOOKUP(A297,classifications!A:C,3,FALSE))</f>
        <v>0</v>
      </c>
      <c r="C290" t="s">
        <v>161</v>
      </c>
      <c r="D290" t="str">
        <f>VLOOKUP($C290,classifications!$C:$J,4,FALSE)</f>
        <v>SD</v>
      </c>
      <c r="E290">
        <f>VLOOKUP(C290,classifications!C:K,9,FALSE)</f>
        <v>0</v>
      </c>
      <c r="F290">
        <f t="shared" si="129"/>
        <v>481.7</v>
      </c>
      <c r="G290" s="15"/>
      <c r="H290" s="42">
        <f t="shared" si="130"/>
        <v>481.7</v>
      </c>
      <c r="I290" s="79">
        <f>IF(H290="","",IF($I$8="A",(RANK(H290,H$11:H$343,1)+COUNTIF(H$11:H290,H290)-1),(RANK(H290,H$11:H$343)+COUNTIF(H$11:H290,H290)-1)))</f>
        <v>125</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481.7</v>
      </c>
    </row>
    <row r="291" spans="1:50">
      <c r="A291" s="59" t="str">
        <f>$D$1&amp;281</f>
        <v>SD281</v>
      </c>
      <c r="B291" s="60">
        <f>IF(ISERROR(VLOOKUP(A298,classifications!A:C,3,FALSE)),0,VLOOKUP(A298,classifications!A:C,3,FALSE))</f>
        <v>0</v>
      </c>
      <c r="C291" t="s">
        <v>293</v>
      </c>
      <c r="D291" t="str">
        <f>VLOOKUP($C291,classifications!$C:$J,4,FALSE)</f>
        <v>UA</v>
      </c>
      <c r="E291">
        <f>VLOOKUP(C291,classifications!C:K,9,FALSE)</f>
        <v>0</v>
      </c>
      <c r="F291">
        <f t="shared" si="129"/>
        <v>578.1</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578.1</v>
      </c>
    </row>
    <row r="292" spans="1:50">
      <c r="A292" s="59" t="str">
        <f>$D$1&amp;282</f>
        <v>SD282</v>
      </c>
      <c r="B292" s="60">
        <f>IF(ISERROR(VLOOKUP(A299,classifications!A:C,3,FALSE)),0,VLOOKUP(A299,classifications!A:C,3,FALSE))</f>
        <v>0</v>
      </c>
      <c r="C292" t="s">
        <v>252</v>
      </c>
      <c r="D292" t="str">
        <f>VLOOKUP($C292,classifications!$C:$J,4,FALSE)</f>
        <v>MD</v>
      </c>
      <c r="E292">
        <f>VLOOKUP(C292,classifications!C:K,9,FALSE)</f>
        <v>0</v>
      </c>
      <c r="F292">
        <f t="shared" si="129"/>
        <v>330.1</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330.1</v>
      </c>
    </row>
    <row r="293" spans="1:50">
      <c r="A293" s="59" t="str">
        <f>$D$1&amp;283</f>
        <v>SD283</v>
      </c>
      <c r="B293" s="60">
        <f>IF(ISERROR(VLOOKUP(A300,classifications!A:C,3,FALSE)),0,VLOOKUP(A300,classifications!A:C,3,FALSE))</f>
        <v>0</v>
      </c>
      <c r="C293" t="s">
        <v>162</v>
      </c>
      <c r="D293" t="str">
        <f>VLOOKUP($C293,classifications!$C:$J,4,FALSE)</f>
        <v>SD</v>
      </c>
      <c r="E293">
        <f>VLOOKUP(C293,classifications!C:K,9,FALSE)</f>
        <v>0</v>
      </c>
      <c r="F293">
        <f t="shared" si="129"/>
        <v>518</v>
      </c>
      <c r="G293" s="15"/>
      <c r="H293" s="42">
        <f t="shared" si="130"/>
        <v>518</v>
      </c>
      <c r="I293" s="79">
        <f>IF(H293="","",IF($I$8="A",(RANK(H293,H$11:H$343,1)+COUNTIF(H$11:H293,H293)-1),(RANK(H293,H$11:H$343)+COUNTIF(H$11:H293,H293)-1)))</f>
        <v>152</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518</v>
      </c>
    </row>
    <row r="294" spans="1:50">
      <c r="A294" s="59" t="str">
        <f>$D$1&amp;284</f>
        <v>SD284</v>
      </c>
      <c r="B294" s="60">
        <f>IF(ISERROR(VLOOKUP(A301,classifications!A:C,3,FALSE)),0,VLOOKUP(A301,classifications!A:C,3,FALSE))</f>
        <v>0</v>
      </c>
      <c r="C294" t="s">
        <v>163</v>
      </c>
      <c r="D294" t="str">
        <f>VLOOKUP($C294,classifications!$C:$J,4,FALSE)</f>
        <v>SD</v>
      </c>
      <c r="E294">
        <f>VLOOKUP(C294,classifications!C:K,9,FALSE)</f>
        <v>0</v>
      </c>
      <c r="F294">
        <f t="shared" si="129"/>
        <v>353</v>
      </c>
      <c r="G294" s="15"/>
      <c r="H294" s="42">
        <f t="shared" si="130"/>
        <v>353</v>
      </c>
      <c r="I294" s="79">
        <f>IF(H294="","",IF($I$8="A",(RANK(H294,H$11:H$343,1)+COUNTIF(H$11:H294,H294)-1),(RANK(H294,H$11:H$343)+COUNTIF(H$11:H294,H294)-1)))</f>
        <v>21</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353</v>
      </c>
    </row>
    <row r="295" spans="1:50">
      <c r="A295" s="59" t="str">
        <f>$D$1&amp;285</f>
        <v>SD285</v>
      </c>
      <c r="B295" s="60">
        <f>IF(ISERROR(VLOOKUP(A303,classifications!A:C,3,FALSE)),0,VLOOKUP(A303,classifications!A:C,3,FALSE))</f>
        <v>0</v>
      </c>
      <c r="C295" t="s">
        <v>165</v>
      </c>
      <c r="D295" t="str">
        <f>VLOOKUP($C295,classifications!$C:$J,4,FALSE)</f>
        <v>SD</v>
      </c>
      <c r="E295" t="str">
        <f>VLOOKUP(C295,classifications!C:K,9,FALSE)</f>
        <v>Sparse</v>
      </c>
      <c r="F295">
        <f t="shared" si="129"/>
        <v>347</v>
      </c>
      <c r="G295" s="15"/>
      <c r="H295" s="42">
        <f t="shared" si="130"/>
        <v>347</v>
      </c>
      <c r="I295" s="79">
        <f>IF(H295="","",IF($I$8="A",(RANK(H295,H$11:H$343,1)+COUNTIF(H$11:H295,H295)-1),(RANK(H295,H$11:H$343)+COUNTIF(H$11:H295,H295)-1)))</f>
        <v>19</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347</v>
      </c>
    </row>
    <row r="296" spans="1:50">
      <c r="A296" s="59" t="str">
        <f>$D$1&amp;286</f>
        <v>SD286</v>
      </c>
      <c r="B296" s="60">
        <f>IF(ISERROR(VLOOKUP(A304,classifications!A:C,3,FALSE)),0,VLOOKUP(A304,classifications!A:C,3,FALSE))</f>
        <v>0</v>
      </c>
      <c r="C296" t="s">
        <v>815</v>
      </c>
      <c r="D296" t="str">
        <f>VLOOKUP($C296,classifications!$C:$J,4,FALSE)</f>
        <v>UA</v>
      </c>
      <c r="E296">
        <f>VLOOKUP(C296,classifications!C:K,9,FALSE)</f>
        <v>0</v>
      </c>
      <c r="F296">
        <f t="shared" si="129"/>
        <v>529.29999999999995</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529.29999999999995</v>
      </c>
    </row>
    <row r="297" spans="1:50">
      <c r="A297" s="59" t="str">
        <f>$D$1&amp;287</f>
        <v>SD287</v>
      </c>
      <c r="B297" s="60">
        <f>IF(ISERROR(VLOOKUP(A305,classifications!A:C,3,FALSE)),0,VLOOKUP(A305,classifications!A:C,3,FALSE))</f>
        <v>0</v>
      </c>
      <c r="C297" t="s">
        <v>166</v>
      </c>
      <c r="D297" t="str">
        <f>VLOOKUP($C297,classifications!$C:$J,4,FALSE)</f>
        <v>SD</v>
      </c>
      <c r="E297">
        <f>VLOOKUP(C297,classifications!C:K,9,FALSE)</f>
        <v>0</v>
      </c>
      <c r="F297">
        <f t="shared" si="129"/>
        <v>419.6</v>
      </c>
      <c r="G297" s="15"/>
      <c r="H297" s="42">
        <f t="shared" si="130"/>
        <v>419.6</v>
      </c>
      <c r="I297" s="79">
        <f>IF(H297="","",IF($I$8="A",(RANK(H297,H$11:H$343,1)+COUNTIF(H$11:H297,H297)-1),(RANK(H297,H$11:H$343)+COUNTIF(H$11:H297,H297)-1)))</f>
        <v>62</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419.6</v>
      </c>
    </row>
    <row r="298" spans="1:50">
      <c r="A298" s="59" t="str">
        <f>$D$1&amp;288</f>
        <v>SD288</v>
      </c>
      <c r="B298" s="60">
        <f>IF(ISERROR(VLOOKUP(A306,classifications!A:C,3,FALSE)),0,VLOOKUP(A306,classifications!A:C,3,FALSE))</f>
        <v>0</v>
      </c>
      <c r="C298" t="s">
        <v>167</v>
      </c>
      <c r="D298" t="str">
        <f>VLOOKUP($C298,classifications!$C:$J,4,FALSE)</f>
        <v>SD</v>
      </c>
      <c r="E298">
        <f>VLOOKUP(C298,classifications!C:K,9,FALSE)</f>
        <v>0</v>
      </c>
      <c r="F298">
        <f t="shared" si="129"/>
        <v>472.2</v>
      </c>
      <c r="G298" s="15"/>
      <c r="H298" s="42">
        <f t="shared" si="130"/>
        <v>472.2</v>
      </c>
      <c r="I298" s="79">
        <f>IF(H298="","",IF($I$8="A",(RANK(H298,H$11:H$343,1)+COUNTIF(H$11:H298,H298)-1),(RANK(H298,H$11:H$343)+COUNTIF(H$11:H298,H298)-1)))</f>
        <v>122</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472.2</v>
      </c>
    </row>
    <row r="299" spans="1:50">
      <c r="A299" s="59" t="str">
        <f>$D$1&amp;289</f>
        <v>SD289</v>
      </c>
      <c r="B299" s="60">
        <f>IF(ISERROR(VLOOKUP(A307,classifications!A:C,3,FALSE)),0,VLOOKUP(A307,classifications!A:C,3,FALSE))</f>
        <v>0</v>
      </c>
      <c r="C299" t="s">
        <v>168</v>
      </c>
      <c r="D299" t="str">
        <f>VLOOKUP($C299,classifications!$C:$J,4,FALSE)</f>
        <v>SD</v>
      </c>
      <c r="E299" t="str">
        <f>VLOOKUP(C299,classifications!C:K,9,FALSE)</f>
        <v>Sparse</v>
      </c>
      <c r="F299">
        <f t="shared" si="129"/>
        <v>388.9</v>
      </c>
      <c r="G299" s="15"/>
      <c r="H299" s="42">
        <f t="shared" si="130"/>
        <v>388.9</v>
      </c>
      <c r="I299" s="79">
        <f>IF(H299="","",IF($I$8="A",(RANK(H299,H$11:H$343,1)+COUNTIF(H$11:H299,H299)-1),(RANK(H299,H$11:H$343)+COUNTIF(H$11:H299,H299)-1)))</f>
        <v>39</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388.9</v>
      </c>
    </row>
    <row r="300" spans="1:50">
      <c r="A300" s="59" t="str">
        <f>$D$1&amp;290</f>
        <v>SD290</v>
      </c>
      <c r="B300" s="60">
        <f>IF(ISERROR(VLOOKUP(A308,classifications!A:C,3,FALSE)),0,VLOOKUP(A308,classifications!A:C,3,FALSE))</f>
        <v>0</v>
      </c>
      <c r="C300" t="s">
        <v>169</v>
      </c>
      <c r="D300" t="str">
        <f>VLOOKUP($C300,classifications!$C:$J,4,FALSE)</f>
        <v>SD</v>
      </c>
      <c r="E300">
        <f>VLOOKUP(C300,classifications!C:K,9,FALSE)</f>
        <v>0</v>
      </c>
      <c r="F300">
        <f t="shared" si="129"/>
        <v>461.3</v>
      </c>
      <c r="G300" s="15"/>
      <c r="H300" s="42">
        <f t="shared" si="130"/>
        <v>461.3</v>
      </c>
      <c r="I300" s="79">
        <f>IF(H300="","",IF($I$8="A",(RANK(H300,H$11:H$343,1)+COUNTIF(H$11:H300,H300)-1),(RANK(H300,H$11:H$343)+COUNTIF(H$11:H300,H300)-1)))</f>
        <v>107</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461.3</v>
      </c>
    </row>
    <row r="301" spans="1:50">
      <c r="A301" s="59" t="str">
        <f>$D$1&amp;291</f>
        <v>SD291</v>
      </c>
      <c r="B301" s="60">
        <f>IF(ISERROR(VLOOKUP(A309,classifications!A:C,3,FALSE)),0,VLOOKUP(A309,classifications!A:C,3,FALSE))</f>
        <v>0</v>
      </c>
      <c r="C301" t="s">
        <v>170</v>
      </c>
      <c r="D301" t="str">
        <f>VLOOKUP($C301,classifications!$C:$J,4,FALSE)</f>
        <v>SD</v>
      </c>
      <c r="E301">
        <f>VLOOKUP(C301,classifications!C:K,9,FALSE)</f>
        <v>0</v>
      </c>
      <c r="F301">
        <f t="shared" si="129"/>
        <v>318.2</v>
      </c>
      <c r="G301" s="15"/>
      <c r="H301" s="42">
        <f t="shared" si="130"/>
        <v>318.2</v>
      </c>
      <c r="I301" s="79">
        <f>IF(H301="","",IF($I$8="A",(RANK(H301,H$11:H$343,1)+COUNTIF(H$11:H301,H301)-1),(RANK(H301,H$11:H$343)+COUNTIF(H$11:H301,H301)-1)))</f>
        <v>7</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318.2</v>
      </c>
    </row>
    <row r="302" spans="1:50">
      <c r="A302" s="59" t="str">
        <f>$D$1&amp;292</f>
        <v>SD292</v>
      </c>
      <c r="B302" s="60">
        <f>IF(ISERROR(VLOOKUP(A310,classifications!A:C,3,FALSE)),0,VLOOKUP(A310,classifications!A:C,3,FALSE))</f>
        <v>0</v>
      </c>
      <c r="C302" t="s">
        <v>294</v>
      </c>
      <c r="D302" t="str">
        <f>VLOOKUP($C302,classifications!$C:$J,4,FALSE)</f>
        <v>UA</v>
      </c>
      <c r="E302">
        <f>VLOOKUP(C302,classifications!C:K,9,FALSE)</f>
        <v>0</v>
      </c>
      <c r="F302">
        <f t="shared" si="129"/>
        <v>698.2</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698.2</v>
      </c>
    </row>
    <row r="303" spans="1:50">
      <c r="A303" s="59" t="str">
        <f>$D$1&amp;293</f>
        <v>SD293</v>
      </c>
      <c r="B303" s="60">
        <f>IF(ISERROR(VLOOKUP(A311,classifications!A:C,3,FALSE)),0,VLOOKUP(A311,classifications!A:C,3,FALSE))</f>
        <v>0</v>
      </c>
      <c r="C303" t="s">
        <v>351</v>
      </c>
      <c r="D303" t="str">
        <f>VLOOKUP($C303,classifications!$C:$J,4,FALSE)</f>
        <v>SD</v>
      </c>
      <c r="E303">
        <f>VLOOKUP(C303,classifications!C:K,9,FALSE)</f>
        <v>0</v>
      </c>
      <c r="F303">
        <f t="shared" si="129"/>
        <v>456.6</v>
      </c>
      <c r="G303" s="15"/>
      <c r="H303" s="42">
        <f t="shared" si="130"/>
        <v>456.6</v>
      </c>
      <c r="I303" s="79">
        <f>IF(H303="","",IF($I$8="A",(RANK(H303,H$11:H$343,1)+COUNTIF(H$11:H303,H303)-1),(RANK(H303,H$11:H$343)+COUNTIF(H$11:H303,H303)-1)))</f>
        <v>101</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456.6</v>
      </c>
    </row>
    <row r="304" spans="1:50">
      <c r="A304" s="59" t="str">
        <f>$D$1&amp;294</f>
        <v>SD294</v>
      </c>
      <c r="B304" s="60">
        <f>IF(ISERROR(VLOOKUP(A312,classifications!A:C,3,FALSE)),0,VLOOKUP(A312,classifications!A:C,3,FALSE))</f>
        <v>0</v>
      </c>
      <c r="C304" t="s">
        <v>295</v>
      </c>
      <c r="D304" t="str">
        <f>VLOOKUP($C304,classifications!$C:$J,4,FALSE)</f>
        <v>UA</v>
      </c>
      <c r="E304">
        <f>VLOOKUP(C304,classifications!C:K,9,FALSE)</f>
        <v>0</v>
      </c>
      <c r="F304">
        <f t="shared" si="129"/>
        <v>497</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497</v>
      </c>
    </row>
    <row r="305" spans="1:50">
      <c r="A305" s="59" t="str">
        <f>$D$1&amp;295</f>
        <v>SD295</v>
      </c>
      <c r="B305" s="60">
        <f>IF(ISERROR(VLOOKUP(A313,classifications!A:C,3,FALSE)),0,VLOOKUP(A313,classifications!A:C,3,FALSE))</f>
        <v>0</v>
      </c>
      <c r="C305" t="s">
        <v>171</v>
      </c>
      <c r="D305" t="str">
        <f>VLOOKUP($C305,classifications!$C:$J,4,FALSE)</f>
        <v>SD</v>
      </c>
      <c r="E305" t="str">
        <f>VLOOKUP(C305,classifications!C:K,9,FALSE)</f>
        <v>Sparse</v>
      </c>
      <c r="F305">
        <f t="shared" si="129"/>
        <v>329.8</v>
      </c>
      <c r="G305" s="15"/>
      <c r="H305" s="42">
        <f t="shared" si="130"/>
        <v>329.8</v>
      </c>
      <c r="I305" s="79">
        <f>IF(H305="","",IF($I$8="A",(RANK(H305,H$11:H$343,1)+COUNTIF(H$11:H305,H305)-1),(RANK(H305,H$11:H$343)+COUNTIF(H$11:H305,H305)-1)))</f>
        <v>12</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329.8</v>
      </c>
    </row>
    <row r="306" spans="1:50">
      <c r="A306" s="59" t="str">
        <f>$D$1&amp;296</f>
        <v>SD296</v>
      </c>
      <c r="B306" s="60">
        <f>IF(ISERROR(VLOOKUP(A314,classifications!A:C,3,FALSE)),0,VLOOKUP(A314,classifications!A:C,3,FALSE))</f>
        <v>0</v>
      </c>
      <c r="C306" t="s">
        <v>220</v>
      </c>
      <c r="D306" t="str">
        <f>VLOOKUP($C306,classifications!$C:$J,4,FALSE)</f>
        <v>L</v>
      </c>
      <c r="E306">
        <f>VLOOKUP(C306,classifications!C:K,9,FALSE)</f>
        <v>0</v>
      </c>
      <c r="F306">
        <f t="shared" si="129"/>
        <v>522.79999999999995</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522.79999999999995</v>
      </c>
    </row>
    <row r="307" spans="1:50">
      <c r="A307" s="59" t="str">
        <f>$D$1&amp;297</f>
        <v>SD297</v>
      </c>
      <c r="B307" s="60">
        <f>IF(ISERROR(VLOOKUP(A315,classifications!A:C,3,FALSE)),0,VLOOKUP(A315,classifications!A:C,3,FALSE))</f>
        <v>0</v>
      </c>
      <c r="C307" t="s">
        <v>253</v>
      </c>
      <c r="D307" t="str">
        <f>VLOOKUP($C307,classifications!$C:$J,4,FALSE)</f>
        <v>MD</v>
      </c>
      <c r="E307">
        <f>VLOOKUP(C307,classifications!C:K,9,FALSE)</f>
        <v>0</v>
      </c>
      <c r="F307">
        <f t="shared" si="129"/>
        <v>305.2</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305.2</v>
      </c>
    </row>
    <row r="308" spans="1:50">
      <c r="A308" s="59" t="str">
        <f>$D$1&amp;298</f>
        <v>SD298</v>
      </c>
      <c r="B308" s="60">
        <f>IF(ISERROR(VLOOKUP(A316,classifications!A:C,3,FALSE)),0,VLOOKUP(A316,classifications!A:C,3,FALSE))</f>
        <v>0</v>
      </c>
      <c r="C308" t="s">
        <v>172</v>
      </c>
      <c r="D308" t="str">
        <f>VLOOKUP($C308,classifications!$C:$J,4,FALSE)</f>
        <v>SD</v>
      </c>
      <c r="E308">
        <f>VLOOKUP(C308,classifications!C:K,9,FALSE)</f>
        <v>0</v>
      </c>
      <c r="F308">
        <f t="shared" si="129"/>
        <v>408.1</v>
      </c>
      <c r="G308" s="15"/>
      <c r="H308" s="42">
        <f t="shared" si="130"/>
        <v>408.1</v>
      </c>
      <c r="I308" s="79">
        <f>IF(H308="","",IF($I$8="A",(RANK(H308,H$11:H$343,1)+COUNTIF(H$11:H308,H308)-1),(RANK(H308,H$11:H$343)+COUNTIF(H$11:H308,H308)-1)))</f>
        <v>53</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408.1</v>
      </c>
    </row>
    <row r="309" spans="1:50">
      <c r="A309" s="59" t="str">
        <f>$D$1&amp;299</f>
        <v>SD299</v>
      </c>
      <c r="B309" s="60">
        <f>IF(ISERROR(VLOOKUP(A317,classifications!A:C,3,FALSE)),0,VLOOKUP(A317,classifications!A:C,3,FALSE))</f>
        <v>0</v>
      </c>
      <c r="C309" t="s">
        <v>173</v>
      </c>
      <c r="D309" t="str">
        <f>VLOOKUP($C309,classifications!$C:$J,4,FALSE)</f>
        <v>SD</v>
      </c>
      <c r="E309" t="str">
        <f>VLOOKUP(C309,classifications!C:K,9,FALSE)</f>
        <v>Sparse</v>
      </c>
      <c r="F309">
        <f t="shared" si="129"/>
        <v>425.9</v>
      </c>
      <c r="G309" s="15"/>
      <c r="H309" s="42">
        <f t="shared" si="130"/>
        <v>425.9</v>
      </c>
      <c r="I309" s="79">
        <f>IF(H309="","",IF($I$8="A",(RANK(H309,H$11:H$343,1)+COUNTIF(H$11:H309,H309)-1),(RANK(H309,H$11:H$343)+COUNTIF(H$11:H309,H309)-1)))</f>
        <v>66</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425.9</v>
      </c>
    </row>
    <row r="310" spans="1:50">
      <c r="A310" s="59" t="str">
        <f>$D$1&amp;300</f>
        <v>SD300</v>
      </c>
      <c r="B310" s="60">
        <f>IF(ISERROR(VLOOKUP(A318,classifications!A:C,3,FALSE)),0,VLOOKUP(A318,classifications!A:C,3,FALSE))</f>
        <v>0</v>
      </c>
      <c r="C310" t="s">
        <v>174</v>
      </c>
      <c r="D310" t="str">
        <f>VLOOKUP($C310,classifications!$C:$J,4,FALSE)</f>
        <v>SD</v>
      </c>
      <c r="E310" t="str">
        <f>VLOOKUP(C310,classifications!C:K,9,FALSE)</f>
        <v>Sparse</v>
      </c>
      <c r="F310">
        <f t="shared" si="129"/>
        <v>292.89999999999998</v>
      </c>
      <c r="G310" s="15"/>
      <c r="H310" s="42">
        <f t="shared" si="130"/>
        <v>292.89999999999998</v>
      </c>
      <c r="I310" s="79">
        <f>IF(H310="","",IF($I$8="A",(RANK(H310,H$11:H$343,1)+COUNTIF(H$11:H310,H310)-1),(RANK(H310,H$11:H$343)+COUNTIF(H$11:H310,H310)-1)))</f>
        <v>2</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292.89999999999998</v>
      </c>
    </row>
    <row r="311" spans="1:50">
      <c r="A311" s="59" t="str">
        <f>$D$1&amp;301</f>
        <v>SD301</v>
      </c>
      <c r="B311" s="60">
        <f>IF(ISERROR(VLOOKUP(A319,classifications!A:C,3,FALSE)),0,VLOOKUP(A319,classifications!A:C,3,FALSE))</f>
        <v>0</v>
      </c>
      <c r="C311" t="s">
        <v>254</v>
      </c>
      <c r="D311" t="str">
        <f>VLOOKUP($C311,classifications!$C:$J,4,FALSE)</f>
        <v>MD</v>
      </c>
      <c r="E311">
        <f>VLOOKUP(C311,classifications!C:K,9,FALSE)</f>
        <v>0</v>
      </c>
      <c r="F311">
        <f t="shared" si="129"/>
        <v>483.5</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483.5</v>
      </c>
    </row>
    <row r="312" spans="1:50">
      <c r="A312" s="59" t="str">
        <f>$D$1&amp;302</f>
        <v>SD302</v>
      </c>
      <c r="B312" s="60">
        <f>IF(ISERROR(VLOOKUP(A320,classifications!A:C,3,FALSE)),0,VLOOKUP(A320,classifications!A:C,3,FALSE))</f>
        <v>0</v>
      </c>
      <c r="C312" t="s">
        <v>255</v>
      </c>
      <c r="D312" t="str">
        <f>VLOOKUP($C312,classifications!$C:$J,4,FALSE)</f>
        <v>MD</v>
      </c>
      <c r="E312">
        <f>VLOOKUP(C312,classifications!C:K,9,FALSE)</f>
        <v>0</v>
      </c>
      <c r="F312">
        <f t="shared" si="129"/>
        <v>620.79999999999995</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620.79999999999995</v>
      </c>
    </row>
    <row r="313" spans="1:50">
      <c r="A313" s="59" t="str">
        <f>$D$1&amp;303</f>
        <v>SD303</v>
      </c>
      <c r="B313" s="60">
        <f>IF(ISERROR(VLOOKUP(A321,classifications!A:C,3,FALSE)),0,VLOOKUP(A321,classifications!A:C,3,FALSE))</f>
        <v>0</v>
      </c>
      <c r="C313" t="s">
        <v>221</v>
      </c>
      <c r="D313" t="str">
        <f>VLOOKUP($C313,classifications!$C:$J,4,FALSE)</f>
        <v>L</v>
      </c>
      <c r="E313">
        <f>VLOOKUP(C313,classifications!C:K,9,FALSE)</f>
        <v>0</v>
      </c>
      <c r="F313">
        <f t="shared" si="129"/>
        <v>550.1</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550.1</v>
      </c>
    </row>
    <row r="314" spans="1:50">
      <c r="A314" s="59" t="str">
        <f>$D$1&amp;304</f>
        <v>SD304</v>
      </c>
      <c r="B314" s="60">
        <f>IF(ISERROR(VLOOKUP(A322,classifications!A:C,3,FALSE)),0,VLOOKUP(A322,classifications!A:C,3,FALSE))</f>
        <v>0</v>
      </c>
      <c r="C314" t="s">
        <v>222</v>
      </c>
      <c r="D314" t="str">
        <f>VLOOKUP($C314,classifications!$C:$J,4,FALSE)</f>
        <v>L</v>
      </c>
      <c r="E314">
        <f>VLOOKUP(C314,classifications!C:K,9,FALSE)</f>
        <v>0</v>
      </c>
      <c r="F314">
        <f t="shared" si="129"/>
        <v>476.1</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476.1</v>
      </c>
    </row>
    <row r="315" spans="1:50">
      <c r="A315" s="59" t="str">
        <f>$D$1&amp;305</f>
        <v>SD305</v>
      </c>
      <c r="B315" s="60">
        <f>IF(ISERROR(VLOOKUP(A323,classifications!A:C,3,FALSE)),0,VLOOKUP(A323,classifications!A:C,3,FALSE))</f>
        <v>0</v>
      </c>
      <c r="C315" t="s">
        <v>296</v>
      </c>
      <c r="D315" t="str">
        <f>VLOOKUP($C315,classifications!$C:$J,4,FALSE)</f>
        <v>UA</v>
      </c>
      <c r="E315">
        <f>VLOOKUP(C315,classifications!C:K,9,FALSE)</f>
        <v>0</v>
      </c>
      <c r="F315">
        <f t="shared" si="129"/>
        <v>517.6</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517.6</v>
      </c>
    </row>
    <row r="316" spans="1:50">
      <c r="A316" s="59" t="str">
        <f>$D$1&amp;306</f>
        <v>SD306</v>
      </c>
      <c r="B316" s="60">
        <f>IF(ISERROR(VLOOKUP(A324,classifications!A:C,3,FALSE)),0,VLOOKUP(A324,classifications!A:C,3,FALSE))</f>
        <v>0</v>
      </c>
      <c r="C316" t="s">
        <v>175</v>
      </c>
      <c r="D316" t="str">
        <f>VLOOKUP($C316,classifications!$C:$J,4,FALSE)</f>
        <v>SD</v>
      </c>
      <c r="E316">
        <f>VLOOKUP(C316,classifications!C:K,9,FALSE)</f>
        <v>0</v>
      </c>
      <c r="F316">
        <f t="shared" si="129"/>
        <v>359.9</v>
      </c>
      <c r="G316" s="15"/>
      <c r="H316" s="42">
        <f t="shared" si="130"/>
        <v>359.9</v>
      </c>
      <c r="I316" s="79">
        <f>IF(H316="","",IF($I$8="A",(RANK(H316,H$11:H$343,1)+COUNTIF(H$11:H316,H316)-1),(RANK(H316,H$11:H$343)+COUNTIF(H$11:H316,H316)-1)))</f>
        <v>24</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359.9</v>
      </c>
    </row>
    <row r="317" spans="1:50">
      <c r="A317" s="59" t="str">
        <f>$D$1&amp;307</f>
        <v>SD307</v>
      </c>
      <c r="B317" s="60">
        <f>IF(ISERROR(VLOOKUP(A325,classifications!A:C,3,FALSE)),0,VLOOKUP(A325,classifications!A:C,3,FALSE))</f>
        <v>0</v>
      </c>
      <c r="C317" t="s">
        <v>331</v>
      </c>
      <c r="D317" t="str">
        <f>VLOOKUP($C317,classifications!$C:$J,4,FALSE)</f>
        <v>SC</v>
      </c>
      <c r="E317">
        <f>VLOOKUP(C317,classifications!C:K,9,FALSE)</f>
        <v>0</v>
      </c>
      <c r="F317">
        <f t="shared" si="129"/>
        <v>449.8</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449.8</v>
      </c>
    </row>
    <row r="318" spans="1:50">
      <c r="A318" s="59" t="str">
        <f>$D$1&amp;308</f>
        <v>SD308</v>
      </c>
      <c r="B318" s="60">
        <f>IF(ISERROR(VLOOKUP(A326,classifications!A:C,3,FALSE)),0,VLOOKUP(A326,classifications!A:C,3,FALSE))</f>
        <v>0</v>
      </c>
      <c r="C318" t="s">
        <v>176</v>
      </c>
      <c r="D318" t="str">
        <f>VLOOKUP($C318,classifications!$C:$J,4,FALSE)</f>
        <v>SD</v>
      </c>
      <c r="E318">
        <f>VLOOKUP(C318,classifications!C:K,9,FALSE)</f>
        <v>0</v>
      </c>
      <c r="F318">
        <f t="shared" si="129"/>
        <v>373</v>
      </c>
      <c r="G318" s="15"/>
      <c r="H318" s="42">
        <f t="shared" si="130"/>
        <v>373</v>
      </c>
      <c r="I318" s="79">
        <f>IF(H318="","",IF($I$8="A",(RANK(H318,H$11:H$343,1)+COUNTIF(H$11:H318,H318)-1),(RANK(H318,H$11:H$343)+COUNTIF(H$11:H318,H318)-1)))</f>
        <v>30</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373</v>
      </c>
    </row>
    <row r="319" spans="1:50">
      <c r="A319" s="59" t="str">
        <f>$D$1&amp;309</f>
        <v>SD309</v>
      </c>
      <c r="B319" s="60">
        <f>IF(ISERROR(VLOOKUP(A327,classifications!A:C,3,FALSE)),0,VLOOKUP(A327,classifications!A:C,3,FALSE))</f>
        <v>0</v>
      </c>
      <c r="C319" t="s">
        <v>178</v>
      </c>
      <c r="D319" t="str">
        <f>VLOOKUP($C319,classifications!$C:$J,4,FALSE)</f>
        <v>SD</v>
      </c>
      <c r="E319">
        <f>VLOOKUP(C319,classifications!C:K,9,FALSE)</f>
        <v>0</v>
      </c>
      <c r="F319">
        <f t="shared" si="129"/>
        <v>337.4</v>
      </c>
      <c r="G319" s="15"/>
      <c r="H319" s="42">
        <f t="shared" si="130"/>
        <v>337.4</v>
      </c>
      <c r="I319" s="79">
        <f>IF(H319="","",IF($I$8="A",(RANK(H319,H$11:H$343,1)+COUNTIF(H$11:H319,H319)-1),(RANK(H319,H$11:H$343)+COUNTIF(H$11:H319,H319)-1)))</f>
        <v>16</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337.4</v>
      </c>
    </row>
    <row r="320" spans="1:50">
      <c r="A320" s="59" t="str">
        <f>$D$1&amp;310</f>
        <v>SD310</v>
      </c>
      <c r="B320" s="60">
        <f>IF(ISERROR(VLOOKUP(A328,classifications!A:C,3,FALSE)),0,VLOOKUP(A328,classifications!A:C,3,FALSE))</f>
        <v>0</v>
      </c>
      <c r="C320" t="s">
        <v>179</v>
      </c>
      <c r="D320" t="str">
        <f>VLOOKUP($C320,classifications!$C:$J,4,FALSE)</f>
        <v>SD</v>
      </c>
      <c r="E320" t="str">
        <f>VLOOKUP(C320,classifications!C:K,9,FALSE)</f>
        <v>Sparse</v>
      </c>
      <c r="F320">
        <f t="shared" si="129"/>
        <v>418.1</v>
      </c>
      <c r="G320" s="15"/>
      <c r="H320" s="42">
        <f t="shared" si="130"/>
        <v>418.1</v>
      </c>
      <c r="I320" s="79">
        <f>IF(H320="","",IF($I$8="A",(RANK(H320,H$11:H$343,1)+COUNTIF(H$11:H320,H320)-1),(RANK(H320,H$11:H$343)+COUNTIF(H$11:H320,H320)-1)))</f>
        <v>60</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418.1</v>
      </c>
    </row>
    <row r="321" spans="1:50">
      <c r="A321" s="59" t="str">
        <f>$D$1&amp;311</f>
        <v>SD311</v>
      </c>
      <c r="B321" s="60">
        <f>IF(ISERROR(VLOOKUP(A330,classifications!A:C,3,FALSE)),0,VLOOKUP(A330,classifications!A:C,3,FALSE))</f>
        <v>0</v>
      </c>
      <c r="C321" t="s">
        <v>181</v>
      </c>
      <c r="D321" t="str">
        <f>VLOOKUP($C321,classifications!$C:$J,4,FALSE)</f>
        <v>SD</v>
      </c>
      <c r="E321">
        <f>VLOOKUP(C321,classifications!C:K,9,FALSE)</f>
        <v>0</v>
      </c>
      <c r="F321">
        <f t="shared" si="129"/>
        <v>396.4</v>
      </c>
      <c r="G321" s="15"/>
      <c r="H321" s="42">
        <f t="shared" si="130"/>
        <v>396.4</v>
      </c>
      <c r="I321" s="79">
        <f>IF(H321="","",IF($I$8="A",(RANK(H321,H$11:H$343,1)+COUNTIF(H$11:H321,H321)-1),(RANK(H321,H$11:H$343)+COUNTIF(H$11:H321,H321)-1)))</f>
        <v>44</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396.4</v>
      </c>
    </row>
    <row r="322" spans="1:50">
      <c r="A322" s="59" t="str">
        <f>$D$1&amp;312</f>
        <v>SD312</v>
      </c>
      <c r="B322" s="60">
        <f>IF(ISERROR(VLOOKUP(A331,classifications!A:C,3,FALSE)),0,VLOOKUP(A331,classifications!A:C,3,FALSE))</f>
        <v>0</v>
      </c>
      <c r="C322" t="s">
        <v>297</v>
      </c>
      <c r="D322" t="str">
        <f>VLOOKUP($C322,classifications!$C:$J,4,FALSE)</f>
        <v>UA</v>
      </c>
      <c r="E322">
        <f>VLOOKUP(C322,classifications!C:K,9,FALSE)</f>
        <v>0</v>
      </c>
      <c r="F322">
        <f t="shared" si="129"/>
        <v>489.4</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489.4</v>
      </c>
    </row>
    <row r="323" spans="1:50">
      <c r="A323" s="59" t="str">
        <f>$D$1&amp;313</f>
        <v>SD313</v>
      </c>
      <c r="B323" s="60">
        <f>IF(ISERROR(VLOOKUP(A332,classifications!A:C,3,FALSE)),0,VLOOKUP(A332,classifications!A:C,3,FALSE))</f>
        <v>0</v>
      </c>
      <c r="C323" t="s">
        <v>182</v>
      </c>
      <c r="D323" t="str">
        <f>VLOOKUP($C323,classifications!$C:$J,4,FALSE)</f>
        <v>SD</v>
      </c>
      <c r="E323" t="str">
        <f>VLOOKUP(C323,classifications!C:K,9,FALSE)</f>
        <v>Sparse</v>
      </c>
      <c r="F323">
        <f t="shared" si="129"/>
        <v>307.8</v>
      </c>
      <c r="G323" s="15"/>
      <c r="H323" s="42">
        <f t="shared" si="130"/>
        <v>307.8</v>
      </c>
      <c r="I323" s="79">
        <f>IF(H323="","",IF($I$8="A",(RANK(H323,H$11:H$343,1)+COUNTIF(H$11:H323,H323)-1),(RANK(H323,H$11:H$343)+COUNTIF(H$11:H323,H323)-1)))</f>
        <v>5</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307.8</v>
      </c>
    </row>
    <row r="324" spans="1:50">
      <c r="A324" s="59" t="str">
        <f>$D$1&amp;314</f>
        <v>SD314</v>
      </c>
      <c r="B324" s="60">
        <f>IF(ISERROR(VLOOKUP(A333,classifications!A:C,3,FALSE)),0,VLOOKUP(A333,classifications!A:C,3,FALSE))</f>
        <v>0</v>
      </c>
      <c r="C324" t="s">
        <v>184</v>
      </c>
      <c r="D324" t="str">
        <f>VLOOKUP($C324,classifications!$C:$J,4,FALSE)</f>
        <v>SD</v>
      </c>
      <c r="E324">
        <f>VLOOKUP(C324,classifications!C:K,9,FALSE)</f>
        <v>0</v>
      </c>
      <c r="F324">
        <f t="shared" si="129"/>
        <v>496.9</v>
      </c>
      <c r="G324" s="15"/>
      <c r="H324" s="42">
        <f t="shared" si="130"/>
        <v>496.9</v>
      </c>
      <c r="I324" s="79">
        <f>IF(H324="","",IF($I$8="A",(RANK(H324,H$11:H$343,1)+COUNTIF(H$11:H324,H324)-1),(RANK(H324,H$11:H$343)+COUNTIF(H$11:H324,H324)-1)))</f>
        <v>141</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496.9</v>
      </c>
    </row>
    <row r="325" spans="1:50">
      <c r="A325" s="59" t="str">
        <f>$D$1&amp;315</f>
        <v>SD315</v>
      </c>
      <c r="B325" s="60">
        <f>IF(ISERROR(VLOOKUP(A334,classifications!A:C,3,FALSE)),0,VLOOKUP(A334,classifications!A:C,3,FALSE))</f>
        <v>0</v>
      </c>
      <c r="C325" t="s">
        <v>185</v>
      </c>
      <c r="D325" t="str">
        <f>VLOOKUP($C325,classifications!$C:$J,4,FALSE)</f>
        <v>SD</v>
      </c>
      <c r="E325" t="str">
        <f>VLOOKUP(C325,classifications!C:K,9,FALSE)</f>
        <v>Sparse</v>
      </c>
      <c r="F325">
        <f t="shared" si="129"/>
        <v>490.9</v>
      </c>
      <c r="G325" s="15"/>
      <c r="H325" s="42">
        <f t="shared" si="130"/>
        <v>490.9</v>
      </c>
      <c r="I325" s="79">
        <f>IF(H325="","",IF($I$8="A",(RANK(H325,H$11:H$343,1)+COUNTIF(H$11:H325,H325)-1),(RANK(H325,H$11:H$343)+COUNTIF(H$11:H325,H325)-1)))</f>
        <v>137</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490.9</v>
      </c>
    </row>
    <row r="326" spans="1:50">
      <c r="A326" s="59" t="str">
        <f>$D$1&amp;316</f>
        <v>SD316</v>
      </c>
      <c r="B326" s="60">
        <f>IF(ISERROR(VLOOKUP(A335,classifications!A:C,3,FALSE)),0,VLOOKUP(A335,classifications!A:C,3,FALSE))</f>
        <v>0</v>
      </c>
      <c r="C326" t="s">
        <v>186</v>
      </c>
      <c r="D326" t="str">
        <f>VLOOKUP($C326,classifications!$C:$J,4,FALSE)</f>
        <v>SD</v>
      </c>
      <c r="E326" t="str">
        <f>VLOOKUP(C326,classifications!C:K,9,FALSE)</f>
        <v>Sparse</v>
      </c>
      <c r="F326">
        <f t="shared" si="129"/>
        <v>341.5</v>
      </c>
      <c r="G326" s="15"/>
      <c r="H326" s="42">
        <f t="shared" si="130"/>
        <v>341.5</v>
      </c>
      <c r="I326" s="79">
        <f>IF(H326="","",IF($I$8="A",(RANK(H326,H$11:H$343,1)+COUNTIF(H$11:H326,H326)-1),(RANK(H326,H$11:H$343)+COUNTIF(H$11:H326,H326)-1)))</f>
        <v>17</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341.5</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430.2</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430.2</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471.1</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471.1</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426.9</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426.9</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542.4</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542.4</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445.9</v>
      </c>
      <c r="G331" s="15"/>
      <c r="H331" s="42">
        <f t="shared" si="130"/>
        <v>445.9</v>
      </c>
      <c r="I331" s="79">
        <f>IF(H331="","",IF($I$8="A",(RANK(H331,H$11:H$343,1)+COUNTIF(H$11:H331,H331)-1),(RANK(H331,H$11:H$343)+COUNTIF(H$11:H331,H331)-1)))</f>
        <v>89</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445.9</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470.6</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470.6</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534</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534</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359.7</v>
      </c>
      <c r="G334" s="15"/>
      <c r="H334" s="42">
        <f t="shared" si="130"/>
        <v>359.7</v>
      </c>
      <c r="I334" s="79">
        <f>IF(H334="","",IF($I$8="A",(RANK(H334,H$11:H$343,1)+COUNTIF(H$11:H334,H334)-1),(RANK(H334,H$11:H$343)+COUNTIF(H$11:H334,H334)-1)))</f>
        <v>23</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359.7</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420.4</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420.4</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549.4</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549.4</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431.4</v>
      </c>
      <c r="G337" s="15"/>
      <c r="H337" s="42">
        <f t="shared" si="130"/>
        <v>431.4</v>
      </c>
      <c r="I337" s="79">
        <f>IF(H337="","",IF($I$8="A",(RANK(H337,H$11:H$343,1)+COUNTIF(H$11:H337,H337)-1),(RANK(H337,H$11:H$343)+COUNTIF(H$11:H337,H337)-1)))</f>
        <v>75</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431.4</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547.9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547.9</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428.8</v>
      </c>
      <c r="G339" s="15"/>
      <c r="H339" s="42">
        <f t="shared" si="130"/>
        <v>428.8</v>
      </c>
      <c r="I339" s="79">
        <f>IF(H339="","",IF($I$8="A",(RANK(H339,H$11:H$343,1)+COUNTIF(H$11:H339,H339)-1),(RANK(H339,H$11:H$343)+COUNTIF(H$11:H339,H339)-1)))</f>
        <v>73</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428.8</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448.5</v>
      </c>
      <c r="G340" s="15"/>
      <c r="H340" s="42">
        <f t="shared" si="130"/>
        <v>448.5</v>
      </c>
      <c r="I340" s="79">
        <f>IF(H340="","",IF($I$8="A",(RANK(H340,H$11:H$343,1)+COUNTIF(H$11:H340,H340)-1),(RANK(H340,H$11:H$343)+COUNTIF(H$11:H340,H340)-1)))</f>
        <v>92</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448.5</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463.6</v>
      </c>
      <c r="G341" s="15"/>
      <c r="H341" s="42">
        <f t="shared" si="130"/>
        <v>463.6</v>
      </c>
      <c r="I341" s="79">
        <f>IF(H341="","",IF($I$8="A",(RANK(H341,H$11:H$343,1)+COUNTIF(H$11:H341,H341)-1),(RANK(H341,H$11:H$343)+COUNTIF(H$11:H341,H341)-1)))</f>
        <v>110</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463.6</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483.9</v>
      </c>
      <c r="G342" s="15"/>
      <c r="H342" s="42">
        <f t="shared" ref="H342:H343" si="153">IF(D342=$D$1,HLOOKUP($D$6,$AX$10:$ZZ$355,ROW()-9,FALSE),"")</f>
        <v>483.9</v>
      </c>
      <c r="I342" s="79">
        <f>IF(H342="","",IF($I$8="A",(RANK(H342,H$11:H$343,1)+COUNTIF(H$11:H342,H342)-1),(RANK(H342,H$11:H$343)+COUNTIF(H$11:H342,H342)-1)))</f>
        <v>129</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483.9</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499.4</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499.4</v>
      </c>
    </row>
    <row r="344" spans="1:84">
      <c r="A344" s="59" t="str">
        <f>$D$1&amp;334</f>
        <v>SD334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SD335</v>
      </c>
    </row>
    <row r="346" spans="1:84">
      <c r="A346" s="59" t="str">
        <f>$D$1&amp;336</f>
        <v>SD336</v>
      </c>
    </row>
    <row r="347" spans="1:84">
      <c r="A347" s="59" t="str">
        <f>$D$1&amp;337</f>
        <v>SD337</v>
      </c>
    </row>
    <row r="348" spans="1:84">
      <c r="A348" s="59" t="str">
        <f>$D$1&amp;338</f>
        <v>SD338</v>
      </c>
    </row>
    <row r="349" spans="1:84">
      <c r="A349" s="59" t="str">
        <f>$D$1&amp;339</f>
        <v>SD339</v>
      </c>
    </row>
    <row r="350" spans="1:84">
      <c r="A350" s="59" t="str">
        <f>$D$1&amp;340</f>
        <v>SD340</v>
      </c>
    </row>
    <row r="351" spans="1:84">
      <c r="A351" s="59" t="str">
        <f>$D$1&amp;341</f>
        <v>SD341</v>
      </c>
    </row>
    <row r="352" spans="1:84">
      <c r="A352" s="59" t="str">
        <f>$D$1&amp;342</f>
        <v>SD342</v>
      </c>
    </row>
    <row r="353" spans="1:735">
      <c r="A353" s="59" t="str">
        <f>$D$1&amp;343</f>
        <v>SD343</v>
      </c>
    </row>
    <row r="354" spans="1:735">
      <c r="A354" s="59" t="str">
        <f>$D$1&amp;344</f>
        <v>SD344</v>
      </c>
    </row>
    <row r="355" spans="1:735">
      <c r="A355" s="59" t="str">
        <f>$D$1&amp;345</f>
        <v>SD345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C3: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15" t="s">
        <v>890</v>
      </c>
      <c r="C2" t="s">
        <v>823</v>
      </c>
      <c r="D2" t="s">
        <v>823</v>
      </c>
      <c r="E2" t="s">
        <v>887</v>
      </c>
      <c r="F2" t="s">
        <v>907</v>
      </c>
      <c r="G2" t="s">
        <v>910</v>
      </c>
    </row>
    <row r="3" spans="1:7" ht="14.4">
      <c r="A3" s="34">
        <f t="shared" ref="A3:A66" si="0">COUNTA(F3:ZY3)</f>
        <v>0</v>
      </c>
      <c r="B3" s="215"/>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890</v>
      </c>
      <c r="E4" t="s">
        <v>891</v>
      </c>
      <c r="F4" t="s">
        <v>891</v>
      </c>
      <c r="G4" t="s">
        <v>892</v>
      </c>
      <c r="H4" t="s">
        <v>892</v>
      </c>
      <c r="I4" t="s">
        <v>893</v>
      </c>
      <c r="J4" t="s">
        <v>893</v>
      </c>
      <c r="K4"/>
      <c r="L4"/>
      <c r="M4"/>
      <c r="N4"/>
      <c r="O4"/>
      <c r="P4"/>
      <c r="Q4"/>
      <c r="R4"/>
      <c r="S4"/>
      <c r="T4"/>
      <c r="U4"/>
      <c r="V4"/>
      <c r="W4"/>
      <c r="X4"/>
      <c r="Y4"/>
      <c r="Z4"/>
      <c r="AA4"/>
      <c r="AB4"/>
      <c r="AC4"/>
      <c r="AD4"/>
      <c r="AE4"/>
      <c r="AF4"/>
      <c r="AG4"/>
      <c r="AH4"/>
      <c r="AI4"/>
      <c r="AJ4"/>
    </row>
    <row r="5" spans="1:77" ht="30" customHeight="1">
      <c r="A5" s="300"/>
      <c r="B5" s="143" t="s">
        <v>366</v>
      </c>
      <c r="C5" t="s">
        <v>907</v>
      </c>
      <c r="D5" t="s">
        <v>910</v>
      </c>
      <c r="E5" t="s">
        <v>907</v>
      </c>
      <c r="F5" t="s">
        <v>910</v>
      </c>
      <c r="G5" t="s">
        <v>907</v>
      </c>
      <c r="H5" t="s">
        <v>910</v>
      </c>
      <c r="I5" t="s">
        <v>907</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t="s">
        <v>889</v>
      </c>
      <c r="H6" s="156" t="s">
        <v>889</v>
      </c>
      <c r="I6" s="156" t="s">
        <v>889</v>
      </c>
      <c r="J6" s="156" t="s">
        <v>889</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34" activePane="bottomRight" state="frozen"/>
      <selection activeCell="N70" sqref="N70"/>
      <selection pane="topRight" activeCell="N70" sqref="N70"/>
      <selection pane="bottomLeft" activeCell="N70" sqref="N70"/>
      <selection pane="bottomRight" activeCell="H246" sqref="H246:I246"/>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899</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898</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SD13</v>
      </c>
      <c r="B91" s="22" t="str">
        <f>J91&amp;(COUNTIF(J$2:J91,J91))</f>
        <v>Suffolk2</v>
      </c>
      <c r="C91" t="s">
        <v>900</v>
      </c>
      <c r="D91" t="s">
        <v>900</v>
      </c>
      <c r="E91" s="25" t="s">
        <v>370</v>
      </c>
      <c r="F91" s="25" t="s">
        <v>382</v>
      </c>
      <c r="G91" s="25" t="s">
        <v>5</v>
      </c>
      <c r="H91" s="26" t="s">
        <v>898</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894</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894</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895</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899</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899</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897</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899</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896</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894</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894</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898</v>
      </c>
      <c r="I104" s="27" t="s">
        <v>383</v>
      </c>
      <c r="J104" t="s">
        <v>303</v>
      </c>
    </row>
    <row r="105" spans="1:11" ht="14.4">
      <c r="A105" s="22" t="str">
        <f>F105&amp;(COUNTIFS(F$2:F105,F105,K$2:K105,"Sparse"))</f>
        <v>SD14</v>
      </c>
      <c r="B105" s="22" t="str">
        <f>J105&amp;(COUNTIF(J$2:J105,J105))</f>
        <v>Kent5</v>
      </c>
      <c r="C105" t="s">
        <v>903</v>
      </c>
      <c r="D105" t="s">
        <v>903</v>
      </c>
      <c r="E105" s="25" t="s">
        <v>0</v>
      </c>
      <c r="F105" s="25" t="s">
        <v>382</v>
      </c>
      <c r="G105" s="25" t="s">
        <v>5</v>
      </c>
      <c r="H105" s="26" t="s">
        <v>897</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895</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894</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899</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896</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894</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894</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899</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897</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899</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894</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899</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894</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895</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899</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895</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899</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894</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897</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899</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897</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894</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894</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894</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899</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898</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899</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898</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899</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898</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898</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899</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895</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894</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894</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895</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895</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899</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899</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898</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894</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899</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899</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899</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899</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897</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899</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894</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897</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899</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897</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894</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899</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894</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897</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895</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898</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899</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894</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894</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895</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895</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899</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895</v>
      </c>
      <c r="I175" s="27" t="s">
        <v>383</v>
      </c>
      <c r="J175" t="s">
        <v>309</v>
      </c>
      <c r="K175" t="s">
        <v>336</v>
      </c>
    </row>
    <row r="176" spans="1:11" ht="14.4">
      <c r="A176" s="22" t="str">
        <f>F176&amp;(COUNTIFS(F$2:F176,F176,K$2:K176,"Sparse"))</f>
        <v>SD26</v>
      </c>
      <c r="B176" s="22" t="str">
        <f>J176&amp;(COUNTIF(J$2:J176,J176))</f>
        <v>Suffolk4</v>
      </c>
      <c r="C176" t="s">
        <v>911</v>
      </c>
      <c r="D176" t="s">
        <v>911</v>
      </c>
      <c r="E176" s="25" t="s">
        <v>370</v>
      </c>
      <c r="F176" s="25" t="s">
        <v>382</v>
      </c>
      <c r="G176" s="25" t="s">
        <v>5</v>
      </c>
      <c r="H176" s="26" t="s">
        <v>895</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894</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894</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894</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897</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897</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898</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899</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894</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899</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898</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894</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894</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897</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895</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897</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895</v>
      </c>
      <c r="I193" s="27" t="s">
        <v>383</v>
      </c>
      <c r="J193" s="3" t="s">
        <v>320</v>
      </c>
      <c r="K193" t="s">
        <v>336</v>
      </c>
    </row>
    <row r="194" spans="1:11" ht="14.4">
      <c r="A194" s="22" t="str">
        <f>F194&amp;(COUNTIFS(F$2:F194,F194,K$2:K194,"Sparse"))</f>
        <v>UA7</v>
      </c>
      <c r="B194" s="22" t="str">
        <f>J194&amp;(COUNTIF(J$2:J194,J194))</f>
        <v>Unitary30</v>
      </c>
      <c r="C194" t="s">
        <v>904</v>
      </c>
      <c r="D194" t="s">
        <v>904</v>
      </c>
      <c r="E194" s="25" t="s">
        <v>368</v>
      </c>
      <c r="F194" s="25" t="s">
        <v>388</v>
      </c>
      <c r="G194" s="25" t="s">
        <v>397</v>
      </c>
      <c r="H194" s="26" t="s">
        <v>909</v>
      </c>
      <c r="I194" s="27" t="s">
        <v>909</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897</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899</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895</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898</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898</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894</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896</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894</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894</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899</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894</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894</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894</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894</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894</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894</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894</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899</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897</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894</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894</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895</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899</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895</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899</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894</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894</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898</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896</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894</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899</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898</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894</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895</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895</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899</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899</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897</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898</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899</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895</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898</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896</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898</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894</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899</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905</v>
      </c>
      <c r="D245" s="27" t="s">
        <v>905</v>
      </c>
      <c r="E245" s="25" t="s">
        <v>1</v>
      </c>
      <c r="F245" s="25" t="s">
        <v>382</v>
      </c>
      <c r="G245" s="25" t="s">
        <v>5</v>
      </c>
      <c r="H245" s="27" t="s">
        <v>908</v>
      </c>
      <c r="I245" s="27" t="s">
        <v>383</v>
      </c>
      <c r="J245" t="s">
        <v>327</v>
      </c>
      <c r="K245" t="s">
        <v>336</v>
      </c>
    </row>
    <row r="246" spans="1:11" ht="14.4">
      <c r="A246" s="22" t="str">
        <f>F246&amp;(COUNTIFS(F$2:F246,F246,K$2:K246,"Sparse"))</f>
        <v>SD40</v>
      </c>
      <c r="B246" s="22" t="str">
        <f>J246&amp;(COUNTIF(J$2:J246,J246))</f>
        <v>Cambridgeshire6</v>
      </c>
      <c r="C246" t="s">
        <v>912</v>
      </c>
      <c r="D246" t="s">
        <v>912</v>
      </c>
      <c r="E246" s="25" t="s">
        <v>370</v>
      </c>
      <c r="F246" s="25" t="s">
        <v>382</v>
      </c>
      <c r="G246" s="25" t="s">
        <v>5</v>
      </c>
      <c r="H246" s="26" t="s">
        <v>897</v>
      </c>
      <c r="I246" s="27" t="s">
        <v>372</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897</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894</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895</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898</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895</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895</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895</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894</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898</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897</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899</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894</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894</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899</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899</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894</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899</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894</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899</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898</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894</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899</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894</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897</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898</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894</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898</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897</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898</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894</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899</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899</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897</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894</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895</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899</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899</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897</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895</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898</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894</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899</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899</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899</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894</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894</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899</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898</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895</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894</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897</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895</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897</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895</v>
      </c>
      <c r="I314" s="27" t="s">
        <v>383</v>
      </c>
      <c r="J314" t="s">
        <v>319</v>
      </c>
      <c r="K314" t="s">
        <v>336</v>
      </c>
    </row>
    <row r="315" spans="1:11" ht="14.4">
      <c r="A315" s="22" t="str">
        <f>F315&amp;(COUNTIFS(F$2:F315,F315,K$2:K315,"Sparse"))</f>
        <v>UA12</v>
      </c>
      <c r="B315" s="22" t="str">
        <f>J315&amp;(COUNTIF(J$2:J315,J315))</f>
        <v>Unitary53</v>
      </c>
      <c r="C315" t="s">
        <v>906</v>
      </c>
      <c r="D315" t="s">
        <v>906</v>
      </c>
      <c r="E315" s="25" t="s">
        <v>368</v>
      </c>
      <c r="F315" s="25" t="s">
        <v>388</v>
      </c>
      <c r="G315" s="25" t="s">
        <v>397</v>
      </c>
      <c r="H315" s="26" t="s">
        <v>897</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895</v>
      </c>
      <c r="I316" s="27" t="s">
        <v>383</v>
      </c>
      <c r="J316" t="s">
        <v>325</v>
      </c>
      <c r="K316" t="s">
        <v>336</v>
      </c>
    </row>
    <row r="317" spans="1:11" ht="14.4">
      <c r="A317" s="22" t="str">
        <f>F317&amp;(COUNTIFS(F$2:F317,F317,K$2:K317,"Sparse"))</f>
        <v>SD60</v>
      </c>
      <c r="B317" s="22" t="str">
        <f>J317&amp;(COUNTIF(J$2:J317,J317))</f>
        <v>Suffolk6</v>
      </c>
      <c r="C317" t="s">
        <v>901</v>
      </c>
      <c r="D317" t="s">
        <v>901</v>
      </c>
      <c r="E317" s="25" t="s">
        <v>370</v>
      </c>
      <c r="F317" s="25" t="s">
        <v>382</v>
      </c>
      <c r="G317" s="25" t="s">
        <v>5</v>
      </c>
      <c r="H317" s="26" t="s">
        <v>898</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B13"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2A2504D3-731C-4F02-B40A-BDE3C67A6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2024-04-22T11:37:59Z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