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425"/>
  <workbookPr codeName="ThisWorkbook"/>
  <mc:AlternateContent xmlns:mc="http://schemas.openxmlformats.org/markup-compatibility/2006">
    <mc:Choice Requires="x15">
      <x15ac:absPath xmlns:x15ac="http://schemas.microsoft.com/office/spreadsheetml/2010/11/ac" url="https://ruralservicesnetwork.sharepoint.com/sites/RSNShared/Shared Documents/12. Work areas/Daniel Worth/Cloud Folder/020424/"/>
    </mc:Choice>
  </mc:AlternateContent>
  <xr:revisionPtr revIDLastSave="41" documentId="8_{6472E27F-1975-4857-8196-3C44A7E65668}" xr6:coauthVersionLast="47" xr6:coauthVersionMax="47" xr10:uidLastSave="{D849F7C8-EDEA-499E-BC7F-D783DB8DA25A}"/>
  <workbookProtection workbookAlgorithmName="SHA-512" workbookHashValue="izzgKfK1Gk+LRBoGaPhQGbFNPOsFgX5WMGHOBd3VGawlpVdhxUOrJbPXTzOrAuOfbc96PISAkXbA+d+kAsZS4A==" workbookSaltValue="O1v7IfxrU40sFIgbcNcL2w==" workbookSpinCount="100000" lockStructure="1"/>
  <bookViews>
    <workbookView xWindow="-108" yWindow="-108" windowWidth="23256" windowHeight="12456" tabRatio="599" xr2:uid="{00000000-000D-0000-FFFF-FFFF00000000}"/>
  </bookViews>
  <sheets>
    <sheet name="Profile" sheetId="8" r:id="rId1"/>
    <sheet name="Filtered Data" sheetId="16" state="veryHidden" r:id="rId2"/>
    <sheet name="Indicator info" sheetId="31" state="veryHidden" r:id="rId3"/>
    <sheet name="Data" sheetId="34" state="veryHidden" r:id="rId4"/>
    <sheet name="classifications" sheetId="11" state="veryHidden" r:id="rId5"/>
    <sheet name="Families" sheetId="24" state="veryHidden" r:id="rId6"/>
    <sheet name="Guide" sheetId="35" state="veryHidden" r:id="rId7"/>
    <sheet name="check list" sheetId="37" state="veryHidden" r:id="rId8"/>
  </sheets>
  <externalReferences>
    <externalReference r:id="rId9"/>
  </externalReferences>
  <definedNames>
    <definedName name="__123Graph_A" hidden="1">[1]Data!$AN$5:$AN$381</definedName>
    <definedName name="__123Graph_X" hidden="1">[1]Data!$AW$5:$AW$381</definedName>
    <definedName name="_Fill" hidden="1">[1]Data!$BA$395:$CU$395</definedName>
    <definedName name="_xlnm._FilterDatabase" localSheetId="4" hidden="1">classifications!$A$1:$L$334</definedName>
    <definedName name="_xlnm._FilterDatabase" localSheetId="3" hidden="1">Data!$A$1:$BY$333</definedName>
    <definedName name="_xlnm._FilterDatabase" localSheetId="1" hidden="1">'Filtered Data'!$A$10:$J$355</definedName>
    <definedName name="_Key1" hidden="1">'[1]07Model'!$A$65</definedName>
    <definedName name="_Order1" hidden="1">0</definedName>
    <definedName name="_Sort" localSheetId="3" hidden="1">#REF!</definedName>
    <definedName name="_Sort" localSheetId="5" hidden="1">'[1]07Model'!$A$65:$D$66</definedName>
    <definedName name="_Sort" hidden="1">#REF!</definedName>
    <definedName name="Authorities">OFFSET('Filtered Data'!$B$11,0,0,(COUNTA('Filtered Data'!$A:$A)-COUNTIF('Filtered Data'!$B:$B,0))-1,1)</definedName>
    <definedName name="Authorities1">'Filtered Data'!$B$11:$B$22</definedName>
    <definedName name="BotQuart">OFFSET('Filtered Data'!$R$11,0,0,COUNT('Filtered Data'!$M$11:$M$480),1)</definedName>
    <definedName name="fred" hidden="1">'[1]07Model'!$L$6:$L$20</definedName>
    <definedName name="Indicators">OFFSET('Indicator info'!$B$2,0,0,COUNTA('Indicator info'!$B:$B)-1,1)</definedName>
    <definedName name="MarkData">OFFSET('Filtered Data'!$N$11,0,0,COUNT('Filtered Data'!$N$11:$N$480),1)</definedName>
    <definedName name="Marker">OFFSET('Filtered Data'!$S$11,0,0,COUNT('Filtered Data'!$M$11:$M$480),1)</definedName>
    <definedName name="SecQuart">OFFSET('Filtered Data'!$P$11,0,0,COUNT('Filtered Data'!$M$11:$M$480),1)</definedName>
    <definedName name="ThirdQuart">OFFSET('Filtered Data'!$Q$11,0,0,COUNT('Filtered Data'!$M$11:$M$480),1)</definedName>
    <definedName name="TopQuart">OFFSET('Filtered Data'!$O$11,0,0,COUNT('Filtered Data'!$M$11:$M$480),1)</definedName>
    <definedName name="Years">OFFSET('Indicator info'!$F$1,(MATCH(Profile!$W$6,'Indicator info'!$B$2:$B$500,0)),0,1,'Indicator info'!$A$1)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92" i="8" l="1"/>
  <c r="U91" i="8"/>
  <c r="E91" i="8"/>
  <c r="B91" i="8"/>
  <c r="B89" i="8"/>
  <c r="B38" i="8" l="1"/>
  <c r="D86" i="16" l="1"/>
  <c r="E86" i="16"/>
  <c r="D87" i="16"/>
  <c r="E87" i="16"/>
  <c r="D88" i="16"/>
  <c r="E88" i="16"/>
  <c r="D89" i="16"/>
  <c r="E89" i="16"/>
  <c r="D90" i="16"/>
  <c r="E90" i="16"/>
  <c r="H90" i="16"/>
  <c r="I90" i="16" s="1"/>
  <c r="D91" i="16"/>
  <c r="E91" i="16"/>
  <c r="D92" i="16"/>
  <c r="E92" i="16"/>
  <c r="D93" i="16"/>
  <c r="E93" i="16"/>
  <c r="D94" i="16"/>
  <c r="H94" i="16" s="1"/>
  <c r="I94" i="16" s="1"/>
  <c r="E94" i="16"/>
  <c r="D95" i="16"/>
  <c r="E95" i="16"/>
  <c r="H95" i="16"/>
  <c r="I95" i="16" s="1"/>
  <c r="D96" i="16"/>
  <c r="E96" i="16"/>
  <c r="D97" i="16"/>
  <c r="E97" i="16"/>
  <c r="D98" i="16"/>
  <c r="E98" i="16"/>
  <c r="D99" i="16"/>
  <c r="E99" i="16"/>
  <c r="D100" i="16"/>
  <c r="E100" i="16"/>
  <c r="D101" i="16"/>
  <c r="E101" i="16"/>
  <c r="D102" i="16"/>
  <c r="E102" i="16"/>
  <c r="D103" i="16"/>
  <c r="E103" i="16"/>
  <c r="D104" i="16"/>
  <c r="E104" i="16"/>
  <c r="D105" i="16"/>
  <c r="E105" i="16"/>
  <c r="D106" i="16"/>
  <c r="E106" i="16"/>
  <c r="D107" i="16"/>
  <c r="E107" i="16"/>
  <c r="D108" i="16"/>
  <c r="H108" i="16" s="1"/>
  <c r="I108" i="16" s="1"/>
  <c r="E108" i="16"/>
  <c r="D109" i="16"/>
  <c r="E109" i="16"/>
  <c r="D110" i="16"/>
  <c r="E110" i="16"/>
  <c r="D111" i="16"/>
  <c r="E111" i="16"/>
  <c r="D112" i="16"/>
  <c r="E112" i="16"/>
  <c r="D113" i="16"/>
  <c r="E113" i="16"/>
  <c r="D114" i="16"/>
  <c r="E114" i="16"/>
  <c r="D115" i="16"/>
  <c r="E115" i="16"/>
  <c r="D116" i="16"/>
  <c r="E116" i="16"/>
  <c r="D117" i="16"/>
  <c r="E117" i="16"/>
  <c r="D118" i="16"/>
  <c r="H118" i="16" s="1"/>
  <c r="I118" i="16" s="1"/>
  <c r="E118" i="16"/>
  <c r="D119" i="16"/>
  <c r="E119" i="16"/>
  <c r="D120" i="16"/>
  <c r="E120" i="16"/>
  <c r="D121" i="16"/>
  <c r="E121" i="16"/>
  <c r="D122" i="16"/>
  <c r="E122" i="16"/>
  <c r="D123" i="16"/>
  <c r="E123" i="16"/>
  <c r="D124" i="16"/>
  <c r="E124" i="16"/>
  <c r="D125" i="16"/>
  <c r="H125" i="16" s="1"/>
  <c r="I125" i="16" s="1"/>
  <c r="E125" i="16"/>
  <c r="D126" i="16"/>
  <c r="E126" i="16"/>
  <c r="D127" i="16"/>
  <c r="H127" i="16" s="1"/>
  <c r="I127" i="16" s="1"/>
  <c r="E127" i="16"/>
  <c r="D128" i="16"/>
  <c r="E128" i="16"/>
  <c r="D129" i="16"/>
  <c r="E129" i="16"/>
  <c r="D130" i="16"/>
  <c r="H130" i="16" s="1"/>
  <c r="I130" i="16" s="1"/>
  <c r="E130" i="16"/>
  <c r="D131" i="16"/>
  <c r="E131" i="16"/>
  <c r="D132" i="16"/>
  <c r="E132" i="16"/>
  <c r="D133" i="16"/>
  <c r="H133" i="16" s="1"/>
  <c r="I133" i="16" s="1"/>
  <c r="E133" i="16"/>
  <c r="D134" i="16"/>
  <c r="E134" i="16"/>
  <c r="D135" i="16"/>
  <c r="E135" i="16"/>
  <c r="D136" i="16"/>
  <c r="H136" i="16" s="1"/>
  <c r="I136" i="16" s="1"/>
  <c r="E136" i="16"/>
  <c r="D137" i="16"/>
  <c r="E137" i="16"/>
  <c r="D138" i="16"/>
  <c r="E138" i="16"/>
  <c r="D139" i="16"/>
  <c r="E139" i="16"/>
  <c r="D140" i="16"/>
  <c r="E140" i="16"/>
  <c r="D141" i="16"/>
  <c r="H141" i="16" s="1"/>
  <c r="I141" i="16" s="1"/>
  <c r="E141" i="16"/>
  <c r="D142" i="16"/>
  <c r="E142" i="16"/>
  <c r="D143" i="16"/>
  <c r="E143" i="16"/>
  <c r="D144" i="16"/>
  <c r="E144" i="16"/>
  <c r="D145" i="16"/>
  <c r="E145" i="16"/>
  <c r="D146" i="16"/>
  <c r="H146" i="16" s="1"/>
  <c r="I146" i="16" s="1"/>
  <c r="E146" i="16"/>
  <c r="D147" i="16"/>
  <c r="E147" i="16"/>
  <c r="D148" i="16"/>
  <c r="E148" i="16"/>
  <c r="D149" i="16"/>
  <c r="H149" i="16" s="1"/>
  <c r="I149" i="16" s="1"/>
  <c r="E149" i="16"/>
  <c r="D150" i="16"/>
  <c r="E150" i="16"/>
  <c r="D151" i="16"/>
  <c r="E151" i="16"/>
  <c r="D152" i="16"/>
  <c r="E152" i="16"/>
  <c r="D153" i="16"/>
  <c r="E153" i="16"/>
  <c r="D154" i="16"/>
  <c r="H154" i="16" s="1"/>
  <c r="I154" i="16" s="1"/>
  <c r="E154" i="16"/>
  <c r="D155" i="16"/>
  <c r="H155" i="16" s="1"/>
  <c r="I155" i="16" s="1"/>
  <c r="E155" i="16"/>
  <c r="D156" i="16"/>
  <c r="H156" i="16" s="1"/>
  <c r="I156" i="16" s="1"/>
  <c r="E156" i="16"/>
  <c r="D157" i="16"/>
  <c r="E157" i="16"/>
  <c r="D158" i="16"/>
  <c r="E158" i="16"/>
  <c r="D159" i="16"/>
  <c r="E159" i="16"/>
  <c r="D160" i="16"/>
  <c r="H160" i="16" s="1"/>
  <c r="I160" i="16" s="1"/>
  <c r="E160" i="16"/>
  <c r="D161" i="16"/>
  <c r="H161" i="16" s="1"/>
  <c r="I161" i="16" s="1"/>
  <c r="E161" i="16"/>
  <c r="D162" i="16"/>
  <c r="H162" i="16" s="1"/>
  <c r="I162" i="16" s="1"/>
  <c r="E162" i="16"/>
  <c r="D163" i="16"/>
  <c r="H163" i="16" s="1"/>
  <c r="I163" i="16" s="1"/>
  <c r="E163" i="16"/>
  <c r="D164" i="16"/>
  <c r="E164" i="16"/>
  <c r="D165" i="16"/>
  <c r="E165" i="16"/>
  <c r="D166" i="16"/>
  <c r="H166" i="16" s="1"/>
  <c r="I166" i="16" s="1"/>
  <c r="E166" i="16"/>
  <c r="D167" i="16"/>
  <c r="E167" i="16"/>
  <c r="D168" i="16"/>
  <c r="E168" i="16"/>
  <c r="D169" i="16"/>
  <c r="E169" i="16"/>
  <c r="D170" i="16"/>
  <c r="H170" i="16" s="1"/>
  <c r="I170" i="16" s="1"/>
  <c r="E170" i="16"/>
  <c r="D171" i="16"/>
  <c r="E171" i="16"/>
  <c r="D172" i="16"/>
  <c r="E172" i="16"/>
  <c r="D173" i="16"/>
  <c r="E173" i="16"/>
  <c r="D174" i="16"/>
  <c r="H174" i="16" s="1"/>
  <c r="I174" i="16" s="1"/>
  <c r="E174" i="16"/>
  <c r="D175" i="16"/>
  <c r="E175" i="16"/>
  <c r="D176" i="16"/>
  <c r="E176" i="16"/>
  <c r="D177" i="16"/>
  <c r="E177" i="16"/>
  <c r="D178" i="16"/>
  <c r="E178" i="16"/>
  <c r="D179" i="16"/>
  <c r="H179" i="16" s="1"/>
  <c r="I179" i="16" s="1"/>
  <c r="E179" i="16"/>
  <c r="D180" i="16"/>
  <c r="E180" i="16"/>
  <c r="D181" i="16"/>
  <c r="E181" i="16"/>
  <c r="D182" i="16"/>
  <c r="E182" i="16"/>
  <c r="D183" i="16"/>
  <c r="E183" i="16"/>
  <c r="D184" i="16"/>
  <c r="H184" i="16" s="1"/>
  <c r="I184" i="16" s="1"/>
  <c r="E184" i="16"/>
  <c r="D185" i="16"/>
  <c r="E185" i="16"/>
  <c r="D186" i="16"/>
  <c r="E186" i="16"/>
  <c r="D187" i="16"/>
  <c r="E187" i="16"/>
  <c r="D188" i="16"/>
  <c r="E188" i="16"/>
  <c r="D189" i="16"/>
  <c r="E189" i="16"/>
  <c r="D190" i="16"/>
  <c r="E190" i="16"/>
  <c r="D191" i="16"/>
  <c r="E191" i="16"/>
  <c r="D192" i="16"/>
  <c r="E192" i="16"/>
  <c r="D193" i="16"/>
  <c r="H193" i="16" s="1"/>
  <c r="I193" i="16" s="1"/>
  <c r="E193" i="16"/>
  <c r="D194" i="16"/>
  <c r="E194" i="16"/>
  <c r="D195" i="16"/>
  <c r="H195" i="16" s="1"/>
  <c r="I195" i="16" s="1"/>
  <c r="E195" i="16"/>
  <c r="D196" i="16"/>
  <c r="E196" i="16"/>
  <c r="D197" i="16"/>
  <c r="E197" i="16"/>
  <c r="D198" i="16"/>
  <c r="E198" i="16"/>
  <c r="D199" i="16"/>
  <c r="E199" i="16"/>
  <c r="D200" i="16"/>
  <c r="E200" i="16"/>
  <c r="D201" i="16"/>
  <c r="E201" i="16"/>
  <c r="D202" i="16"/>
  <c r="E202" i="16"/>
  <c r="D203" i="16"/>
  <c r="E203" i="16"/>
  <c r="D204" i="16"/>
  <c r="E204" i="16"/>
  <c r="D205" i="16"/>
  <c r="H205" i="16" s="1"/>
  <c r="I205" i="16" s="1"/>
  <c r="E205" i="16"/>
  <c r="D206" i="16"/>
  <c r="E206" i="16"/>
  <c r="D207" i="16"/>
  <c r="E207" i="16"/>
  <c r="D208" i="16"/>
  <c r="E208" i="16"/>
  <c r="D209" i="16"/>
  <c r="E209" i="16"/>
  <c r="D210" i="16"/>
  <c r="E210" i="16"/>
  <c r="D211" i="16"/>
  <c r="E211" i="16"/>
  <c r="D212" i="16"/>
  <c r="E212" i="16"/>
  <c r="D213" i="16"/>
  <c r="E213" i="16"/>
  <c r="D214" i="16"/>
  <c r="E214" i="16"/>
  <c r="D215" i="16"/>
  <c r="H215" i="16" s="1"/>
  <c r="I215" i="16" s="1"/>
  <c r="E215" i="16"/>
  <c r="D216" i="16"/>
  <c r="E216" i="16"/>
  <c r="D217" i="16"/>
  <c r="E217" i="16"/>
  <c r="D218" i="16"/>
  <c r="E218" i="16"/>
  <c r="D219" i="16"/>
  <c r="E219" i="16"/>
  <c r="D220" i="16"/>
  <c r="E220" i="16"/>
  <c r="D221" i="16"/>
  <c r="E221" i="16"/>
  <c r="D222" i="16"/>
  <c r="E222" i="16"/>
  <c r="D223" i="16"/>
  <c r="E223" i="16"/>
  <c r="D224" i="16"/>
  <c r="E224" i="16"/>
  <c r="H224" i="16"/>
  <c r="I224" i="16" s="1"/>
  <c r="D225" i="16"/>
  <c r="E225" i="16"/>
  <c r="D226" i="16"/>
  <c r="E226" i="16"/>
  <c r="D227" i="16"/>
  <c r="E227" i="16"/>
  <c r="D228" i="16"/>
  <c r="E228" i="16"/>
  <c r="D229" i="16"/>
  <c r="H229" i="16" s="1"/>
  <c r="I229" i="16" s="1"/>
  <c r="E229" i="16"/>
  <c r="D230" i="16"/>
  <c r="E230" i="16"/>
  <c r="D231" i="16"/>
  <c r="H231" i="16" s="1"/>
  <c r="I231" i="16" s="1"/>
  <c r="E231" i="16"/>
  <c r="D232" i="16"/>
  <c r="E232" i="16"/>
  <c r="D233" i="16"/>
  <c r="E233" i="16"/>
  <c r="D234" i="16"/>
  <c r="E234" i="16"/>
  <c r="D235" i="16"/>
  <c r="H235" i="16" s="1"/>
  <c r="I235" i="16" s="1"/>
  <c r="E235" i="16"/>
  <c r="D236" i="16"/>
  <c r="E236" i="16"/>
  <c r="D237" i="16"/>
  <c r="E237" i="16"/>
  <c r="D238" i="16"/>
  <c r="E238" i="16"/>
  <c r="D239" i="16"/>
  <c r="E239" i="16"/>
  <c r="D240" i="16"/>
  <c r="E240" i="16"/>
  <c r="D241" i="16"/>
  <c r="E241" i="16"/>
  <c r="D242" i="16"/>
  <c r="H242" i="16" s="1"/>
  <c r="I242" i="16" s="1"/>
  <c r="E242" i="16"/>
  <c r="D243" i="16"/>
  <c r="H243" i="16" s="1"/>
  <c r="I243" i="16" s="1"/>
  <c r="E243" i="16"/>
  <c r="D244" i="16"/>
  <c r="E244" i="16"/>
  <c r="D245" i="16"/>
  <c r="E245" i="16"/>
  <c r="D246" i="16"/>
  <c r="H246" i="16" s="1"/>
  <c r="I246" i="16" s="1"/>
  <c r="E246" i="16"/>
  <c r="D247" i="16"/>
  <c r="E247" i="16"/>
  <c r="D248" i="16"/>
  <c r="E248" i="16"/>
  <c r="D249" i="16"/>
  <c r="H249" i="16" s="1"/>
  <c r="I249" i="16" s="1"/>
  <c r="E249" i="16"/>
  <c r="D250" i="16"/>
  <c r="E250" i="16"/>
  <c r="D251" i="16"/>
  <c r="E251" i="16"/>
  <c r="D252" i="16"/>
  <c r="E252" i="16"/>
  <c r="D253" i="16"/>
  <c r="H253" i="16" s="1"/>
  <c r="I253" i="16" s="1"/>
  <c r="E253" i="16"/>
  <c r="D254" i="16"/>
  <c r="E254" i="16"/>
  <c r="D255" i="16"/>
  <c r="E255" i="16"/>
  <c r="D256" i="16"/>
  <c r="E256" i="16"/>
  <c r="D257" i="16"/>
  <c r="E257" i="16"/>
  <c r="D258" i="16"/>
  <c r="E258" i="16"/>
  <c r="D259" i="16"/>
  <c r="E259" i="16"/>
  <c r="D260" i="16"/>
  <c r="E260" i="16"/>
  <c r="D261" i="16"/>
  <c r="E261" i="16"/>
  <c r="D262" i="16"/>
  <c r="E262" i="16"/>
  <c r="D263" i="16"/>
  <c r="E263" i="16"/>
  <c r="D264" i="16"/>
  <c r="E264" i="16"/>
  <c r="D265" i="16"/>
  <c r="E265" i="16"/>
  <c r="D266" i="16"/>
  <c r="E266" i="16"/>
  <c r="D267" i="16"/>
  <c r="H267" i="16" s="1"/>
  <c r="I267" i="16" s="1"/>
  <c r="E267" i="16"/>
  <c r="D268" i="16"/>
  <c r="E268" i="16"/>
  <c r="D269" i="16"/>
  <c r="E269" i="16"/>
  <c r="D270" i="16"/>
  <c r="H270" i="16" s="1"/>
  <c r="I270" i="16" s="1"/>
  <c r="E270" i="16"/>
  <c r="D271" i="16"/>
  <c r="E271" i="16"/>
  <c r="D272" i="16"/>
  <c r="E272" i="16"/>
  <c r="D273" i="16"/>
  <c r="E273" i="16"/>
  <c r="D274" i="16"/>
  <c r="H274" i="16" s="1"/>
  <c r="I274" i="16" s="1"/>
  <c r="E274" i="16"/>
  <c r="D275" i="16"/>
  <c r="E275" i="16"/>
  <c r="D276" i="16"/>
  <c r="E276" i="16"/>
  <c r="D277" i="16"/>
  <c r="E277" i="16"/>
  <c r="D278" i="16"/>
  <c r="E278" i="16"/>
  <c r="D279" i="16"/>
  <c r="H279" i="16" s="1"/>
  <c r="I279" i="16" s="1"/>
  <c r="E279" i="16"/>
  <c r="D280" i="16"/>
  <c r="E280" i="16"/>
  <c r="D281" i="16"/>
  <c r="E281" i="16"/>
  <c r="D282" i="16"/>
  <c r="E282" i="16"/>
  <c r="D283" i="16"/>
  <c r="E283" i="16"/>
  <c r="D284" i="16"/>
  <c r="E284" i="16"/>
  <c r="D285" i="16"/>
  <c r="E285" i="16"/>
  <c r="D286" i="16"/>
  <c r="H286" i="16" s="1"/>
  <c r="I286" i="16" s="1"/>
  <c r="E286" i="16"/>
  <c r="D287" i="16"/>
  <c r="E287" i="16"/>
  <c r="D288" i="16"/>
  <c r="E288" i="16"/>
  <c r="D289" i="16"/>
  <c r="H289" i="16" s="1"/>
  <c r="I289" i="16" s="1"/>
  <c r="E289" i="16"/>
  <c r="D290" i="16"/>
  <c r="E290" i="16"/>
  <c r="D291" i="16"/>
  <c r="E291" i="16"/>
  <c r="D292" i="16"/>
  <c r="H292" i="16" s="1"/>
  <c r="I292" i="16" s="1"/>
  <c r="E292" i="16"/>
  <c r="D293" i="16"/>
  <c r="E293" i="16"/>
  <c r="D294" i="16"/>
  <c r="E294" i="16"/>
  <c r="D295" i="16"/>
  <c r="E295" i="16"/>
  <c r="D296" i="16"/>
  <c r="E296" i="16"/>
  <c r="D297" i="16"/>
  <c r="E297" i="16"/>
  <c r="D298" i="16"/>
  <c r="E298" i="16"/>
  <c r="D299" i="16"/>
  <c r="E299" i="16"/>
  <c r="D300" i="16"/>
  <c r="E300" i="16"/>
  <c r="D301" i="16"/>
  <c r="E301" i="16"/>
  <c r="D302" i="16"/>
  <c r="E302" i="16"/>
  <c r="D303" i="16"/>
  <c r="E303" i="16"/>
  <c r="D304" i="16"/>
  <c r="E304" i="16"/>
  <c r="D305" i="16"/>
  <c r="E305" i="16"/>
  <c r="D306" i="16"/>
  <c r="H306" i="16" s="1"/>
  <c r="I306" i="16" s="1"/>
  <c r="E306" i="16"/>
  <c r="D307" i="16"/>
  <c r="H307" i="16" s="1"/>
  <c r="I307" i="16" s="1"/>
  <c r="E307" i="16"/>
  <c r="D308" i="16"/>
  <c r="E308" i="16"/>
  <c r="D309" i="16"/>
  <c r="E309" i="16"/>
  <c r="D310" i="16"/>
  <c r="E310" i="16"/>
  <c r="D311" i="16"/>
  <c r="H311" i="16" s="1"/>
  <c r="I311" i="16" s="1"/>
  <c r="E311" i="16"/>
  <c r="D312" i="16"/>
  <c r="H312" i="16" s="1"/>
  <c r="I312" i="16" s="1"/>
  <c r="E312" i="16"/>
  <c r="D313" i="16"/>
  <c r="H313" i="16" s="1"/>
  <c r="I313" i="16" s="1"/>
  <c r="E313" i="16"/>
  <c r="D314" i="16"/>
  <c r="H314" i="16" s="1"/>
  <c r="I314" i="16" s="1"/>
  <c r="E314" i="16"/>
  <c r="D315" i="16"/>
  <c r="E315" i="16"/>
  <c r="D316" i="16"/>
  <c r="E316" i="16"/>
  <c r="D317" i="16"/>
  <c r="E317" i="16"/>
  <c r="D318" i="16"/>
  <c r="E318" i="16"/>
  <c r="D319" i="16"/>
  <c r="E319" i="16"/>
  <c r="D320" i="16"/>
  <c r="E320" i="16"/>
  <c r="D321" i="16"/>
  <c r="E321" i="16"/>
  <c r="D322" i="16"/>
  <c r="E322" i="16"/>
  <c r="D323" i="16"/>
  <c r="E323" i="16"/>
  <c r="D324" i="16"/>
  <c r="E324" i="16"/>
  <c r="D325" i="16"/>
  <c r="E325" i="16"/>
  <c r="D326" i="16"/>
  <c r="E326" i="16"/>
  <c r="D327" i="16"/>
  <c r="E327" i="16"/>
  <c r="D328" i="16"/>
  <c r="H328" i="16" s="1"/>
  <c r="I328" i="16" s="1"/>
  <c r="E328" i="16"/>
  <c r="D329" i="16"/>
  <c r="H329" i="16" s="1"/>
  <c r="I329" i="16" s="1"/>
  <c r="E329" i="16"/>
  <c r="D330" i="16"/>
  <c r="E330" i="16"/>
  <c r="D331" i="16"/>
  <c r="E331" i="16"/>
  <c r="D332" i="16"/>
  <c r="E332" i="16"/>
  <c r="D333" i="16"/>
  <c r="H333" i="16" s="1"/>
  <c r="I333" i="16" s="1"/>
  <c r="E333" i="16"/>
  <c r="D334" i="16"/>
  <c r="E334" i="16"/>
  <c r="D335" i="16"/>
  <c r="E335" i="16"/>
  <c r="D336" i="16"/>
  <c r="H336" i="16" s="1"/>
  <c r="I336" i="16" s="1"/>
  <c r="E336" i="16"/>
  <c r="D337" i="16"/>
  <c r="E337" i="16"/>
  <c r="D338" i="16"/>
  <c r="E338" i="16"/>
  <c r="D339" i="16"/>
  <c r="E339" i="16"/>
  <c r="D340" i="16"/>
  <c r="E340" i="16"/>
  <c r="D341" i="16"/>
  <c r="E341" i="16"/>
  <c r="D342" i="16"/>
  <c r="E342" i="16"/>
  <c r="D343" i="16"/>
  <c r="E343" i="16"/>
  <c r="A86" i="16"/>
  <c r="A192" i="11"/>
  <c r="B192" i="11"/>
  <c r="A244" i="11"/>
  <c r="A316" i="11"/>
  <c r="D51" i="8" l="1"/>
  <c r="A3" i="31"/>
  <c r="A4" i="31"/>
  <c r="A5" i="31"/>
  <c r="A6" i="31"/>
  <c r="A7" i="31"/>
  <c r="A8" i="31"/>
  <c r="A9" i="31"/>
  <c r="A10" i="31"/>
  <c r="A11" i="31"/>
  <c r="A12" i="31"/>
  <c r="A13" i="31"/>
  <c r="A14" i="31"/>
  <c r="A15" i="31"/>
  <c r="A16" i="31"/>
  <c r="A17" i="31"/>
  <c r="A18" i="31"/>
  <c r="A19" i="31"/>
  <c r="A20" i="31"/>
  <c r="A21" i="31"/>
  <c r="A22" i="31"/>
  <c r="A23" i="31"/>
  <c r="A24" i="31"/>
  <c r="A25" i="31"/>
  <c r="A26" i="31"/>
  <c r="A27" i="31"/>
  <c r="A28" i="31"/>
  <c r="A29" i="31"/>
  <c r="A30" i="31"/>
  <c r="A31" i="31"/>
  <c r="A32" i="31"/>
  <c r="A33" i="31"/>
  <c r="A34" i="31"/>
  <c r="A35" i="31"/>
  <c r="A36" i="31"/>
  <c r="A37" i="31"/>
  <c r="A38" i="31"/>
  <c r="A39" i="31"/>
  <c r="A40" i="31"/>
  <c r="A41" i="31"/>
  <c r="A42" i="31"/>
  <c r="A43" i="31"/>
  <c r="A44" i="31"/>
  <c r="A45" i="31"/>
  <c r="A46" i="31"/>
  <c r="A47" i="31"/>
  <c r="A48" i="31"/>
  <c r="A49" i="31"/>
  <c r="A50" i="31"/>
  <c r="A51" i="31"/>
  <c r="A52" i="31"/>
  <c r="A53" i="31"/>
  <c r="A54" i="31"/>
  <c r="A55" i="31"/>
  <c r="A56" i="31"/>
  <c r="A57" i="31"/>
  <c r="A58" i="31"/>
  <c r="A59" i="31"/>
  <c r="A60" i="31"/>
  <c r="A61" i="31"/>
  <c r="A62" i="31"/>
  <c r="A63" i="31"/>
  <c r="A64" i="31"/>
  <c r="A65" i="31"/>
  <c r="A66" i="31"/>
  <c r="A67" i="31"/>
  <c r="A68" i="31"/>
  <c r="A69" i="31"/>
  <c r="A70" i="31"/>
  <c r="A71" i="31"/>
  <c r="A72" i="31"/>
  <c r="A73" i="31"/>
  <c r="A74" i="31"/>
  <c r="A75" i="31"/>
  <c r="A76" i="31"/>
  <c r="A77" i="31"/>
  <c r="A78" i="31"/>
  <c r="A79" i="31"/>
  <c r="A80" i="31"/>
  <c r="A81" i="31"/>
  <c r="A82" i="31"/>
  <c r="A83" i="31"/>
  <c r="A84" i="31"/>
  <c r="A85" i="31"/>
  <c r="A86" i="31"/>
  <c r="A87" i="31"/>
  <c r="A88" i="31"/>
  <c r="A89" i="31"/>
  <c r="A90" i="31"/>
  <c r="A91" i="31"/>
  <c r="A92" i="31"/>
  <c r="A93" i="31"/>
  <c r="A94" i="31"/>
  <c r="A95" i="31"/>
  <c r="A96" i="31"/>
  <c r="A97" i="31"/>
  <c r="A98" i="31"/>
  <c r="A99" i="31"/>
  <c r="A100" i="31"/>
  <c r="A101" i="31"/>
  <c r="A102" i="31"/>
  <c r="A103" i="31"/>
  <c r="A104" i="31"/>
  <c r="A105" i="31"/>
  <c r="A106" i="31"/>
  <c r="A107" i="31"/>
  <c r="A108" i="31"/>
  <c r="A109" i="31"/>
  <c r="A110" i="31"/>
  <c r="A111" i="31"/>
  <c r="A112" i="31"/>
  <c r="A113" i="31"/>
  <c r="A114" i="31"/>
  <c r="A115" i="31"/>
  <c r="A116" i="31"/>
  <c r="A117" i="31"/>
  <c r="A118" i="31"/>
  <c r="A119" i="31"/>
  <c r="A120" i="31"/>
  <c r="A121" i="31"/>
  <c r="A122" i="31"/>
  <c r="A123" i="31"/>
  <c r="A124" i="31"/>
  <c r="A125" i="31"/>
  <c r="A126" i="31"/>
  <c r="A127" i="31"/>
  <c r="A128" i="31"/>
  <c r="A129" i="31"/>
  <c r="A130" i="31"/>
  <c r="A131" i="31"/>
  <c r="A132" i="31"/>
  <c r="A133" i="31"/>
  <c r="A134" i="31"/>
  <c r="A135" i="31"/>
  <c r="A136" i="31"/>
  <c r="A137" i="31"/>
  <c r="A138" i="31"/>
  <c r="A139" i="31"/>
  <c r="A140" i="31"/>
  <c r="A141" i="31"/>
  <c r="A142" i="31"/>
  <c r="A143" i="31"/>
  <c r="A144" i="31"/>
  <c r="A145" i="31"/>
  <c r="A146" i="31"/>
  <c r="A147" i="31"/>
  <c r="A148" i="31"/>
  <c r="A149" i="31"/>
  <c r="A150" i="31"/>
  <c r="A151" i="31"/>
  <c r="A152" i="31"/>
  <c r="A153" i="31"/>
  <c r="A154" i="31"/>
  <c r="A155" i="31"/>
  <c r="A156" i="31"/>
  <c r="A157" i="31"/>
  <c r="A158" i="31"/>
  <c r="A159" i="31"/>
  <c r="A160" i="31"/>
  <c r="A161" i="31"/>
  <c r="A162" i="31"/>
  <c r="A163" i="31"/>
  <c r="A164" i="31"/>
  <c r="A165" i="31"/>
  <c r="A166" i="31"/>
  <c r="A167" i="31"/>
  <c r="A168" i="31"/>
  <c r="A169" i="31"/>
  <c r="A170" i="31"/>
  <c r="A171" i="31"/>
  <c r="A172" i="31"/>
  <c r="A173" i="31"/>
  <c r="A174" i="31"/>
  <c r="A175" i="31"/>
  <c r="A176" i="31"/>
  <c r="A177" i="31"/>
  <c r="A178" i="31"/>
  <c r="A179" i="31"/>
  <c r="A180" i="31"/>
  <c r="A181" i="31"/>
  <c r="A182" i="31"/>
  <c r="A183" i="31"/>
  <c r="A184" i="31"/>
  <c r="A185" i="31"/>
  <c r="A186" i="31"/>
  <c r="A187" i="31"/>
  <c r="A188" i="31"/>
  <c r="A189" i="31"/>
  <c r="A190" i="31"/>
  <c r="A191" i="31"/>
  <c r="A192" i="31"/>
  <c r="A193" i="31"/>
  <c r="A194" i="31"/>
  <c r="A195" i="31"/>
  <c r="A196" i="31"/>
  <c r="A197" i="31"/>
  <c r="A198" i="31"/>
  <c r="A199" i="31"/>
  <c r="A200" i="31"/>
  <c r="A201" i="31"/>
  <c r="A202" i="31"/>
  <c r="A203" i="31"/>
  <c r="A204" i="31"/>
  <c r="A205" i="31"/>
  <c r="A206" i="31"/>
  <c r="A207" i="31"/>
  <c r="A208" i="31"/>
  <c r="A209" i="31"/>
  <c r="A210" i="31"/>
  <c r="A211" i="31"/>
  <c r="A212" i="31"/>
  <c r="A213" i="31"/>
  <c r="A214" i="31"/>
  <c r="A215" i="31"/>
  <c r="A216" i="31"/>
  <c r="A217" i="31"/>
  <c r="A218" i="31"/>
  <c r="A219" i="31"/>
  <c r="A220" i="31"/>
  <c r="A221" i="31"/>
  <c r="A222" i="31"/>
  <c r="A223" i="31"/>
  <c r="A224" i="31"/>
  <c r="A225" i="31"/>
  <c r="A226" i="31"/>
  <c r="A227" i="31"/>
  <c r="A228" i="31"/>
  <c r="A229" i="31"/>
  <c r="A230" i="31"/>
  <c r="A231" i="31"/>
  <c r="A232" i="31"/>
  <c r="A233" i="31"/>
  <c r="A234" i="31"/>
  <c r="A235" i="31"/>
  <c r="A236" i="31"/>
  <c r="A237" i="31"/>
  <c r="A238" i="31"/>
  <c r="A239" i="31"/>
  <c r="A240" i="31"/>
  <c r="A241" i="31"/>
  <c r="A242" i="31"/>
  <c r="A243" i="31"/>
  <c r="A244" i="31"/>
  <c r="A245" i="31"/>
  <c r="A246" i="31"/>
  <c r="A247" i="31"/>
  <c r="A248" i="31"/>
  <c r="A249" i="31"/>
  <c r="A250" i="31"/>
  <c r="A251" i="31"/>
  <c r="A252" i="31"/>
  <c r="A253" i="31"/>
  <c r="A254" i="31"/>
  <c r="A255" i="31"/>
  <c r="A256" i="31"/>
  <c r="A257" i="31"/>
  <c r="A258" i="31"/>
  <c r="A259" i="31"/>
  <c r="A260" i="31"/>
  <c r="A261" i="31"/>
  <c r="A262" i="31"/>
  <c r="A263" i="31"/>
  <c r="A264" i="31"/>
  <c r="A265" i="31"/>
  <c r="A266" i="31"/>
  <c r="A267" i="31"/>
  <c r="A268" i="31"/>
  <c r="A269" i="31"/>
  <c r="A270" i="31"/>
  <c r="A271" i="31"/>
  <c r="A272" i="31"/>
  <c r="A273" i="31"/>
  <c r="A274" i="31"/>
  <c r="A275" i="31"/>
  <c r="A276" i="31"/>
  <c r="A277" i="31"/>
  <c r="A278" i="31"/>
  <c r="A279" i="31"/>
  <c r="A280" i="31"/>
  <c r="A281" i="31"/>
  <c r="A282" i="31"/>
  <c r="A283" i="31"/>
  <c r="A284" i="31"/>
  <c r="A285" i="31"/>
  <c r="A286" i="31"/>
  <c r="A287" i="31"/>
  <c r="A288" i="31"/>
  <c r="A289" i="31"/>
  <c r="A290" i="31"/>
  <c r="A291" i="31"/>
  <c r="A292" i="31"/>
  <c r="A293" i="31"/>
  <c r="A294" i="31"/>
  <c r="A295" i="31"/>
  <c r="A296" i="31"/>
  <c r="A297" i="31"/>
  <c r="A298" i="31"/>
  <c r="A299" i="31"/>
  <c r="A300" i="31"/>
  <c r="A301" i="31"/>
  <c r="A302" i="31"/>
  <c r="A303" i="31"/>
  <c r="A304" i="31"/>
  <c r="A305" i="31"/>
  <c r="A306" i="31"/>
  <c r="A307" i="31"/>
  <c r="A308" i="31"/>
  <c r="A309" i="31"/>
  <c r="A310" i="31"/>
  <c r="A311" i="31"/>
  <c r="A312" i="31"/>
  <c r="A313" i="31"/>
  <c r="A314" i="31"/>
  <c r="A315" i="31"/>
  <c r="A316" i="31"/>
  <c r="A317" i="31"/>
  <c r="A318" i="31"/>
  <c r="A319" i="31"/>
  <c r="A320" i="31"/>
  <c r="A321" i="31"/>
  <c r="A322" i="31"/>
  <c r="A323" i="31"/>
  <c r="A324" i="31"/>
  <c r="A325" i="31"/>
  <c r="A326" i="31"/>
  <c r="A327" i="31"/>
  <c r="A328" i="31"/>
  <c r="A329" i="31"/>
  <c r="A330" i="31"/>
  <c r="A331" i="31"/>
  <c r="A332" i="31"/>
  <c r="A333" i="31"/>
  <c r="A334" i="31"/>
  <c r="A335" i="31"/>
  <c r="A336" i="31"/>
  <c r="A337" i="31"/>
  <c r="A338" i="31"/>
  <c r="A339" i="31"/>
  <c r="A340" i="31"/>
  <c r="A341" i="31"/>
  <c r="A342" i="31"/>
  <c r="A343" i="31"/>
  <c r="A344" i="31"/>
  <c r="A345" i="31"/>
  <c r="A346" i="31"/>
  <c r="A347" i="31"/>
  <c r="A348" i="31"/>
  <c r="A349" i="31"/>
  <c r="A350" i="31"/>
  <c r="A351" i="31"/>
  <c r="A352" i="31"/>
  <c r="A353" i="31"/>
  <c r="A354" i="31"/>
  <c r="A355" i="31"/>
  <c r="A356" i="31"/>
  <c r="A357" i="31"/>
  <c r="A358" i="31"/>
  <c r="A359" i="31"/>
  <c r="A360" i="31"/>
  <c r="A361" i="31"/>
  <c r="A362" i="31"/>
  <c r="A363" i="31"/>
  <c r="A364" i="31"/>
  <c r="A365" i="31"/>
  <c r="A366" i="31"/>
  <c r="A367" i="31"/>
  <c r="A368" i="31"/>
  <c r="A369" i="31"/>
  <c r="A370" i="31"/>
  <c r="A371" i="31"/>
  <c r="A372" i="31"/>
  <c r="A373" i="31"/>
  <c r="A374" i="31"/>
  <c r="A375" i="31"/>
  <c r="A376" i="31"/>
  <c r="A377" i="31"/>
  <c r="A378" i="31"/>
  <c r="A379" i="31"/>
  <c r="A380" i="31"/>
  <c r="A381" i="31"/>
  <c r="A382" i="31"/>
  <c r="A383" i="31"/>
  <c r="A384" i="31"/>
  <c r="A385" i="31"/>
  <c r="A386" i="31"/>
  <c r="A387" i="31"/>
  <c r="A388" i="31"/>
  <c r="A389" i="31"/>
  <c r="A390" i="31"/>
  <c r="A391" i="31"/>
  <c r="A392" i="31"/>
  <c r="A393" i="31"/>
  <c r="A394" i="31"/>
  <c r="A395" i="31"/>
  <c r="A396" i="31"/>
  <c r="A397" i="31"/>
  <c r="A398" i="31"/>
  <c r="A399" i="31"/>
  <c r="A400" i="31"/>
  <c r="A401" i="31"/>
  <c r="A402" i="31"/>
  <c r="A403" i="31"/>
  <c r="A404" i="31"/>
  <c r="A405" i="31"/>
  <c r="A406" i="31"/>
  <c r="A407" i="31"/>
  <c r="A408" i="31"/>
  <c r="A409" i="31"/>
  <c r="A410" i="31"/>
  <c r="A411" i="31"/>
  <c r="A412" i="31"/>
  <c r="A413" i="31"/>
  <c r="A414" i="31"/>
  <c r="A415" i="31"/>
  <c r="A416" i="31"/>
  <c r="A417" i="31"/>
  <c r="A418" i="31"/>
  <c r="A419" i="31"/>
  <c r="A420" i="31"/>
  <c r="A421" i="31"/>
  <c r="A422" i="31"/>
  <c r="A423" i="31"/>
  <c r="A424" i="31"/>
  <c r="A425" i="31"/>
  <c r="A426" i="31"/>
  <c r="A427" i="31"/>
  <c r="A428" i="31"/>
  <c r="A429" i="31"/>
  <c r="A430" i="31"/>
  <c r="A431" i="31"/>
  <c r="A432" i="31"/>
  <c r="A433" i="31"/>
  <c r="A434" i="31"/>
  <c r="A435" i="31"/>
  <c r="A436" i="31"/>
  <c r="A437" i="31"/>
  <c r="A438" i="31"/>
  <c r="A439" i="31"/>
  <c r="A440" i="31"/>
  <c r="A441" i="31"/>
  <c r="A442" i="31"/>
  <c r="A443" i="31"/>
  <c r="A444" i="31"/>
  <c r="A445" i="31"/>
  <c r="A446" i="31"/>
  <c r="A447" i="31"/>
  <c r="A448" i="31"/>
  <c r="A449" i="31"/>
  <c r="A450" i="31"/>
  <c r="A451" i="31"/>
  <c r="A452" i="31"/>
  <c r="A453" i="31"/>
  <c r="A454" i="31"/>
  <c r="A455" i="31"/>
  <c r="A456" i="31"/>
  <c r="A457" i="31"/>
  <c r="A458" i="31"/>
  <c r="A459" i="31"/>
  <c r="A460" i="31"/>
  <c r="A461" i="31"/>
  <c r="A462" i="31"/>
  <c r="A463" i="31"/>
  <c r="A464" i="31"/>
  <c r="A465" i="31"/>
  <c r="A466" i="31"/>
  <c r="A467" i="31"/>
  <c r="A468" i="31"/>
  <c r="A469" i="31"/>
  <c r="A470" i="31"/>
  <c r="A471" i="31"/>
  <c r="A472" i="31"/>
  <c r="A473" i="31"/>
  <c r="A474" i="31"/>
  <c r="A475" i="31"/>
  <c r="A476" i="31"/>
  <c r="A477" i="31"/>
  <c r="A478" i="31"/>
  <c r="A479" i="31"/>
  <c r="A480" i="31"/>
  <c r="A481" i="31"/>
  <c r="A482" i="31"/>
  <c r="A483" i="31"/>
  <c r="A484" i="31"/>
  <c r="A485" i="31"/>
  <c r="A486" i="31"/>
  <c r="A487" i="31"/>
  <c r="A488" i="31"/>
  <c r="A489" i="31"/>
  <c r="A490" i="31"/>
  <c r="A491" i="31"/>
  <c r="A492" i="31"/>
  <c r="A493" i="31"/>
  <c r="A494" i="31"/>
  <c r="A495" i="31"/>
  <c r="A496" i="31"/>
  <c r="A497" i="31"/>
  <c r="A498" i="31"/>
  <c r="A499" i="31"/>
  <c r="A500" i="31"/>
  <c r="A2" i="31"/>
  <c r="A1" i="31" s="1"/>
  <c r="M1" i="11" l="1"/>
  <c r="AF12" i="16" l="1"/>
  <c r="K9" i="16"/>
  <c r="W14" i="8" l="1"/>
  <c r="D1" i="34" l="1"/>
  <c r="E1" i="34"/>
  <c r="F1" i="34"/>
  <c r="G1" i="34"/>
  <c r="H1" i="34"/>
  <c r="I1" i="34"/>
  <c r="J1" i="34"/>
  <c r="K1" i="34"/>
  <c r="L1" i="34"/>
  <c r="M1" i="34"/>
  <c r="N1" i="34"/>
  <c r="O1" i="34"/>
  <c r="P1" i="34"/>
  <c r="Q1" i="34"/>
  <c r="R1" i="34"/>
  <c r="S1" i="34"/>
  <c r="T1" i="34"/>
  <c r="U1" i="34"/>
  <c r="V1" i="34"/>
  <c r="W1" i="34"/>
  <c r="X1" i="34"/>
  <c r="Y1" i="34"/>
  <c r="Z1" i="34"/>
  <c r="AA1" i="34"/>
  <c r="AB1" i="34"/>
  <c r="AC1" i="34"/>
  <c r="AD1" i="34"/>
  <c r="AE1" i="34"/>
  <c r="AF1" i="34"/>
  <c r="AG1" i="34"/>
  <c r="AH1" i="34"/>
  <c r="AI1" i="34"/>
  <c r="AJ1" i="34"/>
  <c r="AK1" i="34"/>
  <c r="AL1" i="34"/>
  <c r="AM1" i="34"/>
  <c r="AN1" i="34"/>
  <c r="AO1" i="34"/>
  <c r="AP1" i="34"/>
  <c r="AQ1" i="34"/>
  <c r="AR1" i="34"/>
  <c r="AS1" i="34"/>
  <c r="AT1" i="34"/>
  <c r="AU1" i="34"/>
  <c r="AV1" i="34"/>
  <c r="AW1" i="34"/>
  <c r="AX1" i="34"/>
  <c r="AY1" i="34"/>
  <c r="AZ1" i="34"/>
  <c r="BA1" i="34"/>
  <c r="BB1" i="34"/>
  <c r="BC1" i="34"/>
  <c r="BD1" i="34"/>
  <c r="BE1" i="34"/>
  <c r="BF1" i="34"/>
  <c r="BG1" i="34"/>
  <c r="BH1" i="34"/>
  <c r="BI1" i="34"/>
  <c r="BJ1" i="34"/>
  <c r="BK1" i="34"/>
  <c r="BL1" i="34"/>
  <c r="BM1" i="34"/>
  <c r="BN1" i="34"/>
  <c r="BO1" i="34"/>
  <c r="BP1" i="34"/>
  <c r="BQ1" i="34"/>
  <c r="BR1" i="34"/>
  <c r="BS1" i="34"/>
  <c r="BT1" i="34"/>
  <c r="BU1" i="34"/>
  <c r="BV1" i="34"/>
  <c r="BW1" i="34"/>
  <c r="BX1" i="34"/>
  <c r="BY1" i="34"/>
  <c r="C1" i="34"/>
  <c r="B3" i="8"/>
  <c r="A365" i="24" l="1"/>
  <c r="A364" i="24"/>
  <c r="A363" i="24"/>
  <c r="A362" i="24"/>
  <c r="A361" i="24"/>
  <c r="A360" i="24"/>
  <c r="A359" i="24"/>
  <c r="A358" i="24"/>
  <c r="A357" i="24"/>
  <c r="A356" i="24"/>
  <c r="A355" i="24"/>
  <c r="A354" i="24"/>
  <c r="A353" i="24"/>
  <c r="A352" i="24"/>
  <c r="A351" i="24"/>
  <c r="A350" i="24"/>
  <c r="A349" i="24"/>
  <c r="A348" i="24"/>
  <c r="A347" i="24"/>
  <c r="A346" i="24"/>
  <c r="A345" i="24"/>
  <c r="A344" i="24"/>
  <c r="A343" i="24"/>
  <c r="A342" i="24"/>
  <c r="A341" i="24"/>
  <c r="A340" i="24"/>
  <c r="A339" i="24"/>
  <c r="A338" i="24"/>
  <c r="A337" i="24"/>
  <c r="A336" i="24"/>
  <c r="A335" i="24"/>
  <c r="A334" i="24"/>
  <c r="A333" i="24"/>
  <c r="A332" i="24"/>
  <c r="A331" i="24"/>
  <c r="A330" i="24"/>
  <c r="A329" i="24"/>
  <c r="A328" i="24"/>
  <c r="A327" i="24"/>
  <c r="A326" i="24"/>
  <c r="A325" i="24"/>
  <c r="A324" i="24"/>
  <c r="A323" i="24"/>
  <c r="A322" i="24"/>
  <c r="A321" i="24"/>
  <c r="A320" i="24"/>
  <c r="A319" i="24"/>
  <c r="A318" i="24"/>
  <c r="A317" i="24"/>
  <c r="A316" i="24"/>
  <c r="A315" i="24"/>
  <c r="A314" i="24"/>
  <c r="A313" i="24"/>
  <c r="A312" i="24"/>
  <c r="A311" i="24"/>
  <c r="A310" i="24"/>
  <c r="A309" i="24"/>
  <c r="A308" i="24"/>
  <c r="A307" i="24"/>
  <c r="A306" i="24"/>
  <c r="A305" i="24"/>
  <c r="A304" i="24"/>
  <c r="A303" i="24"/>
  <c r="A302" i="24"/>
  <c r="A301" i="24"/>
  <c r="A300" i="24"/>
  <c r="A299" i="24"/>
  <c r="A298" i="24"/>
  <c r="A297" i="24"/>
  <c r="A296" i="24"/>
  <c r="A295" i="24"/>
  <c r="A294" i="24"/>
  <c r="A293" i="24"/>
  <c r="A292" i="24"/>
  <c r="A291" i="24"/>
  <c r="A290" i="24"/>
  <c r="A289" i="24"/>
  <c r="A288" i="24"/>
  <c r="A287" i="24"/>
  <c r="A286" i="24"/>
  <c r="A285" i="24"/>
  <c r="A284" i="24"/>
  <c r="A283" i="24"/>
  <c r="A282" i="24"/>
  <c r="A281" i="24"/>
  <c r="A280" i="24"/>
  <c r="A279" i="24"/>
  <c r="A278" i="24"/>
  <c r="A277" i="24"/>
  <c r="A276" i="24"/>
  <c r="A275" i="24"/>
  <c r="A274" i="24"/>
  <c r="A273" i="24"/>
  <c r="A272" i="24"/>
  <c r="A271" i="24"/>
  <c r="A270" i="24"/>
  <c r="A269" i="24"/>
  <c r="A268" i="24"/>
  <c r="A267" i="24"/>
  <c r="A266" i="24"/>
  <c r="A265" i="24"/>
  <c r="A264" i="24"/>
  <c r="A263" i="24"/>
  <c r="A262" i="24"/>
  <c r="A261" i="24"/>
  <c r="A260" i="24"/>
  <c r="A259" i="24"/>
  <c r="A258" i="24"/>
  <c r="A257" i="24"/>
  <c r="A256" i="24"/>
  <c r="A255" i="24"/>
  <c r="A254" i="24"/>
  <c r="A253" i="24"/>
  <c r="A252" i="24"/>
  <c r="A251" i="24"/>
  <c r="A250" i="24"/>
  <c r="A249" i="24"/>
  <c r="A248" i="24"/>
  <c r="A247" i="24"/>
  <c r="A246" i="24"/>
  <c r="A245" i="24"/>
  <c r="A244" i="24"/>
  <c r="A243" i="24"/>
  <c r="A242" i="24"/>
  <c r="A241" i="24"/>
  <c r="A240" i="24"/>
  <c r="A239" i="24"/>
  <c r="A238" i="24"/>
  <c r="A237" i="24"/>
  <c r="A236" i="24"/>
  <c r="A235" i="24"/>
  <c r="A234" i="24"/>
  <c r="A233" i="24"/>
  <c r="A232" i="24"/>
  <c r="A231" i="24"/>
  <c r="A230" i="24"/>
  <c r="A229" i="24"/>
  <c r="A228" i="24"/>
  <c r="A227" i="24"/>
  <c r="A226" i="24"/>
  <c r="A225" i="24"/>
  <c r="A224" i="24"/>
  <c r="A223" i="24"/>
  <c r="A222" i="24"/>
  <c r="A221" i="24"/>
  <c r="A220" i="24"/>
  <c r="A219" i="24"/>
  <c r="A218" i="24"/>
  <c r="A217" i="24"/>
  <c r="A216" i="24"/>
  <c r="A215" i="24"/>
  <c r="A214" i="24"/>
  <c r="A213" i="24"/>
  <c r="A212" i="24"/>
  <c r="A211" i="24"/>
  <c r="A210" i="24"/>
  <c r="A209" i="24"/>
  <c r="A208" i="24"/>
  <c r="A207" i="24"/>
  <c r="A206" i="24"/>
  <c r="A205" i="24"/>
  <c r="A204" i="24"/>
  <c r="A203" i="24"/>
  <c r="A202" i="24"/>
  <c r="A201" i="24"/>
  <c r="A200" i="24"/>
  <c r="A199" i="24"/>
  <c r="A198" i="24"/>
  <c r="A197" i="24"/>
  <c r="A196" i="24"/>
  <c r="A195" i="24"/>
  <c r="A194" i="24"/>
  <c r="A193" i="24"/>
  <c r="A192" i="24"/>
  <c r="A191" i="24"/>
  <c r="A190" i="24"/>
  <c r="A189" i="24"/>
  <c r="A188" i="24"/>
  <c r="A187" i="24"/>
  <c r="A186" i="24"/>
  <c r="A185" i="24"/>
  <c r="A184" i="24"/>
  <c r="A183" i="24"/>
  <c r="A182" i="24"/>
  <c r="A181" i="24"/>
  <c r="A180" i="24"/>
  <c r="A179" i="24"/>
  <c r="A178" i="24"/>
  <c r="A177" i="24"/>
  <c r="A176" i="24"/>
  <c r="A175" i="24"/>
  <c r="A174" i="24"/>
  <c r="A173" i="24"/>
  <c r="A172" i="24"/>
  <c r="A171" i="24"/>
  <c r="A170" i="24"/>
  <c r="A169" i="24"/>
  <c r="A168" i="24"/>
  <c r="A167" i="24"/>
  <c r="A166" i="24"/>
  <c r="A165" i="24"/>
  <c r="A162" i="24"/>
  <c r="A161" i="24"/>
  <c r="A160" i="24"/>
  <c r="A159" i="24"/>
  <c r="A158" i="24"/>
  <c r="A157" i="24"/>
  <c r="A156" i="24"/>
  <c r="A155" i="24"/>
  <c r="A154" i="24"/>
  <c r="A153" i="24"/>
  <c r="A152" i="24"/>
  <c r="A151" i="24"/>
  <c r="A150" i="24"/>
  <c r="A149" i="24"/>
  <c r="A148" i="24"/>
  <c r="A147" i="24"/>
  <c r="A146" i="24"/>
  <c r="A145" i="24"/>
  <c r="A144" i="24"/>
  <c r="A143" i="24"/>
  <c r="A142" i="24"/>
  <c r="A141" i="24"/>
  <c r="A140" i="24"/>
  <c r="A139" i="24"/>
  <c r="A138" i="24"/>
  <c r="A137" i="24"/>
  <c r="A136" i="24"/>
  <c r="A133" i="24"/>
  <c r="A132" i="24"/>
  <c r="A131" i="24"/>
  <c r="A130" i="24"/>
  <c r="A129" i="24"/>
  <c r="A128" i="24"/>
  <c r="A127" i="24"/>
  <c r="A126" i="24"/>
  <c r="A125" i="24"/>
  <c r="A124" i="24"/>
  <c r="A123" i="24"/>
  <c r="A122" i="24"/>
  <c r="A121" i="24"/>
  <c r="A120" i="24"/>
  <c r="A119" i="24"/>
  <c r="A118" i="24"/>
  <c r="A117" i="24"/>
  <c r="A116" i="24"/>
  <c r="A115" i="24"/>
  <c r="A114" i="24"/>
  <c r="A113" i="24"/>
  <c r="A112" i="24"/>
  <c r="A111" i="24"/>
  <c r="A110" i="24"/>
  <c r="A109" i="24"/>
  <c r="A108" i="24"/>
  <c r="A107" i="24"/>
  <c r="A106" i="24"/>
  <c r="A105" i="24"/>
  <c r="A104" i="24"/>
  <c r="A103" i="24"/>
  <c r="A102" i="24"/>
  <c r="A101" i="24"/>
  <c r="A100" i="24"/>
  <c r="A99" i="24"/>
  <c r="A98" i="24"/>
  <c r="A97" i="24"/>
  <c r="A96" i="24"/>
  <c r="A95" i="24"/>
  <c r="A94" i="24"/>
  <c r="A93" i="24"/>
  <c r="A92" i="24"/>
  <c r="A91" i="24"/>
  <c r="A90" i="24"/>
  <c r="A89" i="24"/>
  <c r="A88" i="24"/>
  <c r="A87" i="24"/>
  <c r="A86" i="24"/>
  <c r="A85" i="24"/>
  <c r="A84" i="24"/>
  <c r="A83" i="24"/>
  <c r="A82" i="24"/>
  <c r="A81" i="24"/>
  <c r="A80" i="24"/>
  <c r="A79" i="24"/>
  <c r="A78" i="24"/>
  <c r="A75" i="24"/>
  <c r="A74" i="24"/>
  <c r="A73" i="24"/>
  <c r="A72" i="24"/>
  <c r="A71" i="24"/>
  <c r="A70" i="24"/>
  <c r="A69" i="24"/>
  <c r="A68" i="24"/>
  <c r="A67" i="24"/>
  <c r="A66" i="24"/>
  <c r="A65" i="24"/>
  <c r="A64" i="24"/>
  <c r="A63" i="24"/>
  <c r="A62" i="24"/>
  <c r="A61" i="24"/>
  <c r="A60" i="24"/>
  <c r="A59" i="24"/>
  <c r="A58" i="24"/>
  <c r="A57" i="24"/>
  <c r="A56" i="24"/>
  <c r="A55" i="24"/>
  <c r="A54" i="24"/>
  <c r="A53" i="24"/>
  <c r="A52" i="24"/>
  <c r="A51" i="24"/>
  <c r="A50" i="24"/>
  <c r="A49" i="24"/>
  <c r="A48" i="24"/>
  <c r="A47" i="24"/>
  <c r="A46" i="24"/>
  <c r="A45" i="24"/>
  <c r="A44" i="24"/>
  <c r="A43" i="24"/>
  <c r="A42" i="24"/>
  <c r="A41" i="24"/>
  <c r="A40" i="24"/>
  <c r="A37" i="24"/>
  <c r="A36" i="24"/>
  <c r="A35" i="24"/>
  <c r="A34" i="24"/>
  <c r="A33" i="24"/>
  <c r="A32" i="24"/>
  <c r="A31" i="24"/>
  <c r="A30" i="24"/>
  <c r="A29" i="24"/>
  <c r="A28" i="24"/>
  <c r="A27" i="24"/>
  <c r="A26" i="24"/>
  <c r="A25" i="24"/>
  <c r="A24" i="24"/>
  <c r="A23" i="24"/>
  <c r="A22" i="24"/>
  <c r="A21" i="24"/>
  <c r="A20" i="24"/>
  <c r="A19" i="24"/>
  <c r="A18" i="24"/>
  <c r="A17" i="24"/>
  <c r="A16" i="24"/>
  <c r="A15" i="24"/>
  <c r="A14" i="24"/>
  <c r="A13" i="24"/>
  <c r="A12" i="24"/>
  <c r="A11" i="24"/>
  <c r="A10" i="24"/>
  <c r="A9" i="24"/>
  <c r="A8" i="24"/>
  <c r="A7" i="24"/>
  <c r="A6" i="24"/>
  <c r="A334" i="11"/>
  <c r="A333" i="11"/>
  <c r="A332" i="11"/>
  <c r="A331" i="11"/>
  <c r="A330" i="11"/>
  <c r="J329" i="11"/>
  <c r="A329" i="11"/>
  <c r="A328" i="11"/>
  <c r="J327" i="11"/>
  <c r="A327" i="11"/>
  <c r="A326" i="11"/>
  <c r="A325" i="11"/>
  <c r="J324" i="11"/>
  <c r="A324" i="11"/>
  <c r="A323" i="11"/>
  <c r="A322" i="11"/>
  <c r="A321" i="11"/>
  <c r="J320" i="11"/>
  <c r="A320" i="11"/>
  <c r="J319" i="11"/>
  <c r="A319" i="11"/>
  <c r="J318" i="11"/>
  <c r="A318" i="11"/>
  <c r="A317" i="11"/>
  <c r="A315" i="11"/>
  <c r="A314" i="11"/>
  <c r="A313" i="11"/>
  <c r="A312" i="11"/>
  <c r="A311" i="11"/>
  <c r="A310" i="11"/>
  <c r="A309" i="11"/>
  <c r="A308" i="11"/>
  <c r="J307" i="11"/>
  <c r="A307" i="11"/>
  <c r="A306" i="11"/>
  <c r="A305" i="11"/>
  <c r="J304" i="11"/>
  <c r="A304" i="11"/>
  <c r="J303" i="11"/>
  <c r="A303" i="11"/>
  <c r="J302" i="11"/>
  <c r="A302" i="11"/>
  <c r="J301" i="11"/>
  <c r="A301" i="11"/>
  <c r="A300" i="11"/>
  <c r="A299" i="11"/>
  <c r="A298" i="11"/>
  <c r="J297" i="11"/>
  <c r="A297" i="11"/>
  <c r="J296" i="11"/>
  <c r="A296" i="11"/>
  <c r="A295" i="11"/>
  <c r="A294" i="11"/>
  <c r="A293" i="11"/>
  <c r="A292" i="11"/>
  <c r="A291" i="11"/>
  <c r="A290" i="11"/>
  <c r="A289" i="11"/>
  <c r="A288" i="11"/>
  <c r="A287" i="11"/>
  <c r="A286" i="11"/>
  <c r="A285" i="11"/>
  <c r="A284" i="11"/>
  <c r="A283" i="11"/>
  <c r="J282" i="11"/>
  <c r="A282" i="11"/>
  <c r="A281" i="11"/>
  <c r="A280" i="11"/>
  <c r="J279" i="11"/>
  <c r="A279" i="11"/>
  <c r="A278" i="11"/>
  <c r="J277" i="11"/>
  <c r="A277" i="11"/>
  <c r="J276" i="11"/>
  <c r="A276" i="11"/>
  <c r="A275" i="11"/>
  <c r="J274" i="11"/>
  <c r="A274" i="11"/>
  <c r="A273" i="11"/>
  <c r="A272" i="11"/>
  <c r="A271" i="11"/>
  <c r="A270" i="11"/>
  <c r="J269" i="11"/>
  <c r="A269" i="11"/>
  <c r="A268" i="11"/>
  <c r="A267" i="11"/>
  <c r="J266" i="11"/>
  <c r="A266" i="11"/>
  <c r="A265" i="11"/>
  <c r="J264" i="11"/>
  <c r="A264" i="11"/>
  <c r="A263" i="11"/>
  <c r="A262" i="11"/>
  <c r="A261" i="11"/>
  <c r="J260" i="11"/>
  <c r="A260" i="11"/>
  <c r="A259" i="11"/>
  <c r="A258" i="11"/>
  <c r="J257" i="11"/>
  <c r="A257" i="11"/>
  <c r="A256" i="11"/>
  <c r="A255" i="11"/>
  <c r="A254" i="11"/>
  <c r="A253" i="11"/>
  <c r="A252" i="11"/>
  <c r="A251" i="11"/>
  <c r="A250" i="11"/>
  <c r="A249" i="11"/>
  <c r="A248" i="11"/>
  <c r="A247" i="11"/>
  <c r="A246" i="11"/>
  <c r="A245" i="11"/>
  <c r="J243" i="11"/>
  <c r="A243" i="11"/>
  <c r="J242" i="11"/>
  <c r="A242" i="11"/>
  <c r="A241" i="11"/>
  <c r="A240" i="11"/>
  <c r="A239" i="11"/>
  <c r="J238" i="11"/>
  <c r="A238" i="11"/>
  <c r="A237" i="11"/>
  <c r="A236" i="11"/>
  <c r="J235" i="11"/>
  <c r="A235" i="11"/>
  <c r="A234" i="11"/>
  <c r="A233" i="11"/>
  <c r="J232" i="11"/>
  <c r="A232" i="11"/>
  <c r="J231" i="11"/>
  <c r="A231" i="11"/>
  <c r="A230" i="11"/>
  <c r="A229" i="11"/>
  <c r="A228" i="11"/>
  <c r="A227" i="11"/>
  <c r="A226" i="11"/>
  <c r="A225" i="11"/>
  <c r="J224" i="11"/>
  <c r="A224" i="11"/>
  <c r="A223" i="11"/>
  <c r="A222" i="11"/>
  <c r="A221" i="11"/>
  <c r="J220" i="11"/>
  <c r="A220" i="11"/>
  <c r="A219" i="11"/>
  <c r="J218" i="11"/>
  <c r="A218" i="11"/>
  <c r="A217" i="11"/>
  <c r="A216" i="11"/>
  <c r="A215" i="11"/>
  <c r="A214" i="11"/>
  <c r="J213" i="11"/>
  <c r="A213" i="11"/>
  <c r="A212" i="11"/>
  <c r="A211" i="11"/>
  <c r="A210" i="11"/>
  <c r="A209" i="11"/>
  <c r="A208" i="11"/>
  <c r="A207" i="11"/>
  <c r="J206" i="11"/>
  <c r="A206" i="11"/>
  <c r="A205" i="11"/>
  <c r="J204" i="11"/>
  <c r="A204" i="11"/>
  <c r="A203" i="11"/>
  <c r="A202" i="11"/>
  <c r="J201" i="11"/>
  <c r="A201" i="11"/>
  <c r="A200" i="11"/>
  <c r="A199" i="11"/>
  <c r="A198" i="11"/>
  <c r="J197" i="11"/>
  <c r="A197" i="11"/>
  <c r="A196" i="11"/>
  <c r="A195" i="11"/>
  <c r="J194" i="11"/>
  <c r="A194" i="11"/>
  <c r="A193" i="11"/>
  <c r="A191" i="11"/>
  <c r="A190" i="11"/>
  <c r="A189" i="11"/>
  <c r="A188" i="11"/>
  <c r="A187" i="11"/>
  <c r="A186" i="11"/>
  <c r="A185" i="11"/>
  <c r="J184" i="11"/>
  <c r="A184" i="11"/>
  <c r="J183" i="11"/>
  <c r="A183" i="11"/>
  <c r="A182" i="11"/>
  <c r="J181" i="11"/>
  <c r="A181" i="11"/>
  <c r="A180" i="11"/>
  <c r="A179" i="11"/>
  <c r="A178" i="11"/>
  <c r="A177" i="11"/>
  <c r="A176" i="11"/>
  <c r="A175" i="11"/>
  <c r="A174" i="11"/>
  <c r="A173" i="11"/>
  <c r="J172" i="11"/>
  <c r="A172" i="11"/>
  <c r="A171" i="11"/>
  <c r="A170" i="11"/>
  <c r="A169" i="11"/>
  <c r="A168" i="11"/>
  <c r="J167" i="11"/>
  <c r="A167" i="11"/>
  <c r="A166" i="11"/>
  <c r="A165" i="11"/>
  <c r="A164" i="11"/>
  <c r="A163" i="11"/>
  <c r="J162" i="11"/>
  <c r="A162" i="11"/>
  <c r="J161" i="11"/>
  <c r="A161" i="11"/>
  <c r="A160" i="11"/>
  <c r="A159" i="11"/>
  <c r="J158" i="11"/>
  <c r="A158" i="11"/>
  <c r="A157" i="11"/>
  <c r="J156" i="11"/>
  <c r="A156" i="11"/>
  <c r="A155" i="11"/>
  <c r="J154" i="11"/>
  <c r="A154" i="11"/>
  <c r="A153" i="11"/>
  <c r="J152" i="11"/>
  <c r="A152" i="11"/>
  <c r="J151" i="11"/>
  <c r="A151" i="11"/>
  <c r="J150" i="11"/>
  <c r="A150" i="11"/>
  <c r="J149" i="11"/>
  <c r="A149" i="11"/>
  <c r="J148" i="11"/>
  <c r="A148" i="11"/>
  <c r="A147" i="11"/>
  <c r="A146" i="11"/>
  <c r="J145" i="11"/>
  <c r="A145" i="11"/>
  <c r="J144" i="11"/>
  <c r="A144" i="11"/>
  <c r="J143" i="11"/>
  <c r="A143" i="11"/>
  <c r="A142" i="11"/>
  <c r="A141" i="11"/>
  <c r="A140" i="11"/>
  <c r="A139" i="11"/>
  <c r="A138" i="11"/>
  <c r="J137" i="11"/>
  <c r="A137" i="11"/>
  <c r="A136" i="11"/>
  <c r="A135" i="11"/>
  <c r="J134" i="11"/>
  <c r="A134" i="11"/>
  <c r="A133" i="11"/>
  <c r="A132" i="11"/>
  <c r="J131" i="11"/>
  <c r="A131" i="11"/>
  <c r="A130" i="11"/>
  <c r="J129" i="11"/>
  <c r="A129" i="11"/>
  <c r="A128" i="11"/>
  <c r="A127" i="11"/>
  <c r="A126" i="11"/>
  <c r="A125" i="11"/>
  <c r="J124" i="11"/>
  <c r="A124" i="11"/>
  <c r="A123" i="11"/>
  <c r="A122" i="11"/>
  <c r="J121" i="11"/>
  <c r="A121" i="11"/>
  <c r="A120" i="11"/>
  <c r="J119" i="11"/>
  <c r="A119" i="11"/>
  <c r="J118" i="11"/>
  <c r="A118" i="11"/>
  <c r="A117" i="11"/>
  <c r="A116" i="11"/>
  <c r="J115" i="11"/>
  <c r="A115" i="11"/>
  <c r="A114" i="11"/>
  <c r="J113" i="11"/>
  <c r="A113" i="11"/>
  <c r="A112" i="11"/>
  <c r="A111" i="11"/>
  <c r="A110" i="11"/>
  <c r="J109" i="11"/>
  <c r="A109" i="11"/>
  <c r="A108" i="11"/>
  <c r="A107" i="11"/>
  <c r="J106" i="11"/>
  <c r="A106" i="11"/>
  <c r="A105" i="11"/>
  <c r="A104" i="11"/>
  <c r="A103" i="11"/>
  <c r="A102" i="11"/>
  <c r="A101" i="11"/>
  <c r="J100" i="11"/>
  <c r="A100" i="11"/>
  <c r="A99" i="11"/>
  <c r="A98" i="11"/>
  <c r="A97" i="11"/>
  <c r="J96" i="11"/>
  <c r="A96" i="11"/>
  <c r="A95" i="11"/>
  <c r="A94" i="11"/>
  <c r="A93" i="11"/>
  <c r="A92" i="11"/>
  <c r="J91" i="11"/>
  <c r="A91" i="11"/>
  <c r="A90" i="11"/>
  <c r="A89" i="11"/>
  <c r="A88" i="11"/>
  <c r="A87" i="11"/>
  <c r="A86" i="11"/>
  <c r="A85" i="11"/>
  <c r="A84" i="11"/>
  <c r="J83" i="11"/>
  <c r="A83" i="11"/>
  <c r="J82" i="11"/>
  <c r="A82" i="11"/>
  <c r="A81" i="11"/>
  <c r="A80" i="11"/>
  <c r="A79" i="11"/>
  <c r="J78" i="11"/>
  <c r="A78" i="11"/>
  <c r="J77" i="11"/>
  <c r="A77" i="11"/>
  <c r="A76" i="11"/>
  <c r="J75" i="11"/>
  <c r="A75" i="11"/>
  <c r="A74" i="11"/>
  <c r="A73" i="11"/>
  <c r="A72" i="11"/>
  <c r="A71" i="11"/>
  <c r="J70" i="11"/>
  <c r="A70" i="11"/>
  <c r="J69" i="11"/>
  <c r="A69" i="11"/>
  <c r="A68" i="11"/>
  <c r="A67" i="11"/>
  <c r="J66" i="11"/>
  <c r="A66" i="11"/>
  <c r="A65" i="11"/>
  <c r="A64" i="11"/>
  <c r="A63" i="11"/>
  <c r="A62" i="11"/>
  <c r="J61" i="11"/>
  <c r="A61" i="11"/>
  <c r="A60" i="11"/>
  <c r="A59" i="11"/>
  <c r="A58" i="11"/>
  <c r="A57" i="11"/>
  <c r="A56" i="11"/>
  <c r="A55" i="11"/>
  <c r="A54" i="11"/>
  <c r="A53" i="11"/>
  <c r="A52" i="11"/>
  <c r="A51" i="11"/>
  <c r="A50" i="11"/>
  <c r="A49" i="11"/>
  <c r="A48" i="11"/>
  <c r="A47" i="11"/>
  <c r="J46" i="11"/>
  <c r="A46" i="11"/>
  <c r="J45" i="11"/>
  <c r="A45" i="11"/>
  <c r="A44" i="11"/>
  <c r="J43" i="11"/>
  <c r="A43" i="11"/>
  <c r="J42" i="11"/>
  <c r="A42" i="11"/>
  <c r="A41" i="11"/>
  <c r="J40" i="11"/>
  <c r="A40" i="11"/>
  <c r="A39" i="11"/>
  <c r="A38" i="11"/>
  <c r="A37" i="11"/>
  <c r="J36" i="11"/>
  <c r="A36" i="11"/>
  <c r="A35" i="11"/>
  <c r="A34" i="11"/>
  <c r="A33" i="11"/>
  <c r="A32" i="11"/>
  <c r="J31" i="11"/>
  <c r="A31" i="11"/>
  <c r="A30" i="11"/>
  <c r="A29" i="11"/>
  <c r="J28" i="11"/>
  <c r="A28" i="11"/>
  <c r="A27" i="11"/>
  <c r="A26" i="11"/>
  <c r="A25" i="11"/>
  <c r="J24" i="11"/>
  <c r="A24" i="11"/>
  <c r="A23" i="11"/>
  <c r="A22" i="11"/>
  <c r="A21" i="11"/>
  <c r="A20" i="11"/>
  <c r="J19" i="11"/>
  <c r="A19" i="11"/>
  <c r="J18" i="11"/>
  <c r="A18" i="11"/>
  <c r="A17" i="11"/>
  <c r="A16" i="11"/>
  <c r="A15" i="11"/>
  <c r="A14" i="11"/>
  <c r="A13" i="11"/>
  <c r="A12" i="11"/>
  <c r="J11" i="11"/>
  <c r="A11" i="11"/>
  <c r="J10" i="11"/>
  <c r="A10" i="11"/>
  <c r="J9" i="11"/>
  <c r="A9" i="11"/>
  <c r="B8" i="11"/>
  <c r="A8" i="11"/>
  <c r="B7" i="11"/>
  <c r="A7" i="11"/>
  <c r="B6" i="11"/>
  <c r="A6" i="11"/>
  <c r="B5" i="11"/>
  <c r="A5" i="11"/>
  <c r="B4" i="11"/>
  <c r="A4" i="11"/>
  <c r="B3" i="11"/>
  <c r="A3" i="11"/>
  <c r="B2" i="11"/>
  <c r="A2" i="11"/>
  <c r="A343" i="16"/>
  <c r="A342" i="16"/>
  <c r="A341" i="16"/>
  <c r="A340" i="16"/>
  <c r="A339" i="16"/>
  <c r="A338" i="16"/>
  <c r="A337" i="16"/>
  <c r="A336" i="16"/>
  <c r="A335" i="16"/>
  <c r="A334" i="16"/>
  <c r="A333" i="16"/>
  <c r="A332" i="16"/>
  <c r="A331" i="16"/>
  <c r="A330" i="16"/>
  <c r="A329" i="16"/>
  <c r="A328" i="16"/>
  <c r="A327" i="16"/>
  <c r="A326" i="16"/>
  <c r="A325" i="16"/>
  <c r="A324" i="16"/>
  <c r="A323" i="16"/>
  <c r="A322" i="16"/>
  <c r="A321" i="16"/>
  <c r="A320" i="16"/>
  <c r="A319" i="16"/>
  <c r="A318" i="16"/>
  <c r="A317" i="16"/>
  <c r="A316" i="16"/>
  <c r="A315" i="16"/>
  <c r="A314" i="16"/>
  <c r="A313" i="16"/>
  <c r="A312" i="16"/>
  <c r="A311" i="16"/>
  <c r="A310" i="16"/>
  <c r="A309" i="16"/>
  <c r="A308" i="16"/>
  <c r="A307" i="16"/>
  <c r="A306" i="16"/>
  <c r="A305" i="16"/>
  <c r="A304" i="16"/>
  <c r="A303" i="16"/>
  <c r="A302" i="16"/>
  <c r="A301" i="16"/>
  <c r="A300" i="16"/>
  <c r="A299" i="16"/>
  <c r="A298" i="16"/>
  <c r="A297" i="16"/>
  <c r="A296" i="16"/>
  <c r="A295" i="16"/>
  <c r="A294" i="16"/>
  <c r="A293" i="16"/>
  <c r="A292" i="16"/>
  <c r="A291" i="16"/>
  <c r="A290" i="16"/>
  <c r="A289" i="16"/>
  <c r="A288" i="16"/>
  <c r="A287" i="16"/>
  <c r="A286" i="16"/>
  <c r="A285" i="16"/>
  <c r="A284" i="16"/>
  <c r="A283" i="16"/>
  <c r="A282" i="16"/>
  <c r="A281" i="16"/>
  <c r="A280" i="16"/>
  <c r="A279" i="16"/>
  <c r="A278" i="16"/>
  <c r="A277" i="16"/>
  <c r="A276" i="16"/>
  <c r="A275" i="16"/>
  <c r="A274" i="16"/>
  <c r="A273" i="16"/>
  <c r="A272" i="16"/>
  <c r="A271" i="16"/>
  <c r="A270" i="16"/>
  <c r="A269" i="16"/>
  <c r="A268" i="16"/>
  <c r="A267" i="16"/>
  <c r="A266" i="16"/>
  <c r="A265" i="16"/>
  <c r="A264" i="16"/>
  <c r="A263" i="16"/>
  <c r="A262" i="16"/>
  <c r="A261" i="16"/>
  <c r="A260" i="16"/>
  <c r="A259" i="16"/>
  <c r="A258" i="16"/>
  <c r="A257" i="16"/>
  <c r="A256" i="16"/>
  <c r="A255" i="16"/>
  <c r="A254" i="16"/>
  <c r="A253" i="16"/>
  <c r="A252" i="16"/>
  <c r="A251" i="16"/>
  <c r="A250" i="16"/>
  <c r="A249" i="16"/>
  <c r="A248" i="16"/>
  <c r="A247" i="16"/>
  <c r="A246" i="16"/>
  <c r="A245" i="16"/>
  <c r="A244" i="16"/>
  <c r="A243" i="16"/>
  <c r="A242" i="16"/>
  <c r="A241" i="16"/>
  <c r="A240" i="16"/>
  <c r="A239" i="16"/>
  <c r="A238" i="16"/>
  <c r="A237" i="16"/>
  <c r="A236" i="16"/>
  <c r="A235" i="16"/>
  <c r="A234" i="16"/>
  <c r="A233" i="16"/>
  <c r="A232" i="16"/>
  <c r="A231" i="16"/>
  <c r="A230" i="16"/>
  <c r="A229" i="16"/>
  <c r="A228" i="16"/>
  <c r="A227" i="16"/>
  <c r="A226" i="16"/>
  <c r="A225" i="16"/>
  <c r="A224" i="16"/>
  <c r="A223" i="16"/>
  <c r="A222" i="16"/>
  <c r="A221" i="16"/>
  <c r="A220" i="16"/>
  <c r="A219" i="16"/>
  <c r="A218" i="16"/>
  <c r="A217" i="16"/>
  <c r="A216" i="16"/>
  <c r="A215" i="16"/>
  <c r="A214" i="16"/>
  <c r="A213" i="16"/>
  <c r="A212" i="16"/>
  <c r="A211" i="16"/>
  <c r="A210" i="16"/>
  <c r="A209" i="16"/>
  <c r="A208" i="16"/>
  <c r="A207" i="16"/>
  <c r="A206" i="16"/>
  <c r="A205" i="16"/>
  <c r="A204" i="16"/>
  <c r="A203" i="16"/>
  <c r="A202" i="16"/>
  <c r="A201" i="16"/>
  <c r="A200" i="16"/>
  <c r="A199" i="16"/>
  <c r="A198" i="16"/>
  <c r="A197" i="16"/>
  <c r="A196" i="16"/>
  <c r="A195" i="16"/>
  <c r="A194" i="16"/>
  <c r="A193" i="16"/>
  <c r="A192" i="16"/>
  <c r="A191" i="16"/>
  <c r="A190" i="16"/>
  <c r="A189" i="16"/>
  <c r="A188" i="16"/>
  <c r="A187" i="16"/>
  <c r="A186" i="16"/>
  <c r="A185" i="16"/>
  <c r="A184" i="16"/>
  <c r="A183" i="16"/>
  <c r="A182" i="16"/>
  <c r="A181" i="16"/>
  <c r="A180" i="16"/>
  <c r="A179" i="16"/>
  <c r="A178" i="16"/>
  <c r="A177" i="16"/>
  <c r="A176" i="16"/>
  <c r="A175" i="16"/>
  <c r="A174" i="16"/>
  <c r="A173" i="16"/>
  <c r="A172" i="16"/>
  <c r="A171" i="16"/>
  <c r="A170" i="16"/>
  <c r="A169" i="16"/>
  <c r="A168" i="16"/>
  <c r="A167" i="16"/>
  <c r="A166" i="16"/>
  <c r="A165" i="16"/>
  <c r="A164" i="16"/>
  <c r="A163" i="16"/>
  <c r="A162" i="16"/>
  <c r="A161" i="16"/>
  <c r="A160" i="16"/>
  <c r="A159" i="16"/>
  <c r="A158" i="16"/>
  <c r="A157" i="16"/>
  <c r="A156" i="16"/>
  <c r="A155" i="16"/>
  <c r="A154" i="16"/>
  <c r="A153" i="16"/>
  <c r="A152" i="16"/>
  <c r="A151" i="16"/>
  <c r="A150" i="16"/>
  <c r="A149" i="16"/>
  <c r="A148" i="16"/>
  <c r="A147" i="16"/>
  <c r="A146" i="16"/>
  <c r="A145" i="16"/>
  <c r="A144" i="16"/>
  <c r="A143" i="16"/>
  <c r="A142" i="16"/>
  <c r="A141" i="16"/>
  <c r="A140" i="16"/>
  <c r="A139" i="16"/>
  <c r="A138" i="16"/>
  <c r="A137" i="16"/>
  <c r="A136" i="16"/>
  <c r="A135" i="16"/>
  <c r="A134" i="16"/>
  <c r="A133" i="16"/>
  <c r="A132" i="16"/>
  <c r="A131" i="16"/>
  <c r="A130" i="16"/>
  <c r="A129" i="16"/>
  <c r="A128" i="16"/>
  <c r="A127" i="16"/>
  <c r="A126" i="16"/>
  <c r="A125" i="16"/>
  <c r="A124" i="16"/>
  <c r="A123" i="16"/>
  <c r="A122" i="16"/>
  <c r="A121" i="16"/>
  <c r="A120" i="16"/>
  <c r="A119" i="16"/>
  <c r="A118" i="16"/>
  <c r="A117" i="16"/>
  <c r="A116" i="16"/>
  <c r="A115" i="16"/>
  <c r="A114" i="16"/>
  <c r="A113" i="16"/>
  <c r="A112" i="16"/>
  <c r="A111" i="16"/>
  <c r="A110" i="16"/>
  <c r="A109" i="16"/>
  <c r="A108" i="16"/>
  <c r="A107" i="16"/>
  <c r="A106" i="16"/>
  <c r="A105" i="16"/>
  <c r="A104" i="16"/>
  <c r="A103" i="16"/>
  <c r="A102" i="16"/>
  <c r="A101" i="16"/>
  <c r="A100" i="16"/>
  <c r="A99" i="16"/>
  <c r="A98" i="16"/>
  <c r="A97" i="16"/>
  <c r="A96" i="16"/>
  <c r="A95" i="16"/>
  <c r="A94" i="16"/>
  <c r="A93" i="16"/>
  <c r="A92" i="16"/>
  <c r="A91" i="16"/>
  <c r="A90" i="16"/>
  <c r="A89" i="16"/>
  <c r="A88" i="16"/>
  <c r="A87" i="16"/>
  <c r="E85" i="16"/>
  <c r="D85" i="16"/>
  <c r="A85" i="16"/>
  <c r="E84" i="16"/>
  <c r="D84" i="16"/>
  <c r="A84" i="16"/>
  <c r="E83" i="16"/>
  <c r="D83" i="16"/>
  <c r="A83" i="16"/>
  <c r="E82" i="16"/>
  <c r="D82" i="16"/>
  <c r="A82" i="16"/>
  <c r="E81" i="16"/>
  <c r="D81" i="16"/>
  <c r="A81" i="16"/>
  <c r="E80" i="16"/>
  <c r="D80" i="16"/>
  <c r="A80" i="16"/>
  <c r="E79" i="16"/>
  <c r="D79" i="16"/>
  <c r="A79" i="16"/>
  <c r="E78" i="16"/>
  <c r="D78" i="16"/>
  <c r="A78" i="16"/>
  <c r="E77" i="16"/>
  <c r="D77" i="16"/>
  <c r="A77" i="16"/>
  <c r="E76" i="16"/>
  <c r="D76" i="16"/>
  <c r="A76" i="16"/>
  <c r="E75" i="16"/>
  <c r="D75" i="16"/>
  <c r="A75" i="16"/>
  <c r="E74" i="16"/>
  <c r="D74" i="16"/>
  <c r="A74" i="16"/>
  <c r="E73" i="16"/>
  <c r="D73" i="16"/>
  <c r="A73" i="16"/>
  <c r="E72" i="16"/>
  <c r="D72" i="16"/>
  <c r="A72" i="16"/>
  <c r="E71" i="16"/>
  <c r="D71" i="16"/>
  <c r="A71" i="16"/>
  <c r="E70" i="16"/>
  <c r="D70" i="16"/>
  <c r="A70" i="16"/>
  <c r="E69" i="16"/>
  <c r="D69" i="16"/>
  <c r="A69" i="16"/>
  <c r="E68" i="16"/>
  <c r="D68" i="16"/>
  <c r="A68" i="16"/>
  <c r="E67" i="16"/>
  <c r="D67" i="16"/>
  <c r="A67" i="16"/>
  <c r="E66" i="16"/>
  <c r="D66" i="16"/>
  <c r="A66" i="16"/>
  <c r="E65" i="16"/>
  <c r="D65" i="16"/>
  <c r="A65" i="16"/>
  <c r="E64" i="16"/>
  <c r="D64" i="16"/>
  <c r="A64" i="16"/>
  <c r="E63" i="16"/>
  <c r="D63" i="16"/>
  <c r="A63" i="16"/>
  <c r="E62" i="16"/>
  <c r="D62" i="16"/>
  <c r="A62" i="16"/>
  <c r="E61" i="16"/>
  <c r="D61" i="16"/>
  <c r="A61" i="16"/>
  <c r="E60" i="16"/>
  <c r="D60" i="16"/>
  <c r="A60" i="16"/>
  <c r="E59" i="16"/>
  <c r="D59" i="16"/>
  <c r="A59" i="16"/>
  <c r="E58" i="16"/>
  <c r="D58" i="16"/>
  <c r="A58" i="16"/>
  <c r="E57" i="16"/>
  <c r="D57" i="16"/>
  <c r="A57" i="16"/>
  <c r="E56" i="16"/>
  <c r="D56" i="16"/>
  <c r="A56" i="16"/>
  <c r="E55" i="16"/>
  <c r="D55" i="16"/>
  <c r="A55" i="16"/>
  <c r="E54" i="16"/>
  <c r="D54" i="16"/>
  <c r="A54" i="16"/>
  <c r="E53" i="16"/>
  <c r="D53" i="16"/>
  <c r="A53" i="16"/>
  <c r="E52" i="16"/>
  <c r="D52" i="16"/>
  <c r="A52" i="16"/>
  <c r="E51" i="16"/>
  <c r="D51" i="16"/>
  <c r="A51" i="16"/>
  <c r="E50" i="16"/>
  <c r="D50" i="16"/>
  <c r="A50" i="16"/>
  <c r="E49" i="16"/>
  <c r="D49" i="16"/>
  <c r="A49" i="16"/>
  <c r="E48" i="16"/>
  <c r="D48" i="16"/>
  <c r="A48" i="16"/>
  <c r="E47" i="16"/>
  <c r="D47" i="16"/>
  <c r="A47" i="16"/>
  <c r="E46" i="16"/>
  <c r="D46" i="16"/>
  <c r="A46" i="16"/>
  <c r="E45" i="16"/>
  <c r="D45" i="16"/>
  <c r="A45" i="16"/>
  <c r="E44" i="16"/>
  <c r="D44" i="16"/>
  <c r="A44" i="16"/>
  <c r="E43" i="16"/>
  <c r="D43" i="16"/>
  <c r="A43" i="16"/>
  <c r="E42" i="16"/>
  <c r="D42" i="16"/>
  <c r="A42" i="16"/>
  <c r="E41" i="16"/>
  <c r="D41" i="16"/>
  <c r="A41" i="16"/>
  <c r="E40" i="16"/>
  <c r="D40" i="16"/>
  <c r="A40" i="16"/>
  <c r="E39" i="16"/>
  <c r="D39" i="16"/>
  <c r="A39" i="16"/>
  <c r="E38" i="16"/>
  <c r="D38" i="16"/>
  <c r="A38" i="16"/>
  <c r="E37" i="16"/>
  <c r="D37" i="16"/>
  <c r="A37" i="16"/>
  <c r="E36" i="16"/>
  <c r="D36" i="16"/>
  <c r="A36" i="16"/>
  <c r="AE35" i="16"/>
  <c r="AE36" i="16" s="1"/>
  <c r="AE37" i="16" s="1"/>
  <c r="AE38" i="16" s="1"/>
  <c r="AE39" i="16" s="1"/>
  <c r="AE40" i="16" s="1"/>
  <c r="AE41" i="16" s="1"/>
  <c r="AE42" i="16" s="1"/>
  <c r="AE43" i="16" s="1"/>
  <c r="AE44" i="16" s="1"/>
  <c r="AE45" i="16" s="1"/>
  <c r="AE46" i="16" s="1"/>
  <c r="AE47" i="16" s="1"/>
  <c r="AE48" i="16" s="1"/>
  <c r="AE49" i="16" s="1"/>
  <c r="AE50" i="16" s="1"/>
  <c r="AE51" i="16" s="1"/>
  <c r="AE52" i="16" s="1"/>
  <c r="AE53" i="16" s="1"/>
  <c r="AE54" i="16" s="1"/>
  <c r="AE55" i="16" s="1"/>
  <c r="AE56" i="16" s="1"/>
  <c r="AE57" i="16" s="1"/>
  <c r="AE58" i="16" s="1"/>
  <c r="AE59" i="16" s="1"/>
  <c r="AE60" i="16" s="1"/>
  <c r="AE61" i="16" s="1"/>
  <c r="AE62" i="16" s="1"/>
  <c r="AE63" i="16" s="1"/>
  <c r="AE64" i="16" s="1"/>
  <c r="AE65" i="16" s="1"/>
  <c r="AE66" i="16" s="1"/>
  <c r="AE67" i="16" s="1"/>
  <c r="AE68" i="16" s="1"/>
  <c r="AE69" i="16" s="1"/>
  <c r="AE70" i="16" s="1"/>
  <c r="AE71" i="16" s="1"/>
  <c r="AE72" i="16" s="1"/>
  <c r="AE73" i="16" s="1"/>
  <c r="AE74" i="16" s="1"/>
  <c r="AE75" i="16" s="1"/>
  <c r="AE76" i="16" s="1"/>
  <c r="AE77" i="16" s="1"/>
  <c r="AE78" i="16" s="1"/>
  <c r="AE79" i="16" s="1"/>
  <c r="AE80" i="16" s="1"/>
  <c r="AE81" i="16" s="1"/>
  <c r="AE82" i="16" s="1"/>
  <c r="AE83" i="16" s="1"/>
  <c r="AE84" i="16" s="1"/>
  <c r="AE85" i="16" s="1"/>
  <c r="AE86" i="16" s="1"/>
  <c r="AE87" i="16" s="1"/>
  <c r="AE88" i="16" s="1"/>
  <c r="AE89" i="16" s="1"/>
  <c r="AE90" i="16" s="1"/>
  <c r="AE91" i="16" s="1"/>
  <c r="AE92" i="16" s="1"/>
  <c r="AE93" i="16" s="1"/>
  <c r="AE94" i="16" s="1"/>
  <c r="AE95" i="16" s="1"/>
  <c r="AE96" i="16" s="1"/>
  <c r="AE97" i="16" s="1"/>
  <c r="AE98" i="16" s="1"/>
  <c r="AE99" i="16" s="1"/>
  <c r="AE100" i="16" s="1"/>
  <c r="AE101" i="16" s="1"/>
  <c r="AE102" i="16" s="1"/>
  <c r="AE103" i="16" s="1"/>
  <c r="AE104" i="16" s="1"/>
  <c r="AE105" i="16" s="1"/>
  <c r="AE106" i="16" s="1"/>
  <c r="AE107" i="16" s="1"/>
  <c r="AE108" i="16" s="1"/>
  <c r="AE109" i="16" s="1"/>
  <c r="AE110" i="16" s="1"/>
  <c r="AE111" i="16" s="1"/>
  <c r="AE112" i="16" s="1"/>
  <c r="AE113" i="16" s="1"/>
  <c r="AE114" i="16" s="1"/>
  <c r="AE115" i="16" s="1"/>
  <c r="AE116" i="16" s="1"/>
  <c r="AE117" i="16" s="1"/>
  <c r="AE118" i="16" s="1"/>
  <c r="AE119" i="16" s="1"/>
  <c r="AE120" i="16" s="1"/>
  <c r="AE121" i="16" s="1"/>
  <c r="AE122" i="16" s="1"/>
  <c r="AE123" i="16" s="1"/>
  <c r="AE124" i="16" s="1"/>
  <c r="AE125" i="16" s="1"/>
  <c r="AE126" i="16" s="1"/>
  <c r="AE127" i="16" s="1"/>
  <c r="AE128" i="16" s="1"/>
  <c r="AE129" i="16" s="1"/>
  <c r="AE130" i="16" s="1"/>
  <c r="AE131" i="16" s="1"/>
  <c r="AE132" i="16" s="1"/>
  <c r="AE133" i="16" s="1"/>
  <c r="AE134" i="16" s="1"/>
  <c r="AE135" i="16" s="1"/>
  <c r="AE136" i="16" s="1"/>
  <c r="AE137" i="16" s="1"/>
  <c r="AE138" i="16" s="1"/>
  <c r="AE139" i="16" s="1"/>
  <c r="AE140" i="16" s="1"/>
  <c r="AE141" i="16" s="1"/>
  <c r="AE142" i="16" s="1"/>
  <c r="AE143" i="16" s="1"/>
  <c r="AE144" i="16" s="1"/>
  <c r="AE145" i="16" s="1"/>
  <c r="AE146" i="16" s="1"/>
  <c r="AE147" i="16" s="1"/>
  <c r="AE148" i="16" s="1"/>
  <c r="AE149" i="16" s="1"/>
  <c r="AE150" i="16" s="1"/>
  <c r="AE151" i="16" s="1"/>
  <c r="AE152" i="16" s="1"/>
  <c r="AE153" i="16" s="1"/>
  <c r="AE154" i="16" s="1"/>
  <c r="AE155" i="16" s="1"/>
  <c r="AE156" i="16" s="1"/>
  <c r="AE157" i="16" s="1"/>
  <c r="AE158" i="16" s="1"/>
  <c r="AE159" i="16" s="1"/>
  <c r="AE160" i="16" s="1"/>
  <c r="AE161" i="16" s="1"/>
  <c r="AE162" i="16" s="1"/>
  <c r="AE163" i="16" s="1"/>
  <c r="AE164" i="16" s="1"/>
  <c r="AE165" i="16" s="1"/>
  <c r="AE166" i="16" s="1"/>
  <c r="AE167" i="16" s="1"/>
  <c r="AE168" i="16" s="1"/>
  <c r="AE169" i="16" s="1"/>
  <c r="AE170" i="16" s="1"/>
  <c r="AE171" i="16" s="1"/>
  <c r="AE172" i="16" s="1"/>
  <c r="AE173" i="16" s="1"/>
  <c r="AE174" i="16" s="1"/>
  <c r="AE175" i="16" s="1"/>
  <c r="AE176" i="16" s="1"/>
  <c r="AE177" i="16" s="1"/>
  <c r="AE178" i="16" s="1"/>
  <c r="AE179" i="16" s="1"/>
  <c r="AE180" i="16" s="1"/>
  <c r="AE181" i="16" s="1"/>
  <c r="AE182" i="16" s="1"/>
  <c r="AE183" i="16" s="1"/>
  <c r="AE184" i="16" s="1"/>
  <c r="AE185" i="16" s="1"/>
  <c r="AE186" i="16" s="1"/>
  <c r="AE187" i="16" s="1"/>
  <c r="AE188" i="16" s="1"/>
  <c r="AE189" i="16" s="1"/>
  <c r="AE190" i="16" s="1"/>
  <c r="AE191" i="16" s="1"/>
  <c r="AE192" i="16" s="1"/>
  <c r="AE193" i="16" s="1"/>
  <c r="AE194" i="16" s="1"/>
  <c r="AE195" i="16" s="1"/>
  <c r="AE196" i="16" s="1"/>
  <c r="AE197" i="16" s="1"/>
  <c r="AE198" i="16" s="1"/>
  <c r="AE199" i="16" s="1"/>
  <c r="AE200" i="16" s="1"/>
  <c r="AE201" i="16" s="1"/>
  <c r="AE202" i="16" s="1"/>
  <c r="AE203" i="16" s="1"/>
  <c r="AE204" i="16" s="1"/>
  <c r="AE205" i="16" s="1"/>
  <c r="AE206" i="16" s="1"/>
  <c r="AE207" i="16" s="1"/>
  <c r="AE208" i="16" s="1"/>
  <c r="AE209" i="16" s="1"/>
  <c r="AE210" i="16" s="1"/>
  <c r="AE211" i="16" s="1"/>
  <c r="AE212" i="16" s="1"/>
  <c r="AE213" i="16" s="1"/>
  <c r="AE214" i="16" s="1"/>
  <c r="AE215" i="16" s="1"/>
  <c r="AE216" i="16" s="1"/>
  <c r="AE217" i="16" s="1"/>
  <c r="AE218" i="16" s="1"/>
  <c r="AE219" i="16" s="1"/>
  <c r="AE220" i="16" s="1"/>
  <c r="AE221" i="16" s="1"/>
  <c r="AE222" i="16" s="1"/>
  <c r="AE223" i="16" s="1"/>
  <c r="AE224" i="16" s="1"/>
  <c r="AE225" i="16" s="1"/>
  <c r="AE226" i="16" s="1"/>
  <c r="AE227" i="16" s="1"/>
  <c r="AE228" i="16" s="1"/>
  <c r="AE229" i="16" s="1"/>
  <c r="AE230" i="16" s="1"/>
  <c r="AE231" i="16" s="1"/>
  <c r="AE232" i="16" s="1"/>
  <c r="AE233" i="16" s="1"/>
  <c r="AE234" i="16" s="1"/>
  <c r="AE235" i="16" s="1"/>
  <c r="AE236" i="16" s="1"/>
  <c r="AE237" i="16" s="1"/>
  <c r="AE238" i="16" s="1"/>
  <c r="AE239" i="16" s="1"/>
  <c r="AE240" i="16" s="1"/>
  <c r="AE241" i="16" s="1"/>
  <c r="AE242" i="16" s="1"/>
  <c r="AE243" i="16" s="1"/>
  <c r="AE244" i="16" s="1"/>
  <c r="AE245" i="16" s="1"/>
  <c r="AE246" i="16" s="1"/>
  <c r="AE247" i="16" s="1"/>
  <c r="AE248" i="16" s="1"/>
  <c r="AE249" i="16" s="1"/>
  <c r="AE250" i="16" s="1"/>
  <c r="AE251" i="16" s="1"/>
  <c r="AE252" i="16" s="1"/>
  <c r="AE253" i="16" s="1"/>
  <c r="AE254" i="16" s="1"/>
  <c r="AE255" i="16" s="1"/>
  <c r="AE256" i="16" s="1"/>
  <c r="AE257" i="16" s="1"/>
  <c r="AE258" i="16" s="1"/>
  <c r="AE259" i="16" s="1"/>
  <c r="AE260" i="16" s="1"/>
  <c r="AE261" i="16" s="1"/>
  <c r="AE262" i="16" s="1"/>
  <c r="AE263" i="16" s="1"/>
  <c r="AE264" i="16" s="1"/>
  <c r="AE265" i="16" s="1"/>
  <c r="AE266" i="16" s="1"/>
  <c r="AE267" i="16" s="1"/>
  <c r="AE268" i="16" s="1"/>
  <c r="AE269" i="16" s="1"/>
  <c r="AE270" i="16" s="1"/>
  <c r="AE271" i="16" s="1"/>
  <c r="AE272" i="16" s="1"/>
  <c r="AE273" i="16" s="1"/>
  <c r="AE274" i="16" s="1"/>
  <c r="AE275" i="16" s="1"/>
  <c r="AE276" i="16" s="1"/>
  <c r="AE277" i="16" s="1"/>
  <c r="AE278" i="16" s="1"/>
  <c r="AE279" i="16" s="1"/>
  <c r="AE280" i="16" s="1"/>
  <c r="AE281" i="16" s="1"/>
  <c r="AE282" i="16" s="1"/>
  <c r="AE283" i="16" s="1"/>
  <c r="AE284" i="16" s="1"/>
  <c r="AE285" i="16" s="1"/>
  <c r="AE286" i="16" s="1"/>
  <c r="AE287" i="16" s="1"/>
  <c r="AE288" i="16" s="1"/>
  <c r="AE289" i="16" s="1"/>
  <c r="AE290" i="16" s="1"/>
  <c r="AE291" i="16" s="1"/>
  <c r="AE292" i="16" s="1"/>
  <c r="AE293" i="16" s="1"/>
  <c r="AE294" i="16" s="1"/>
  <c r="AE295" i="16" s="1"/>
  <c r="AE296" i="16" s="1"/>
  <c r="AE297" i="16" s="1"/>
  <c r="AE298" i="16" s="1"/>
  <c r="AE299" i="16" s="1"/>
  <c r="AE300" i="16" s="1"/>
  <c r="AE301" i="16" s="1"/>
  <c r="AE302" i="16" s="1"/>
  <c r="AE303" i="16" s="1"/>
  <c r="AE304" i="16" s="1"/>
  <c r="AE305" i="16" s="1"/>
  <c r="AE306" i="16" s="1"/>
  <c r="AE307" i="16" s="1"/>
  <c r="AE308" i="16" s="1"/>
  <c r="AE309" i="16" s="1"/>
  <c r="AE310" i="16" s="1"/>
  <c r="AE311" i="16" s="1"/>
  <c r="AE312" i="16" s="1"/>
  <c r="AE313" i="16" s="1"/>
  <c r="AE314" i="16" s="1"/>
  <c r="AE315" i="16" s="1"/>
  <c r="AE316" i="16" s="1"/>
  <c r="AE317" i="16" s="1"/>
  <c r="AE318" i="16" s="1"/>
  <c r="AE319" i="16" s="1"/>
  <c r="AE320" i="16" s="1"/>
  <c r="AE321" i="16" s="1"/>
  <c r="AE322" i="16" s="1"/>
  <c r="AE323" i="16" s="1"/>
  <c r="AE324" i="16" s="1"/>
  <c r="AE325" i="16" s="1"/>
  <c r="AE326" i="16" s="1"/>
  <c r="AE327" i="16" s="1"/>
  <c r="AE328" i="16" s="1"/>
  <c r="AE329" i="16" s="1"/>
  <c r="AE330" i="16" s="1"/>
  <c r="AE331" i="16" s="1"/>
  <c r="AE332" i="16" s="1"/>
  <c r="AE333" i="16" s="1"/>
  <c r="AE334" i="16" s="1"/>
  <c r="AE335" i="16" s="1"/>
  <c r="AE336" i="16" s="1"/>
  <c r="AE337" i="16" s="1"/>
  <c r="AE338" i="16" s="1"/>
  <c r="AE339" i="16" s="1"/>
  <c r="AE340" i="16" s="1"/>
  <c r="AE341" i="16" s="1"/>
  <c r="AE342" i="16" s="1"/>
  <c r="AE343" i="16" s="1"/>
  <c r="E35" i="16"/>
  <c r="D35" i="16"/>
  <c r="A35" i="16"/>
  <c r="E34" i="16"/>
  <c r="D34" i="16"/>
  <c r="A34" i="16"/>
  <c r="E33" i="16"/>
  <c r="D33" i="16"/>
  <c r="A33" i="16"/>
  <c r="E32" i="16"/>
  <c r="D32" i="16"/>
  <c r="A32" i="16"/>
  <c r="E31" i="16"/>
  <c r="D31" i="16"/>
  <c r="A31" i="16"/>
  <c r="E30" i="16"/>
  <c r="D30" i="16"/>
  <c r="A30" i="16"/>
  <c r="E29" i="16"/>
  <c r="D29" i="16"/>
  <c r="A29" i="16"/>
  <c r="E28" i="16"/>
  <c r="D28" i="16"/>
  <c r="A28" i="16"/>
  <c r="E27" i="16"/>
  <c r="D27" i="16"/>
  <c r="A27" i="16"/>
  <c r="AF26" i="16"/>
  <c r="E26" i="16"/>
  <c r="D26" i="16"/>
  <c r="A26" i="16"/>
  <c r="AF25" i="16"/>
  <c r="E25" i="16"/>
  <c r="D25" i="16"/>
  <c r="A25" i="16"/>
  <c r="AF24" i="16"/>
  <c r="E24" i="16"/>
  <c r="D24" i="16"/>
  <c r="A24" i="16"/>
  <c r="AF23" i="16"/>
  <c r="E23" i="16"/>
  <c r="D23" i="16"/>
  <c r="A23" i="16"/>
  <c r="AF22" i="16"/>
  <c r="E22" i="16"/>
  <c r="D22" i="16"/>
  <c r="A22" i="16"/>
  <c r="AF21" i="16"/>
  <c r="E21" i="16"/>
  <c r="D21" i="16"/>
  <c r="A21" i="16"/>
  <c r="AF20" i="16"/>
  <c r="E20" i="16"/>
  <c r="D20" i="16"/>
  <c r="A20" i="16"/>
  <c r="AF19" i="16"/>
  <c r="E19" i="16"/>
  <c r="D19" i="16"/>
  <c r="A19" i="16"/>
  <c r="AF18" i="16"/>
  <c r="E18" i="16"/>
  <c r="D18" i="16"/>
  <c r="A18" i="16"/>
  <c r="AF17" i="16"/>
  <c r="E17" i="16"/>
  <c r="D17" i="16"/>
  <c r="A17" i="16"/>
  <c r="AF16" i="16"/>
  <c r="E16" i="16"/>
  <c r="D16" i="16"/>
  <c r="A16" i="16"/>
  <c r="AF15" i="16"/>
  <c r="E15" i="16"/>
  <c r="D15" i="16"/>
  <c r="A15" i="16"/>
  <c r="AF14" i="16"/>
  <c r="E14" i="16"/>
  <c r="D14" i="16"/>
  <c r="A14" i="16"/>
  <c r="AF13" i="16"/>
  <c r="E13" i="16"/>
  <c r="D13" i="16"/>
  <c r="A13" i="16"/>
  <c r="E12" i="16"/>
  <c r="D12" i="16"/>
  <c r="A12" i="16"/>
  <c r="E11" i="16"/>
  <c r="D11" i="16"/>
  <c r="A11" i="16"/>
  <c r="AX9" i="16"/>
  <c r="H9" i="16"/>
  <c r="D6" i="16"/>
  <c r="D5" i="16"/>
  <c r="D3" i="16"/>
  <c r="F118" i="8"/>
  <c r="B114" i="8"/>
  <c r="B110" i="8"/>
  <c r="B61" i="8"/>
  <c r="D47" i="8"/>
  <c r="O43" i="8"/>
  <c r="K41" i="8"/>
  <c r="B37" i="8"/>
  <c r="D49" i="8" s="1"/>
  <c r="B35" i="8"/>
  <c r="D48" i="8" s="1"/>
  <c r="B16" i="8"/>
  <c r="B11" i="8"/>
  <c r="B10" i="8"/>
  <c r="B9" i="8"/>
  <c r="J8" i="8"/>
  <c r="B8" i="8"/>
  <c r="B59" i="8"/>
  <c r="B1" i="8"/>
  <c r="B244" i="11" l="1"/>
  <c r="B316" i="11"/>
  <c r="AX10" i="16"/>
  <c r="B14" i="16"/>
  <c r="B26" i="16"/>
  <c r="B30" i="16"/>
  <c r="B34" i="16"/>
  <c r="B20" i="16"/>
  <c r="B17" i="16"/>
  <c r="B23" i="16"/>
  <c r="B11" i="16"/>
  <c r="B38" i="16"/>
  <c r="B42" i="16"/>
  <c r="B46" i="16"/>
  <c r="B50" i="16"/>
  <c r="B54" i="16"/>
  <c r="B58" i="16"/>
  <c r="B62" i="16"/>
  <c r="B66" i="16"/>
  <c r="B70" i="16"/>
  <c r="B74" i="16"/>
  <c r="B78" i="16"/>
  <c r="B82" i="16"/>
  <c r="B89" i="16"/>
  <c r="B93" i="16"/>
  <c r="B97" i="16"/>
  <c r="B104" i="16"/>
  <c r="B108" i="16"/>
  <c r="B112" i="16"/>
  <c r="B116" i="16"/>
  <c r="B120" i="16"/>
  <c r="B124" i="16"/>
  <c r="B128" i="16"/>
  <c r="B132" i="16"/>
  <c r="B136" i="16"/>
  <c r="B140" i="16"/>
  <c r="B144" i="16"/>
  <c r="B148" i="16"/>
  <c r="B152" i="16"/>
  <c r="B156" i="16"/>
  <c r="B159" i="16"/>
  <c r="B163" i="16"/>
  <c r="B167" i="16"/>
  <c r="B171" i="16"/>
  <c r="B175" i="16"/>
  <c r="B179" i="16"/>
  <c r="B183" i="16"/>
  <c r="B187" i="16"/>
  <c r="B191" i="16"/>
  <c r="B195" i="16"/>
  <c r="B199" i="16"/>
  <c r="B203" i="16"/>
  <c r="B207" i="16"/>
  <c r="B209" i="16"/>
  <c r="B31" i="16"/>
  <c r="B18" i="16"/>
  <c r="B12" i="16"/>
  <c r="B39" i="16"/>
  <c r="B43" i="16"/>
  <c r="B47" i="16"/>
  <c r="B51" i="16"/>
  <c r="B55" i="16"/>
  <c r="B59" i="16"/>
  <c r="B63" i="16"/>
  <c r="B67" i="16"/>
  <c r="B71" i="16"/>
  <c r="B75" i="16"/>
  <c r="B79" i="16"/>
  <c r="B83" i="16"/>
  <c r="B86" i="16"/>
  <c r="B90" i="16"/>
  <c r="B94" i="16"/>
  <c r="B98" i="16"/>
  <c r="B101" i="16"/>
  <c r="B105" i="16"/>
  <c r="B109" i="16"/>
  <c r="B113" i="16"/>
  <c r="B117" i="16"/>
  <c r="B121" i="16"/>
  <c r="B125" i="16"/>
  <c r="B129" i="16"/>
  <c r="B133" i="16"/>
  <c r="B137" i="16"/>
  <c r="B141" i="16"/>
  <c r="B145" i="16"/>
  <c r="B149" i="16"/>
  <c r="B153" i="16"/>
  <c r="B157" i="16"/>
  <c r="B160" i="16"/>
  <c r="B164" i="16"/>
  <c r="B168" i="16"/>
  <c r="B172" i="16"/>
  <c r="B176" i="16"/>
  <c r="B180" i="16"/>
  <c r="B184" i="16"/>
  <c r="B188" i="16"/>
  <c r="B192" i="16"/>
  <c r="B196" i="16"/>
  <c r="B200" i="16"/>
  <c r="B204" i="16"/>
  <c r="B208" i="16"/>
  <c r="B210" i="16"/>
  <c r="B214" i="16"/>
  <c r="B15" i="16"/>
  <c r="B27" i="16"/>
  <c r="B13" i="16"/>
  <c r="B16" i="16"/>
  <c r="B19" i="16"/>
  <c r="B25" i="16"/>
  <c r="B36" i="16"/>
  <c r="B40" i="16"/>
  <c r="B44" i="16"/>
  <c r="B48" i="16"/>
  <c r="B52" i="16"/>
  <c r="B56" i="16"/>
  <c r="B60" i="16"/>
  <c r="B64" i="16"/>
  <c r="B68" i="16"/>
  <c r="B72" i="16"/>
  <c r="B76" i="16"/>
  <c r="B80" i="16"/>
  <c r="B84" i="16"/>
  <c r="B87" i="16"/>
  <c r="B91" i="16"/>
  <c r="B24" i="16"/>
  <c r="B21" i="16"/>
  <c r="B33" i="16"/>
  <c r="B35" i="16"/>
  <c r="B29" i="16"/>
  <c r="B28" i="16"/>
  <c r="B32" i="16"/>
  <c r="B37" i="16"/>
  <c r="B41" i="16"/>
  <c r="B45" i="16"/>
  <c r="B49" i="16"/>
  <c r="B53" i="16"/>
  <c r="B57" i="16"/>
  <c r="B61" i="16"/>
  <c r="B65" i="16"/>
  <c r="B69" i="16"/>
  <c r="B73" i="16"/>
  <c r="B77" i="16"/>
  <c r="B81" i="16"/>
  <c r="B85" i="16"/>
  <c r="B88" i="16"/>
  <c r="B92" i="16"/>
  <c r="B96" i="16"/>
  <c r="B100" i="16"/>
  <c r="B103" i="16"/>
  <c r="B107" i="16"/>
  <c r="B111" i="16"/>
  <c r="B115" i="16"/>
  <c r="B119" i="16"/>
  <c r="B123" i="16"/>
  <c r="B127" i="16"/>
  <c r="B131" i="16"/>
  <c r="B135" i="16"/>
  <c r="B139" i="16"/>
  <c r="B143" i="16"/>
  <c r="B147" i="16"/>
  <c r="B151" i="16"/>
  <c r="B155" i="16"/>
  <c r="B158" i="16"/>
  <c r="B162" i="16"/>
  <c r="B166" i="16"/>
  <c r="B170" i="16"/>
  <c r="B174" i="16"/>
  <c r="B178" i="16"/>
  <c r="B182" i="16"/>
  <c r="B186" i="16"/>
  <c r="B190" i="16"/>
  <c r="B194" i="16"/>
  <c r="B198" i="16"/>
  <c r="B202" i="16"/>
  <c r="B206" i="16"/>
  <c r="B212" i="16"/>
  <c r="B216" i="16"/>
  <c r="B95" i="16"/>
  <c r="B99" i="16"/>
  <c r="B102" i="16"/>
  <c r="B106" i="16"/>
  <c r="B110" i="16"/>
  <c r="B114" i="16"/>
  <c r="B118" i="16"/>
  <c r="B122" i="16"/>
  <c r="B126" i="16"/>
  <c r="B130" i="16"/>
  <c r="B134" i="16"/>
  <c r="B138" i="16"/>
  <c r="B142" i="16"/>
  <c r="B146" i="16"/>
  <c r="B150" i="16"/>
  <c r="B154" i="16"/>
  <c r="B161" i="16"/>
  <c r="B165" i="16"/>
  <c r="B169" i="16"/>
  <c r="B173" i="16"/>
  <c r="B177" i="16"/>
  <c r="B181" i="16"/>
  <c r="B185" i="16"/>
  <c r="B189" i="16"/>
  <c r="B193" i="16"/>
  <c r="B197" i="16"/>
  <c r="B201" i="16"/>
  <c r="B205" i="16"/>
  <c r="B211" i="16"/>
  <c r="B213" i="16"/>
  <c r="B215" i="16"/>
  <c r="B217" i="16"/>
  <c r="B219" i="16"/>
  <c r="B221" i="16"/>
  <c r="B223" i="16"/>
  <c r="B225" i="16"/>
  <c r="B235" i="16"/>
  <c r="B237" i="16"/>
  <c r="B243" i="16"/>
  <c r="B245" i="16"/>
  <c r="B247" i="16"/>
  <c r="B253" i="16"/>
  <c r="B256" i="16"/>
  <c r="B262" i="16"/>
  <c r="B267" i="16"/>
  <c r="B269" i="16"/>
  <c r="B277" i="16"/>
  <c r="B279" i="16"/>
  <c r="B285" i="16"/>
  <c r="J3" i="16"/>
  <c r="B319" i="16"/>
  <c r="B287" i="16"/>
  <c r="B289" i="16"/>
  <c r="B296" i="16"/>
  <c r="B306" i="16"/>
  <c r="B310" i="16"/>
  <c r="B316" i="16"/>
  <c r="B318" i="16"/>
  <c r="B322" i="16"/>
  <c r="B327" i="16"/>
  <c r="B82" i="11"/>
  <c r="B218" i="16"/>
  <c r="B228" i="16"/>
  <c r="B232" i="16"/>
  <c r="B234" i="16"/>
  <c r="B240" i="16"/>
  <c r="B242" i="16"/>
  <c r="B248" i="16"/>
  <c r="B250" i="16"/>
  <c r="B255" i="16"/>
  <c r="B257" i="16"/>
  <c r="B259" i="16"/>
  <c r="B264" i="16"/>
  <c r="B266" i="16"/>
  <c r="B272" i="16"/>
  <c r="B274" i="16"/>
  <c r="B276" i="16"/>
  <c r="B282" i="16"/>
  <c r="B284" i="16"/>
  <c r="B286" i="16"/>
  <c r="B292" i="16"/>
  <c r="B294" i="16"/>
  <c r="B297" i="16"/>
  <c r="B299" i="16"/>
  <c r="B303" i="16"/>
  <c r="B305" i="16"/>
  <c r="B307" i="16"/>
  <c r="B309" i="16"/>
  <c r="B311" i="16"/>
  <c r="B313" i="16"/>
  <c r="B323" i="16"/>
  <c r="B325" i="16"/>
  <c r="AX12" i="16"/>
  <c r="F12" i="16" s="1"/>
  <c r="H72" i="16"/>
  <c r="B220" i="16"/>
  <c r="B222" i="16"/>
  <c r="B224" i="16"/>
  <c r="B226" i="16"/>
  <c r="B227" i="16"/>
  <c r="B229" i="16"/>
  <c r="B230" i="16"/>
  <c r="B231" i="16"/>
  <c r="B233" i="16"/>
  <c r="B236" i="16"/>
  <c r="B238" i="16"/>
  <c r="B239" i="16"/>
  <c r="B241" i="16"/>
  <c r="B244" i="16"/>
  <c r="B246" i="16"/>
  <c r="B249" i="16"/>
  <c r="B251" i="16"/>
  <c r="B252" i="16"/>
  <c r="B254" i="16"/>
  <c r="B258" i="16"/>
  <c r="B260" i="16"/>
  <c r="B261" i="16"/>
  <c r="B263" i="16"/>
  <c r="B265" i="16"/>
  <c r="B268" i="16"/>
  <c r="B270" i="16"/>
  <c r="B271" i="16"/>
  <c r="B273" i="16"/>
  <c r="B275" i="16"/>
  <c r="B278" i="16"/>
  <c r="B280" i="16"/>
  <c r="B281" i="16"/>
  <c r="B283" i="16"/>
  <c r="B288" i="16"/>
  <c r="B290" i="16"/>
  <c r="B291" i="16"/>
  <c r="B293" i="16"/>
  <c r="B295" i="16"/>
  <c r="B298" i="16"/>
  <c r="B300" i="16"/>
  <c r="B301" i="16"/>
  <c r="B302" i="16"/>
  <c r="B304" i="16"/>
  <c r="B308" i="16"/>
  <c r="B312" i="16"/>
  <c r="B314" i="16"/>
  <c r="B315" i="16"/>
  <c r="B317" i="16"/>
  <c r="B320" i="16"/>
  <c r="B321" i="16"/>
  <c r="B324" i="16"/>
  <c r="B326" i="16"/>
  <c r="B328" i="16"/>
  <c r="B331" i="16"/>
  <c r="B332" i="16"/>
  <c r="B11" i="11"/>
  <c r="B19" i="11"/>
  <c r="B45" i="11"/>
  <c r="B61" i="11"/>
  <c r="B75" i="11"/>
  <c r="B28" i="11"/>
  <c r="B36" i="11"/>
  <c r="B42" i="11"/>
  <c r="B69" i="11"/>
  <c r="B9" i="11"/>
  <c r="B25" i="11"/>
  <c r="B26" i="11"/>
  <c r="B27" i="11"/>
  <c r="B32" i="11"/>
  <c r="B33" i="11"/>
  <c r="B34" i="11"/>
  <c r="B35" i="11"/>
  <c r="B41" i="11"/>
  <c r="B44" i="11"/>
  <c r="B47" i="11"/>
  <c r="B48" i="11"/>
  <c r="B49" i="11"/>
  <c r="B50" i="11"/>
  <c r="B51" i="11"/>
  <c r="B52" i="11"/>
  <c r="B53" i="11"/>
  <c r="B54" i="11"/>
  <c r="B55" i="11"/>
  <c r="B56" i="11"/>
  <c r="B57" i="11"/>
  <c r="B58" i="11"/>
  <c r="B59" i="11"/>
  <c r="B60" i="11"/>
  <c r="B67" i="11"/>
  <c r="B68" i="11"/>
  <c r="B71" i="11"/>
  <c r="B72" i="11"/>
  <c r="B73" i="11"/>
  <c r="B74" i="11"/>
  <c r="B79" i="11"/>
  <c r="B80" i="11"/>
  <c r="B81" i="11"/>
  <c r="B96" i="11"/>
  <c r="B113" i="11"/>
  <c r="B121" i="11"/>
  <c r="B129" i="11"/>
  <c r="B154" i="11"/>
  <c r="B162" i="11"/>
  <c r="B172" i="11"/>
  <c r="B334" i="11"/>
  <c r="B333" i="11"/>
  <c r="B332" i="11"/>
  <c r="B331" i="11"/>
  <c r="B330" i="11"/>
  <c r="B326" i="11"/>
  <c r="B325" i="11"/>
  <c r="B317" i="11"/>
  <c r="B315" i="11"/>
  <c r="B314" i="11"/>
  <c r="B313" i="11"/>
  <c r="B312" i="11"/>
  <c r="B311" i="11"/>
  <c r="B310" i="11"/>
  <c r="B309" i="11"/>
  <c r="B308" i="11"/>
  <c r="B281" i="11"/>
  <c r="B280" i="11"/>
  <c r="B273" i="11"/>
  <c r="B272" i="11"/>
  <c r="B271" i="11"/>
  <c r="B270" i="11"/>
  <c r="B265" i="11"/>
  <c r="B259" i="11"/>
  <c r="B258" i="11"/>
  <c r="B243" i="11"/>
  <c r="B238" i="11"/>
  <c r="B237" i="11"/>
  <c r="B236" i="11"/>
  <c r="B329" i="11"/>
  <c r="B328" i="11"/>
  <c r="B324" i="11"/>
  <c r="B323" i="11"/>
  <c r="B322" i="11"/>
  <c r="B321" i="11"/>
  <c r="B319" i="11"/>
  <c r="B307" i="11"/>
  <c r="B306" i="11"/>
  <c r="B305" i="11"/>
  <c r="B303" i="11"/>
  <c r="B301" i="11"/>
  <c r="B300" i="11"/>
  <c r="B299" i="11"/>
  <c r="B298" i="11"/>
  <c r="B296" i="11"/>
  <c r="B295" i="11"/>
  <c r="B294" i="11"/>
  <c r="B293" i="11"/>
  <c r="B292" i="11"/>
  <c r="B291" i="11"/>
  <c r="B290" i="11"/>
  <c r="B289" i="11"/>
  <c r="B288" i="11"/>
  <c r="B287" i="11"/>
  <c r="B286" i="11"/>
  <c r="B285" i="11"/>
  <c r="B284" i="11"/>
  <c r="B283" i="11"/>
  <c r="B279" i="11"/>
  <c r="B278" i="11"/>
  <c r="B276" i="11"/>
  <c r="B275" i="11"/>
  <c r="B269" i="11"/>
  <c r="B268" i="11"/>
  <c r="B267" i="11"/>
  <c r="B264" i="11"/>
  <c r="B263" i="11"/>
  <c r="B262" i="11"/>
  <c r="B261" i="11"/>
  <c r="B257" i="11"/>
  <c r="B256" i="11"/>
  <c r="B255" i="11"/>
  <c r="B254" i="11"/>
  <c r="B253" i="11"/>
  <c r="B252" i="11"/>
  <c r="B251" i="11"/>
  <c r="B250" i="11"/>
  <c r="B249" i="11"/>
  <c r="B248" i="11"/>
  <c r="B247" i="11"/>
  <c r="B246" i="11"/>
  <c r="B245" i="11"/>
  <c r="B241" i="11"/>
  <c r="B240" i="11"/>
  <c r="B239" i="11"/>
  <c r="B234" i="11"/>
  <c r="B233" i="11"/>
  <c r="B230" i="11"/>
  <c r="B229" i="11"/>
  <c r="B228" i="11"/>
  <c r="B227" i="11"/>
  <c r="B226" i="11"/>
  <c r="B225" i="11"/>
  <c r="B219" i="11"/>
  <c r="B212" i="11"/>
  <c r="B211" i="11"/>
  <c r="B210" i="11"/>
  <c r="B209" i="11"/>
  <c r="B208" i="11"/>
  <c r="B207" i="11"/>
  <c r="B203" i="11"/>
  <c r="B202" i="11"/>
  <c r="B224" i="11"/>
  <c r="B223" i="11"/>
  <c r="B222" i="11"/>
  <c r="B221" i="11"/>
  <c r="B218" i="11"/>
  <c r="B217" i="11"/>
  <c r="B216" i="11"/>
  <c r="B215" i="11"/>
  <c r="B214" i="11"/>
  <c r="B201" i="11"/>
  <c r="B200" i="11"/>
  <c r="B199" i="11"/>
  <c r="B198" i="11"/>
  <c r="B194" i="11"/>
  <c r="B193" i="11"/>
  <c r="B191" i="11"/>
  <c r="B190" i="11"/>
  <c r="B189" i="11"/>
  <c r="B188" i="11"/>
  <c r="B187" i="11"/>
  <c r="B186" i="11"/>
  <c r="B185" i="11"/>
  <c r="B182" i="11"/>
  <c r="B171" i="11"/>
  <c r="B170" i="11"/>
  <c r="B169" i="11"/>
  <c r="B168" i="11"/>
  <c r="B158" i="11"/>
  <c r="B157" i="11"/>
  <c r="B153" i="11"/>
  <c r="B145" i="11"/>
  <c r="B143" i="11"/>
  <c r="B142" i="11"/>
  <c r="B141" i="11"/>
  <c r="B140" i="11"/>
  <c r="B139" i="11"/>
  <c r="B138" i="11"/>
  <c r="B133" i="11"/>
  <c r="B132" i="11"/>
  <c r="B128" i="11"/>
  <c r="B127" i="11"/>
  <c r="B126" i="11"/>
  <c r="B125" i="11"/>
  <c r="B120" i="11"/>
  <c r="B117" i="11"/>
  <c r="B116" i="11"/>
  <c r="B112" i="11"/>
  <c r="B111" i="11"/>
  <c r="B110" i="11"/>
  <c r="B105" i="11"/>
  <c r="B104" i="11"/>
  <c r="B103" i="11"/>
  <c r="B102" i="11"/>
  <c r="B101" i="11"/>
  <c r="B95" i="11"/>
  <c r="B94" i="11"/>
  <c r="B93" i="11"/>
  <c r="B92" i="11"/>
  <c r="B232" i="11"/>
  <c r="B206" i="11"/>
  <c r="B205" i="11"/>
  <c r="B197" i="11"/>
  <c r="B196" i="11"/>
  <c r="B195" i="11"/>
  <c r="B184" i="11"/>
  <c r="B181" i="11"/>
  <c r="B180" i="11"/>
  <c r="B179" i="11"/>
  <c r="B178" i="11"/>
  <c r="B177" i="11"/>
  <c r="B176" i="11"/>
  <c r="B175" i="11"/>
  <c r="B174" i="11"/>
  <c r="B173" i="11"/>
  <c r="B167" i="11"/>
  <c r="B166" i="11"/>
  <c r="B165" i="11"/>
  <c r="B164" i="11"/>
  <c r="B163" i="11"/>
  <c r="B161" i="11"/>
  <c r="B160" i="11"/>
  <c r="B159" i="11"/>
  <c r="B156" i="11"/>
  <c r="B155" i="11"/>
  <c r="B152" i="11"/>
  <c r="B150" i="11"/>
  <c r="B148" i="11"/>
  <c r="B147" i="11"/>
  <c r="B146" i="11"/>
  <c r="B144" i="11"/>
  <c r="B137" i="11"/>
  <c r="B136" i="11"/>
  <c r="B135" i="11"/>
  <c r="B131" i="11"/>
  <c r="B130" i="11"/>
  <c r="B124" i="11"/>
  <c r="B123" i="11"/>
  <c r="B122" i="11"/>
  <c r="B119" i="11"/>
  <c r="B115" i="11"/>
  <c r="B114" i="11"/>
  <c r="B109" i="11"/>
  <c r="B108" i="11"/>
  <c r="B107" i="11"/>
  <c r="B100" i="11"/>
  <c r="B99" i="11"/>
  <c r="B98" i="11"/>
  <c r="B97" i="11"/>
  <c r="B10" i="11"/>
  <c r="B12" i="11"/>
  <c r="B13" i="11"/>
  <c r="B14" i="11"/>
  <c r="B15" i="11"/>
  <c r="B16" i="11"/>
  <c r="B17" i="11"/>
  <c r="B18" i="11"/>
  <c r="B20" i="11"/>
  <c r="B21" i="11"/>
  <c r="B22" i="11"/>
  <c r="B23" i="11"/>
  <c r="B24" i="11"/>
  <c r="B29" i="11"/>
  <c r="B30" i="11"/>
  <c r="B31" i="11"/>
  <c r="B37" i="11"/>
  <c r="B38" i="11"/>
  <c r="B39" i="11"/>
  <c r="B40" i="11"/>
  <c r="B43" i="11"/>
  <c r="B46" i="11"/>
  <c r="B62" i="11"/>
  <c r="B63" i="11"/>
  <c r="B64" i="11"/>
  <c r="B65" i="11"/>
  <c r="B66" i="11"/>
  <c r="B70" i="11"/>
  <c r="B76" i="11"/>
  <c r="B77" i="11"/>
  <c r="B78" i="11"/>
  <c r="B83" i="11"/>
  <c r="B84" i="11"/>
  <c r="B85" i="11"/>
  <c r="B86" i="11"/>
  <c r="B87" i="11"/>
  <c r="B88" i="11"/>
  <c r="B89" i="11"/>
  <c r="B90" i="11"/>
  <c r="B91" i="11"/>
  <c r="B106" i="11"/>
  <c r="B118" i="11"/>
  <c r="B134" i="11"/>
  <c r="B149" i="11"/>
  <c r="B151" i="11"/>
  <c r="B183" i="11"/>
  <c r="B204" i="11"/>
  <c r="B231" i="11"/>
  <c r="B242" i="11"/>
  <c r="B260" i="11"/>
  <c r="B266" i="11"/>
  <c r="B274" i="11"/>
  <c r="B282" i="11"/>
  <c r="B297" i="11"/>
  <c r="B318" i="11"/>
  <c r="B327" i="11"/>
  <c r="B213" i="11"/>
  <c r="B220" i="11"/>
  <c r="B235" i="11"/>
  <c r="B277" i="11"/>
  <c r="B302" i="11"/>
  <c r="B304" i="11"/>
  <c r="B320" i="11"/>
  <c r="B22" i="16"/>
  <c r="B333" i="16"/>
  <c r="B334" i="16"/>
  <c r="B342" i="16"/>
  <c r="B335" i="16"/>
  <c r="B336" i="16"/>
  <c r="B341" i="16"/>
  <c r="B329" i="16"/>
  <c r="B330" i="16"/>
  <c r="B337" i="16"/>
  <c r="B338" i="16"/>
  <c r="B339" i="16"/>
  <c r="B343" i="16"/>
  <c r="B340" i="16"/>
  <c r="D8" i="16"/>
  <c r="D22" i="8" s="1"/>
  <c r="G8" i="16"/>
  <c r="I8" i="16"/>
  <c r="G3" i="16"/>
  <c r="J9" i="8" s="1"/>
  <c r="K89" i="8" s="1"/>
  <c r="I3" i="16"/>
  <c r="P8" i="16"/>
  <c r="AF11" i="16"/>
  <c r="F3" i="16"/>
  <c r="H3" i="16"/>
  <c r="J11" i="8" s="1"/>
  <c r="H12" i="16" l="1"/>
  <c r="AX14" i="16"/>
  <c r="AX88" i="16"/>
  <c r="AX90" i="16"/>
  <c r="F90" i="16" s="1"/>
  <c r="AX99" i="16"/>
  <c r="AX115" i="16"/>
  <c r="AX143" i="16"/>
  <c r="F143" i="16" s="1"/>
  <c r="AX159" i="16"/>
  <c r="AX166" i="16"/>
  <c r="F166" i="16" s="1"/>
  <c r="AX176" i="16"/>
  <c r="AX190" i="16"/>
  <c r="AX193" i="16"/>
  <c r="F193" i="16" s="1"/>
  <c r="AX197" i="16"/>
  <c r="AX199" i="16"/>
  <c r="H199" i="16" s="1"/>
  <c r="AX223" i="16"/>
  <c r="AX230" i="16"/>
  <c r="AX244" i="16"/>
  <c r="AX258" i="16"/>
  <c r="AX265" i="16"/>
  <c r="AX286" i="16"/>
  <c r="F286" i="16" s="1"/>
  <c r="AX301" i="16"/>
  <c r="AX306" i="16"/>
  <c r="F306" i="16" s="1"/>
  <c r="AX310" i="16"/>
  <c r="AX93" i="16"/>
  <c r="AX95" i="16"/>
  <c r="F95" i="16" s="1"/>
  <c r="AX97" i="16"/>
  <c r="AX101" i="16"/>
  <c r="AX103" i="16"/>
  <c r="H103" i="16" s="1"/>
  <c r="AX126" i="16"/>
  <c r="AX133" i="16"/>
  <c r="F133" i="16" s="1"/>
  <c r="AX152" i="16"/>
  <c r="AX157" i="16"/>
  <c r="F157" i="16" s="1"/>
  <c r="AX164" i="16"/>
  <c r="F164" i="16" s="1"/>
  <c r="AX171" i="16"/>
  <c r="AX204" i="16"/>
  <c r="AX216" i="16"/>
  <c r="AX232" i="16"/>
  <c r="AX237" i="16"/>
  <c r="AX263" i="16"/>
  <c r="AX268" i="16"/>
  <c r="AX270" i="16"/>
  <c r="F270" i="16" s="1"/>
  <c r="AX272" i="16"/>
  <c r="AX277" i="16"/>
  <c r="AX291" i="16"/>
  <c r="AX296" i="16"/>
  <c r="AX299" i="16"/>
  <c r="AX304" i="16"/>
  <c r="AX318" i="16"/>
  <c r="AX337" i="16"/>
  <c r="AX340" i="16"/>
  <c r="AX211" i="16"/>
  <c r="AX274" i="16"/>
  <c r="F274" i="16" s="1"/>
  <c r="AX110" i="16"/>
  <c r="H110" i="16" s="1"/>
  <c r="AX136" i="16"/>
  <c r="F136" i="16" s="1"/>
  <c r="AX141" i="16"/>
  <c r="F141" i="16" s="1"/>
  <c r="AX155" i="16"/>
  <c r="F155" i="16" s="1"/>
  <c r="AX162" i="16"/>
  <c r="F162" i="16" s="1"/>
  <c r="AX169" i="16"/>
  <c r="AX181" i="16"/>
  <c r="AX207" i="16"/>
  <c r="AX209" i="16"/>
  <c r="AX214" i="16"/>
  <c r="AX228" i="16"/>
  <c r="AX235" i="16"/>
  <c r="F235" i="16" s="1"/>
  <c r="AX247" i="16"/>
  <c r="AX256" i="16"/>
  <c r="AX284" i="16"/>
  <c r="F284" i="16" s="1"/>
  <c r="AX294" i="16"/>
  <c r="AX313" i="16"/>
  <c r="F313" i="16" s="1"/>
  <c r="AX325" i="16"/>
  <c r="AX330" i="16"/>
  <c r="AX105" i="16"/>
  <c r="AX112" i="16"/>
  <c r="F112" i="16" s="1"/>
  <c r="AX117" i="16"/>
  <c r="AX119" i="16"/>
  <c r="AX150" i="16"/>
  <c r="AX178" i="16"/>
  <c r="AX195" i="16"/>
  <c r="F195" i="16" s="1"/>
  <c r="AX279" i="16"/>
  <c r="F279" i="16" s="1"/>
  <c r="AX334" i="16"/>
  <c r="AX342" i="16"/>
  <c r="AX113" i="16"/>
  <c r="AX122" i="16"/>
  <c r="AX124" i="16"/>
  <c r="AX131" i="16"/>
  <c r="F131" i="16" s="1"/>
  <c r="AX146" i="16"/>
  <c r="AX188" i="16"/>
  <c r="H188" i="16" s="1"/>
  <c r="AX219" i="16"/>
  <c r="AX221" i="16"/>
  <c r="AX226" i="16"/>
  <c r="AX242" i="16"/>
  <c r="F242" i="16" s="1"/>
  <c r="AX250" i="16"/>
  <c r="AX261" i="16"/>
  <c r="AX275" i="16"/>
  <c r="AX280" i="16"/>
  <c r="AX282" i="16"/>
  <c r="AX289" i="16"/>
  <c r="F289" i="16" s="1"/>
  <c r="AX323" i="16"/>
  <c r="AX225" i="16"/>
  <c r="H225" i="16" s="1"/>
  <c r="AX332" i="16"/>
  <c r="AX86" i="16"/>
  <c r="AX106" i="16"/>
  <c r="AX120" i="16"/>
  <c r="AX129" i="16"/>
  <c r="AX139" i="16"/>
  <c r="AX144" i="16"/>
  <c r="AX149" i="16"/>
  <c r="F149" i="16" s="1"/>
  <c r="AX160" i="16"/>
  <c r="F160" i="16" s="1"/>
  <c r="AX167" i="16"/>
  <c r="AX174" i="16"/>
  <c r="F174" i="16" s="1"/>
  <c r="AX179" i="16"/>
  <c r="F179" i="16" s="1"/>
  <c r="AX184" i="16"/>
  <c r="F184" i="16" s="1"/>
  <c r="AX191" i="16"/>
  <c r="AX200" i="16"/>
  <c r="AX202" i="16"/>
  <c r="AX252" i="16"/>
  <c r="AX254" i="16"/>
  <c r="H254" i="16" s="1"/>
  <c r="AX266" i="16"/>
  <c r="AX302" i="16"/>
  <c r="AX311" i="16"/>
  <c r="F311" i="16" s="1"/>
  <c r="AX316" i="16"/>
  <c r="AX321" i="16"/>
  <c r="AX328" i="16"/>
  <c r="F328" i="16" s="1"/>
  <c r="AX335" i="16"/>
  <c r="AX91" i="16"/>
  <c r="AX108" i="16"/>
  <c r="F108" i="16" s="1"/>
  <c r="AX116" i="16"/>
  <c r="AX118" i="16"/>
  <c r="F118" i="16" s="1"/>
  <c r="AX134" i="16"/>
  <c r="AX153" i="16"/>
  <c r="AX177" i="16"/>
  <c r="AX186" i="16"/>
  <c r="AX205" i="16"/>
  <c r="F205" i="16" s="1"/>
  <c r="AX212" i="16"/>
  <c r="H212" i="16" s="1"/>
  <c r="AX217" i="16"/>
  <c r="F217" i="16" s="1"/>
  <c r="AX240" i="16"/>
  <c r="H240" i="16" s="1"/>
  <c r="AX245" i="16"/>
  <c r="AX287" i="16"/>
  <c r="F287" i="16" s="1"/>
  <c r="AX292" i="16"/>
  <c r="F292" i="16" s="1"/>
  <c r="AX297" i="16"/>
  <c r="AX307" i="16"/>
  <c r="F307" i="16" s="1"/>
  <c r="AX309" i="16"/>
  <c r="AX319" i="16"/>
  <c r="AX338" i="16"/>
  <c r="F338" i="16" s="1"/>
  <c r="AX341" i="16"/>
  <c r="AX343" i="16"/>
  <c r="AX89" i="16"/>
  <c r="F89" i="16" s="1"/>
  <c r="AX100" i="16"/>
  <c r="AX104" i="16"/>
  <c r="AX127" i="16"/>
  <c r="F127" i="16" s="1"/>
  <c r="AX137" i="16"/>
  <c r="AX151" i="16"/>
  <c r="AX172" i="16"/>
  <c r="AX194" i="16"/>
  <c r="AX196" i="16"/>
  <c r="H196" i="16" s="1"/>
  <c r="AX198" i="16"/>
  <c r="AX210" i="16"/>
  <c r="AX224" i="16"/>
  <c r="F224" i="16" s="1"/>
  <c r="AX231" i="16"/>
  <c r="AX233" i="16"/>
  <c r="AX238" i="16"/>
  <c r="H238" i="16" s="1"/>
  <c r="AX248" i="16"/>
  <c r="AX257" i="16"/>
  <c r="AX259" i="16"/>
  <c r="AX273" i="16"/>
  <c r="AX278" i="16"/>
  <c r="AX314" i="16"/>
  <c r="F314" i="16" s="1"/>
  <c r="AX326" i="16"/>
  <c r="AX331" i="16"/>
  <c r="AX333" i="16"/>
  <c r="F333" i="16" s="1"/>
  <c r="AX107" i="16"/>
  <c r="H107" i="16" s="1"/>
  <c r="AX239" i="16"/>
  <c r="AX94" i="16"/>
  <c r="F94" i="16" s="1"/>
  <c r="AX98" i="16"/>
  <c r="AX111" i="16"/>
  <c r="AX114" i="16"/>
  <c r="AX147" i="16"/>
  <c r="AX158" i="16"/>
  <c r="AX165" i="16"/>
  <c r="AX182" i="16"/>
  <c r="AX215" i="16"/>
  <c r="F215" i="16" s="1"/>
  <c r="AX222" i="16"/>
  <c r="AX236" i="16"/>
  <c r="H236" i="16" s="1"/>
  <c r="AX264" i="16"/>
  <c r="H264" i="16" s="1"/>
  <c r="AX269" i="16"/>
  <c r="AX271" i="16"/>
  <c r="AX300" i="16"/>
  <c r="AX305" i="16"/>
  <c r="AX87" i="16"/>
  <c r="AX96" i="16"/>
  <c r="AX102" i="16"/>
  <c r="AX123" i="16"/>
  <c r="AX125" i="16"/>
  <c r="F125" i="16" s="1"/>
  <c r="AX132" i="16"/>
  <c r="AX142" i="16"/>
  <c r="AX156" i="16"/>
  <c r="F156" i="16" s="1"/>
  <c r="AX161" i="16"/>
  <c r="F161" i="16" s="1"/>
  <c r="AX170" i="16"/>
  <c r="F170" i="16" s="1"/>
  <c r="AX175" i="16"/>
  <c r="AX189" i="16"/>
  <c r="AX192" i="16"/>
  <c r="AX203" i="16"/>
  <c r="AX227" i="16"/>
  <c r="AX229" i="16"/>
  <c r="F229" i="16" s="1"/>
  <c r="AX243" i="16"/>
  <c r="F243" i="16" s="1"/>
  <c r="AX262" i="16"/>
  <c r="AX276" i="16"/>
  <c r="F276" i="16" s="1"/>
  <c r="AX285" i="16"/>
  <c r="AX290" i="16"/>
  <c r="AX295" i="16"/>
  <c r="AX303" i="16"/>
  <c r="AX148" i="16"/>
  <c r="AX173" i="16"/>
  <c r="F173" i="16" s="1"/>
  <c r="AX183" i="16"/>
  <c r="AX260" i="16"/>
  <c r="AX92" i="16"/>
  <c r="AX109" i="16"/>
  <c r="AX121" i="16"/>
  <c r="F121" i="16" s="1"/>
  <c r="AX145" i="16"/>
  <c r="AX154" i="16"/>
  <c r="F154" i="16" s="1"/>
  <c r="AX163" i="16"/>
  <c r="F163" i="16" s="1"/>
  <c r="AX168" i="16"/>
  <c r="F168" i="16" s="1"/>
  <c r="AX180" i="16"/>
  <c r="AX208" i="16"/>
  <c r="F208" i="16" s="1"/>
  <c r="AX220" i="16"/>
  <c r="AX241" i="16"/>
  <c r="AX246" i="16"/>
  <c r="F246" i="16" s="1"/>
  <c r="AX251" i="16"/>
  <c r="AX255" i="16"/>
  <c r="AX267" i="16"/>
  <c r="F267" i="16" s="1"/>
  <c r="AX281" i="16"/>
  <c r="AX283" i="16"/>
  <c r="AX298" i="16"/>
  <c r="AX317" i="16"/>
  <c r="AX320" i="16"/>
  <c r="AX324" i="16"/>
  <c r="AX329" i="16"/>
  <c r="F329" i="16" s="1"/>
  <c r="AX336" i="16"/>
  <c r="F336" i="16" s="1"/>
  <c r="AX339" i="16"/>
  <c r="AX128" i="16"/>
  <c r="AX130" i="16"/>
  <c r="F130" i="16" s="1"/>
  <c r="AX135" i="16"/>
  <c r="H135" i="16" s="1"/>
  <c r="AX138" i="16"/>
  <c r="AX140" i="16"/>
  <c r="AX185" i="16"/>
  <c r="AX187" i="16"/>
  <c r="AX201" i="16"/>
  <c r="AX206" i="16"/>
  <c r="AX213" i="16"/>
  <c r="AX218" i="16"/>
  <c r="AX234" i="16"/>
  <c r="AX249" i="16"/>
  <c r="F249" i="16" s="1"/>
  <c r="AX253" i="16"/>
  <c r="F253" i="16" s="1"/>
  <c r="AX288" i="16"/>
  <c r="AX293" i="16"/>
  <c r="AX308" i="16"/>
  <c r="AX312" i="16"/>
  <c r="F312" i="16" s="1"/>
  <c r="AX315" i="16"/>
  <c r="AX322" i="16"/>
  <c r="AX327" i="16"/>
  <c r="F327" i="16" s="1"/>
  <c r="H131" i="16"/>
  <c r="F225" i="16"/>
  <c r="F107" i="16"/>
  <c r="F231" i="16"/>
  <c r="F146" i="16"/>
  <c r="H157" i="16"/>
  <c r="F199" i="16"/>
  <c r="F238" i="16"/>
  <c r="F188" i="16"/>
  <c r="F110" i="16"/>
  <c r="AX71" i="16"/>
  <c r="H71" i="16" s="1"/>
  <c r="AX11" i="16"/>
  <c r="F11" i="16" s="1"/>
  <c r="AX59" i="16"/>
  <c r="AX47" i="16"/>
  <c r="AX35" i="16"/>
  <c r="AX31" i="16"/>
  <c r="F31" i="16" s="1"/>
  <c r="AX74" i="16"/>
  <c r="F74" i="16" s="1"/>
  <c r="AX36" i="16"/>
  <c r="F36" i="16" s="1"/>
  <c r="AX25" i="16"/>
  <c r="H25" i="16" s="1"/>
  <c r="AX80" i="16"/>
  <c r="F80" i="16" s="1"/>
  <c r="AX83" i="16"/>
  <c r="AX55" i="16"/>
  <c r="H55" i="16" s="1"/>
  <c r="AX84" i="16"/>
  <c r="H84" i="16" s="1"/>
  <c r="AX56" i="16"/>
  <c r="H56" i="16" s="1"/>
  <c r="AX79" i="16"/>
  <c r="AX32" i="16"/>
  <c r="F32" i="16" s="1"/>
  <c r="AX73" i="16"/>
  <c r="H73" i="16" s="1"/>
  <c r="AX26" i="16"/>
  <c r="F26" i="16" s="1"/>
  <c r="AX23" i="16"/>
  <c r="AX60" i="16"/>
  <c r="AX49" i="16"/>
  <c r="AX50" i="16"/>
  <c r="H50" i="16" s="1"/>
  <c r="AX81" i="16"/>
  <c r="H81" i="16" s="1"/>
  <c r="AX57" i="16"/>
  <c r="AX33" i="16"/>
  <c r="AX82" i="16"/>
  <c r="H82" i="16" s="1"/>
  <c r="AX58" i="16"/>
  <c r="H58" i="16" s="1"/>
  <c r="AX34" i="16"/>
  <c r="H34" i="16" s="1"/>
  <c r="AX77" i="16"/>
  <c r="H77" i="16" s="1"/>
  <c r="AX53" i="16"/>
  <c r="H53" i="16" s="1"/>
  <c r="AX29" i="16"/>
  <c r="H29" i="16" s="1"/>
  <c r="AX78" i="16"/>
  <c r="F78" i="16" s="1"/>
  <c r="AX54" i="16"/>
  <c r="AX30" i="16"/>
  <c r="F30" i="16" s="1"/>
  <c r="AX75" i="16"/>
  <c r="AX51" i="16"/>
  <c r="AX27" i="16"/>
  <c r="F27" i="16" s="1"/>
  <c r="AX76" i="16"/>
  <c r="AX52" i="16"/>
  <c r="AX28" i="16"/>
  <c r="AX72" i="16"/>
  <c r="F72" i="16" s="1"/>
  <c r="AX48" i="16"/>
  <c r="AX24" i="16"/>
  <c r="AX69" i="16"/>
  <c r="AX45" i="16"/>
  <c r="F45" i="16" s="1"/>
  <c r="AX21" i="16"/>
  <c r="H21" i="16" s="1"/>
  <c r="AX70" i="16"/>
  <c r="AX46" i="16"/>
  <c r="H46" i="16" s="1"/>
  <c r="AX22" i="16"/>
  <c r="H22" i="16" s="1"/>
  <c r="AX67" i="16"/>
  <c r="F67" i="16" s="1"/>
  <c r="AX43" i="16"/>
  <c r="F43" i="16" s="1"/>
  <c r="AX19" i="16"/>
  <c r="H19" i="16" s="1"/>
  <c r="AX68" i="16"/>
  <c r="AX44" i="16"/>
  <c r="F44" i="16" s="1"/>
  <c r="AX20" i="16"/>
  <c r="AX65" i="16"/>
  <c r="H65" i="16" s="1"/>
  <c r="AX41" i="16"/>
  <c r="H41" i="16" s="1"/>
  <c r="AX17" i="16"/>
  <c r="H17" i="16" s="1"/>
  <c r="AX66" i="16"/>
  <c r="F66" i="16" s="1"/>
  <c r="AX42" i="16"/>
  <c r="AX18" i="16"/>
  <c r="AX63" i="16"/>
  <c r="AX39" i="16"/>
  <c r="AX15" i="16"/>
  <c r="AX64" i="16"/>
  <c r="AX40" i="16"/>
  <c r="AX16" i="16"/>
  <c r="AX85" i="16"/>
  <c r="H85" i="16" s="1"/>
  <c r="AX61" i="16"/>
  <c r="F61" i="16" s="1"/>
  <c r="AX37" i="16"/>
  <c r="F37" i="16" s="1"/>
  <c r="AX13" i="16"/>
  <c r="H13" i="16" s="1"/>
  <c r="AX62" i="16"/>
  <c r="H62" i="16" s="1"/>
  <c r="AX38" i="16"/>
  <c r="H38" i="16" s="1"/>
  <c r="H8" i="16"/>
  <c r="D21" i="8"/>
  <c r="X9" i="16"/>
  <c r="AI9" i="16"/>
  <c r="AP9" i="16"/>
  <c r="J10" i="8"/>
  <c r="B39" i="8" s="1"/>
  <c r="H78" i="16"/>
  <c r="F240" i="16" l="1"/>
  <c r="H27" i="16"/>
  <c r="H26" i="16"/>
  <c r="H31" i="16"/>
  <c r="H44" i="16"/>
  <c r="H36" i="16"/>
  <c r="H43" i="16"/>
  <c r="H32" i="16"/>
  <c r="H37" i="16"/>
  <c r="F128" i="16"/>
  <c r="H128" i="16"/>
  <c r="F251" i="16"/>
  <c r="H251" i="16"/>
  <c r="F93" i="16"/>
  <c r="H93" i="16"/>
  <c r="F302" i="16"/>
  <c r="H302" i="16"/>
  <c r="F280" i="16"/>
  <c r="H280" i="16"/>
  <c r="F330" i="16"/>
  <c r="H330" i="16"/>
  <c r="F181" i="16"/>
  <c r="H181" i="16"/>
  <c r="F304" i="16"/>
  <c r="H304" i="16"/>
  <c r="F204" i="16"/>
  <c r="H204" i="16"/>
  <c r="H61" i="16"/>
  <c r="F153" i="16"/>
  <c r="H153" i="16"/>
  <c r="F76" i="16"/>
  <c r="H76" i="16"/>
  <c r="F220" i="16"/>
  <c r="H220" i="16"/>
  <c r="F296" i="16"/>
  <c r="H296" i="16"/>
  <c r="F189" i="16"/>
  <c r="H189" i="16"/>
  <c r="F252" i="16"/>
  <c r="H252" i="16"/>
  <c r="F291" i="16"/>
  <c r="H291" i="16"/>
  <c r="F159" i="16"/>
  <c r="H159" i="16"/>
  <c r="F322" i="16"/>
  <c r="H322" i="16"/>
  <c r="F175" i="16"/>
  <c r="H175" i="16"/>
  <c r="F257" i="16"/>
  <c r="H257" i="16"/>
  <c r="F202" i="16"/>
  <c r="H202" i="16"/>
  <c r="F70" i="16"/>
  <c r="H70" i="16"/>
  <c r="F75" i="16"/>
  <c r="H75" i="16"/>
  <c r="F315" i="16"/>
  <c r="H315" i="16"/>
  <c r="F269" i="16"/>
  <c r="H269" i="16"/>
  <c r="F91" i="16"/>
  <c r="H91" i="16"/>
  <c r="F86" i="16"/>
  <c r="H86" i="16"/>
  <c r="F221" i="16"/>
  <c r="H221" i="16"/>
  <c r="F335" i="16"/>
  <c r="H335" i="16"/>
  <c r="F332" i="16"/>
  <c r="H332" i="16"/>
  <c r="F219" i="16"/>
  <c r="H219" i="16"/>
  <c r="F268" i="16"/>
  <c r="H268" i="16"/>
  <c r="H67" i="16"/>
  <c r="F138" i="16"/>
  <c r="H138" i="16"/>
  <c r="F281" i="16"/>
  <c r="H281" i="16"/>
  <c r="F142" i="16"/>
  <c r="H142" i="16"/>
  <c r="F211" i="16"/>
  <c r="H211" i="16"/>
  <c r="F101" i="16"/>
  <c r="H101" i="16"/>
  <c r="F223" i="16"/>
  <c r="H223" i="16"/>
  <c r="F343" i="16"/>
  <c r="H343" i="16"/>
  <c r="H66" i="16"/>
  <c r="F167" i="16"/>
  <c r="H167" i="16"/>
  <c r="F209" i="16"/>
  <c r="H209" i="16"/>
  <c r="F212" i="16"/>
  <c r="H45" i="16"/>
  <c r="F71" i="16"/>
  <c r="H80" i="16"/>
  <c r="F264" i="16"/>
  <c r="H74" i="16"/>
  <c r="F135" i="16"/>
  <c r="F83" i="16"/>
  <c r="H83" i="16"/>
  <c r="F92" i="16"/>
  <c r="H92" i="16"/>
  <c r="F123" i="16"/>
  <c r="H123" i="16"/>
  <c r="F182" i="16"/>
  <c r="H182" i="16"/>
  <c r="F326" i="16"/>
  <c r="H326" i="16"/>
  <c r="F198" i="16"/>
  <c r="H198" i="16"/>
  <c r="F186" i="16"/>
  <c r="H186" i="16"/>
  <c r="F282" i="16"/>
  <c r="H282" i="16"/>
  <c r="F124" i="16"/>
  <c r="H124" i="16"/>
  <c r="F105" i="16"/>
  <c r="H105" i="16"/>
  <c r="F207" i="16"/>
  <c r="H207" i="16"/>
  <c r="F318" i="16"/>
  <c r="H318" i="16"/>
  <c r="F216" i="16"/>
  <c r="H216" i="16"/>
  <c r="F227" i="16"/>
  <c r="H227" i="16"/>
  <c r="F177" i="16"/>
  <c r="H177" i="16"/>
  <c r="F122" i="16"/>
  <c r="H122" i="16"/>
  <c r="F310" i="16"/>
  <c r="H310" i="16"/>
  <c r="F190" i="16"/>
  <c r="H190" i="16"/>
  <c r="F54" i="16"/>
  <c r="H54" i="16"/>
  <c r="F49" i="16"/>
  <c r="H49" i="16"/>
  <c r="F218" i="16"/>
  <c r="H218" i="16"/>
  <c r="F241" i="16"/>
  <c r="H241" i="16"/>
  <c r="F183" i="16"/>
  <c r="H183" i="16"/>
  <c r="F203" i="16"/>
  <c r="H203" i="16"/>
  <c r="F96" i="16"/>
  <c r="H96" i="16"/>
  <c r="F158" i="16"/>
  <c r="H158" i="16"/>
  <c r="F278" i="16"/>
  <c r="H278" i="16"/>
  <c r="F194" i="16"/>
  <c r="H194" i="16"/>
  <c r="F309" i="16"/>
  <c r="H309" i="16"/>
  <c r="F266" i="16"/>
  <c r="H266" i="16"/>
  <c r="F144" i="16"/>
  <c r="H144" i="16"/>
  <c r="F275" i="16"/>
  <c r="H275" i="16"/>
  <c r="F113" i="16"/>
  <c r="H113" i="16"/>
  <c r="F325" i="16"/>
  <c r="H325" i="16"/>
  <c r="F169" i="16"/>
  <c r="H169" i="16"/>
  <c r="F299" i="16"/>
  <c r="H299" i="16"/>
  <c r="F171" i="16"/>
  <c r="H171" i="16"/>
  <c r="F176" i="16"/>
  <c r="H176" i="16"/>
  <c r="F260" i="16"/>
  <c r="H260" i="16"/>
  <c r="F69" i="16"/>
  <c r="H69" i="16"/>
  <c r="F60" i="16"/>
  <c r="H60" i="16"/>
  <c r="F213" i="16"/>
  <c r="H213" i="16"/>
  <c r="F192" i="16"/>
  <c r="H192" i="16"/>
  <c r="F147" i="16"/>
  <c r="H147" i="16"/>
  <c r="F273" i="16"/>
  <c r="H273" i="16"/>
  <c r="F172" i="16"/>
  <c r="H172" i="16"/>
  <c r="F134" i="16"/>
  <c r="H134" i="16"/>
  <c r="F139" i="16"/>
  <c r="H139" i="16"/>
  <c r="F261" i="16"/>
  <c r="H261" i="16"/>
  <c r="F342" i="16"/>
  <c r="H342" i="16"/>
  <c r="F301" i="16"/>
  <c r="H301" i="16"/>
  <c r="F102" i="16"/>
  <c r="H102" i="16"/>
  <c r="F23" i="16"/>
  <c r="H23" i="16"/>
  <c r="F206" i="16"/>
  <c r="H206" i="16"/>
  <c r="F324" i="16"/>
  <c r="H324" i="16"/>
  <c r="F148" i="16"/>
  <c r="H148" i="16"/>
  <c r="F305" i="16"/>
  <c r="H305" i="16"/>
  <c r="F114" i="16"/>
  <c r="H114" i="16"/>
  <c r="F259" i="16"/>
  <c r="H259" i="16"/>
  <c r="F151" i="16"/>
  <c r="H151" i="16"/>
  <c r="F297" i="16"/>
  <c r="H297" i="16"/>
  <c r="F129" i="16"/>
  <c r="H129" i="16"/>
  <c r="F250" i="16"/>
  <c r="H250" i="16"/>
  <c r="F334" i="16"/>
  <c r="H334" i="16"/>
  <c r="F294" i="16"/>
  <c r="H294" i="16"/>
  <c r="F201" i="16"/>
  <c r="H201" i="16"/>
  <c r="F320" i="16"/>
  <c r="H320" i="16"/>
  <c r="F180" i="16"/>
  <c r="H180" i="16"/>
  <c r="F111" i="16"/>
  <c r="H111" i="16"/>
  <c r="F116" i="16"/>
  <c r="H116" i="16"/>
  <c r="F120" i="16"/>
  <c r="H120" i="16"/>
  <c r="F277" i="16"/>
  <c r="H277" i="16"/>
  <c r="F152" i="16"/>
  <c r="H152" i="16"/>
  <c r="F265" i="16"/>
  <c r="H265" i="16"/>
  <c r="F303" i="16"/>
  <c r="H303" i="16"/>
  <c r="F300" i="16"/>
  <c r="H300" i="16"/>
  <c r="F137" i="16"/>
  <c r="H137" i="16"/>
  <c r="H11" i="16"/>
  <c r="F64" i="16"/>
  <c r="H64" i="16"/>
  <c r="F68" i="16"/>
  <c r="H68" i="16"/>
  <c r="F35" i="16"/>
  <c r="H35" i="16"/>
  <c r="F187" i="16"/>
  <c r="H187" i="16"/>
  <c r="F295" i="16"/>
  <c r="H295" i="16"/>
  <c r="F271" i="16"/>
  <c r="H271" i="16"/>
  <c r="F98" i="16"/>
  <c r="H98" i="16"/>
  <c r="F248" i="16"/>
  <c r="H248" i="16"/>
  <c r="F200" i="16"/>
  <c r="H200" i="16"/>
  <c r="F106" i="16"/>
  <c r="H106" i="16"/>
  <c r="F226" i="16"/>
  <c r="H226" i="16"/>
  <c r="F256" i="16"/>
  <c r="H256" i="16"/>
  <c r="F272" i="16"/>
  <c r="H272" i="16"/>
  <c r="F258" i="16"/>
  <c r="H258" i="16"/>
  <c r="F115" i="16"/>
  <c r="H115" i="16"/>
  <c r="F63" i="16"/>
  <c r="H63" i="16"/>
  <c r="F339" i="16"/>
  <c r="H339" i="16"/>
  <c r="F165" i="16"/>
  <c r="H165" i="16"/>
  <c r="F16" i="16"/>
  <c r="H16" i="16"/>
  <c r="F24" i="16"/>
  <c r="H24" i="16"/>
  <c r="F40" i="16"/>
  <c r="H40" i="16"/>
  <c r="F48" i="16"/>
  <c r="H48" i="16"/>
  <c r="F15" i="16"/>
  <c r="H15" i="16"/>
  <c r="F47" i="16"/>
  <c r="H47" i="16"/>
  <c r="F185" i="16"/>
  <c r="H185" i="16"/>
  <c r="F298" i="16"/>
  <c r="H298" i="16"/>
  <c r="F290" i="16"/>
  <c r="H290" i="16"/>
  <c r="F104" i="16"/>
  <c r="H104" i="16"/>
  <c r="F245" i="16"/>
  <c r="H245" i="16"/>
  <c r="F191" i="16"/>
  <c r="H191" i="16"/>
  <c r="F178" i="16"/>
  <c r="H178" i="16"/>
  <c r="F247" i="16"/>
  <c r="H247" i="16"/>
  <c r="F126" i="16"/>
  <c r="H126" i="16"/>
  <c r="F244" i="16"/>
  <c r="H244" i="16"/>
  <c r="F99" i="16"/>
  <c r="H99" i="16"/>
  <c r="F234" i="16"/>
  <c r="H234" i="16"/>
  <c r="F319" i="16"/>
  <c r="H319" i="16"/>
  <c r="H30" i="16"/>
  <c r="F39" i="16"/>
  <c r="H39" i="16"/>
  <c r="F79" i="16"/>
  <c r="H79" i="16"/>
  <c r="F59" i="16"/>
  <c r="AG13" i="16" s="1"/>
  <c r="H59" i="16"/>
  <c r="F308" i="16"/>
  <c r="H308" i="16"/>
  <c r="F140" i="16"/>
  <c r="H140" i="16"/>
  <c r="F283" i="16"/>
  <c r="H283" i="16"/>
  <c r="F285" i="16"/>
  <c r="H285" i="16"/>
  <c r="F239" i="16"/>
  <c r="H239" i="16"/>
  <c r="F233" i="16"/>
  <c r="H233" i="16"/>
  <c r="F100" i="16"/>
  <c r="H100" i="16"/>
  <c r="F150" i="16"/>
  <c r="H150" i="16"/>
  <c r="F230" i="16"/>
  <c r="H230" i="16"/>
  <c r="F119" i="16"/>
  <c r="H119" i="16"/>
  <c r="F228" i="16"/>
  <c r="H228" i="16"/>
  <c r="F263" i="16"/>
  <c r="H263" i="16"/>
  <c r="F88" i="16"/>
  <c r="H88" i="16"/>
  <c r="F18" i="16"/>
  <c r="H18" i="16"/>
  <c r="F33" i="16"/>
  <c r="H33" i="16"/>
  <c r="F288" i="16"/>
  <c r="H288" i="16"/>
  <c r="F262" i="16"/>
  <c r="H262" i="16"/>
  <c r="F132" i="16"/>
  <c r="H132" i="16"/>
  <c r="F222" i="16"/>
  <c r="H222" i="16"/>
  <c r="F321" i="16"/>
  <c r="H321" i="16"/>
  <c r="F323" i="16"/>
  <c r="H323" i="16"/>
  <c r="F117" i="16"/>
  <c r="H117" i="16"/>
  <c r="F214" i="16"/>
  <c r="H214" i="16"/>
  <c r="F340" i="16"/>
  <c r="H340" i="16"/>
  <c r="F237" i="16"/>
  <c r="H237" i="16"/>
  <c r="F97" i="16"/>
  <c r="H97" i="16"/>
  <c r="F14" i="16"/>
  <c r="H14" i="16"/>
  <c r="F293" i="16"/>
  <c r="H293" i="16"/>
  <c r="F145" i="16"/>
  <c r="H145" i="16"/>
  <c r="F42" i="16"/>
  <c r="H42" i="16"/>
  <c r="F51" i="16"/>
  <c r="H51" i="16"/>
  <c r="F57" i="16"/>
  <c r="H57" i="16"/>
  <c r="F236" i="16"/>
  <c r="F255" i="16"/>
  <c r="H255" i="16"/>
  <c r="F109" i="16"/>
  <c r="H109" i="16"/>
  <c r="F331" i="16"/>
  <c r="H331" i="16"/>
  <c r="F210" i="16"/>
  <c r="H210" i="16"/>
  <c r="F341" i="16"/>
  <c r="H341" i="16"/>
  <c r="F316" i="16"/>
  <c r="H316" i="16"/>
  <c r="F337" i="16"/>
  <c r="H337" i="16"/>
  <c r="F232" i="16"/>
  <c r="H232" i="16"/>
  <c r="F197" i="16"/>
  <c r="H197" i="16"/>
  <c r="T39" i="8"/>
  <c r="D50" i="8"/>
  <c r="H168" i="16"/>
  <c r="H317" i="16"/>
  <c r="F317" i="16"/>
  <c r="H284" i="16"/>
  <c r="H143" i="16"/>
  <c r="H112" i="16"/>
  <c r="H208" i="16"/>
  <c r="H327" i="16"/>
  <c r="F196" i="16"/>
  <c r="AG19" i="16" s="1"/>
  <c r="H89" i="16"/>
  <c r="H217" i="16"/>
  <c r="F254" i="16"/>
  <c r="H287" i="16"/>
  <c r="H338" i="16"/>
  <c r="H276" i="16"/>
  <c r="F103" i="16"/>
  <c r="H173" i="16"/>
  <c r="H164" i="16"/>
  <c r="F87" i="16"/>
  <c r="H87" i="16"/>
  <c r="H121" i="16"/>
  <c r="F25" i="16"/>
  <c r="AG17" i="16" s="1"/>
  <c r="F55" i="16"/>
  <c r="F53" i="16"/>
  <c r="F56" i="16"/>
  <c r="F82" i="16"/>
  <c r="F50" i="16"/>
  <c r="AG23" i="16"/>
  <c r="F13" i="16"/>
  <c r="F34" i="16"/>
  <c r="F21" i="16"/>
  <c r="F77" i="16"/>
  <c r="F73" i="16"/>
  <c r="F58" i="16"/>
  <c r="F84" i="16"/>
  <c r="F38" i="16"/>
  <c r="F46" i="16"/>
  <c r="F81" i="16"/>
  <c r="F17" i="16"/>
  <c r="F41" i="16"/>
  <c r="F85" i="16"/>
  <c r="F19" i="16"/>
  <c r="H52" i="16"/>
  <c r="I52" i="16" s="1"/>
  <c r="F52" i="16"/>
  <c r="F62" i="16"/>
  <c r="F22" i="16"/>
  <c r="F29" i="16"/>
  <c r="H20" i="16"/>
  <c r="I20" i="16" s="1"/>
  <c r="F20" i="16"/>
  <c r="F65" i="16"/>
  <c r="H28" i="16"/>
  <c r="I28" i="16" s="1"/>
  <c r="F28" i="16"/>
  <c r="I19" i="16"/>
  <c r="I21" i="16"/>
  <c r="I34" i="16"/>
  <c r="I53" i="16"/>
  <c r="I38" i="16"/>
  <c r="I81" i="16"/>
  <c r="I29" i="16"/>
  <c r="I46" i="16"/>
  <c r="I41" i="16"/>
  <c r="I56" i="16"/>
  <c r="I72" i="16"/>
  <c r="I78" i="16"/>
  <c r="AG18" i="16"/>
  <c r="AG16" i="16"/>
  <c r="AG12" i="16" l="1"/>
  <c r="AG22" i="16"/>
  <c r="AG21" i="16"/>
  <c r="AG20" i="16"/>
  <c r="AG14" i="16"/>
  <c r="I37" i="16"/>
  <c r="I75" i="16"/>
  <c r="I70" i="16"/>
  <c r="I44" i="16"/>
  <c r="I76" i="16"/>
  <c r="I84" i="16"/>
  <c r="I36" i="16"/>
  <c r="I26" i="16"/>
  <c r="I66" i="16"/>
  <c r="I67" i="16"/>
  <c r="I31" i="16"/>
  <c r="I27" i="16"/>
  <c r="I61" i="16"/>
  <c r="I32" i="16"/>
  <c r="I257" i="16"/>
  <c r="I93" i="16"/>
  <c r="I189" i="16"/>
  <c r="I220" i="16"/>
  <c r="I181" i="16"/>
  <c r="I153" i="16"/>
  <c r="I101" i="16"/>
  <c r="I268" i="16"/>
  <c r="I304" i="16"/>
  <c r="I167" i="16"/>
  <c r="I188" i="16"/>
  <c r="I159" i="16"/>
  <c r="I302" i="16"/>
  <c r="I291" i="16"/>
  <c r="I204" i="16"/>
  <c r="I91" i="16"/>
  <c r="I251" i="16"/>
  <c r="I281" i="16"/>
  <c r="I142" i="16"/>
  <c r="I225" i="16"/>
  <c r="I199" i="16"/>
  <c r="I343" i="16"/>
  <c r="I280" i="16"/>
  <c r="I219" i="16"/>
  <c r="I86" i="16"/>
  <c r="I335" i="16"/>
  <c r="I221" i="16"/>
  <c r="I209" i="16"/>
  <c r="I240" i="16"/>
  <c r="I330" i="16"/>
  <c r="I128" i="16"/>
  <c r="I269" i="16"/>
  <c r="I211" i="16"/>
  <c r="I175" i="16"/>
  <c r="I138" i="16"/>
  <c r="I332" i="16"/>
  <c r="I296" i="16"/>
  <c r="I322" i="16"/>
  <c r="I315" i="16"/>
  <c r="I223" i="16"/>
  <c r="I202" i="16"/>
  <c r="I252" i="16"/>
  <c r="I43" i="16"/>
  <c r="AG24" i="16"/>
  <c r="I24" i="16"/>
  <c r="I110" i="16"/>
  <c r="I147" i="16"/>
  <c r="I158" i="16"/>
  <c r="I227" i="16"/>
  <c r="I192" i="16"/>
  <c r="I213" i="16"/>
  <c r="I214" i="16"/>
  <c r="I303" i="16"/>
  <c r="AG26" i="16"/>
  <c r="AG25" i="16"/>
  <c r="I18" i="16"/>
  <c r="AG15" i="16"/>
  <c r="I100" i="16"/>
  <c r="I13" i="16"/>
  <c r="I134" i="16"/>
  <c r="I22" i="16"/>
  <c r="I30" i="16"/>
  <c r="I77" i="16"/>
  <c r="I318" i="16"/>
  <c r="I178" i="16"/>
  <c r="I65" i="16"/>
  <c r="I69" i="16"/>
  <c r="I62" i="16"/>
  <c r="I64" i="16"/>
  <c r="I25" i="16"/>
  <c r="I58" i="16"/>
  <c r="I80" i="16"/>
  <c r="I33" i="16"/>
  <c r="I11" i="16"/>
  <c r="I23" i="16"/>
  <c r="I16" i="16"/>
  <c r="I12" i="16"/>
  <c r="I17" i="16"/>
  <c r="I54" i="16"/>
  <c r="I68" i="16"/>
  <c r="I15" i="16"/>
  <c r="I74" i="16"/>
  <c r="I48" i="16"/>
  <c r="I59" i="16"/>
  <c r="I14" i="16"/>
  <c r="I35" i="16"/>
  <c r="I51" i="16"/>
  <c r="I60" i="16"/>
  <c r="I301" i="16"/>
  <c r="I272" i="16"/>
  <c r="I113" i="16"/>
  <c r="I297" i="16"/>
  <c r="I183" i="16"/>
  <c r="I206" i="16"/>
  <c r="I234" i="16"/>
  <c r="I288" i="16"/>
  <c r="I340" i="16"/>
  <c r="I320" i="16"/>
  <c r="I260" i="16"/>
  <c r="I79" i="16"/>
  <c r="I102" i="16"/>
  <c r="I126" i="16"/>
  <c r="I137" i="16"/>
  <c r="I244" i="16"/>
  <c r="I294" i="16"/>
  <c r="I165" i="16"/>
  <c r="I150" i="16"/>
  <c r="I334" i="16"/>
  <c r="I226" i="16"/>
  <c r="I210" i="16"/>
  <c r="I326" i="16"/>
  <c r="I47" i="16"/>
  <c r="I83" i="16"/>
  <c r="I71" i="16"/>
  <c r="I40" i="16"/>
  <c r="I73" i="16"/>
  <c r="I106" i="16"/>
  <c r="I245" i="16"/>
  <c r="I290" i="16"/>
  <c r="I180" i="16"/>
  <c r="I321" i="16"/>
  <c r="I324" i="16"/>
  <c r="I238" i="16"/>
  <c r="I247" i="16"/>
  <c r="I305" i="16"/>
  <c r="I262" i="16"/>
  <c r="I230" i="16"/>
  <c r="I337" i="16"/>
  <c r="I148" i="16"/>
  <c r="I232" i="16"/>
  <c r="I99" i="16"/>
  <c r="I293" i="16"/>
  <c r="I172" i="16"/>
  <c r="I182" i="16"/>
  <c r="I115" i="16"/>
  <c r="I207" i="16"/>
  <c r="I92" i="16"/>
  <c r="I266" i="16"/>
  <c r="I308" i="16"/>
  <c r="I107" i="16"/>
  <c r="I194" i="16"/>
  <c r="I316" i="16"/>
  <c r="I339" i="16"/>
  <c r="I248" i="16"/>
  <c r="I275" i="16"/>
  <c r="I151" i="16"/>
  <c r="I241" i="16"/>
  <c r="I145" i="16"/>
  <c r="I323" i="16"/>
  <c r="I187" i="16"/>
  <c r="I197" i="16"/>
  <c r="I88" i="16"/>
  <c r="I117" i="16"/>
  <c r="I200" i="16"/>
  <c r="I185" i="16"/>
  <c r="I96" i="16"/>
  <c r="I265" i="16"/>
  <c r="I49" i="16"/>
  <c r="I45" i="16"/>
  <c r="I135" i="16"/>
  <c r="I325" i="16"/>
  <c r="I285" i="16"/>
  <c r="I271" i="16"/>
  <c r="I239" i="16"/>
  <c r="I177" i="16"/>
  <c r="I255" i="16"/>
  <c r="I114" i="16"/>
  <c r="I258" i="16"/>
  <c r="I228" i="16"/>
  <c r="I218" i="16"/>
  <c r="I97" i="16"/>
  <c r="I122" i="16"/>
  <c r="I111" i="16"/>
  <c r="I222" i="16"/>
  <c r="I139" i="16"/>
  <c r="I190" i="16"/>
  <c r="I342" i="16"/>
  <c r="I259" i="16"/>
  <c r="I186" i="16"/>
  <c r="I42" i="16"/>
  <c r="I116" i="16"/>
  <c r="I123" i="16"/>
  <c r="I63" i="16"/>
  <c r="I39" i="16"/>
  <c r="I57" i="16"/>
  <c r="I341" i="16"/>
  <c r="I152" i="16"/>
  <c r="I140" i="16"/>
  <c r="I98" i="16"/>
  <c r="I233" i="16"/>
  <c r="I263" i="16"/>
  <c r="I104" i="16"/>
  <c r="I278" i="16"/>
  <c r="I120" i="16"/>
  <c r="I250" i="16"/>
  <c r="I282" i="16"/>
  <c r="I132" i="16"/>
  <c r="I300" i="16"/>
  <c r="I203" i="16"/>
  <c r="I309" i="16"/>
  <c r="I191" i="16"/>
  <c r="I236" i="16"/>
  <c r="I261" i="16"/>
  <c r="I124" i="16"/>
  <c r="I198" i="16"/>
  <c r="I237" i="16"/>
  <c r="I109" i="16"/>
  <c r="I295" i="16"/>
  <c r="I176" i="16"/>
  <c r="I144" i="16"/>
  <c r="I171" i="16"/>
  <c r="I264" i="16"/>
  <c r="I283" i="16"/>
  <c r="I169" i="16"/>
  <c r="I277" i="16"/>
  <c r="I273" i="16"/>
  <c r="I85" i="16"/>
  <c r="I105" i="16"/>
  <c r="I129" i="16"/>
  <c r="I299" i="16"/>
  <c r="I216" i="16"/>
  <c r="I310" i="16"/>
  <c r="I119" i="16"/>
  <c r="I331" i="16"/>
  <c r="I201" i="16"/>
  <c r="I256" i="16"/>
  <c r="I319" i="16"/>
  <c r="I298" i="16"/>
  <c r="I131" i="16"/>
  <c r="I103" i="16"/>
  <c r="I157" i="16"/>
  <c r="I164" i="16"/>
  <c r="I327" i="16"/>
  <c r="I168" i="16"/>
  <c r="I208" i="16"/>
  <c r="I173" i="16"/>
  <c r="I112" i="16"/>
  <c r="I143" i="16"/>
  <c r="I276" i="16"/>
  <c r="I284" i="16"/>
  <c r="I338" i="16"/>
  <c r="I287" i="16"/>
  <c r="I317" i="16"/>
  <c r="I121" i="16"/>
  <c r="I254" i="16"/>
  <c r="I87" i="16"/>
  <c r="I217" i="16"/>
  <c r="I196" i="16"/>
  <c r="I89" i="16"/>
  <c r="I212" i="16"/>
  <c r="L35" i="8"/>
  <c r="E48" i="8" s="1"/>
  <c r="AG11" i="16"/>
  <c r="I82" i="16"/>
  <c r="I55" i="16"/>
  <c r="I50" i="16"/>
  <c r="K12" i="16"/>
  <c r="K13" i="16" s="1"/>
  <c r="K14" i="16" s="1"/>
  <c r="K15" i="16" s="1"/>
  <c r="K16" i="16" s="1"/>
  <c r="K17" i="16" s="1"/>
  <c r="K18" i="16" s="1"/>
  <c r="K19" i="16" s="1"/>
  <c r="K20" i="16" s="1"/>
  <c r="K21" i="16" s="1"/>
  <c r="K22" i="16" s="1"/>
  <c r="K23" i="16" s="1"/>
  <c r="K24" i="16" s="1"/>
  <c r="K25" i="16" s="1"/>
  <c r="K26" i="16" s="1"/>
  <c r="K27" i="16" s="1"/>
  <c r="K28" i="16" s="1"/>
  <c r="K29" i="16" s="1"/>
  <c r="K30" i="16" s="1"/>
  <c r="K31" i="16" s="1"/>
  <c r="K32" i="16" s="1"/>
  <c r="K33" i="16" s="1"/>
  <c r="K34" i="16" s="1"/>
  <c r="K35" i="16" s="1"/>
  <c r="K36" i="16" s="1"/>
  <c r="K37" i="16" s="1"/>
  <c r="K38" i="16" s="1"/>
  <c r="K39" i="16" s="1"/>
  <c r="K40" i="16" s="1"/>
  <c r="K41" i="16" s="1"/>
  <c r="K42" i="16" s="1"/>
  <c r="K43" i="16" s="1"/>
  <c r="K44" i="16" s="1"/>
  <c r="K45" i="16" s="1"/>
  <c r="K46" i="16" s="1"/>
  <c r="K47" i="16" s="1"/>
  <c r="K48" i="16" s="1"/>
  <c r="K49" i="16" s="1"/>
  <c r="K50" i="16" s="1"/>
  <c r="K51" i="16" s="1"/>
  <c r="K52" i="16" s="1"/>
  <c r="K53" i="16" s="1"/>
  <c r="K54" i="16" s="1"/>
  <c r="K55" i="16" s="1"/>
  <c r="K56" i="16" s="1"/>
  <c r="K57" i="16" s="1"/>
  <c r="K58" i="16" s="1"/>
  <c r="K59" i="16" s="1"/>
  <c r="K60" i="16" s="1"/>
  <c r="K61" i="16" s="1"/>
  <c r="K62" i="16" s="1"/>
  <c r="K63" i="16" s="1"/>
  <c r="K64" i="16" s="1"/>
  <c r="K65" i="16" s="1"/>
  <c r="K66" i="16" s="1"/>
  <c r="K67" i="16" s="1"/>
  <c r="K68" i="16" s="1"/>
  <c r="K69" i="16" s="1"/>
  <c r="K70" i="16" s="1"/>
  <c r="K71" i="16" s="1"/>
  <c r="K72" i="16" s="1"/>
  <c r="K73" i="16" s="1"/>
  <c r="K74" i="16" s="1"/>
  <c r="K75" i="16" s="1"/>
  <c r="K76" i="16" s="1"/>
  <c r="K77" i="16" s="1"/>
  <c r="K78" i="16" s="1"/>
  <c r="K79" i="16" s="1"/>
  <c r="K80" i="16" s="1"/>
  <c r="K81" i="16" s="1"/>
  <c r="K82" i="16" s="1"/>
  <c r="K83" i="16" s="1"/>
  <c r="K84" i="16" s="1"/>
  <c r="K85" i="16" s="1"/>
  <c r="K86" i="16" s="1"/>
  <c r="Q37" i="8" l="1"/>
  <c r="B86" i="8" s="1"/>
  <c r="U86" i="8" s="1"/>
  <c r="AE11" i="16"/>
  <c r="AH11" i="16" s="1"/>
  <c r="L86" i="16"/>
  <c r="K87" i="16"/>
  <c r="AG9" i="16"/>
  <c r="AE14" i="16"/>
  <c r="AH14" i="16" s="1"/>
  <c r="AE12" i="16"/>
  <c r="AH12" i="16" s="1"/>
  <c r="AE24" i="16"/>
  <c r="AH24" i="16" s="1"/>
  <c r="AE25" i="16"/>
  <c r="AH25" i="16" s="1"/>
  <c r="AE19" i="16"/>
  <c r="AH19" i="16" s="1"/>
  <c r="AE21" i="16"/>
  <c r="AH21" i="16" s="1"/>
  <c r="AE13" i="16"/>
  <c r="AH13" i="16" s="1"/>
  <c r="AE15" i="16"/>
  <c r="AH15" i="16" s="1"/>
  <c r="AE23" i="16"/>
  <c r="AH23" i="16" s="1"/>
  <c r="G118" i="8"/>
  <c r="AE18" i="16"/>
  <c r="AH18" i="16" s="1"/>
  <c r="AE26" i="16"/>
  <c r="AH26" i="16" s="1"/>
  <c r="AE17" i="16"/>
  <c r="AH17" i="16" s="1"/>
  <c r="AE22" i="16"/>
  <c r="AH22" i="16" s="1"/>
  <c r="AE20" i="16"/>
  <c r="AH20" i="16" s="1"/>
  <c r="AE16" i="16"/>
  <c r="AH16" i="16" s="1"/>
  <c r="L11" i="16"/>
  <c r="AA11" i="16" s="1"/>
  <c r="V37" i="8"/>
  <c r="B33" i="8" s="1"/>
  <c r="L12" i="16"/>
  <c r="AP12" i="16" s="1"/>
  <c r="L13" i="16"/>
  <c r="X13" i="16" s="1"/>
  <c r="K88" i="16" l="1"/>
  <c r="L87" i="16"/>
  <c r="X86" i="16"/>
  <c r="AA86" i="16"/>
  <c r="M86" i="16"/>
  <c r="N86" i="16" s="1"/>
  <c r="AI86" i="16"/>
  <c r="S86" i="16"/>
  <c r="T86" i="16"/>
  <c r="AP86" i="16"/>
  <c r="S11" i="16"/>
  <c r="AP11" i="16"/>
  <c r="X11" i="16"/>
  <c r="AI11" i="16"/>
  <c r="E66" i="8"/>
  <c r="Y66" i="8" s="1"/>
  <c r="T11" i="16"/>
  <c r="M11" i="16"/>
  <c r="AI12" i="16"/>
  <c r="AA12" i="16"/>
  <c r="S12" i="16"/>
  <c r="T12" i="16"/>
  <c r="M12" i="16"/>
  <c r="N12" i="16" s="1"/>
  <c r="X12" i="16"/>
  <c r="L14" i="16"/>
  <c r="AP13" i="16"/>
  <c r="M13" i="16"/>
  <c r="N13" i="16" s="1"/>
  <c r="T13" i="16"/>
  <c r="AI13" i="16"/>
  <c r="S13" i="16"/>
  <c r="AA13" i="16"/>
  <c r="AJ12" i="16" l="1"/>
  <c r="U86" i="16"/>
  <c r="AB86" i="16"/>
  <c r="Y86" i="16"/>
  <c r="AJ86" i="16"/>
  <c r="Y11" i="16"/>
  <c r="Y13" i="16"/>
  <c r="Y12" i="16"/>
  <c r="AQ86" i="16"/>
  <c r="AA87" i="16"/>
  <c r="S87" i="16"/>
  <c r="T87" i="16"/>
  <c r="AP87" i="16"/>
  <c r="X87" i="16"/>
  <c r="M87" i="16"/>
  <c r="N87" i="16" s="1"/>
  <c r="AI87" i="16"/>
  <c r="AJ87" i="16" s="1"/>
  <c r="AK87" i="16" s="1"/>
  <c r="L88" i="16"/>
  <c r="K89" i="16"/>
  <c r="U11" i="16"/>
  <c r="AQ12" i="16"/>
  <c r="AJ11" i="16"/>
  <c r="AB11" i="16"/>
  <c r="AQ11" i="16"/>
  <c r="U66" i="8"/>
  <c r="N11" i="16"/>
  <c r="AB12" i="16"/>
  <c r="U12" i="16"/>
  <c r="AB13" i="16"/>
  <c r="AJ13" i="16"/>
  <c r="AQ13" i="16"/>
  <c r="U13" i="16"/>
  <c r="AI14" i="16"/>
  <c r="S14" i="16"/>
  <c r="AA14" i="16"/>
  <c r="AP14" i="16"/>
  <c r="X14" i="16"/>
  <c r="T14" i="16"/>
  <c r="M14" i="16"/>
  <c r="N14" i="16" s="1"/>
  <c r="L15" i="16"/>
  <c r="U87" i="16" l="1"/>
  <c r="AB87" i="16"/>
  <c r="Y87" i="16"/>
  <c r="AQ87" i="16"/>
  <c r="L89" i="16"/>
  <c r="K90" i="16"/>
  <c r="T88" i="16"/>
  <c r="M88" i="16"/>
  <c r="N88" i="16" s="1"/>
  <c r="AA88" i="16"/>
  <c r="AI88" i="16"/>
  <c r="S88" i="16"/>
  <c r="AP88" i="16"/>
  <c r="X88" i="16"/>
  <c r="Y14" i="16"/>
  <c r="AQ14" i="16"/>
  <c r="U14" i="16"/>
  <c r="AB14" i="16"/>
  <c r="AJ14" i="16"/>
  <c r="AI15" i="16"/>
  <c r="S15" i="16"/>
  <c r="AA15" i="16"/>
  <c r="AP15" i="16"/>
  <c r="X15" i="16"/>
  <c r="M15" i="16"/>
  <c r="N15" i="16" s="1"/>
  <c r="T15" i="16"/>
  <c r="L16" i="16"/>
  <c r="Y88" i="16" l="1"/>
  <c r="AJ88" i="16"/>
  <c r="AB88" i="16"/>
  <c r="U88" i="16"/>
  <c r="AQ88" i="16"/>
  <c r="L90" i="16"/>
  <c r="K91" i="16"/>
  <c r="S89" i="16"/>
  <c r="AP89" i="16"/>
  <c r="M89" i="16"/>
  <c r="N89" i="16" s="1"/>
  <c r="X89" i="16"/>
  <c r="AA89" i="16"/>
  <c r="AI89" i="16"/>
  <c r="T89" i="16"/>
  <c r="Y15" i="16"/>
  <c r="AQ15" i="16"/>
  <c r="AB15" i="16"/>
  <c r="U15" i="16"/>
  <c r="AJ15" i="16"/>
  <c r="L17" i="16"/>
  <c r="AP16" i="16"/>
  <c r="X16" i="16"/>
  <c r="M16" i="16"/>
  <c r="N16" i="16" s="1"/>
  <c r="T16" i="16"/>
  <c r="AI16" i="16"/>
  <c r="S16" i="16"/>
  <c r="AA16" i="16"/>
  <c r="AQ89" i="16" l="1"/>
  <c r="AJ89" i="16"/>
  <c r="U89" i="16"/>
  <c r="AB89" i="16"/>
  <c r="Y89" i="16"/>
  <c r="L91" i="16"/>
  <c r="K92" i="16"/>
  <c r="AI90" i="16"/>
  <c r="AJ90" i="16" s="1"/>
  <c r="AK90" i="16" s="1"/>
  <c r="X90" i="16"/>
  <c r="AP90" i="16"/>
  <c r="S90" i="16"/>
  <c r="T90" i="16"/>
  <c r="AA90" i="16"/>
  <c r="M90" i="16"/>
  <c r="N90" i="16" s="1"/>
  <c r="Y16" i="16"/>
  <c r="AQ16" i="16"/>
  <c r="AB16" i="16"/>
  <c r="U16" i="16"/>
  <c r="AJ16" i="16"/>
  <c r="L18" i="16"/>
  <c r="AI17" i="16"/>
  <c r="S17" i="16"/>
  <c r="AA17" i="16"/>
  <c r="AP17" i="16"/>
  <c r="X17" i="16"/>
  <c r="M17" i="16"/>
  <c r="N17" i="16" s="1"/>
  <c r="T17" i="16"/>
  <c r="Y90" i="16" l="1"/>
  <c r="AB90" i="16"/>
  <c r="U90" i="16"/>
  <c r="AQ90" i="16"/>
  <c r="L92" i="16"/>
  <c r="K93" i="16"/>
  <c r="X91" i="16"/>
  <c r="AA91" i="16"/>
  <c r="M91" i="16"/>
  <c r="N91" i="16" s="1"/>
  <c r="AI91" i="16"/>
  <c r="S91" i="16"/>
  <c r="AP91" i="16"/>
  <c r="T91" i="16"/>
  <c r="Y17" i="16"/>
  <c r="AQ17" i="16"/>
  <c r="U17" i="16"/>
  <c r="AB17" i="16"/>
  <c r="AJ17" i="16"/>
  <c r="L19" i="16"/>
  <c r="AP18" i="16"/>
  <c r="X18" i="16"/>
  <c r="M18" i="16"/>
  <c r="N18" i="16" s="1"/>
  <c r="T18" i="16"/>
  <c r="AI18" i="16"/>
  <c r="S18" i="16"/>
  <c r="AA18" i="16"/>
  <c r="AJ91" i="16" l="1"/>
  <c r="Y91" i="16"/>
  <c r="U91" i="16"/>
  <c r="AB91" i="16"/>
  <c r="AQ91" i="16"/>
  <c r="L93" i="16"/>
  <c r="K94" i="16"/>
  <c r="S92" i="16"/>
  <c r="AP92" i="16"/>
  <c r="X92" i="16"/>
  <c r="Y92" i="16" s="1"/>
  <c r="AA92" i="16"/>
  <c r="AB92" i="16" s="1"/>
  <c r="AC92" i="16" s="1"/>
  <c r="M92" i="16"/>
  <c r="N92" i="16" s="1"/>
  <c r="AI92" i="16"/>
  <c r="AJ92" i="16" s="1"/>
  <c r="AK92" i="16" s="1"/>
  <c r="T92" i="16"/>
  <c r="U92" i="16" s="1"/>
  <c r="V92" i="16" s="1"/>
  <c r="Y18" i="16"/>
  <c r="U18" i="16"/>
  <c r="AB18" i="16"/>
  <c r="AJ18" i="16"/>
  <c r="AQ18" i="16"/>
  <c r="AI19" i="16"/>
  <c r="AP19" i="16"/>
  <c r="X19" i="16"/>
  <c r="M19" i="16"/>
  <c r="N19" i="16" s="1"/>
  <c r="T19" i="16"/>
  <c r="S19" i="16"/>
  <c r="AA19" i="16"/>
  <c r="L20" i="16"/>
  <c r="Y19" i="16" l="1"/>
  <c r="AQ92" i="16"/>
  <c r="L94" i="16"/>
  <c r="K95" i="16"/>
  <c r="T93" i="16"/>
  <c r="M93" i="16"/>
  <c r="N93" i="16" s="1"/>
  <c r="AI93" i="16"/>
  <c r="AJ93" i="16" s="1"/>
  <c r="AK93" i="16" s="1"/>
  <c r="S93" i="16"/>
  <c r="AP93" i="16"/>
  <c r="AQ93" i="16" s="1"/>
  <c r="X93" i="16"/>
  <c r="AA93" i="16"/>
  <c r="AQ19" i="16"/>
  <c r="AB19" i="16"/>
  <c r="U19" i="16"/>
  <c r="AJ19" i="16"/>
  <c r="AI20" i="16"/>
  <c r="S20" i="16"/>
  <c r="AA20" i="16"/>
  <c r="AP20" i="16"/>
  <c r="X20" i="16"/>
  <c r="M20" i="16"/>
  <c r="N20" i="16" s="1"/>
  <c r="T20" i="16"/>
  <c r="L21" i="16"/>
  <c r="Y20" i="16" l="1"/>
  <c r="Y93" i="16"/>
  <c r="AB93" i="16"/>
  <c r="U93" i="16"/>
  <c r="K96" i="16"/>
  <c r="L95" i="16"/>
  <c r="AA94" i="16"/>
  <c r="S94" i="16"/>
  <c r="T94" i="16"/>
  <c r="X94" i="16"/>
  <c r="M94" i="16"/>
  <c r="N94" i="16" s="1"/>
  <c r="AP94" i="16"/>
  <c r="AI94" i="16"/>
  <c r="U20" i="16"/>
  <c r="AB20" i="16"/>
  <c r="AQ20" i="16"/>
  <c r="AJ20" i="16"/>
  <c r="AP21" i="16"/>
  <c r="X21" i="16"/>
  <c r="M21" i="16"/>
  <c r="N21" i="16" s="1"/>
  <c r="T21" i="16"/>
  <c r="AI21" i="16"/>
  <c r="S21" i="16"/>
  <c r="AA21" i="16"/>
  <c r="L22" i="16"/>
  <c r="U94" i="16" l="1"/>
  <c r="AB94" i="16"/>
  <c r="Y94" i="16"/>
  <c r="Y21" i="16"/>
  <c r="AJ94" i="16"/>
  <c r="AQ94" i="16"/>
  <c r="M95" i="16"/>
  <c r="N95" i="16" s="1"/>
  <c r="AI95" i="16"/>
  <c r="AJ95" i="16" s="1"/>
  <c r="AK95" i="16" s="1"/>
  <c r="S95" i="16"/>
  <c r="T95" i="16"/>
  <c r="AP95" i="16"/>
  <c r="AA95" i="16"/>
  <c r="X95" i="16"/>
  <c r="L96" i="16"/>
  <c r="K97" i="16"/>
  <c r="AB21" i="16"/>
  <c r="U21" i="16"/>
  <c r="AJ21" i="16"/>
  <c r="AQ21" i="16"/>
  <c r="AP22" i="16"/>
  <c r="X22" i="16"/>
  <c r="M22" i="16"/>
  <c r="N22" i="16" s="1"/>
  <c r="T22" i="16"/>
  <c r="AI22" i="16"/>
  <c r="S22" i="16"/>
  <c r="AA22" i="16"/>
  <c r="L23" i="16"/>
  <c r="U95" i="16" l="1"/>
  <c r="Y95" i="16"/>
  <c r="Y22" i="16"/>
  <c r="AB95" i="16"/>
  <c r="AQ95" i="16"/>
  <c r="K98" i="16"/>
  <c r="L97" i="16"/>
  <c r="AP96" i="16"/>
  <c r="AI96" i="16"/>
  <c r="AJ96" i="16" s="1"/>
  <c r="AK96" i="16" s="1"/>
  <c r="X96" i="16"/>
  <c r="AA96" i="16"/>
  <c r="M96" i="16"/>
  <c r="N96" i="16" s="1"/>
  <c r="S96" i="16"/>
  <c r="T96" i="16"/>
  <c r="AB22" i="16"/>
  <c r="U22" i="16"/>
  <c r="AQ22" i="16"/>
  <c r="AJ22" i="16"/>
  <c r="AI23" i="16"/>
  <c r="S23" i="16"/>
  <c r="AA23" i="16"/>
  <c r="AP23" i="16"/>
  <c r="X23" i="16"/>
  <c r="M23" i="16"/>
  <c r="N23" i="16" s="1"/>
  <c r="T23" i="16"/>
  <c r="L24" i="16"/>
  <c r="AQ96" i="16" l="1"/>
  <c r="AB96" i="16"/>
  <c r="Y96" i="16"/>
  <c r="U96" i="16"/>
  <c r="X97" i="16"/>
  <c r="T97" i="16"/>
  <c r="AP97" i="16"/>
  <c r="AQ97" i="16" s="1"/>
  <c r="AR97" i="16" s="1"/>
  <c r="AA97" i="16"/>
  <c r="S97" i="16"/>
  <c r="AI97" i="16"/>
  <c r="AJ97" i="16" s="1"/>
  <c r="AK97" i="16" s="1"/>
  <c r="M97" i="16"/>
  <c r="N97" i="16" s="1"/>
  <c r="L98" i="16"/>
  <c r="K99" i="16"/>
  <c r="Y23" i="16"/>
  <c r="U23" i="16"/>
  <c r="AB23" i="16"/>
  <c r="AJ23" i="16"/>
  <c r="AQ23" i="16"/>
  <c r="AI24" i="16"/>
  <c r="S24" i="16"/>
  <c r="AA24" i="16"/>
  <c r="AP24" i="16"/>
  <c r="X24" i="16"/>
  <c r="M24" i="16"/>
  <c r="N24" i="16" s="1"/>
  <c r="T24" i="16"/>
  <c r="L25" i="16"/>
  <c r="Y97" i="16" l="1"/>
  <c r="AB97" i="16"/>
  <c r="U97" i="16"/>
  <c r="L99" i="16"/>
  <c r="K100" i="16"/>
  <c r="AA98" i="16"/>
  <c r="X98" i="16"/>
  <c r="S98" i="16"/>
  <c r="T98" i="16"/>
  <c r="AI98" i="16"/>
  <c r="AJ98" i="16" s="1"/>
  <c r="AK98" i="16" s="1"/>
  <c r="AP98" i="16"/>
  <c r="M98" i="16"/>
  <c r="N98" i="16" s="1"/>
  <c r="Y24" i="16"/>
  <c r="U24" i="16"/>
  <c r="AQ24" i="16"/>
  <c r="AB24" i="16"/>
  <c r="AJ24" i="16"/>
  <c r="AI25" i="16"/>
  <c r="S25" i="16"/>
  <c r="AA25" i="16"/>
  <c r="AP25" i="16"/>
  <c r="M25" i="16"/>
  <c r="N25" i="16" s="1"/>
  <c r="X25" i="16"/>
  <c r="T25" i="16"/>
  <c r="L26" i="16"/>
  <c r="U98" i="16" l="1"/>
  <c r="Y98" i="16"/>
  <c r="AB98" i="16"/>
  <c r="AQ98" i="16"/>
  <c r="K101" i="16"/>
  <c r="L100" i="16"/>
  <c r="AA99" i="16"/>
  <c r="T99" i="16"/>
  <c r="AP99" i="16"/>
  <c r="X99" i="16"/>
  <c r="S99" i="16"/>
  <c r="AI99" i="16"/>
  <c r="M99" i="16"/>
  <c r="N99" i="16" s="1"/>
  <c r="Y25" i="16"/>
  <c r="AB25" i="16"/>
  <c r="AQ25" i="16"/>
  <c r="U25" i="16"/>
  <c r="AJ25" i="16"/>
  <c r="AP26" i="16"/>
  <c r="X26" i="16"/>
  <c r="M26" i="16"/>
  <c r="N26" i="16" s="1"/>
  <c r="T26" i="16"/>
  <c r="AI26" i="16"/>
  <c r="S26" i="16"/>
  <c r="AA26" i="16"/>
  <c r="L27" i="16"/>
  <c r="AQ99" i="16" l="1"/>
  <c r="AJ99" i="16"/>
  <c r="Y99" i="16"/>
  <c r="U99" i="16"/>
  <c r="AB99" i="16"/>
  <c r="T100" i="16"/>
  <c r="M100" i="16"/>
  <c r="N100" i="16" s="1"/>
  <c r="AA100" i="16"/>
  <c r="AP100" i="16"/>
  <c r="S100" i="16"/>
  <c r="X100" i="16"/>
  <c r="AI100" i="16"/>
  <c r="L101" i="16"/>
  <c r="K102" i="16"/>
  <c r="Y26" i="16"/>
  <c r="AQ26" i="16"/>
  <c r="AB26" i="16"/>
  <c r="AJ26" i="16"/>
  <c r="U26" i="16"/>
  <c r="AP27" i="16"/>
  <c r="X27" i="16"/>
  <c r="M27" i="16"/>
  <c r="N27" i="16" s="1"/>
  <c r="T27" i="16"/>
  <c r="AI27" i="16"/>
  <c r="S27" i="16"/>
  <c r="AA27" i="16"/>
  <c r="L28" i="16"/>
  <c r="U100" i="16" l="1"/>
  <c r="Y27" i="16"/>
  <c r="AJ100" i="16"/>
  <c r="Y100" i="16"/>
  <c r="AQ100" i="16"/>
  <c r="AB100" i="16"/>
  <c r="L102" i="16"/>
  <c r="K103" i="16"/>
  <c r="S101" i="16"/>
  <c r="AP101" i="16"/>
  <c r="M101" i="16"/>
  <c r="N101" i="16" s="1"/>
  <c r="AI101" i="16"/>
  <c r="AJ101" i="16" s="1"/>
  <c r="AK101" i="16" s="1"/>
  <c r="AA101" i="16"/>
  <c r="T101" i="16"/>
  <c r="X101" i="16"/>
  <c r="AQ27" i="16"/>
  <c r="AB27" i="16"/>
  <c r="AJ27" i="16"/>
  <c r="U27" i="16"/>
  <c r="AP28" i="16"/>
  <c r="X28" i="16"/>
  <c r="M28" i="16"/>
  <c r="N28" i="16" s="1"/>
  <c r="T28" i="16"/>
  <c r="AI28" i="16"/>
  <c r="S28" i="16"/>
  <c r="AA28" i="16"/>
  <c r="L29" i="16"/>
  <c r="AQ101" i="16" l="1"/>
  <c r="Y101" i="16"/>
  <c r="U101" i="16"/>
  <c r="AB101" i="16"/>
  <c r="K104" i="16"/>
  <c r="L103" i="16"/>
  <c r="AI102" i="16"/>
  <c r="X102" i="16"/>
  <c r="AP102" i="16"/>
  <c r="M102" i="16"/>
  <c r="N102" i="16" s="1"/>
  <c r="S102" i="16"/>
  <c r="T102" i="16"/>
  <c r="AA102" i="16"/>
  <c r="Y28" i="16"/>
  <c r="AQ28" i="16"/>
  <c r="U28" i="16"/>
  <c r="AJ28" i="16"/>
  <c r="AB28" i="16"/>
  <c r="L30" i="16"/>
  <c r="AP29" i="16"/>
  <c r="X29" i="16"/>
  <c r="M29" i="16"/>
  <c r="N29" i="16" s="1"/>
  <c r="T29" i="16"/>
  <c r="AI29" i="16"/>
  <c r="S29" i="16"/>
  <c r="AA29" i="16"/>
  <c r="AJ102" i="16" l="1"/>
  <c r="AQ102" i="16"/>
  <c r="Y102" i="16"/>
  <c r="U102" i="16"/>
  <c r="AB102" i="16"/>
  <c r="X103" i="16"/>
  <c r="AA103" i="16"/>
  <c r="S103" i="16"/>
  <c r="T103" i="16"/>
  <c r="U103" i="16" s="1"/>
  <c r="V103" i="16" s="1"/>
  <c r="AI103" i="16"/>
  <c r="AJ103" i="16" s="1"/>
  <c r="AK103" i="16" s="1"/>
  <c r="AP103" i="16"/>
  <c r="M103" i="16"/>
  <c r="N103" i="16" s="1"/>
  <c r="L104" i="16"/>
  <c r="K105" i="16"/>
  <c r="Y29" i="16"/>
  <c r="AB29" i="16"/>
  <c r="AQ29" i="16"/>
  <c r="AJ29" i="16"/>
  <c r="U29" i="16"/>
  <c r="L31" i="16"/>
  <c r="AP30" i="16"/>
  <c r="X30" i="16"/>
  <c r="M30" i="16"/>
  <c r="N30" i="16" s="1"/>
  <c r="T30" i="16"/>
  <c r="AI30" i="16"/>
  <c r="S30" i="16"/>
  <c r="AA30" i="16"/>
  <c r="AQ103" i="16" l="1"/>
  <c r="AB103" i="16"/>
  <c r="Y103" i="16"/>
  <c r="L105" i="16"/>
  <c r="K106" i="16"/>
  <c r="T104" i="16"/>
  <c r="AA104" i="16"/>
  <c r="AI104" i="16"/>
  <c r="AJ104" i="16" s="1"/>
  <c r="AK104" i="16" s="1"/>
  <c r="AP104" i="16"/>
  <c r="M104" i="16"/>
  <c r="N104" i="16" s="1"/>
  <c r="S104" i="16"/>
  <c r="X104" i="16"/>
  <c r="Y30" i="16"/>
  <c r="AQ30" i="16"/>
  <c r="U30" i="16"/>
  <c r="AB30" i="16"/>
  <c r="AJ30" i="16"/>
  <c r="L32" i="16"/>
  <c r="AP31" i="16"/>
  <c r="X31" i="16"/>
  <c r="M31" i="16"/>
  <c r="N31" i="16" s="1"/>
  <c r="T31" i="16"/>
  <c r="AI31" i="16"/>
  <c r="S31" i="16"/>
  <c r="AA31" i="16"/>
  <c r="AB104" i="16" l="1"/>
  <c r="U104" i="16"/>
  <c r="Y104" i="16"/>
  <c r="AQ104" i="16"/>
  <c r="K107" i="16"/>
  <c r="L106" i="16"/>
  <c r="T105" i="16"/>
  <c r="X105" i="16"/>
  <c r="M105" i="16"/>
  <c r="N105" i="16" s="1"/>
  <c r="S105" i="16"/>
  <c r="AA105" i="16"/>
  <c r="AI105" i="16"/>
  <c r="AJ105" i="16" s="1"/>
  <c r="AK105" i="16" s="1"/>
  <c r="AP105" i="16"/>
  <c r="AQ105" i="16" s="1"/>
  <c r="AR105" i="16" s="1"/>
  <c r="Y31" i="16"/>
  <c r="AB31" i="16"/>
  <c r="U31" i="16"/>
  <c r="AJ31" i="16"/>
  <c r="AQ31" i="16"/>
  <c r="L33" i="16"/>
  <c r="AI32" i="16"/>
  <c r="AA32" i="16"/>
  <c r="AP32" i="16"/>
  <c r="X32" i="16"/>
  <c r="M32" i="16"/>
  <c r="N32" i="16" s="1"/>
  <c r="T32" i="16"/>
  <c r="S32" i="16"/>
  <c r="AB105" i="16" l="1"/>
  <c r="Y105" i="16"/>
  <c r="U105" i="16"/>
  <c r="AA106" i="16"/>
  <c r="S106" i="16"/>
  <c r="T106" i="16"/>
  <c r="AI106" i="16"/>
  <c r="AJ106" i="16" s="1"/>
  <c r="AK106" i="16" s="1"/>
  <c r="X106" i="16"/>
  <c r="AP106" i="16"/>
  <c r="M106" i="16"/>
  <c r="N106" i="16" s="1"/>
  <c r="L107" i="16"/>
  <c r="K108" i="16"/>
  <c r="Y32" i="16"/>
  <c r="U32" i="16"/>
  <c r="AB32" i="16"/>
  <c r="AQ32" i="16"/>
  <c r="AJ32" i="16"/>
  <c r="L34" i="16"/>
  <c r="AI33" i="16"/>
  <c r="S33" i="16"/>
  <c r="AA33" i="16"/>
  <c r="AP33" i="16"/>
  <c r="X33" i="16"/>
  <c r="M33" i="16"/>
  <c r="N33" i="16" s="1"/>
  <c r="T33" i="16"/>
  <c r="AQ106" i="16" l="1"/>
  <c r="Y106" i="16"/>
  <c r="U106" i="16"/>
  <c r="AB106" i="16"/>
  <c r="L108" i="16"/>
  <c r="K109" i="16"/>
  <c r="M107" i="16"/>
  <c r="N107" i="16" s="1"/>
  <c r="AI107" i="16"/>
  <c r="AJ107" i="16" s="1"/>
  <c r="AK107" i="16" s="1"/>
  <c r="S107" i="16"/>
  <c r="X107" i="16"/>
  <c r="AP107" i="16"/>
  <c r="T107" i="16"/>
  <c r="U107" i="16" s="1"/>
  <c r="V107" i="16" s="1"/>
  <c r="AA107" i="16"/>
  <c r="Y33" i="16"/>
  <c r="AQ33" i="16"/>
  <c r="U33" i="16"/>
  <c r="AB33" i="16"/>
  <c r="AJ33" i="16"/>
  <c r="T34" i="16"/>
  <c r="M34" i="16"/>
  <c r="N34" i="16" s="1"/>
  <c r="X34" i="16"/>
  <c r="AA34" i="16"/>
  <c r="AI34" i="16"/>
  <c r="AP34" i="16"/>
  <c r="S34" i="16"/>
  <c r="L35" i="16"/>
  <c r="Y107" i="16" l="1"/>
  <c r="AB107" i="16"/>
  <c r="AQ107" i="16"/>
  <c r="K110" i="16"/>
  <c r="L109" i="16"/>
  <c r="AP108" i="16"/>
  <c r="AI108" i="16"/>
  <c r="X108" i="16"/>
  <c r="T108" i="16"/>
  <c r="AA108" i="16"/>
  <c r="M108" i="16"/>
  <c r="N108" i="16" s="1"/>
  <c r="S108" i="16"/>
  <c r="Y34" i="16"/>
  <c r="AB34" i="16"/>
  <c r="AQ34" i="16"/>
  <c r="AJ34" i="16"/>
  <c r="U34" i="16"/>
  <c r="AI35" i="16"/>
  <c r="T35" i="16"/>
  <c r="S35" i="16"/>
  <c r="AP35" i="16"/>
  <c r="AA35" i="16"/>
  <c r="X35" i="16"/>
  <c r="M35" i="16"/>
  <c r="N35" i="16" s="1"/>
  <c r="L36" i="16"/>
  <c r="Y108" i="16" l="1"/>
  <c r="AJ108" i="16"/>
  <c r="AQ108" i="16"/>
  <c r="AB108" i="16"/>
  <c r="U108" i="16"/>
  <c r="X109" i="16"/>
  <c r="S109" i="16"/>
  <c r="AP109" i="16"/>
  <c r="M109" i="16"/>
  <c r="N109" i="16" s="1"/>
  <c r="T109" i="16"/>
  <c r="AA109" i="16"/>
  <c r="AI109" i="16"/>
  <c r="AJ109" i="16" s="1"/>
  <c r="AK109" i="16" s="1"/>
  <c r="K111" i="16"/>
  <c r="L110" i="16"/>
  <c r="Y35" i="16"/>
  <c r="AQ35" i="16"/>
  <c r="AB35" i="16"/>
  <c r="U35" i="16"/>
  <c r="AJ35" i="16"/>
  <c r="L37" i="16"/>
  <c r="X36" i="16"/>
  <c r="M36" i="16"/>
  <c r="N36" i="16" s="1"/>
  <c r="AI36" i="16"/>
  <c r="T36" i="16"/>
  <c r="S36" i="16"/>
  <c r="AP36" i="16"/>
  <c r="AA36" i="16"/>
  <c r="Y109" i="16" l="1"/>
  <c r="AB109" i="16"/>
  <c r="U109" i="16"/>
  <c r="AQ109" i="16"/>
  <c r="M110" i="16"/>
  <c r="N110" i="16" s="1"/>
  <c r="AI110" i="16"/>
  <c r="S110" i="16"/>
  <c r="T110" i="16"/>
  <c r="AP110" i="16"/>
  <c r="AA110" i="16"/>
  <c r="X110" i="16"/>
  <c r="L111" i="16"/>
  <c r="K112" i="16"/>
  <c r="Y36" i="16"/>
  <c r="AQ36" i="16"/>
  <c r="U36" i="16"/>
  <c r="AB36" i="16"/>
  <c r="AJ36" i="16"/>
  <c r="AI37" i="16"/>
  <c r="T37" i="16"/>
  <c r="S37" i="16"/>
  <c r="AA37" i="16"/>
  <c r="X37" i="16"/>
  <c r="M37" i="16"/>
  <c r="N37" i="16" s="1"/>
  <c r="AP37" i="16"/>
  <c r="L38" i="16"/>
  <c r="AJ110" i="16" l="1"/>
  <c r="AQ110" i="16"/>
  <c r="Y110" i="16"/>
  <c r="U110" i="16"/>
  <c r="AB110" i="16"/>
  <c r="K113" i="16"/>
  <c r="L112" i="16"/>
  <c r="AA111" i="16"/>
  <c r="M111" i="16"/>
  <c r="N111" i="16" s="1"/>
  <c r="AI111" i="16"/>
  <c r="AJ111" i="16" s="1"/>
  <c r="AK111" i="16" s="1"/>
  <c r="T111" i="16"/>
  <c r="AP111" i="16"/>
  <c r="AQ111" i="16" s="1"/>
  <c r="AR111" i="16" s="1"/>
  <c r="X111" i="16"/>
  <c r="S111" i="16"/>
  <c r="Y37" i="16"/>
  <c r="AQ37" i="16"/>
  <c r="U37" i="16"/>
  <c r="AB37" i="16"/>
  <c r="AJ37" i="16"/>
  <c r="L39" i="16"/>
  <c r="S38" i="16"/>
  <c r="AP38" i="16"/>
  <c r="AA38" i="16"/>
  <c r="X38" i="16"/>
  <c r="M38" i="16"/>
  <c r="N38" i="16" s="1"/>
  <c r="AI38" i="16"/>
  <c r="T38" i="16"/>
  <c r="U111" i="16" l="1"/>
  <c r="AB111" i="16"/>
  <c r="Y111" i="16"/>
  <c r="T112" i="16"/>
  <c r="M112" i="16"/>
  <c r="N112" i="16" s="1"/>
  <c r="AA112" i="16"/>
  <c r="S112" i="16"/>
  <c r="X112" i="16"/>
  <c r="AI112" i="16"/>
  <c r="AJ112" i="16" s="1"/>
  <c r="AK112" i="16" s="1"/>
  <c r="AP112" i="16"/>
  <c r="AQ112" i="16" s="1"/>
  <c r="L113" i="16"/>
  <c r="K114" i="16"/>
  <c r="Y38" i="16"/>
  <c r="U38" i="16"/>
  <c r="AB38" i="16"/>
  <c r="AQ38" i="16"/>
  <c r="AJ38" i="16"/>
  <c r="L40" i="16"/>
  <c r="AP39" i="16"/>
  <c r="AA39" i="16"/>
  <c r="X39" i="16"/>
  <c r="M39" i="16"/>
  <c r="N39" i="16" s="1"/>
  <c r="AI39" i="16"/>
  <c r="T39" i="16"/>
  <c r="S39" i="16"/>
  <c r="U112" i="16" l="1"/>
  <c r="AB112" i="16"/>
  <c r="Y112" i="16"/>
  <c r="L114" i="16"/>
  <c r="K115" i="16"/>
  <c r="AP113" i="16"/>
  <c r="M113" i="16"/>
  <c r="N113" i="16" s="1"/>
  <c r="S113" i="16"/>
  <c r="X113" i="16"/>
  <c r="AA113" i="16"/>
  <c r="AI113" i="16"/>
  <c r="AJ113" i="16" s="1"/>
  <c r="T113" i="16"/>
  <c r="Y39" i="16"/>
  <c r="AB39" i="16"/>
  <c r="U39" i="16"/>
  <c r="AJ39" i="16"/>
  <c r="AQ39" i="16"/>
  <c r="L41" i="16"/>
  <c r="S40" i="16"/>
  <c r="AP40" i="16"/>
  <c r="AA40" i="16"/>
  <c r="X40" i="16"/>
  <c r="M40" i="16"/>
  <c r="N40" i="16" s="1"/>
  <c r="T40" i="16"/>
  <c r="AI40" i="16"/>
  <c r="U113" i="16" l="1"/>
  <c r="AQ113" i="16"/>
  <c r="AB113" i="16"/>
  <c r="Y113" i="16"/>
  <c r="K116" i="16"/>
  <c r="L115" i="16"/>
  <c r="X114" i="16"/>
  <c r="AP114" i="16"/>
  <c r="T114" i="16"/>
  <c r="U114" i="16" s="1"/>
  <c r="V114" i="16" s="1"/>
  <c r="AI114" i="16"/>
  <c r="M114" i="16"/>
  <c r="N114" i="16" s="1"/>
  <c r="S114" i="16"/>
  <c r="AA114" i="16"/>
  <c r="Y40" i="16"/>
  <c r="U40" i="16"/>
  <c r="AQ40" i="16"/>
  <c r="AJ40" i="16"/>
  <c r="AB40" i="16"/>
  <c r="AI41" i="16"/>
  <c r="T41" i="16"/>
  <c r="S41" i="16"/>
  <c r="AP41" i="16"/>
  <c r="AA41" i="16"/>
  <c r="X41" i="16"/>
  <c r="M41" i="16"/>
  <c r="N41" i="16" s="1"/>
  <c r="L42" i="16"/>
  <c r="Y114" i="16" l="1"/>
  <c r="AQ114" i="16"/>
  <c r="AB114" i="16"/>
  <c r="AJ114" i="16"/>
  <c r="X115" i="16"/>
  <c r="S115" i="16"/>
  <c r="T115" i="16"/>
  <c r="U115" i="16" s="1"/>
  <c r="V115" i="16" s="1"/>
  <c r="AP115" i="16"/>
  <c r="AA115" i="16"/>
  <c r="AI115" i="16"/>
  <c r="AJ115" i="16" s="1"/>
  <c r="AK115" i="16" s="1"/>
  <c r="M115" i="16"/>
  <c r="N115" i="16" s="1"/>
  <c r="L116" i="16"/>
  <c r="K117" i="16"/>
  <c r="Y41" i="16"/>
  <c r="U41" i="16"/>
  <c r="AQ41" i="16"/>
  <c r="AB41" i="16"/>
  <c r="AJ41" i="16"/>
  <c r="L43" i="16"/>
  <c r="S42" i="16"/>
  <c r="X42" i="16"/>
  <c r="M42" i="16"/>
  <c r="N42" i="16" s="1"/>
  <c r="AI42" i="16"/>
  <c r="T42" i="16"/>
  <c r="AP42" i="16"/>
  <c r="AA42" i="16"/>
  <c r="Y115" i="16" l="1"/>
  <c r="AB115" i="16"/>
  <c r="AQ115" i="16"/>
  <c r="L117" i="16"/>
  <c r="K118" i="16"/>
  <c r="S116" i="16"/>
  <c r="T116" i="16"/>
  <c r="U116" i="16" s="1"/>
  <c r="V116" i="16" s="1"/>
  <c r="M116" i="16"/>
  <c r="N116" i="16" s="1"/>
  <c r="AA116" i="16"/>
  <c r="AI116" i="16"/>
  <c r="AJ116" i="16" s="1"/>
  <c r="AK116" i="16" s="1"/>
  <c r="X116" i="16"/>
  <c r="AP116" i="16"/>
  <c r="Y42" i="16"/>
  <c r="U42" i="16"/>
  <c r="AB42" i="16"/>
  <c r="AQ42" i="16"/>
  <c r="AJ42" i="16"/>
  <c r="AI43" i="16"/>
  <c r="T43" i="16"/>
  <c r="S43" i="16"/>
  <c r="AP43" i="16"/>
  <c r="AA43" i="16"/>
  <c r="X43" i="16"/>
  <c r="M43" i="16"/>
  <c r="N43" i="16" s="1"/>
  <c r="L44" i="16"/>
  <c r="Y116" i="16" l="1"/>
  <c r="AQ116" i="16"/>
  <c r="AB116" i="16"/>
  <c r="L118" i="16"/>
  <c r="K119" i="16"/>
  <c r="S117" i="16"/>
  <c r="T117" i="16"/>
  <c r="AP117" i="16"/>
  <c r="M117" i="16"/>
  <c r="N117" i="16" s="1"/>
  <c r="AI117" i="16"/>
  <c r="AJ117" i="16" s="1"/>
  <c r="AK117" i="16" s="1"/>
  <c r="X117" i="16"/>
  <c r="AA117" i="16"/>
  <c r="Y43" i="16"/>
  <c r="AQ43" i="16"/>
  <c r="AB43" i="16"/>
  <c r="U43" i="16"/>
  <c r="AJ43" i="16"/>
  <c r="L45" i="16"/>
  <c r="S44" i="16"/>
  <c r="AP44" i="16"/>
  <c r="AA44" i="16"/>
  <c r="X44" i="16"/>
  <c r="M44" i="16"/>
  <c r="N44" i="16" s="1"/>
  <c r="AI44" i="16"/>
  <c r="T44" i="16"/>
  <c r="U117" i="16" l="1"/>
  <c r="AQ117" i="16"/>
  <c r="AB117" i="16"/>
  <c r="Y117" i="16"/>
  <c r="K120" i="16"/>
  <c r="L119" i="16"/>
  <c r="AI118" i="16"/>
  <c r="AJ118" i="16" s="1"/>
  <c r="AK118" i="16" s="1"/>
  <c r="S118" i="16"/>
  <c r="X118" i="16"/>
  <c r="AP118" i="16"/>
  <c r="AA118" i="16"/>
  <c r="M118" i="16"/>
  <c r="N118" i="16" s="1"/>
  <c r="T118" i="16"/>
  <c r="Y44" i="16"/>
  <c r="U44" i="16"/>
  <c r="AQ44" i="16"/>
  <c r="AJ44" i="16"/>
  <c r="AB44" i="16"/>
  <c r="L46" i="16"/>
  <c r="AI45" i="16"/>
  <c r="T45" i="16"/>
  <c r="S45" i="16"/>
  <c r="AP45" i="16"/>
  <c r="X45" i="16"/>
  <c r="M45" i="16"/>
  <c r="N45" i="16" s="1"/>
  <c r="AA45" i="16"/>
  <c r="AQ118" i="16" l="1"/>
  <c r="U118" i="16"/>
  <c r="AB118" i="16"/>
  <c r="Y118" i="16"/>
  <c r="X119" i="16"/>
  <c r="S119" i="16"/>
  <c r="AP119" i="16"/>
  <c r="M119" i="16"/>
  <c r="N119" i="16" s="1"/>
  <c r="AI119" i="16"/>
  <c r="AJ119" i="16" s="1"/>
  <c r="AK119" i="16" s="1"/>
  <c r="T119" i="16"/>
  <c r="AA119" i="16"/>
  <c r="L120" i="16"/>
  <c r="K121" i="16"/>
  <c r="Y45" i="16"/>
  <c r="AQ45" i="16"/>
  <c r="U45" i="16"/>
  <c r="AB45" i="16"/>
  <c r="AJ45" i="16"/>
  <c r="X46" i="16"/>
  <c r="M46" i="16"/>
  <c r="N46" i="16" s="1"/>
  <c r="AI46" i="16"/>
  <c r="T46" i="16"/>
  <c r="S46" i="16"/>
  <c r="AP46" i="16"/>
  <c r="AA46" i="16"/>
  <c r="L47" i="16"/>
  <c r="AQ119" i="16" l="1"/>
  <c r="Y119" i="16"/>
  <c r="AB119" i="16"/>
  <c r="U119" i="16"/>
  <c r="K122" i="16"/>
  <c r="L121" i="16"/>
  <c r="M120" i="16"/>
  <c r="N120" i="16" s="1"/>
  <c r="AI120" i="16"/>
  <c r="T120" i="16"/>
  <c r="AP120" i="16"/>
  <c r="X120" i="16"/>
  <c r="S120" i="16"/>
  <c r="AA120" i="16"/>
  <c r="Y46" i="16"/>
  <c r="U46" i="16"/>
  <c r="AB46" i="16"/>
  <c r="AQ46" i="16"/>
  <c r="AJ46" i="16"/>
  <c r="AP47" i="16"/>
  <c r="AA47" i="16"/>
  <c r="X47" i="16"/>
  <c r="M47" i="16"/>
  <c r="N47" i="16" s="1"/>
  <c r="AI47" i="16"/>
  <c r="T47" i="16"/>
  <c r="S47" i="16"/>
  <c r="L48" i="16"/>
  <c r="AJ120" i="16" l="1"/>
  <c r="AB120" i="16"/>
  <c r="Y120" i="16"/>
  <c r="AQ120" i="16"/>
  <c r="U120" i="16"/>
  <c r="S121" i="16"/>
  <c r="T121" i="16"/>
  <c r="AP121" i="16"/>
  <c r="AQ121" i="16" s="1"/>
  <c r="AR121" i="16" s="1"/>
  <c r="X121" i="16"/>
  <c r="AA121" i="16"/>
  <c r="M121" i="16"/>
  <c r="N121" i="16" s="1"/>
  <c r="AI121" i="16"/>
  <c r="AJ121" i="16" s="1"/>
  <c r="AK121" i="16" s="1"/>
  <c r="K123" i="16"/>
  <c r="L122" i="16"/>
  <c r="Y47" i="16"/>
  <c r="AQ47" i="16"/>
  <c r="U47" i="16"/>
  <c r="AJ47" i="16"/>
  <c r="AB47" i="16"/>
  <c r="S48" i="16"/>
  <c r="AP48" i="16"/>
  <c r="AA48" i="16"/>
  <c r="X48" i="16"/>
  <c r="M48" i="16"/>
  <c r="N48" i="16" s="1"/>
  <c r="AI48" i="16"/>
  <c r="T48" i="16"/>
  <c r="L49" i="16"/>
  <c r="U121" i="16" l="1"/>
  <c r="AB121" i="16"/>
  <c r="Y121" i="16"/>
  <c r="AA122" i="16"/>
  <c r="T122" i="16"/>
  <c r="X122" i="16"/>
  <c r="M122" i="16"/>
  <c r="N122" i="16" s="1"/>
  <c r="S122" i="16"/>
  <c r="AI122" i="16"/>
  <c r="AJ122" i="16" s="1"/>
  <c r="AK122" i="16" s="1"/>
  <c r="AP122" i="16"/>
  <c r="AQ122" i="16" s="1"/>
  <c r="AR122" i="16" s="1"/>
  <c r="K124" i="16"/>
  <c r="L123" i="16"/>
  <c r="Y48" i="16"/>
  <c r="U48" i="16"/>
  <c r="AQ48" i="16"/>
  <c r="AB48" i="16"/>
  <c r="AJ48" i="16"/>
  <c r="AI49" i="16"/>
  <c r="T49" i="16"/>
  <c r="S49" i="16"/>
  <c r="AP49" i="16"/>
  <c r="AA49" i="16"/>
  <c r="X49" i="16"/>
  <c r="M49" i="16"/>
  <c r="N49" i="16" s="1"/>
  <c r="L50" i="16"/>
  <c r="U122" i="16" l="1"/>
  <c r="Y122" i="16"/>
  <c r="AB122" i="16"/>
  <c r="M123" i="16"/>
  <c r="N123" i="16" s="1"/>
  <c r="S123" i="16"/>
  <c r="AI123" i="16"/>
  <c r="T123" i="16"/>
  <c r="X123" i="16"/>
  <c r="AA123" i="16"/>
  <c r="AP123" i="16"/>
  <c r="K125" i="16"/>
  <c r="L124" i="16"/>
  <c r="Y49" i="16"/>
  <c r="AQ49" i="16"/>
  <c r="AB49" i="16"/>
  <c r="AJ49" i="16"/>
  <c r="U49" i="16"/>
  <c r="L51" i="16"/>
  <c r="S50" i="16"/>
  <c r="AP50" i="16"/>
  <c r="AA50" i="16"/>
  <c r="X50" i="16"/>
  <c r="M50" i="16"/>
  <c r="N50" i="16" s="1"/>
  <c r="AI50" i="16"/>
  <c r="T50" i="16"/>
  <c r="Y50" i="16" l="1"/>
  <c r="AJ123" i="16"/>
  <c r="Y123" i="16"/>
  <c r="U123" i="16"/>
  <c r="AQ123" i="16"/>
  <c r="AB123" i="16"/>
  <c r="AI124" i="16"/>
  <c r="T124" i="16"/>
  <c r="X124" i="16"/>
  <c r="AP124" i="16"/>
  <c r="M124" i="16"/>
  <c r="N124" i="16" s="1"/>
  <c r="AA124" i="16"/>
  <c r="S124" i="16"/>
  <c r="K126" i="16"/>
  <c r="L125" i="16"/>
  <c r="U50" i="16"/>
  <c r="AB50" i="16"/>
  <c r="AQ50" i="16"/>
  <c r="AJ50" i="16"/>
  <c r="L52" i="16"/>
  <c r="AP51" i="16"/>
  <c r="AA51" i="16"/>
  <c r="X51" i="16"/>
  <c r="M51" i="16"/>
  <c r="N51" i="16" s="1"/>
  <c r="AI51" i="16"/>
  <c r="T51" i="16"/>
  <c r="S51" i="16"/>
  <c r="AQ124" i="16" l="1"/>
  <c r="AJ124" i="16"/>
  <c r="Y124" i="16"/>
  <c r="U124" i="16"/>
  <c r="AB124" i="16"/>
  <c r="S125" i="16"/>
  <c r="X125" i="16"/>
  <c r="AP125" i="16"/>
  <c r="AI125" i="16"/>
  <c r="T125" i="16"/>
  <c r="AA125" i="16"/>
  <c r="M125" i="16"/>
  <c r="N125" i="16" s="1"/>
  <c r="L126" i="16"/>
  <c r="K127" i="16"/>
  <c r="Y51" i="16"/>
  <c r="AQ51" i="16"/>
  <c r="AB51" i="16"/>
  <c r="U51" i="16"/>
  <c r="AJ51" i="16"/>
  <c r="L53" i="16"/>
  <c r="S52" i="16"/>
  <c r="AP52" i="16"/>
  <c r="AA52" i="16"/>
  <c r="X52" i="16"/>
  <c r="M52" i="16"/>
  <c r="N52" i="16" s="1"/>
  <c r="AI52" i="16"/>
  <c r="T52" i="16"/>
  <c r="Y52" i="16" l="1"/>
  <c r="AQ125" i="16"/>
  <c r="AJ125" i="16"/>
  <c r="AB125" i="16"/>
  <c r="Y125" i="16"/>
  <c r="U125" i="16"/>
  <c r="L127" i="16"/>
  <c r="K128" i="16"/>
  <c r="X126" i="16"/>
  <c r="AP126" i="16"/>
  <c r="M126" i="16"/>
  <c r="N126" i="16" s="1"/>
  <c r="AA126" i="16"/>
  <c r="AI126" i="16"/>
  <c r="AJ126" i="16" s="1"/>
  <c r="AK126" i="16" s="1"/>
  <c r="S126" i="16"/>
  <c r="T126" i="16"/>
  <c r="U52" i="16"/>
  <c r="AB52" i="16"/>
  <c r="AJ52" i="16"/>
  <c r="AQ52" i="16"/>
  <c r="L54" i="16"/>
  <c r="AI53" i="16"/>
  <c r="T53" i="16"/>
  <c r="S53" i="16"/>
  <c r="AP53" i="16"/>
  <c r="AA53" i="16"/>
  <c r="X53" i="16"/>
  <c r="M53" i="16"/>
  <c r="N53" i="16" s="1"/>
  <c r="Y126" i="16" l="1"/>
  <c r="AQ126" i="16"/>
  <c r="U126" i="16"/>
  <c r="AB126" i="16"/>
  <c r="K129" i="16"/>
  <c r="L128" i="16"/>
  <c r="X127" i="16"/>
  <c r="AP127" i="16"/>
  <c r="S127" i="16"/>
  <c r="T127" i="16"/>
  <c r="AA127" i="16"/>
  <c r="M127" i="16"/>
  <c r="N127" i="16" s="1"/>
  <c r="AI127" i="16"/>
  <c r="Y53" i="16"/>
  <c r="AQ53" i="16"/>
  <c r="AB53" i="16"/>
  <c r="U53" i="16"/>
  <c r="AJ53" i="16"/>
  <c r="X54" i="16"/>
  <c r="M54" i="16"/>
  <c r="N54" i="16" s="1"/>
  <c r="AI54" i="16"/>
  <c r="T54" i="16"/>
  <c r="S54" i="16"/>
  <c r="AP54" i="16"/>
  <c r="AA54" i="16"/>
  <c r="L55" i="16"/>
  <c r="Y127" i="16" l="1"/>
  <c r="AJ127" i="16"/>
  <c r="U127" i="16"/>
  <c r="AB127" i="16"/>
  <c r="AQ127" i="16"/>
  <c r="AA128" i="16"/>
  <c r="AI128" i="16"/>
  <c r="AJ128" i="16" s="1"/>
  <c r="AK128" i="16" s="1"/>
  <c r="X128" i="16"/>
  <c r="AP128" i="16"/>
  <c r="T128" i="16"/>
  <c r="M128" i="16"/>
  <c r="N128" i="16" s="1"/>
  <c r="S128" i="16"/>
  <c r="L129" i="16"/>
  <c r="K130" i="16"/>
  <c r="Y54" i="16"/>
  <c r="AB54" i="16"/>
  <c r="U54" i="16"/>
  <c r="AQ54" i="16"/>
  <c r="AJ54" i="16"/>
  <c r="AI55" i="16"/>
  <c r="T55" i="16"/>
  <c r="S55" i="16"/>
  <c r="AP55" i="16"/>
  <c r="AA55" i="16"/>
  <c r="X55" i="16"/>
  <c r="M55" i="16"/>
  <c r="N55" i="16" s="1"/>
  <c r="L56" i="16"/>
  <c r="Y128" i="16" l="1"/>
  <c r="AQ128" i="16"/>
  <c r="U128" i="16"/>
  <c r="AB128" i="16"/>
  <c r="L130" i="16"/>
  <c r="K131" i="16"/>
  <c r="M129" i="16"/>
  <c r="N129" i="16" s="1"/>
  <c r="AI129" i="16"/>
  <c r="S129" i="16"/>
  <c r="T129" i="16"/>
  <c r="X129" i="16"/>
  <c r="Y129" i="16" s="1"/>
  <c r="AP129" i="16"/>
  <c r="AA129" i="16"/>
  <c r="Y55" i="16"/>
  <c r="U55" i="16"/>
  <c r="AB55" i="16"/>
  <c r="AQ55" i="16"/>
  <c r="AJ55" i="16"/>
  <c r="L57" i="16"/>
  <c r="X56" i="16"/>
  <c r="M56" i="16"/>
  <c r="N56" i="16" s="1"/>
  <c r="AI56" i="16"/>
  <c r="T56" i="16"/>
  <c r="S56" i="16"/>
  <c r="AP56" i="16"/>
  <c r="AA56" i="16"/>
  <c r="U129" i="16" l="1"/>
  <c r="AJ129" i="16"/>
  <c r="AB129" i="16"/>
  <c r="AQ129" i="16"/>
  <c r="K132" i="16"/>
  <c r="L131" i="16"/>
  <c r="AP130" i="16"/>
  <c r="S130" i="16"/>
  <c r="M130" i="16"/>
  <c r="N130" i="16" s="1"/>
  <c r="AA130" i="16"/>
  <c r="T130" i="16"/>
  <c r="X130" i="16"/>
  <c r="AI130" i="16"/>
  <c r="AJ130" i="16" s="1"/>
  <c r="AK130" i="16" s="1"/>
  <c r="Y56" i="16"/>
  <c r="AQ56" i="16"/>
  <c r="U56" i="16"/>
  <c r="AB56" i="16"/>
  <c r="AJ56" i="16"/>
  <c r="L58" i="16"/>
  <c r="AI57" i="16"/>
  <c r="T57" i="16"/>
  <c r="S57" i="16"/>
  <c r="AP57" i="16"/>
  <c r="AA57" i="16"/>
  <c r="X57" i="16"/>
  <c r="M57" i="16"/>
  <c r="N57" i="16" s="1"/>
  <c r="AQ130" i="16" l="1"/>
  <c r="AB130" i="16"/>
  <c r="Y130" i="16"/>
  <c r="U130" i="16"/>
  <c r="X131" i="16"/>
  <c r="T131" i="16"/>
  <c r="AP131" i="16"/>
  <c r="AI131" i="16"/>
  <c r="M131" i="16"/>
  <c r="N131" i="16" s="1"/>
  <c r="S131" i="16"/>
  <c r="AA131" i="16"/>
  <c r="L132" i="16"/>
  <c r="K133" i="16"/>
  <c r="Y57" i="16"/>
  <c r="AB57" i="16"/>
  <c r="U57" i="16"/>
  <c r="AQ57" i="16"/>
  <c r="AJ57" i="16"/>
  <c r="L59" i="16"/>
  <c r="X58" i="16"/>
  <c r="M58" i="16"/>
  <c r="N58" i="16" s="1"/>
  <c r="AI58" i="16"/>
  <c r="T58" i="16"/>
  <c r="S58" i="16"/>
  <c r="AA58" i="16"/>
  <c r="AP58" i="16"/>
  <c r="Y131" i="16" l="1"/>
  <c r="AJ131" i="16"/>
  <c r="AQ131" i="16"/>
  <c r="U131" i="16"/>
  <c r="AB131" i="16"/>
  <c r="L133" i="16"/>
  <c r="K134" i="16"/>
  <c r="X132" i="16"/>
  <c r="AP132" i="16"/>
  <c r="M132" i="16"/>
  <c r="N132" i="16" s="1"/>
  <c r="AA132" i="16"/>
  <c r="AI132" i="16"/>
  <c r="S132" i="16"/>
  <c r="T132" i="16"/>
  <c r="U132" i="16" s="1"/>
  <c r="V132" i="16" s="1"/>
  <c r="Y58" i="16"/>
  <c r="AB58" i="16"/>
  <c r="AQ58" i="16"/>
  <c r="U58" i="16"/>
  <c r="AJ58" i="16"/>
  <c r="L60" i="16"/>
  <c r="AI59" i="16"/>
  <c r="T59" i="16"/>
  <c r="S59" i="16"/>
  <c r="AP59" i="16"/>
  <c r="AA59" i="16"/>
  <c r="M59" i="16"/>
  <c r="N59" i="16" s="1"/>
  <c r="X59" i="16"/>
  <c r="AB132" i="16" l="1"/>
  <c r="Y132" i="16"/>
  <c r="AQ132" i="16"/>
  <c r="AJ132" i="16"/>
  <c r="K135" i="16"/>
  <c r="L134" i="16"/>
  <c r="S133" i="16"/>
  <c r="T133" i="16"/>
  <c r="U133" i="16" s="1"/>
  <c r="V133" i="16" s="1"/>
  <c r="AA133" i="16"/>
  <c r="AP133" i="16"/>
  <c r="M133" i="16"/>
  <c r="N133" i="16" s="1"/>
  <c r="X133" i="16"/>
  <c r="AI133" i="16"/>
  <c r="AJ133" i="16" s="1"/>
  <c r="AK133" i="16" s="1"/>
  <c r="Y59" i="16"/>
  <c r="AB59" i="16"/>
  <c r="U59" i="16"/>
  <c r="AQ59" i="16"/>
  <c r="AJ59" i="16"/>
  <c r="S60" i="16"/>
  <c r="AP60" i="16"/>
  <c r="AA60" i="16"/>
  <c r="X60" i="16"/>
  <c r="M60" i="16"/>
  <c r="N60" i="16" s="1"/>
  <c r="AI60" i="16"/>
  <c r="T60" i="16"/>
  <c r="L61" i="16"/>
  <c r="AQ133" i="16" l="1"/>
  <c r="Y133" i="16"/>
  <c r="AB133" i="16"/>
  <c r="T134" i="16"/>
  <c r="AI134" i="16"/>
  <c r="AJ134" i="16" s="1"/>
  <c r="AK134" i="16" s="1"/>
  <c r="X134" i="16"/>
  <c r="AP134" i="16"/>
  <c r="M134" i="16"/>
  <c r="N134" i="16" s="1"/>
  <c r="S134" i="16"/>
  <c r="AA134" i="16"/>
  <c r="K136" i="16"/>
  <c r="L135" i="16"/>
  <c r="Y60" i="16"/>
  <c r="U60" i="16"/>
  <c r="AQ60" i="16"/>
  <c r="AJ60" i="16"/>
  <c r="AB60" i="16"/>
  <c r="AA61" i="16"/>
  <c r="AI61" i="16"/>
  <c r="T61" i="16"/>
  <c r="S61" i="16"/>
  <c r="AP61" i="16"/>
  <c r="X61" i="16"/>
  <c r="M61" i="16"/>
  <c r="N61" i="16" s="1"/>
  <c r="L62" i="16"/>
  <c r="AQ134" i="16" l="1"/>
  <c r="Y134" i="16"/>
  <c r="U134" i="16"/>
  <c r="AB134" i="16"/>
  <c r="AI135" i="16"/>
  <c r="X135" i="16"/>
  <c r="M135" i="16"/>
  <c r="N135" i="16" s="1"/>
  <c r="T135" i="16"/>
  <c r="S135" i="16"/>
  <c r="AA135" i="16"/>
  <c r="AP135" i="16"/>
  <c r="L136" i="16"/>
  <c r="K137" i="16"/>
  <c r="Y61" i="16"/>
  <c r="AQ61" i="16"/>
  <c r="AB61" i="16"/>
  <c r="U61" i="16"/>
  <c r="AJ61" i="16"/>
  <c r="L63" i="16"/>
  <c r="X62" i="16"/>
  <c r="M62" i="16"/>
  <c r="N62" i="16" s="1"/>
  <c r="AI62" i="16"/>
  <c r="T62" i="16"/>
  <c r="S62" i="16"/>
  <c r="AP62" i="16"/>
  <c r="AA62" i="16"/>
  <c r="AJ135" i="16" l="1"/>
  <c r="AQ135" i="16"/>
  <c r="Y135" i="16"/>
  <c r="AB135" i="16"/>
  <c r="U135" i="16"/>
  <c r="L137" i="16"/>
  <c r="K138" i="16"/>
  <c r="AA136" i="16"/>
  <c r="T136" i="16"/>
  <c r="S136" i="16"/>
  <c r="AI136" i="16"/>
  <c r="M136" i="16"/>
  <c r="N136" i="16" s="1"/>
  <c r="AP136" i="16"/>
  <c r="X136" i="16"/>
  <c r="Y62" i="16"/>
  <c r="U62" i="16"/>
  <c r="AB62" i="16"/>
  <c r="AQ62" i="16"/>
  <c r="AJ62" i="16"/>
  <c r="L64" i="16"/>
  <c r="AP63" i="16"/>
  <c r="AA63" i="16"/>
  <c r="X63" i="16"/>
  <c r="M63" i="16"/>
  <c r="N63" i="16" s="1"/>
  <c r="AI63" i="16"/>
  <c r="T63" i="16"/>
  <c r="S63" i="16"/>
  <c r="Y136" i="16" l="1"/>
  <c r="AJ136" i="16"/>
  <c r="AQ136" i="16"/>
  <c r="AB136" i="16"/>
  <c r="U136" i="16"/>
  <c r="L138" i="16"/>
  <c r="K139" i="16"/>
  <c r="M137" i="16"/>
  <c r="N137" i="16" s="1"/>
  <c r="T137" i="16"/>
  <c r="AP137" i="16"/>
  <c r="X137" i="16"/>
  <c r="AA137" i="16"/>
  <c r="AI137" i="16"/>
  <c r="AJ137" i="16" s="1"/>
  <c r="S137" i="16"/>
  <c r="Y63" i="16"/>
  <c r="AB63" i="16"/>
  <c r="AQ63" i="16"/>
  <c r="U63" i="16"/>
  <c r="AJ63" i="16"/>
  <c r="S64" i="16"/>
  <c r="AP64" i="16"/>
  <c r="AA64" i="16"/>
  <c r="X64" i="16"/>
  <c r="M64" i="16"/>
  <c r="N64" i="16" s="1"/>
  <c r="AI64" i="16"/>
  <c r="T64" i="16"/>
  <c r="L65" i="16"/>
  <c r="AQ137" i="16" l="1"/>
  <c r="Y137" i="16"/>
  <c r="AB137" i="16"/>
  <c r="U137" i="16"/>
  <c r="L139" i="16"/>
  <c r="K140" i="16"/>
  <c r="AP138" i="16"/>
  <c r="AQ138" i="16" s="1"/>
  <c r="AR138" i="16" s="1"/>
  <c r="AA138" i="16"/>
  <c r="T138" i="16"/>
  <c r="M138" i="16"/>
  <c r="N138" i="16" s="1"/>
  <c r="AI138" i="16"/>
  <c r="AJ138" i="16" s="1"/>
  <c r="AK138" i="16" s="1"/>
  <c r="S138" i="16"/>
  <c r="X138" i="16"/>
  <c r="Y64" i="16"/>
  <c r="U64" i="16"/>
  <c r="AQ64" i="16"/>
  <c r="AJ64" i="16"/>
  <c r="AB64" i="16"/>
  <c r="AP65" i="16"/>
  <c r="AA65" i="16"/>
  <c r="X65" i="16"/>
  <c r="M65" i="16"/>
  <c r="N65" i="16" s="1"/>
  <c r="AI65" i="16"/>
  <c r="T65" i="16"/>
  <c r="S65" i="16"/>
  <c r="L66" i="16"/>
  <c r="U138" i="16" l="1"/>
  <c r="Y138" i="16"/>
  <c r="AB138" i="16"/>
  <c r="L140" i="16"/>
  <c r="K141" i="16"/>
  <c r="X139" i="16"/>
  <c r="Y139" i="16" s="1"/>
  <c r="M139" i="16"/>
  <c r="N139" i="16" s="1"/>
  <c r="S139" i="16"/>
  <c r="T139" i="16"/>
  <c r="U139" i="16" s="1"/>
  <c r="V139" i="16" s="1"/>
  <c r="AA139" i="16"/>
  <c r="AB139" i="16" s="1"/>
  <c r="AC139" i="16" s="1"/>
  <c r="AI139" i="16"/>
  <c r="AJ139" i="16" s="1"/>
  <c r="AK139" i="16" s="1"/>
  <c r="AP139" i="16"/>
  <c r="Y65" i="16"/>
  <c r="U65" i="16"/>
  <c r="AB65" i="16"/>
  <c r="AQ65" i="16"/>
  <c r="AJ65" i="16"/>
  <c r="L67" i="16"/>
  <c r="S66" i="16"/>
  <c r="AP66" i="16"/>
  <c r="AA66" i="16"/>
  <c r="X66" i="16"/>
  <c r="M66" i="16"/>
  <c r="N66" i="16" s="1"/>
  <c r="AI66" i="16"/>
  <c r="T66" i="16"/>
  <c r="Y66" i="16" l="1"/>
  <c r="AQ139" i="16"/>
  <c r="K142" i="16"/>
  <c r="L141" i="16"/>
  <c r="AP140" i="16"/>
  <c r="AI140" i="16"/>
  <c r="AJ140" i="16" s="1"/>
  <c r="AK140" i="16" s="1"/>
  <c r="S140" i="16"/>
  <c r="T140" i="16"/>
  <c r="U140" i="16" s="1"/>
  <c r="V140" i="16" s="1"/>
  <c r="X140" i="16"/>
  <c r="AA140" i="16"/>
  <c r="M140" i="16"/>
  <c r="N140" i="16" s="1"/>
  <c r="AJ66" i="16"/>
  <c r="AB66" i="16"/>
  <c r="AQ66" i="16"/>
  <c r="U66" i="16"/>
  <c r="L68" i="16"/>
  <c r="AI67" i="16"/>
  <c r="T67" i="16"/>
  <c r="X67" i="16"/>
  <c r="M67" i="16"/>
  <c r="N67" i="16" s="1"/>
  <c r="AP67" i="16"/>
  <c r="AA67" i="16"/>
  <c r="S67" i="16"/>
  <c r="Y67" i="16" l="1"/>
  <c r="Y140" i="16"/>
  <c r="AB140" i="16"/>
  <c r="AQ140" i="16"/>
  <c r="X141" i="16"/>
  <c r="AI141" i="16"/>
  <c r="AJ141" i="16" s="1"/>
  <c r="AK141" i="16" s="1"/>
  <c r="S141" i="16"/>
  <c r="AP141" i="16"/>
  <c r="M141" i="16"/>
  <c r="N141" i="16" s="1"/>
  <c r="AA141" i="16"/>
  <c r="T141" i="16"/>
  <c r="K143" i="16"/>
  <c r="L142" i="16"/>
  <c r="AJ67" i="16"/>
  <c r="AQ67" i="16"/>
  <c r="AB67" i="16"/>
  <c r="U67" i="16"/>
  <c r="L69" i="16"/>
  <c r="S68" i="16"/>
  <c r="AP68" i="16"/>
  <c r="AA68" i="16"/>
  <c r="X68" i="16"/>
  <c r="M68" i="16"/>
  <c r="N68" i="16" s="1"/>
  <c r="AI68" i="16"/>
  <c r="T68" i="16"/>
  <c r="AQ141" i="16" l="1"/>
  <c r="Y68" i="16"/>
  <c r="Y141" i="16"/>
  <c r="AB141" i="16"/>
  <c r="U141" i="16"/>
  <c r="S142" i="16"/>
  <c r="AI142" i="16"/>
  <c r="AP142" i="16"/>
  <c r="M142" i="16"/>
  <c r="N142" i="16" s="1"/>
  <c r="T142" i="16"/>
  <c r="X142" i="16"/>
  <c r="AA142" i="16"/>
  <c r="K144" i="16"/>
  <c r="L143" i="16"/>
  <c r="U68" i="16"/>
  <c r="AJ68" i="16"/>
  <c r="AQ68" i="16"/>
  <c r="AB68" i="16"/>
  <c r="AP69" i="16"/>
  <c r="AA69" i="16"/>
  <c r="S69" i="16"/>
  <c r="AI69" i="16"/>
  <c r="T69" i="16"/>
  <c r="X69" i="16"/>
  <c r="M69" i="16"/>
  <c r="N69" i="16" s="1"/>
  <c r="L70" i="16"/>
  <c r="Y69" i="16" l="1"/>
  <c r="AQ142" i="16"/>
  <c r="AJ142" i="16"/>
  <c r="Y142" i="16"/>
  <c r="U142" i="16"/>
  <c r="AB142" i="16"/>
  <c r="M143" i="16"/>
  <c r="N143" i="16" s="1"/>
  <c r="AA143" i="16"/>
  <c r="AI143" i="16"/>
  <c r="AJ143" i="16" s="1"/>
  <c r="AK143" i="16" s="1"/>
  <c r="S143" i="16"/>
  <c r="X143" i="16"/>
  <c r="AP143" i="16"/>
  <c r="T143" i="16"/>
  <c r="U143" i="16" s="1"/>
  <c r="V143" i="16" s="1"/>
  <c r="L144" i="16"/>
  <c r="K145" i="16"/>
  <c r="U69" i="16"/>
  <c r="AJ69" i="16"/>
  <c r="AB69" i="16"/>
  <c r="AQ69" i="16"/>
  <c r="S70" i="16"/>
  <c r="AP70" i="16"/>
  <c r="AA70" i="16"/>
  <c r="X70" i="16"/>
  <c r="M70" i="16"/>
  <c r="N70" i="16" s="1"/>
  <c r="AI70" i="16"/>
  <c r="T70" i="16"/>
  <c r="L71" i="16"/>
  <c r="AB143" i="16" l="1"/>
  <c r="Y143" i="16"/>
  <c r="Y70" i="16"/>
  <c r="AQ143" i="16"/>
  <c r="L145" i="16"/>
  <c r="K146" i="16"/>
  <c r="T144" i="16"/>
  <c r="U144" i="16" s="1"/>
  <c r="V144" i="16" s="1"/>
  <c r="M144" i="16"/>
  <c r="N144" i="16" s="1"/>
  <c r="AA144" i="16"/>
  <c r="S144" i="16"/>
  <c r="X144" i="16"/>
  <c r="AI144" i="16"/>
  <c r="AJ144" i="16" s="1"/>
  <c r="AK144" i="16" s="1"/>
  <c r="AP144" i="16"/>
  <c r="AJ70" i="16"/>
  <c r="U70" i="16"/>
  <c r="AB70" i="16"/>
  <c r="AQ70" i="16"/>
  <c r="L72" i="16"/>
  <c r="AI71" i="16"/>
  <c r="T71" i="16"/>
  <c r="X71" i="16"/>
  <c r="M71" i="16"/>
  <c r="N71" i="16" s="1"/>
  <c r="AP71" i="16"/>
  <c r="AA71" i="16"/>
  <c r="S71" i="16"/>
  <c r="AQ144" i="16" l="1"/>
  <c r="Y71" i="16"/>
  <c r="AB144" i="16"/>
  <c r="Y144" i="16"/>
  <c r="L146" i="16"/>
  <c r="K147" i="16"/>
  <c r="S145" i="16"/>
  <c r="AI145" i="16"/>
  <c r="AJ145" i="16" s="1"/>
  <c r="AK145" i="16" s="1"/>
  <c r="X145" i="16"/>
  <c r="AP145" i="16"/>
  <c r="AA145" i="16"/>
  <c r="M145" i="16"/>
  <c r="N145" i="16" s="1"/>
  <c r="T145" i="16"/>
  <c r="AJ71" i="16"/>
  <c r="U71" i="16"/>
  <c r="AB71" i="16"/>
  <c r="AQ71" i="16"/>
  <c r="L73" i="16"/>
  <c r="X72" i="16"/>
  <c r="M72" i="16"/>
  <c r="N72" i="16" s="1"/>
  <c r="AI72" i="16"/>
  <c r="T72" i="16"/>
  <c r="S72" i="16"/>
  <c r="AP72" i="16"/>
  <c r="AA72" i="16"/>
  <c r="U145" i="16" l="1"/>
  <c r="AQ145" i="16"/>
  <c r="Y72" i="16"/>
  <c r="AB145" i="16"/>
  <c r="Y145" i="16"/>
  <c r="L147" i="16"/>
  <c r="K148" i="16"/>
  <c r="M146" i="16"/>
  <c r="N146" i="16" s="1"/>
  <c r="AI146" i="16"/>
  <c r="AJ146" i="16" s="1"/>
  <c r="AK146" i="16" s="1"/>
  <c r="X146" i="16"/>
  <c r="S146" i="16"/>
  <c r="T146" i="16"/>
  <c r="AA146" i="16"/>
  <c r="AP146" i="16"/>
  <c r="AJ72" i="16"/>
  <c r="AB72" i="16"/>
  <c r="U72" i="16"/>
  <c r="AQ72" i="16"/>
  <c r="L74" i="16"/>
  <c r="AP73" i="16"/>
  <c r="AA73" i="16"/>
  <c r="S73" i="16"/>
  <c r="AI73" i="16"/>
  <c r="T73" i="16"/>
  <c r="X73" i="16"/>
  <c r="M73" i="16"/>
  <c r="N73" i="16" s="1"/>
  <c r="Y73" i="16" l="1"/>
  <c r="Y146" i="16"/>
  <c r="AQ146" i="16"/>
  <c r="AB146" i="16"/>
  <c r="U146" i="16"/>
  <c r="L148" i="16"/>
  <c r="K149" i="16"/>
  <c r="AA147" i="16"/>
  <c r="T147" i="16"/>
  <c r="U147" i="16" s="1"/>
  <c r="V147" i="16" s="1"/>
  <c r="AI147" i="16"/>
  <c r="AP147" i="16"/>
  <c r="M147" i="16"/>
  <c r="N147" i="16" s="1"/>
  <c r="S147" i="16"/>
  <c r="X147" i="16"/>
  <c r="AJ73" i="16"/>
  <c r="AQ73" i="16"/>
  <c r="AB73" i="16"/>
  <c r="U73" i="16"/>
  <c r="X74" i="16"/>
  <c r="M74" i="16"/>
  <c r="N74" i="16" s="1"/>
  <c r="AI74" i="16"/>
  <c r="T74" i="16"/>
  <c r="AP74" i="16"/>
  <c r="AA74" i="16"/>
  <c r="S74" i="16"/>
  <c r="L75" i="16"/>
  <c r="Y74" i="16" l="1"/>
  <c r="AB147" i="16"/>
  <c r="Y147" i="16"/>
  <c r="AJ147" i="16"/>
  <c r="AQ147" i="16"/>
  <c r="L149" i="16"/>
  <c r="K150" i="16"/>
  <c r="T148" i="16"/>
  <c r="U148" i="16" s="1"/>
  <c r="V148" i="16" s="1"/>
  <c r="AI148" i="16"/>
  <c r="M148" i="16"/>
  <c r="N148" i="16" s="1"/>
  <c r="AP148" i="16"/>
  <c r="S148" i="16"/>
  <c r="AA148" i="16"/>
  <c r="AB148" i="16" s="1"/>
  <c r="AC148" i="16" s="1"/>
  <c r="X148" i="16"/>
  <c r="Y148" i="16" s="1"/>
  <c r="AJ74" i="16"/>
  <c r="AB74" i="16"/>
  <c r="U74" i="16"/>
  <c r="AQ74" i="16"/>
  <c r="L76" i="16"/>
  <c r="AP75" i="16"/>
  <c r="AA75" i="16"/>
  <c r="S75" i="16"/>
  <c r="AI75" i="16"/>
  <c r="T75" i="16"/>
  <c r="X75" i="16"/>
  <c r="M75" i="16"/>
  <c r="N75" i="16" s="1"/>
  <c r="Y75" i="16" l="1"/>
  <c r="AJ148" i="16"/>
  <c r="AQ148" i="16"/>
  <c r="L150" i="16"/>
  <c r="K151" i="16"/>
  <c r="AA149" i="16"/>
  <c r="S149" i="16"/>
  <c r="T149" i="16"/>
  <c r="AI149" i="16"/>
  <c r="M149" i="16"/>
  <c r="N149" i="16" s="1"/>
  <c r="AP149" i="16"/>
  <c r="X149" i="16"/>
  <c r="AJ75" i="16"/>
  <c r="AB75" i="16"/>
  <c r="U75" i="16"/>
  <c r="AQ75" i="16"/>
  <c r="X76" i="16"/>
  <c r="M76" i="16"/>
  <c r="N76" i="16" s="1"/>
  <c r="AI76" i="16"/>
  <c r="T76" i="16"/>
  <c r="S76" i="16"/>
  <c r="AP76" i="16"/>
  <c r="AA76" i="16"/>
  <c r="L77" i="16"/>
  <c r="Y76" i="16" l="1"/>
  <c r="U149" i="16"/>
  <c r="AJ149" i="16"/>
  <c r="Y149" i="16"/>
  <c r="AB149" i="16"/>
  <c r="AQ149" i="16"/>
  <c r="L151" i="16"/>
  <c r="K152" i="16"/>
  <c r="M150" i="16"/>
  <c r="N150" i="16" s="1"/>
  <c r="AA150" i="16"/>
  <c r="AI150" i="16"/>
  <c r="S150" i="16"/>
  <c r="X150" i="16"/>
  <c r="T150" i="16"/>
  <c r="AP150" i="16"/>
  <c r="AQ76" i="16"/>
  <c r="AJ76" i="16"/>
  <c r="U76" i="16"/>
  <c r="AB76" i="16"/>
  <c r="AP77" i="16"/>
  <c r="AA77" i="16"/>
  <c r="S77" i="16"/>
  <c r="AI77" i="16"/>
  <c r="T77" i="16"/>
  <c r="M77" i="16"/>
  <c r="N77" i="16" s="1"/>
  <c r="X77" i="16"/>
  <c r="L78" i="16"/>
  <c r="AJ150" i="16" l="1"/>
  <c r="AQ150" i="16"/>
  <c r="AB150" i="16"/>
  <c r="Y150" i="16"/>
  <c r="Y77" i="16"/>
  <c r="U150" i="16"/>
  <c r="L152" i="16"/>
  <c r="K153" i="16"/>
  <c r="AP151" i="16"/>
  <c r="M151" i="16"/>
  <c r="N151" i="16" s="1"/>
  <c r="AI151" i="16"/>
  <c r="AJ151" i="16" s="1"/>
  <c r="AK151" i="16" s="1"/>
  <c r="T151" i="16"/>
  <c r="U151" i="16" s="1"/>
  <c r="V151" i="16" s="1"/>
  <c r="AA151" i="16"/>
  <c r="S151" i="16"/>
  <c r="X151" i="16"/>
  <c r="AJ77" i="16"/>
  <c r="AB77" i="16"/>
  <c r="U77" i="16"/>
  <c r="AQ77" i="16"/>
  <c r="X78" i="16"/>
  <c r="Y78" i="16" s="1"/>
  <c r="M78" i="16"/>
  <c r="N78" i="16" s="1"/>
  <c r="AI78" i="16"/>
  <c r="T78" i="16"/>
  <c r="S78" i="16"/>
  <c r="AP78" i="16"/>
  <c r="AA78" i="16"/>
  <c r="L79" i="16"/>
  <c r="Y151" i="16" l="1"/>
  <c r="AB151" i="16"/>
  <c r="AQ151" i="16"/>
  <c r="L153" i="16"/>
  <c r="K154" i="16"/>
  <c r="X152" i="16"/>
  <c r="AP152" i="16"/>
  <c r="S152" i="16"/>
  <c r="AA152" i="16"/>
  <c r="M152" i="16"/>
  <c r="N152" i="16" s="1"/>
  <c r="AI152" i="16"/>
  <c r="T152" i="16"/>
  <c r="AJ78" i="16"/>
  <c r="AQ78" i="16"/>
  <c r="AB78" i="16"/>
  <c r="U78" i="16"/>
  <c r="AP79" i="16"/>
  <c r="AA79" i="16"/>
  <c r="S79" i="16"/>
  <c r="AI79" i="16"/>
  <c r="T79" i="16"/>
  <c r="M79" i="16"/>
  <c r="N79" i="16" s="1"/>
  <c r="X79" i="16"/>
  <c r="L80" i="16"/>
  <c r="Y79" i="16" l="1"/>
  <c r="AQ152" i="16"/>
  <c r="Y152" i="16"/>
  <c r="AJ152" i="16"/>
  <c r="AB152" i="16"/>
  <c r="U152" i="16"/>
  <c r="L154" i="16"/>
  <c r="K155" i="16"/>
  <c r="X153" i="16"/>
  <c r="M153" i="16"/>
  <c r="N153" i="16" s="1"/>
  <c r="S153" i="16"/>
  <c r="T153" i="16"/>
  <c r="AA153" i="16"/>
  <c r="AI153" i="16"/>
  <c r="AJ153" i="16" s="1"/>
  <c r="AK153" i="16" s="1"/>
  <c r="AP153" i="16"/>
  <c r="AQ79" i="16"/>
  <c r="AJ79" i="16"/>
  <c r="AB79" i="16"/>
  <c r="U79" i="16"/>
  <c r="X80" i="16"/>
  <c r="M80" i="16"/>
  <c r="N80" i="16" s="1"/>
  <c r="AI80" i="16"/>
  <c r="T80" i="16"/>
  <c r="S80" i="16"/>
  <c r="AP80" i="16"/>
  <c r="AA80" i="16"/>
  <c r="L81" i="16"/>
  <c r="Y153" i="16" l="1"/>
  <c r="AB153" i="16"/>
  <c r="U153" i="16"/>
  <c r="AQ153" i="16"/>
  <c r="Y80" i="16"/>
  <c r="L155" i="16"/>
  <c r="K156" i="16"/>
  <c r="AA154" i="16"/>
  <c r="AI154" i="16"/>
  <c r="AJ154" i="16" s="1"/>
  <c r="AK154" i="16" s="1"/>
  <c r="M154" i="16"/>
  <c r="N154" i="16" s="1"/>
  <c r="AP154" i="16"/>
  <c r="AQ154" i="16" s="1"/>
  <c r="AR154" i="16" s="1"/>
  <c r="S154" i="16"/>
  <c r="T154" i="16"/>
  <c r="X154" i="16"/>
  <c r="U80" i="16"/>
  <c r="AJ80" i="16"/>
  <c r="AQ80" i="16"/>
  <c r="AB80" i="16"/>
  <c r="AP81" i="16"/>
  <c r="AA81" i="16"/>
  <c r="S81" i="16"/>
  <c r="T81" i="16"/>
  <c r="X81" i="16"/>
  <c r="M81" i="16"/>
  <c r="N81" i="16" s="1"/>
  <c r="AI81" i="16"/>
  <c r="L82" i="16"/>
  <c r="Y81" i="16" l="1"/>
  <c r="U154" i="16"/>
  <c r="AB154" i="16"/>
  <c r="Y154" i="16"/>
  <c r="L156" i="16"/>
  <c r="K157" i="16"/>
  <c r="M155" i="16"/>
  <c r="N155" i="16" s="1"/>
  <c r="AA155" i="16"/>
  <c r="AI155" i="16"/>
  <c r="S155" i="16"/>
  <c r="T155" i="16"/>
  <c r="X155" i="16"/>
  <c r="AP155" i="16"/>
  <c r="AJ81" i="16"/>
  <c r="AQ81" i="16"/>
  <c r="AB81" i="16"/>
  <c r="U81" i="16"/>
  <c r="L83" i="16"/>
  <c r="X82" i="16"/>
  <c r="M82" i="16"/>
  <c r="N82" i="16" s="1"/>
  <c r="AI82" i="16"/>
  <c r="T82" i="16"/>
  <c r="S82" i="16"/>
  <c r="AP82" i="16"/>
  <c r="AA82" i="16"/>
  <c r="U155" i="16" l="1"/>
  <c r="Y155" i="16"/>
  <c r="AB155" i="16"/>
  <c r="Y82" i="16"/>
  <c r="AJ155" i="16"/>
  <c r="AQ155" i="16"/>
  <c r="L157" i="16"/>
  <c r="K158" i="16"/>
  <c r="AP156" i="16"/>
  <c r="M156" i="16"/>
  <c r="N156" i="16" s="1"/>
  <c r="X156" i="16"/>
  <c r="Y156" i="16" s="1"/>
  <c r="AA156" i="16"/>
  <c r="S156" i="16"/>
  <c r="AI156" i="16"/>
  <c r="AJ156" i="16" s="1"/>
  <c r="AK156" i="16" s="1"/>
  <c r="T156" i="16"/>
  <c r="AJ82" i="16"/>
  <c r="AQ82" i="16"/>
  <c r="AB82" i="16"/>
  <c r="U82" i="16"/>
  <c r="AP83" i="16"/>
  <c r="AA83" i="16"/>
  <c r="S83" i="16"/>
  <c r="AI83" i="16"/>
  <c r="T83" i="16"/>
  <c r="X83" i="16"/>
  <c r="M83" i="16"/>
  <c r="N83" i="16" s="1"/>
  <c r="L84" i="16"/>
  <c r="AQ156" i="16" l="1"/>
  <c r="U156" i="16"/>
  <c r="AB156" i="16"/>
  <c r="Y83" i="16"/>
  <c r="K159" i="16"/>
  <c r="L158" i="16"/>
  <c r="X157" i="16"/>
  <c r="M157" i="16"/>
  <c r="N157" i="16" s="1"/>
  <c r="AA157" i="16"/>
  <c r="AP157" i="16"/>
  <c r="AQ157" i="16" s="1"/>
  <c r="S157" i="16"/>
  <c r="T157" i="16"/>
  <c r="AI157" i="16"/>
  <c r="AJ157" i="16" s="1"/>
  <c r="AJ83" i="16"/>
  <c r="AQ83" i="16"/>
  <c r="U83" i="16"/>
  <c r="AB83" i="16"/>
  <c r="S84" i="16"/>
  <c r="AP84" i="16"/>
  <c r="AA84" i="16"/>
  <c r="X84" i="16"/>
  <c r="M84" i="16"/>
  <c r="N84" i="16" s="1"/>
  <c r="AI84" i="16"/>
  <c r="T84" i="16"/>
  <c r="L85" i="16"/>
  <c r="Y84" i="16" l="1"/>
  <c r="AB157" i="16"/>
  <c r="Y157" i="16"/>
  <c r="U157" i="16"/>
  <c r="M158" i="16"/>
  <c r="N158" i="16" s="1"/>
  <c r="AA158" i="16"/>
  <c r="AI158" i="16"/>
  <c r="AJ158" i="16" s="1"/>
  <c r="T158" i="16"/>
  <c r="X158" i="16"/>
  <c r="AP158" i="16"/>
  <c r="S158" i="16"/>
  <c r="K160" i="16"/>
  <c r="L159" i="16"/>
  <c r="U84" i="16"/>
  <c r="AJ84" i="16"/>
  <c r="AB84" i="16"/>
  <c r="AQ84" i="16"/>
  <c r="AP85" i="16"/>
  <c r="AA85" i="16"/>
  <c r="S85" i="16"/>
  <c r="AI85" i="16"/>
  <c r="T85" i="16"/>
  <c r="X85" i="16"/>
  <c r="M85" i="16"/>
  <c r="N85" i="16" s="1"/>
  <c r="AQ158" i="16" l="1"/>
  <c r="U158" i="16"/>
  <c r="Y85" i="16"/>
  <c r="Y158" i="16"/>
  <c r="AB158" i="16"/>
  <c r="Z129" i="16"/>
  <c r="Z139" i="16"/>
  <c r="Z156" i="16"/>
  <c r="Z92" i="16"/>
  <c r="Z148" i="16"/>
  <c r="AI159" i="16"/>
  <c r="S159" i="16"/>
  <c r="T159" i="16"/>
  <c r="M159" i="16"/>
  <c r="N159" i="16" s="1"/>
  <c r="AA159" i="16"/>
  <c r="X159" i="16"/>
  <c r="AP159" i="16"/>
  <c r="K161" i="16"/>
  <c r="L160" i="16"/>
  <c r="U85" i="16"/>
  <c r="AJ85" i="16"/>
  <c r="AB85" i="16"/>
  <c r="AQ85" i="16"/>
  <c r="AQ159" i="16" l="1"/>
  <c r="AJ159" i="16"/>
  <c r="U159" i="16"/>
  <c r="Y159" i="16"/>
  <c r="AB159" i="16"/>
  <c r="K162" i="16"/>
  <c r="L161" i="16"/>
  <c r="AI160" i="16"/>
  <c r="T160" i="16"/>
  <c r="AA160" i="16"/>
  <c r="M160" i="16"/>
  <c r="N160" i="16" s="1"/>
  <c r="AP160" i="16"/>
  <c r="S160" i="16"/>
  <c r="X160" i="16"/>
  <c r="AQ160" i="16" l="1"/>
  <c r="AJ160" i="16"/>
  <c r="U160" i="16"/>
  <c r="Y160" i="16"/>
  <c r="AB160" i="16"/>
  <c r="S161" i="16"/>
  <c r="T161" i="16"/>
  <c r="M161" i="16"/>
  <c r="N161" i="16" s="1"/>
  <c r="AA161" i="16"/>
  <c r="AI161" i="16"/>
  <c r="AP161" i="16"/>
  <c r="X161" i="16"/>
  <c r="L162" i="16"/>
  <c r="K163" i="16"/>
  <c r="Y161" i="16" l="1"/>
  <c r="U161" i="16"/>
  <c r="AB161" i="16"/>
  <c r="AJ161" i="16"/>
  <c r="AQ161" i="16"/>
  <c r="L163" i="16"/>
  <c r="K164" i="16"/>
  <c r="AA162" i="16"/>
  <c r="AI162" i="16"/>
  <c r="S162" i="16"/>
  <c r="AP162" i="16"/>
  <c r="M162" i="16"/>
  <c r="N162" i="16" s="1"/>
  <c r="T162" i="16"/>
  <c r="X162" i="16"/>
  <c r="AJ162" i="16" l="1"/>
  <c r="AQ162" i="16"/>
  <c r="Y162" i="16"/>
  <c r="AB162" i="16"/>
  <c r="U162" i="16"/>
  <c r="L164" i="16"/>
  <c r="K165" i="16"/>
  <c r="M163" i="16"/>
  <c r="N163" i="16" s="1"/>
  <c r="AI163" i="16"/>
  <c r="AJ163" i="16" s="1"/>
  <c r="AK163" i="16" s="1"/>
  <c r="X163" i="16"/>
  <c r="AA163" i="16"/>
  <c r="S163" i="16"/>
  <c r="AP163" i="16"/>
  <c r="T163" i="16"/>
  <c r="Z78" i="16"/>
  <c r="AQ163" i="16" l="1"/>
  <c r="AB163" i="16"/>
  <c r="Y163" i="16"/>
  <c r="U163" i="16"/>
  <c r="K166" i="16"/>
  <c r="L165" i="16"/>
  <c r="AP164" i="16"/>
  <c r="AQ164" i="16" s="1"/>
  <c r="AA164" i="16"/>
  <c r="M164" i="16"/>
  <c r="N164" i="16" s="1"/>
  <c r="AI164" i="16"/>
  <c r="AJ164" i="16" s="1"/>
  <c r="AK164" i="16" s="1"/>
  <c r="S164" i="16"/>
  <c r="T164" i="16"/>
  <c r="U164" i="16" s="1"/>
  <c r="V164" i="16" s="1"/>
  <c r="X164" i="16"/>
  <c r="Y164" i="16" s="1"/>
  <c r="AK80" i="16"/>
  <c r="V69" i="16"/>
  <c r="V78" i="16"/>
  <c r="V79" i="16"/>
  <c r="V81" i="16"/>
  <c r="AR77" i="16"/>
  <c r="AK78" i="16"/>
  <c r="V37" i="16"/>
  <c r="V54" i="16"/>
  <c r="AK79" i="16"/>
  <c r="AK85" i="16"/>
  <c r="AK71" i="16"/>
  <c r="AK81" i="16"/>
  <c r="AK77" i="16"/>
  <c r="AK73" i="16"/>
  <c r="AK72" i="16"/>
  <c r="AK84" i="16"/>
  <c r="AK75" i="16"/>
  <c r="AK76" i="16"/>
  <c r="Z164" i="16" l="1"/>
  <c r="AR164" i="16"/>
  <c r="X165" i="16"/>
  <c r="S165" i="16"/>
  <c r="AP165" i="16"/>
  <c r="T165" i="16"/>
  <c r="AA165" i="16"/>
  <c r="M165" i="16"/>
  <c r="N165" i="16" s="1"/>
  <c r="AI165" i="16"/>
  <c r="AJ165" i="16" s="1"/>
  <c r="K167" i="16"/>
  <c r="L166" i="16"/>
  <c r="AB164" i="16"/>
  <c r="U165" i="16" l="1"/>
  <c r="AQ165" i="16"/>
  <c r="Y165" i="16"/>
  <c r="AC164" i="16"/>
  <c r="AK165" i="16"/>
  <c r="AB165" i="16"/>
  <c r="AA166" i="16"/>
  <c r="T166" i="16"/>
  <c r="M166" i="16"/>
  <c r="N166" i="16" s="1"/>
  <c r="AI166" i="16"/>
  <c r="S166" i="16"/>
  <c r="AP166" i="16"/>
  <c r="X166" i="16"/>
  <c r="K168" i="16"/>
  <c r="L167" i="16"/>
  <c r="AJ166" i="16" l="1"/>
  <c r="Y166" i="16"/>
  <c r="AQ166" i="16"/>
  <c r="U166" i="16"/>
  <c r="AB166" i="16"/>
  <c r="M167" i="16"/>
  <c r="N167" i="16" s="1"/>
  <c r="S167" i="16"/>
  <c r="AP167" i="16"/>
  <c r="X167" i="16"/>
  <c r="AA167" i="16"/>
  <c r="AI167" i="16"/>
  <c r="AJ167" i="16" s="1"/>
  <c r="AK167" i="16" s="1"/>
  <c r="T167" i="16"/>
  <c r="L168" i="16"/>
  <c r="K169" i="16"/>
  <c r="U167" i="16" l="1"/>
  <c r="AQ167" i="16"/>
  <c r="Y167" i="16"/>
  <c r="K170" i="16"/>
  <c r="L169" i="16"/>
  <c r="T168" i="16"/>
  <c r="AP168" i="16"/>
  <c r="AI168" i="16"/>
  <c r="AJ168" i="16" s="1"/>
  <c r="X168" i="16"/>
  <c r="M168" i="16"/>
  <c r="N168" i="16" s="1"/>
  <c r="S168" i="16"/>
  <c r="AA168" i="16"/>
  <c r="AB167" i="16"/>
  <c r="AQ168" i="16" l="1"/>
  <c r="Y168" i="16"/>
  <c r="U168" i="16"/>
  <c r="AB168" i="16"/>
  <c r="AK168" i="16"/>
  <c r="S169" i="16"/>
  <c r="X169" i="16"/>
  <c r="T169" i="16"/>
  <c r="AP169" i="16"/>
  <c r="AA169" i="16"/>
  <c r="M169" i="16"/>
  <c r="N169" i="16" s="1"/>
  <c r="AI169" i="16"/>
  <c r="AJ169" i="16" s="1"/>
  <c r="K171" i="16"/>
  <c r="L170" i="16"/>
  <c r="AK169" i="16" l="1"/>
  <c r="Y169" i="16"/>
  <c r="AQ169" i="16"/>
  <c r="U169" i="16"/>
  <c r="AI170" i="16"/>
  <c r="T170" i="16"/>
  <c r="X170" i="16"/>
  <c r="AA170" i="16"/>
  <c r="AP170" i="16"/>
  <c r="M170" i="16"/>
  <c r="N170" i="16" s="1"/>
  <c r="S170" i="16"/>
  <c r="L171" i="16"/>
  <c r="K172" i="16"/>
  <c r="AB169" i="16"/>
  <c r="AJ170" i="16" l="1"/>
  <c r="AQ170" i="16"/>
  <c r="Y170" i="16"/>
  <c r="U170" i="16"/>
  <c r="L172" i="16"/>
  <c r="K173" i="16"/>
  <c r="M171" i="16"/>
  <c r="N171" i="16" s="1"/>
  <c r="AI171" i="16"/>
  <c r="AJ171" i="16" s="1"/>
  <c r="T171" i="16"/>
  <c r="AP171" i="16"/>
  <c r="X171" i="16"/>
  <c r="AA171" i="16"/>
  <c r="S171" i="16"/>
  <c r="AB170" i="16"/>
  <c r="U171" i="16" l="1"/>
  <c r="Y171" i="16"/>
  <c r="AQ171" i="16"/>
  <c r="AB171" i="16"/>
  <c r="AK171" i="16"/>
  <c r="L173" i="16"/>
  <c r="K174" i="16"/>
  <c r="T172" i="16"/>
  <c r="S172" i="16"/>
  <c r="AP172" i="16"/>
  <c r="X172" i="16"/>
  <c r="Y172" i="16" s="1"/>
  <c r="Z172" i="16" s="1"/>
  <c r="AA172" i="16"/>
  <c r="M172" i="16"/>
  <c r="N172" i="16" s="1"/>
  <c r="AI172" i="16"/>
  <c r="U172" i="16" l="1"/>
  <c r="AQ172" i="16"/>
  <c r="AJ172" i="16"/>
  <c r="X173" i="16"/>
  <c r="AP173" i="16"/>
  <c r="M173" i="16"/>
  <c r="N173" i="16" s="1"/>
  <c r="AA173" i="16"/>
  <c r="AI173" i="16"/>
  <c r="S173" i="16"/>
  <c r="T173" i="16"/>
  <c r="AB172" i="16"/>
  <c r="L174" i="16"/>
  <c r="K175" i="16"/>
  <c r="AQ173" i="16" l="1"/>
  <c r="Y173" i="16"/>
  <c r="AJ173" i="16"/>
  <c r="U173" i="16"/>
  <c r="AC172" i="16"/>
  <c r="L175" i="16"/>
  <c r="K176" i="16"/>
  <c r="AA174" i="16"/>
  <c r="X174" i="16"/>
  <c r="AP174" i="16"/>
  <c r="S174" i="16"/>
  <c r="T174" i="16"/>
  <c r="M174" i="16"/>
  <c r="N174" i="16" s="1"/>
  <c r="AI174" i="16"/>
  <c r="AB173" i="16"/>
  <c r="AJ174" i="16" l="1"/>
  <c r="U174" i="16"/>
  <c r="AQ174" i="16"/>
  <c r="Y174" i="16"/>
  <c r="AB174" i="16"/>
  <c r="L176" i="16"/>
  <c r="K177" i="16"/>
  <c r="AP175" i="16"/>
  <c r="AA175" i="16"/>
  <c r="T175" i="16"/>
  <c r="AI175" i="16"/>
  <c r="AJ175" i="16" s="1"/>
  <c r="AK175" i="16" s="1"/>
  <c r="M175" i="16"/>
  <c r="N175" i="16" s="1"/>
  <c r="X175" i="16"/>
  <c r="S175" i="16"/>
  <c r="AQ175" i="16" l="1"/>
  <c r="Y175" i="16"/>
  <c r="U175" i="16"/>
  <c r="AB175" i="16"/>
  <c r="L177" i="16"/>
  <c r="K178" i="16"/>
  <c r="X176" i="16"/>
  <c r="Y176" i="16" s="1"/>
  <c r="Z176" i="16" s="1"/>
  <c r="M176" i="16"/>
  <c r="N176" i="16" s="1"/>
  <c r="S176" i="16"/>
  <c r="T176" i="16"/>
  <c r="U176" i="16" s="1"/>
  <c r="V176" i="16" s="1"/>
  <c r="AA176" i="16"/>
  <c r="AB176" i="16" s="1"/>
  <c r="AC176" i="16" s="1"/>
  <c r="AI176" i="16"/>
  <c r="AJ176" i="16" s="1"/>
  <c r="AK176" i="16" s="1"/>
  <c r="AP176" i="16"/>
  <c r="AQ176" i="16" l="1"/>
  <c r="L178" i="16"/>
  <c r="K179" i="16"/>
  <c r="AP177" i="16"/>
  <c r="AA177" i="16"/>
  <c r="S177" i="16"/>
  <c r="T177" i="16"/>
  <c r="AI177" i="16"/>
  <c r="M177" i="16"/>
  <c r="N177" i="16" s="1"/>
  <c r="X177" i="16"/>
  <c r="AJ177" i="16" l="1"/>
  <c r="AQ177" i="16"/>
  <c r="Y177" i="16"/>
  <c r="U177" i="16"/>
  <c r="AB177" i="16"/>
  <c r="L179" i="16"/>
  <c r="K180" i="16"/>
  <c r="X178" i="16"/>
  <c r="M178" i="16"/>
  <c r="N178" i="16" s="1"/>
  <c r="AA178" i="16"/>
  <c r="AI178" i="16"/>
  <c r="AJ178" i="16" s="1"/>
  <c r="AK178" i="16" s="1"/>
  <c r="S178" i="16"/>
  <c r="AP178" i="16"/>
  <c r="T178" i="16"/>
  <c r="U178" i="16" s="1"/>
  <c r="V178" i="16" s="1"/>
  <c r="AQ178" i="16" l="1"/>
  <c r="Y178" i="16"/>
  <c r="AB178" i="16"/>
  <c r="L180" i="16"/>
  <c r="K181" i="16"/>
  <c r="T179" i="16"/>
  <c r="AP179" i="16"/>
  <c r="M179" i="16"/>
  <c r="N179" i="16" s="1"/>
  <c r="AI179" i="16"/>
  <c r="S179" i="16"/>
  <c r="X179" i="16"/>
  <c r="AA179" i="16"/>
  <c r="W109" i="8"/>
  <c r="Y179" i="16" l="1"/>
  <c r="AJ179" i="16"/>
  <c r="AQ179" i="16"/>
  <c r="AB179" i="16"/>
  <c r="U179" i="16"/>
  <c r="S180" i="16"/>
  <c r="X180" i="16"/>
  <c r="AP180" i="16"/>
  <c r="M180" i="16"/>
  <c r="N180" i="16" s="1"/>
  <c r="AI180" i="16"/>
  <c r="AJ180" i="16" s="1"/>
  <c r="T180" i="16"/>
  <c r="AA180" i="16"/>
  <c r="L181" i="16"/>
  <c r="K182" i="16"/>
  <c r="AQ180" i="16" l="1"/>
  <c r="Y180" i="16"/>
  <c r="AB180" i="16"/>
  <c r="U180" i="16"/>
  <c r="K183" i="16"/>
  <c r="L182" i="16"/>
  <c r="AI181" i="16"/>
  <c r="AJ181" i="16" s="1"/>
  <c r="AK181" i="16" s="1"/>
  <c r="T181" i="16"/>
  <c r="X181" i="16"/>
  <c r="M181" i="16"/>
  <c r="N181" i="16" s="1"/>
  <c r="AP181" i="16"/>
  <c r="S181" i="16"/>
  <c r="AA181" i="16"/>
  <c r="AQ181" i="16" l="1"/>
  <c r="Y181" i="16"/>
  <c r="U181" i="16"/>
  <c r="AB181" i="16"/>
  <c r="S182" i="16"/>
  <c r="M182" i="16"/>
  <c r="N182" i="16" s="1"/>
  <c r="AI182" i="16"/>
  <c r="AP182" i="16"/>
  <c r="T182" i="16"/>
  <c r="X182" i="16"/>
  <c r="AA182" i="16"/>
  <c r="L183" i="16"/>
  <c r="K184" i="16"/>
  <c r="AJ182" i="16" l="1"/>
  <c r="Y182" i="16"/>
  <c r="AB182" i="16"/>
  <c r="AQ182" i="16"/>
  <c r="U182" i="16"/>
  <c r="L184" i="16"/>
  <c r="K185" i="16"/>
  <c r="AI183" i="16"/>
  <c r="T183" i="16"/>
  <c r="AA183" i="16"/>
  <c r="M183" i="16"/>
  <c r="N183" i="16" s="1"/>
  <c r="AP183" i="16"/>
  <c r="S183" i="16"/>
  <c r="X183" i="16"/>
  <c r="U183" i="16" l="1"/>
  <c r="Y183" i="16"/>
  <c r="AB183" i="16"/>
  <c r="AJ183" i="16"/>
  <c r="AQ183" i="16"/>
  <c r="L185" i="16"/>
  <c r="K186" i="16"/>
  <c r="S184" i="16"/>
  <c r="T184" i="16"/>
  <c r="M184" i="16"/>
  <c r="N184" i="16" s="1"/>
  <c r="AA184" i="16"/>
  <c r="AI184" i="16"/>
  <c r="AJ184" i="16" s="1"/>
  <c r="AK184" i="16" s="1"/>
  <c r="AP184" i="16"/>
  <c r="X184" i="16"/>
  <c r="AQ184" i="16" l="1"/>
  <c r="Y184" i="16"/>
  <c r="AB184" i="16"/>
  <c r="U184" i="16"/>
  <c r="K187" i="16"/>
  <c r="L186" i="16"/>
  <c r="AI185" i="16"/>
  <c r="AJ185" i="16" s="1"/>
  <c r="AK185" i="16" s="1"/>
  <c r="S185" i="16"/>
  <c r="AP185" i="16"/>
  <c r="AQ185" i="16" s="1"/>
  <c r="AR185" i="16" s="1"/>
  <c r="X185" i="16"/>
  <c r="Y185" i="16" s="1"/>
  <c r="Z185" i="16" s="1"/>
  <c r="AA185" i="16"/>
  <c r="AB185" i="16" s="1"/>
  <c r="AC185" i="16" s="1"/>
  <c r="M185" i="16"/>
  <c r="N185" i="16"/>
  <c r="T185" i="16"/>
  <c r="U185" i="16" s="1"/>
  <c r="V185" i="16" s="1"/>
  <c r="AI186" i="16" l="1"/>
  <c r="AJ186" i="16" s="1"/>
  <c r="X186" i="16"/>
  <c r="Y186" i="16" s="1"/>
  <c r="Z186" i="16" s="1"/>
  <c r="S186" i="16"/>
  <c r="AP186" i="16"/>
  <c r="AQ186" i="16" s="1"/>
  <c r="AR186" i="16" s="1"/>
  <c r="T186" i="16"/>
  <c r="U186" i="16" s="1"/>
  <c r="V186" i="16" s="1"/>
  <c r="AA186" i="16"/>
  <c r="AB186" i="16" s="1"/>
  <c r="AC186" i="16" s="1"/>
  <c r="M186" i="16"/>
  <c r="N186" i="16"/>
  <c r="K188" i="16"/>
  <c r="L187" i="16"/>
  <c r="AK186" i="16" l="1"/>
  <c r="N187" i="16"/>
  <c r="AA187" i="16"/>
  <c r="AB187" i="16" s="1"/>
  <c r="M187" i="16"/>
  <c r="S187" i="16"/>
  <c r="AP187" i="16"/>
  <c r="AQ187" i="16" s="1"/>
  <c r="T187" i="16"/>
  <c r="U187" i="16" s="1"/>
  <c r="V187" i="16" s="1"/>
  <c r="AI187" i="16"/>
  <c r="AJ187" i="16" s="1"/>
  <c r="AK187" i="16" s="1"/>
  <c r="X187" i="16"/>
  <c r="Y187" i="16" s="1"/>
  <c r="L188" i="16"/>
  <c r="K189" i="16"/>
  <c r="Z187" i="16" l="1"/>
  <c r="AR187" i="16"/>
  <c r="AC187" i="16"/>
  <c r="L189" i="16"/>
  <c r="K190" i="16"/>
  <c r="M188" i="16"/>
  <c r="N188" i="16"/>
  <c r="S188" i="16"/>
  <c r="AP188" i="16"/>
  <c r="AQ188" i="16" s="1"/>
  <c r="T188" i="16"/>
  <c r="U188" i="16" s="1"/>
  <c r="X188" i="16"/>
  <c r="Y188" i="16" s="1"/>
  <c r="Z188" i="16" s="1"/>
  <c r="AA188" i="16"/>
  <c r="AB188" i="16" s="1"/>
  <c r="AI188" i="16"/>
  <c r="AJ188" i="16" s="1"/>
  <c r="AK188" i="16" s="1"/>
  <c r="V188" i="16" l="1"/>
  <c r="AR188" i="16"/>
  <c r="AC188" i="16"/>
  <c r="K191" i="16"/>
  <c r="L190" i="16"/>
  <c r="AP189" i="16"/>
  <c r="AQ189" i="16" s="1"/>
  <c r="N189" i="16"/>
  <c r="AA189" i="16"/>
  <c r="AB189" i="16" s="1"/>
  <c r="T189" i="16"/>
  <c r="U189" i="16" s="1"/>
  <c r="M189" i="16"/>
  <c r="AI189" i="16"/>
  <c r="AJ189" i="16" s="1"/>
  <c r="AK189" i="16" s="1"/>
  <c r="S189" i="16"/>
  <c r="X189" i="16"/>
  <c r="Y189" i="16" s="1"/>
  <c r="Z189" i="16" l="1"/>
  <c r="AC189" i="16"/>
  <c r="AR189" i="16"/>
  <c r="V189" i="16"/>
  <c r="X190" i="16"/>
  <c r="Y190" i="16" s="1"/>
  <c r="Z190" i="16" s="1"/>
  <c r="S190" i="16"/>
  <c r="T190" i="16"/>
  <c r="U190" i="16" s="1"/>
  <c r="V190" i="16" s="1"/>
  <c r="AP190" i="16"/>
  <c r="AQ190" i="16" s="1"/>
  <c r="AR190" i="16" s="1"/>
  <c r="M190" i="16"/>
  <c r="AA190" i="16"/>
  <c r="AB190" i="16" s="1"/>
  <c r="AC190" i="16" s="1"/>
  <c r="N190" i="16"/>
  <c r="AI190" i="16"/>
  <c r="AJ190" i="16" s="1"/>
  <c r="L191" i="16"/>
  <c r="K192" i="16"/>
  <c r="AK190" i="16" l="1"/>
  <c r="K193" i="16"/>
  <c r="L192" i="16"/>
  <c r="T191" i="16"/>
  <c r="U191" i="16" s="1"/>
  <c r="X191" i="16"/>
  <c r="Y191" i="16" s="1"/>
  <c r="Z191" i="16" s="1"/>
  <c r="AP191" i="16"/>
  <c r="AQ191" i="16" s="1"/>
  <c r="AR191" i="16" s="1"/>
  <c r="N191" i="16"/>
  <c r="AA191" i="16"/>
  <c r="AB191" i="16" s="1"/>
  <c r="AI191" i="16"/>
  <c r="AJ191" i="16" s="1"/>
  <c r="AK191" i="16" s="1"/>
  <c r="M191" i="16"/>
  <c r="S191" i="16"/>
  <c r="V191" i="16" l="1"/>
  <c r="AC191" i="16"/>
  <c r="S192" i="16"/>
  <c r="T192" i="16"/>
  <c r="U192" i="16" s="1"/>
  <c r="V192" i="16" s="1"/>
  <c r="X192" i="16"/>
  <c r="Y192" i="16" s="1"/>
  <c r="Z192" i="16" s="1"/>
  <c r="M192" i="16"/>
  <c r="AA192" i="16"/>
  <c r="AB192" i="16" s="1"/>
  <c r="AC192" i="16" s="1"/>
  <c r="AI192" i="16"/>
  <c r="AJ192" i="16" s="1"/>
  <c r="AK192" i="16" s="1"/>
  <c r="AP192" i="16"/>
  <c r="AQ192" i="16" s="1"/>
  <c r="AR192" i="16" s="1"/>
  <c r="N192" i="16"/>
  <c r="L193" i="16"/>
  <c r="K194" i="16"/>
  <c r="K195" i="16" l="1"/>
  <c r="L194" i="16"/>
  <c r="AI193" i="16"/>
  <c r="AJ193" i="16" s="1"/>
  <c r="AK193" i="16" s="1"/>
  <c r="S193" i="16"/>
  <c r="T193" i="16"/>
  <c r="U193" i="16" s="1"/>
  <c r="V193" i="16" s="1"/>
  <c r="AP193" i="16"/>
  <c r="AQ193" i="16" s="1"/>
  <c r="AR193" i="16" s="1"/>
  <c r="M193" i="16"/>
  <c r="N193" i="16"/>
  <c r="X193" i="16"/>
  <c r="Y193" i="16" s="1"/>
  <c r="Z193" i="16" s="1"/>
  <c r="AA193" i="16"/>
  <c r="AB193" i="16" s="1"/>
  <c r="AC193" i="16" s="1"/>
  <c r="AI194" i="16" l="1"/>
  <c r="AJ194" i="16" s="1"/>
  <c r="AK194" i="16" s="1"/>
  <c r="S194" i="16"/>
  <c r="T194" i="16"/>
  <c r="U194" i="16" s="1"/>
  <c r="V194" i="16" s="1"/>
  <c r="X194" i="16"/>
  <c r="Y194" i="16" s="1"/>
  <c r="Z194" i="16" s="1"/>
  <c r="N194" i="16"/>
  <c r="AA194" i="16"/>
  <c r="AB194" i="16" s="1"/>
  <c r="AC194" i="16" s="1"/>
  <c r="M194" i="16"/>
  <c r="AP194" i="16"/>
  <c r="AQ194" i="16" s="1"/>
  <c r="AR194" i="16" s="1"/>
  <c r="K196" i="16"/>
  <c r="L195" i="16"/>
  <c r="AI195" i="16" l="1"/>
  <c r="AJ195" i="16" s="1"/>
  <c r="AK195" i="16" s="1"/>
  <c r="S195" i="16"/>
  <c r="T195" i="16"/>
  <c r="U195" i="16" s="1"/>
  <c r="V195" i="16" s="1"/>
  <c r="M195" i="16"/>
  <c r="AA195" i="16"/>
  <c r="AB195" i="16" s="1"/>
  <c r="AC195" i="16" s="1"/>
  <c r="AP195" i="16"/>
  <c r="AQ195" i="16" s="1"/>
  <c r="AR195" i="16" s="1"/>
  <c r="N195" i="16"/>
  <c r="X195" i="16"/>
  <c r="Y195" i="16" s="1"/>
  <c r="Z195" i="16" s="1"/>
  <c r="L196" i="16"/>
  <c r="K197" i="16"/>
  <c r="K198" i="16" l="1"/>
  <c r="L197" i="16"/>
  <c r="AI196" i="16"/>
  <c r="AJ196" i="16" s="1"/>
  <c r="AK196" i="16" s="1"/>
  <c r="S196" i="16"/>
  <c r="AP196" i="16"/>
  <c r="AQ196" i="16" s="1"/>
  <c r="AR196" i="16" s="1"/>
  <c r="M196" i="16"/>
  <c r="N196" i="16"/>
  <c r="T196" i="16"/>
  <c r="U196" i="16" s="1"/>
  <c r="V196" i="16" s="1"/>
  <c r="X196" i="16"/>
  <c r="Y196" i="16" s="1"/>
  <c r="Z196" i="16" s="1"/>
  <c r="AA196" i="16"/>
  <c r="AB196" i="16" s="1"/>
  <c r="AC196" i="16" s="1"/>
  <c r="N197" i="16" l="1"/>
  <c r="AA197" i="16"/>
  <c r="AB197" i="16" s="1"/>
  <c r="AC197" i="16" s="1"/>
  <c r="T197" i="16"/>
  <c r="U197" i="16" s="1"/>
  <c r="V197" i="16" s="1"/>
  <c r="X197" i="16"/>
  <c r="Y197" i="16" s="1"/>
  <c r="Z197" i="16" s="1"/>
  <c r="M197" i="16"/>
  <c r="AP197" i="16"/>
  <c r="AQ197" i="16" s="1"/>
  <c r="AR197" i="16" s="1"/>
  <c r="S197" i="16"/>
  <c r="AI197" i="16"/>
  <c r="AJ197" i="16" s="1"/>
  <c r="AK197" i="16" s="1"/>
  <c r="K199" i="16"/>
  <c r="L198" i="16"/>
  <c r="M198" i="16" l="1"/>
  <c r="N198" i="16"/>
  <c r="AA198" i="16"/>
  <c r="AB198" i="16" s="1"/>
  <c r="AC198" i="16" s="1"/>
  <c r="S198" i="16"/>
  <c r="AP198" i="16"/>
  <c r="AQ198" i="16" s="1"/>
  <c r="AR198" i="16" s="1"/>
  <c r="T198" i="16"/>
  <c r="U198" i="16" s="1"/>
  <c r="V198" i="16" s="1"/>
  <c r="X198" i="16"/>
  <c r="Y198" i="16" s="1"/>
  <c r="Z198" i="16" s="1"/>
  <c r="AI198" i="16"/>
  <c r="AJ198" i="16" s="1"/>
  <c r="AK198" i="16" s="1"/>
  <c r="L199" i="16"/>
  <c r="K200" i="16"/>
  <c r="L200" i="16" l="1"/>
  <c r="K201" i="16"/>
  <c r="AP199" i="16"/>
  <c r="AQ199" i="16" s="1"/>
  <c r="AR199" i="16" s="1"/>
  <c r="M199" i="16"/>
  <c r="S199" i="16"/>
  <c r="T199" i="16"/>
  <c r="U199" i="16" s="1"/>
  <c r="V199" i="16" s="1"/>
  <c r="X199" i="16"/>
  <c r="Y199" i="16" s="1"/>
  <c r="Z199" i="16" s="1"/>
  <c r="AA199" i="16"/>
  <c r="AB199" i="16" s="1"/>
  <c r="AC199" i="16" s="1"/>
  <c r="N199" i="16"/>
  <c r="AI199" i="16"/>
  <c r="AJ199" i="16" s="1"/>
  <c r="AK199" i="16" s="1"/>
  <c r="L201" i="16" l="1"/>
  <c r="K202" i="16"/>
  <c r="X200" i="16"/>
  <c r="Y200" i="16" s="1"/>
  <c r="Z200" i="16" s="1"/>
  <c r="AP200" i="16"/>
  <c r="AQ200" i="16" s="1"/>
  <c r="AR200" i="16" s="1"/>
  <c r="N200" i="16"/>
  <c r="AA200" i="16"/>
  <c r="AB200" i="16" s="1"/>
  <c r="AC200" i="16" s="1"/>
  <c r="T200" i="16"/>
  <c r="U200" i="16" s="1"/>
  <c r="V200" i="16" s="1"/>
  <c r="S200" i="16"/>
  <c r="AI200" i="16"/>
  <c r="AJ200" i="16" s="1"/>
  <c r="AK200" i="16" s="1"/>
  <c r="M200" i="16"/>
  <c r="L202" i="16" l="1"/>
  <c r="K203" i="16"/>
  <c r="X201" i="16"/>
  <c r="Y201" i="16" s="1"/>
  <c r="Z201" i="16" s="1"/>
  <c r="M201" i="16"/>
  <c r="S201" i="16"/>
  <c r="N201" i="16"/>
  <c r="AI201" i="16"/>
  <c r="AJ201" i="16" s="1"/>
  <c r="AK201" i="16" s="1"/>
  <c r="AP201" i="16"/>
  <c r="AQ201" i="16" s="1"/>
  <c r="AR201" i="16" s="1"/>
  <c r="T201" i="16"/>
  <c r="U201" i="16" s="1"/>
  <c r="V201" i="16" s="1"/>
  <c r="AA201" i="16"/>
  <c r="AB201" i="16" s="1"/>
  <c r="AC201" i="16" s="1"/>
  <c r="L203" i="16" l="1"/>
  <c r="K204" i="16"/>
  <c r="AP202" i="16"/>
  <c r="AQ202" i="16" s="1"/>
  <c r="AR202" i="16" s="1"/>
  <c r="AI202" i="16"/>
  <c r="AJ202" i="16" s="1"/>
  <c r="AK202" i="16" s="1"/>
  <c r="AA202" i="16"/>
  <c r="AB202" i="16" s="1"/>
  <c r="AC202" i="16" s="1"/>
  <c r="M202" i="16"/>
  <c r="N202" i="16"/>
  <c r="S202" i="16"/>
  <c r="T202" i="16"/>
  <c r="U202" i="16" s="1"/>
  <c r="V202" i="16" s="1"/>
  <c r="X202" i="16"/>
  <c r="Y202" i="16" s="1"/>
  <c r="Z202" i="16" s="1"/>
  <c r="K205" i="16" l="1"/>
  <c r="L204" i="16"/>
  <c r="T203" i="16"/>
  <c r="U203" i="16" s="1"/>
  <c r="V203" i="16" s="1"/>
  <c r="X203" i="16"/>
  <c r="Y203" i="16" s="1"/>
  <c r="Z203" i="16" s="1"/>
  <c r="AA203" i="16"/>
  <c r="AB203" i="16" s="1"/>
  <c r="AC203" i="16" s="1"/>
  <c r="M203" i="16"/>
  <c r="AI203" i="16"/>
  <c r="AJ203" i="16" s="1"/>
  <c r="AK203" i="16" s="1"/>
  <c r="AP203" i="16"/>
  <c r="AQ203" i="16" s="1"/>
  <c r="AR203" i="16" s="1"/>
  <c r="S203" i="16"/>
  <c r="N203" i="16"/>
  <c r="T204" i="16" l="1"/>
  <c r="U204" i="16" s="1"/>
  <c r="V204" i="16" s="1"/>
  <c r="S204" i="16"/>
  <c r="AP204" i="16"/>
  <c r="AQ204" i="16" s="1"/>
  <c r="AR204" i="16" s="1"/>
  <c r="X204" i="16"/>
  <c r="Y204" i="16" s="1"/>
  <c r="Z204" i="16" s="1"/>
  <c r="AA204" i="16"/>
  <c r="AB204" i="16" s="1"/>
  <c r="AC204" i="16" s="1"/>
  <c r="M204" i="16"/>
  <c r="N204" i="16"/>
  <c r="AI204" i="16"/>
  <c r="AJ204" i="16" s="1"/>
  <c r="AK204" i="16" s="1"/>
  <c r="L205" i="16"/>
  <c r="K206" i="16"/>
  <c r="S205" i="16" l="1"/>
  <c r="M205" i="16"/>
  <c r="X205" i="16"/>
  <c r="Y205" i="16" s="1"/>
  <c r="Z205" i="16" s="1"/>
  <c r="T205" i="16"/>
  <c r="U205" i="16" s="1"/>
  <c r="V205" i="16" s="1"/>
  <c r="AA205" i="16"/>
  <c r="AB205" i="16" s="1"/>
  <c r="AC205" i="16" s="1"/>
  <c r="AI205" i="16"/>
  <c r="AJ205" i="16" s="1"/>
  <c r="AK205" i="16" s="1"/>
  <c r="AP205" i="16"/>
  <c r="AQ205" i="16" s="1"/>
  <c r="AR205" i="16" s="1"/>
  <c r="N205" i="16"/>
  <c r="L206" i="16"/>
  <c r="K207" i="16"/>
  <c r="L207" i="16" l="1"/>
  <c r="K208" i="16"/>
  <c r="AI206" i="16"/>
  <c r="AJ206" i="16" s="1"/>
  <c r="AK206" i="16" s="1"/>
  <c r="T206" i="16"/>
  <c r="U206" i="16" s="1"/>
  <c r="V206" i="16" s="1"/>
  <c r="N206" i="16"/>
  <c r="AA206" i="16"/>
  <c r="AB206" i="16" s="1"/>
  <c r="AC206" i="16" s="1"/>
  <c r="X206" i="16"/>
  <c r="Y206" i="16" s="1"/>
  <c r="Z206" i="16" s="1"/>
  <c r="M206" i="16"/>
  <c r="S206" i="16"/>
  <c r="AP206" i="16"/>
  <c r="AQ206" i="16" s="1"/>
  <c r="AR206" i="16" s="1"/>
  <c r="K209" i="16" l="1"/>
  <c r="L208" i="16"/>
  <c r="S207" i="16"/>
  <c r="AA207" i="16"/>
  <c r="AB207" i="16" s="1"/>
  <c r="AC207" i="16" s="1"/>
  <c r="M207" i="16"/>
  <c r="AI207" i="16"/>
  <c r="AJ207" i="16" s="1"/>
  <c r="AK207" i="16" s="1"/>
  <c r="AP207" i="16"/>
  <c r="AQ207" i="16" s="1"/>
  <c r="AR207" i="16" s="1"/>
  <c r="X207" i="16"/>
  <c r="Y207" i="16" s="1"/>
  <c r="Z207" i="16" s="1"/>
  <c r="N207" i="16"/>
  <c r="T207" i="16"/>
  <c r="U207" i="16" s="1"/>
  <c r="V207" i="16" s="1"/>
  <c r="AI208" i="16" l="1"/>
  <c r="AJ208" i="16" s="1"/>
  <c r="AK208" i="16" s="1"/>
  <c r="S208" i="16"/>
  <c r="AP208" i="16"/>
  <c r="AQ208" i="16" s="1"/>
  <c r="AR208" i="16" s="1"/>
  <c r="X208" i="16"/>
  <c r="Y208" i="16" s="1"/>
  <c r="Z208" i="16" s="1"/>
  <c r="AA208" i="16"/>
  <c r="AB208" i="16" s="1"/>
  <c r="AC208" i="16" s="1"/>
  <c r="M208" i="16"/>
  <c r="T208" i="16"/>
  <c r="U208" i="16" s="1"/>
  <c r="V208" i="16" s="1"/>
  <c r="N208" i="16"/>
  <c r="L209" i="16"/>
  <c r="K210" i="16"/>
  <c r="L210" i="16" l="1"/>
  <c r="K211" i="16"/>
  <c r="AP209" i="16"/>
  <c r="AQ209" i="16" s="1"/>
  <c r="AR209" i="16" s="1"/>
  <c r="X209" i="16"/>
  <c r="Y209" i="16" s="1"/>
  <c r="Z209" i="16" s="1"/>
  <c r="AA209" i="16"/>
  <c r="AB209" i="16" s="1"/>
  <c r="AC209" i="16" s="1"/>
  <c r="M209" i="16"/>
  <c r="S209" i="16"/>
  <c r="T209" i="16"/>
  <c r="U209" i="16" s="1"/>
  <c r="V209" i="16" s="1"/>
  <c r="AI209" i="16"/>
  <c r="AJ209" i="16" s="1"/>
  <c r="AK209" i="16" s="1"/>
  <c r="N209" i="16"/>
  <c r="L211" i="16" l="1"/>
  <c r="K212" i="16"/>
  <c r="AP210" i="16"/>
  <c r="AQ210" i="16" s="1"/>
  <c r="AR210" i="16" s="1"/>
  <c r="M210" i="16"/>
  <c r="T210" i="16"/>
  <c r="U210" i="16" s="1"/>
  <c r="V210" i="16" s="1"/>
  <c r="N210" i="16"/>
  <c r="S210" i="16"/>
  <c r="X210" i="16"/>
  <c r="Y210" i="16" s="1"/>
  <c r="Z210" i="16" s="1"/>
  <c r="AA210" i="16"/>
  <c r="AB210" i="16" s="1"/>
  <c r="AC210" i="16" s="1"/>
  <c r="AI210" i="16"/>
  <c r="AJ210" i="16" s="1"/>
  <c r="AK210" i="16" s="1"/>
  <c r="L212" i="16" l="1"/>
  <c r="K213" i="16"/>
  <c r="X211" i="16"/>
  <c r="Y211" i="16" s="1"/>
  <c r="Z211" i="16" s="1"/>
  <c r="AP211" i="16"/>
  <c r="AQ211" i="16" s="1"/>
  <c r="AR211" i="16" s="1"/>
  <c r="N211" i="16"/>
  <c r="AA211" i="16"/>
  <c r="AB211" i="16" s="1"/>
  <c r="AC211" i="16" s="1"/>
  <c r="S211" i="16"/>
  <c r="T211" i="16"/>
  <c r="U211" i="16" s="1"/>
  <c r="V211" i="16" s="1"/>
  <c r="AI211" i="16"/>
  <c r="AJ211" i="16" s="1"/>
  <c r="AK211" i="16" s="1"/>
  <c r="M211" i="16"/>
  <c r="L213" i="16" l="1"/>
  <c r="K214" i="16"/>
  <c r="X212" i="16"/>
  <c r="Y212" i="16" s="1"/>
  <c r="Z212" i="16" s="1"/>
  <c r="M212" i="16"/>
  <c r="N212" i="16"/>
  <c r="AA212" i="16"/>
  <c r="AB212" i="16" s="1"/>
  <c r="AC212" i="16" s="1"/>
  <c r="AI212" i="16"/>
  <c r="AJ212" i="16" s="1"/>
  <c r="AK212" i="16" s="1"/>
  <c r="S212" i="16"/>
  <c r="T212" i="16"/>
  <c r="U212" i="16" s="1"/>
  <c r="V212" i="16" s="1"/>
  <c r="AP212" i="16"/>
  <c r="AQ212" i="16" s="1"/>
  <c r="AR212" i="16" s="1"/>
  <c r="L214" i="16" l="1"/>
  <c r="K215" i="16"/>
  <c r="AP213" i="16"/>
  <c r="AQ213" i="16" s="1"/>
  <c r="AR213" i="16" s="1"/>
  <c r="M213" i="16"/>
  <c r="N213" i="16"/>
  <c r="AA213" i="16"/>
  <c r="AB213" i="16" s="1"/>
  <c r="AC213" i="16" s="1"/>
  <c r="AI213" i="16"/>
  <c r="AJ213" i="16" s="1"/>
  <c r="AK213" i="16" s="1"/>
  <c r="X213" i="16"/>
  <c r="Y213" i="16" s="1"/>
  <c r="Z213" i="16" s="1"/>
  <c r="S213" i="16"/>
  <c r="T213" i="16"/>
  <c r="U213" i="16" s="1"/>
  <c r="V213" i="16" s="1"/>
  <c r="L215" i="16" l="1"/>
  <c r="K216" i="16"/>
  <c r="T214" i="16"/>
  <c r="U214" i="16" s="1"/>
  <c r="V214" i="16" s="1"/>
  <c r="X214" i="16"/>
  <c r="Y214" i="16" s="1"/>
  <c r="Z214" i="16" s="1"/>
  <c r="AP214" i="16"/>
  <c r="AQ214" i="16" s="1"/>
  <c r="AR214" i="16" s="1"/>
  <c r="M214" i="16"/>
  <c r="N214" i="16"/>
  <c r="S214" i="16"/>
  <c r="AA214" i="16"/>
  <c r="AB214" i="16" s="1"/>
  <c r="AC214" i="16" s="1"/>
  <c r="AI214" i="16"/>
  <c r="AJ214" i="16" s="1"/>
  <c r="AK214" i="16" s="1"/>
  <c r="K217" i="16" l="1"/>
  <c r="L216" i="16"/>
  <c r="S215" i="16"/>
  <c r="T215" i="16"/>
  <c r="U215" i="16" s="1"/>
  <c r="V215" i="16" s="1"/>
  <c r="X215" i="16"/>
  <c r="Y215" i="16" s="1"/>
  <c r="Z215" i="16" s="1"/>
  <c r="AP215" i="16"/>
  <c r="AQ215" i="16" s="1"/>
  <c r="AR215" i="16" s="1"/>
  <c r="M215" i="16"/>
  <c r="AI215" i="16"/>
  <c r="AJ215" i="16" s="1"/>
  <c r="AK215" i="16" s="1"/>
  <c r="N215" i="16"/>
  <c r="AA215" i="16"/>
  <c r="AB215" i="16" s="1"/>
  <c r="AC215" i="16" s="1"/>
  <c r="AI216" i="16" l="1"/>
  <c r="AJ216" i="16" s="1"/>
  <c r="AK216" i="16" s="1"/>
  <c r="S216" i="16"/>
  <c r="X216" i="16"/>
  <c r="Y216" i="16" s="1"/>
  <c r="Z216" i="16" s="1"/>
  <c r="N216" i="16"/>
  <c r="AA216" i="16"/>
  <c r="AB216" i="16" s="1"/>
  <c r="AC216" i="16" s="1"/>
  <c r="AP216" i="16"/>
  <c r="AQ216" i="16" s="1"/>
  <c r="AR216" i="16" s="1"/>
  <c r="T216" i="16"/>
  <c r="U216" i="16" s="1"/>
  <c r="V216" i="16" s="1"/>
  <c r="M216" i="16"/>
  <c r="L217" i="16"/>
  <c r="K218" i="16"/>
  <c r="L218" i="16" l="1"/>
  <c r="K219" i="16"/>
  <c r="AI217" i="16"/>
  <c r="AJ217" i="16" s="1"/>
  <c r="AK217" i="16" s="1"/>
  <c r="T217" i="16"/>
  <c r="U217" i="16" s="1"/>
  <c r="V217" i="16" s="1"/>
  <c r="M217" i="16"/>
  <c r="AP217" i="16"/>
  <c r="AQ217" i="16" s="1"/>
  <c r="AR217" i="16" s="1"/>
  <c r="X217" i="16"/>
  <c r="Y217" i="16" s="1"/>
  <c r="Z217" i="16" s="1"/>
  <c r="N217" i="16"/>
  <c r="S217" i="16"/>
  <c r="AA217" i="16"/>
  <c r="AB217" i="16" s="1"/>
  <c r="AC217" i="16" s="1"/>
  <c r="K220" i="16" l="1"/>
  <c r="L219" i="16"/>
  <c r="S218" i="16"/>
  <c r="T218" i="16"/>
  <c r="U218" i="16" s="1"/>
  <c r="V218" i="16" s="1"/>
  <c r="AP218" i="16"/>
  <c r="AQ218" i="16" s="1"/>
  <c r="AR218" i="16" s="1"/>
  <c r="M218" i="16"/>
  <c r="X218" i="16"/>
  <c r="Y218" i="16" s="1"/>
  <c r="Z218" i="16" s="1"/>
  <c r="AA218" i="16"/>
  <c r="AB218" i="16" s="1"/>
  <c r="AC218" i="16" s="1"/>
  <c r="N218" i="16"/>
  <c r="AI218" i="16"/>
  <c r="AJ218" i="16" s="1"/>
  <c r="AK218" i="16" s="1"/>
  <c r="AI219" i="16" l="1"/>
  <c r="AJ219" i="16" s="1"/>
  <c r="AK219" i="16" s="1"/>
  <c r="S219" i="16"/>
  <c r="T219" i="16"/>
  <c r="U219" i="16" s="1"/>
  <c r="V219" i="16" s="1"/>
  <c r="X219" i="16"/>
  <c r="Y219" i="16" s="1"/>
  <c r="Z219" i="16" s="1"/>
  <c r="AA219" i="16"/>
  <c r="AB219" i="16" s="1"/>
  <c r="AC219" i="16" s="1"/>
  <c r="N219" i="16"/>
  <c r="M219" i="16"/>
  <c r="AP219" i="16"/>
  <c r="AQ219" i="16" s="1"/>
  <c r="AR219" i="16" s="1"/>
  <c r="K221" i="16"/>
  <c r="L220" i="16"/>
  <c r="N220" i="16" l="1"/>
  <c r="AA220" i="16"/>
  <c r="AB220" i="16" s="1"/>
  <c r="AC220" i="16" s="1"/>
  <c r="AI220" i="16"/>
  <c r="AJ220" i="16" s="1"/>
  <c r="AK220" i="16" s="1"/>
  <c r="S220" i="16"/>
  <c r="X220" i="16"/>
  <c r="Y220" i="16" s="1"/>
  <c r="Z220" i="16" s="1"/>
  <c r="M220" i="16"/>
  <c r="T220" i="16"/>
  <c r="U220" i="16" s="1"/>
  <c r="V220" i="16" s="1"/>
  <c r="AP220" i="16"/>
  <c r="AQ220" i="16" s="1"/>
  <c r="AR220" i="16" s="1"/>
  <c r="K222" i="16"/>
  <c r="L221" i="16"/>
  <c r="M221" i="16" l="1"/>
  <c r="N221" i="16"/>
  <c r="AA221" i="16"/>
  <c r="AB221" i="16" s="1"/>
  <c r="AC221" i="16" s="1"/>
  <c r="AI221" i="16"/>
  <c r="AJ221" i="16" s="1"/>
  <c r="AK221" i="16" s="1"/>
  <c r="S221" i="16"/>
  <c r="T221" i="16"/>
  <c r="U221" i="16" s="1"/>
  <c r="V221" i="16" s="1"/>
  <c r="X221" i="16"/>
  <c r="Y221" i="16" s="1"/>
  <c r="Z221" i="16" s="1"/>
  <c r="AP221" i="16"/>
  <c r="AQ221" i="16" s="1"/>
  <c r="AR221" i="16" s="1"/>
  <c r="L222" i="16"/>
  <c r="K223" i="16"/>
  <c r="L223" i="16" l="1"/>
  <c r="K224" i="16"/>
  <c r="AP222" i="16"/>
  <c r="AQ222" i="16" s="1"/>
  <c r="AR222" i="16" s="1"/>
  <c r="M222" i="16"/>
  <c r="T222" i="16"/>
  <c r="U222" i="16" s="1"/>
  <c r="V222" i="16" s="1"/>
  <c r="N222" i="16"/>
  <c r="S222" i="16"/>
  <c r="X222" i="16"/>
  <c r="Y222" i="16" s="1"/>
  <c r="Z222" i="16" s="1"/>
  <c r="AA222" i="16"/>
  <c r="AB222" i="16" s="1"/>
  <c r="AC222" i="16" s="1"/>
  <c r="AI222" i="16"/>
  <c r="AJ222" i="16" s="1"/>
  <c r="AK222" i="16" s="1"/>
  <c r="L224" i="16" l="1"/>
  <c r="K225" i="16"/>
  <c r="X223" i="16"/>
  <c r="Y223" i="16" s="1"/>
  <c r="Z223" i="16" s="1"/>
  <c r="AP223" i="16"/>
  <c r="AQ223" i="16" s="1"/>
  <c r="AR223" i="16" s="1"/>
  <c r="N223" i="16"/>
  <c r="AA223" i="16"/>
  <c r="AB223" i="16" s="1"/>
  <c r="AC223" i="16" s="1"/>
  <c r="S223" i="16"/>
  <c r="T223" i="16"/>
  <c r="U223" i="16" s="1"/>
  <c r="V223" i="16" s="1"/>
  <c r="M223" i="16"/>
  <c r="AI223" i="16"/>
  <c r="AJ223" i="16" s="1"/>
  <c r="AK223" i="16" s="1"/>
  <c r="L225" i="16" l="1"/>
  <c r="K226" i="16"/>
  <c r="X224" i="16"/>
  <c r="Y224" i="16" s="1"/>
  <c r="Z224" i="16" s="1"/>
  <c r="M224" i="16"/>
  <c r="N224" i="16"/>
  <c r="AA224" i="16"/>
  <c r="AB224" i="16" s="1"/>
  <c r="AC224" i="16" s="1"/>
  <c r="AP224" i="16"/>
  <c r="AQ224" i="16" s="1"/>
  <c r="AR224" i="16" s="1"/>
  <c r="S224" i="16"/>
  <c r="AI224" i="16"/>
  <c r="AJ224" i="16" s="1"/>
  <c r="AK224" i="16" s="1"/>
  <c r="T224" i="16"/>
  <c r="U224" i="16" s="1"/>
  <c r="V224" i="16" s="1"/>
  <c r="L226" i="16" l="1"/>
  <c r="K227" i="16"/>
  <c r="AP225" i="16"/>
  <c r="AQ225" i="16" s="1"/>
  <c r="AR225" i="16" s="1"/>
  <c r="M225" i="16"/>
  <c r="AI225" i="16"/>
  <c r="AJ225" i="16" s="1"/>
  <c r="AK225" i="16" s="1"/>
  <c r="T225" i="16"/>
  <c r="U225" i="16" s="1"/>
  <c r="V225" i="16" s="1"/>
  <c r="X225" i="16"/>
  <c r="Y225" i="16" s="1"/>
  <c r="Z225" i="16" s="1"/>
  <c r="AA225" i="16"/>
  <c r="AB225" i="16" s="1"/>
  <c r="AC225" i="16" s="1"/>
  <c r="N225" i="16"/>
  <c r="S225" i="16"/>
  <c r="K228" i="16" l="1"/>
  <c r="L227" i="16"/>
  <c r="T226" i="16"/>
  <c r="U226" i="16" s="1"/>
  <c r="V226" i="16" s="1"/>
  <c r="AP226" i="16"/>
  <c r="AQ226" i="16" s="1"/>
  <c r="AR226" i="16" s="1"/>
  <c r="AA226" i="16"/>
  <c r="AB226" i="16" s="1"/>
  <c r="AC226" i="16" s="1"/>
  <c r="N226" i="16"/>
  <c r="AI226" i="16"/>
  <c r="AJ226" i="16" s="1"/>
  <c r="AK226" i="16" s="1"/>
  <c r="M226" i="16"/>
  <c r="S226" i="16"/>
  <c r="X226" i="16"/>
  <c r="Y226" i="16" s="1"/>
  <c r="Z226" i="16" s="1"/>
  <c r="S227" i="16" l="1"/>
  <c r="X227" i="16"/>
  <c r="Y227" i="16" s="1"/>
  <c r="Z227" i="16" s="1"/>
  <c r="T227" i="16"/>
  <c r="U227" i="16" s="1"/>
  <c r="V227" i="16" s="1"/>
  <c r="AP227" i="16"/>
  <c r="AQ227" i="16" s="1"/>
  <c r="AR227" i="16" s="1"/>
  <c r="AI227" i="16"/>
  <c r="AJ227" i="16" s="1"/>
  <c r="AK227" i="16" s="1"/>
  <c r="N227" i="16"/>
  <c r="M227" i="16"/>
  <c r="AA227" i="16"/>
  <c r="AB227" i="16" s="1"/>
  <c r="AC227" i="16" s="1"/>
  <c r="L228" i="16"/>
  <c r="K229" i="16"/>
  <c r="L229" i="16" l="1"/>
  <c r="K230" i="16"/>
  <c r="AI228" i="16"/>
  <c r="AJ228" i="16" s="1"/>
  <c r="AK228" i="16" s="1"/>
  <c r="X228" i="16"/>
  <c r="Y228" i="16" s="1"/>
  <c r="Z228" i="16" s="1"/>
  <c r="AA228" i="16"/>
  <c r="AB228" i="16" s="1"/>
  <c r="AC228" i="16" s="1"/>
  <c r="AP228" i="16"/>
  <c r="AQ228" i="16" s="1"/>
  <c r="AR228" i="16" s="1"/>
  <c r="T228" i="16"/>
  <c r="U228" i="16" s="1"/>
  <c r="V228" i="16" s="1"/>
  <c r="M228" i="16"/>
  <c r="N228" i="16"/>
  <c r="S228" i="16"/>
  <c r="L230" i="16" l="1"/>
  <c r="K231" i="16"/>
  <c r="M229" i="16"/>
  <c r="AA229" i="16"/>
  <c r="AB229" i="16" s="1"/>
  <c r="AC229" i="16" s="1"/>
  <c r="S229" i="16"/>
  <c r="AI229" i="16"/>
  <c r="AJ229" i="16" s="1"/>
  <c r="AK229" i="16" s="1"/>
  <c r="N229" i="16"/>
  <c r="AP229" i="16"/>
  <c r="AQ229" i="16" s="1"/>
  <c r="AR229" i="16" s="1"/>
  <c r="T229" i="16"/>
  <c r="U229" i="16" s="1"/>
  <c r="V229" i="16" s="1"/>
  <c r="X229" i="16"/>
  <c r="Y229" i="16" s="1"/>
  <c r="Z229" i="16" s="1"/>
  <c r="K232" i="16" l="1"/>
  <c r="L231" i="16"/>
  <c r="T230" i="16"/>
  <c r="U230" i="16" s="1"/>
  <c r="V230" i="16" s="1"/>
  <c r="AI230" i="16"/>
  <c r="AJ230" i="16" s="1"/>
  <c r="AK230" i="16" s="1"/>
  <c r="N230" i="16"/>
  <c r="AP230" i="16"/>
  <c r="AQ230" i="16" s="1"/>
  <c r="AR230" i="16" s="1"/>
  <c r="M230" i="16"/>
  <c r="S230" i="16"/>
  <c r="AA230" i="16"/>
  <c r="AB230" i="16" s="1"/>
  <c r="AC230" i="16" s="1"/>
  <c r="X230" i="16"/>
  <c r="Y230" i="16" s="1"/>
  <c r="Z230" i="16" s="1"/>
  <c r="S231" i="16" l="1"/>
  <c r="T231" i="16"/>
  <c r="U231" i="16" s="1"/>
  <c r="V231" i="16" s="1"/>
  <c r="X231" i="16"/>
  <c r="Y231" i="16" s="1"/>
  <c r="Z231" i="16" s="1"/>
  <c r="AP231" i="16"/>
  <c r="AQ231" i="16" s="1"/>
  <c r="AR231" i="16" s="1"/>
  <c r="N231" i="16"/>
  <c r="AA231" i="16"/>
  <c r="AB231" i="16" s="1"/>
  <c r="AC231" i="16" s="1"/>
  <c r="AI231" i="16"/>
  <c r="AJ231" i="16" s="1"/>
  <c r="AK231" i="16" s="1"/>
  <c r="M231" i="16"/>
  <c r="K233" i="16"/>
  <c r="L232" i="16"/>
  <c r="AI232" i="16" l="1"/>
  <c r="AJ232" i="16" s="1"/>
  <c r="AK232" i="16" s="1"/>
  <c r="T232" i="16"/>
  <c r="U232" i="16" s="1"/>
  <c r="V232" i="16" s="1"/>
  <c r="M232" i="16"/>
  <c r="AP232" i="16"/>
  <c r="AQ232" i="16" s="1"/>
  <c r="AR232" i="16" s="1"/>
  <c r="S232" i="16"/>
  <c r="X232" i="16"/>
  <c r="Y232" i="16" s="1"/>
  <c r="Z232" i="16" s="1"/>
  <c r="AA232" i="16"/>
  <c r="AB232" i="16" s="1"/>
  <c r="AC232" i="16" s="1"/>
  <c r="N232" i="16"/>
  <c r="L233" i="16"/>
  <c r="K234" i="16"/>
  <c r="L234" i="16" l="1"/>
  <c r="K235" i="16"/>
  <c r="AP233" i="16"/>
  <c r="AQ233" i="16" s="1"/>
  <c r="AR233" i="16" s="1"/>
  <c r="M233" i="16"/>
  <c r="N233" i="16"/>
  <c r="AI233" i="16"/>
  <c r="AJ233" i="16" s="1"/>
  <c r="AK233" i="16" s="1"/>
  <c r="T233" i="16"/>
  <c r="U233" i="16" s="1"/>
  <c r="V233" i="16" s="1"/>
  <c r="X233" i="16"/>
  <c r="Y233" i="16" s="1"/>
  <c r="Z233" i="16" s="1"/>
  <c r="S233" i="16"/>
  <c r="AA233" i="16"/>
  <c r="AB233" i="16" s="1"/>
  <c r="AC233" i="16" s="1"/>
  <c r="K236" i="16" l="1"/>
  <c r="L235" i="16"/>
  <c r="T234" i="16"/>
  <c r="U234" i="16" s="1"/>
  <c r="V234" i="16" s="1"/>
  <c r="X234" i="16"/>
  <c r="Y234" i="16" s="1"/>
  <c r="Z234" i="16" s="1"/>
  <c r="S234" i="16"/>
  <c r="AP234" i="16"/>
  <c r="AQ234" i="16" s="1"/>
  <c r="AR234" i="16" s="1"/>
  <c r="AA234" i="16"/>
  <c r="AB234" i="16" s="1"/>
  <c r="AC234" i="16" s="1"/>
  <c r="N234" i="16"/>
  <c r="AI234" i="16"/>
  <c r="AJ234" i="16" s="1"/>
  <c r="AK234" i="16" s="1"/>
  <c r="M234" i="16"/>
  <c r="S235" i="16" l="1"/>
  <c r="M235" i="16"/>
  <c r="T235" i="16"/>
  <c r="U235" i="16" s="1"/>
  <c r="V235" i="16" s="1"/>
  <c r="AP235" i="16"/>
  <c r="AQ235" i="16" s="1"/>
  <c r="AR235" i="16" s="1"/>
  <c r="AA235" i="16"/>
  <c r="AB235" i="16" s="1"/>
  <c r="AC235" i="16" s="1"/>
  <c r="AI235" i="16"/>
  <c r="AJ235" i="16" s="1"/>
  <c r="AK235" i="16" s="1"/>
  <c r="N235" i="16"/>
  <c r="X235" i="16"/>
  <c r="Y235" i="16" s="1"/>
  <c r="Z235" i="16" s="1"/>
  <c r="L236" i="16"/>
  <c r="K237" i="16"/>
  <c r="K238" i="16" l="1"/>
  <c r="L237" i="16"/>
  <c r="AI236" i="16"/>
  <c r="AJ236" i="16" s="1"/>
  <c r="AK236" i="16" s="1"/>
  <c r="N236" i="16"/>
  <c r="AA236" i="16"/>
  <c r="AB236" i="16" s="1"/>
  <c r="AC236" i="16" s="1"/>
  <c r="X236" i="16"/>
  <c r="Y236" i="16" s="1"/>
  <c r="Z236" i="16" s="1"/>
  <c r="M236" i="16"/>
  <c r="S236" i="16"/>
  <c r="T236" i="16"/>
  <c r="U236" i="16" s="1"/>
  <c r="V236" i="16" s="1"/>
  <c r="AP236" i="16"/>
  <c r="AQ236" i="16" s="1"/>
  <c r="AR236" i="16" s="1"/>
  <c r="T237" i="16" l="1"/>
  <c r="U237" i="16" s="1"/>
  <c r="V237" i="16" s="1"/>
  <c r="M237" i="16"/>
  <c r="AI237" i="16"/>
  <c r="AJ237" i="16" s="1"/>
  <c r="AK237" i="16" s="1"/>
  <c r="S237" i="16"/>
  <c r="AP237" i="16"/>
  <c r="AQ237" i="16" s="1"/>
  <c r="AR237" i="16" s="1"/>
  <c r="X237" i="16"/>
  <c r="Y237" i="16" s="1"/>
  <c r="Z237" i="16" s="1"/>
  <c r="AA237" i="16"/>
  <c r="AB237" i="16" s="1"/>
  <c r="AC237" i="16" s="1"/>
  <c r="N237" i="16"/>
  <c r="L238" i="16"/>
  <c r="K239" i="16"/>
  <c r="AP238" i="16" l="1"/>
  <c r="AQ238" i="16" s="1"/>
  <c r="AR238" i="16" s="1"/>
  <c r="T238" i="16"/>
  <c r="U238" i="16" s="1"/>
  <c r="V238" i="16" s="1"/>
  <c r="X238" i="16"/>
  <c r="Y238" i="16" s="1"/>
  <c r="Z238" i="16" s="1"/>
  <c r="M238" i="16"/>
  <c r="N238" i="16"/>
  <c r="AA238" i="16"/>
  <c r="AB238" i="16" s="1"/>
  <c r="AC238" i="16" s="1"/>
  <c r="AI238" i="16"/>
  <c r="AJ238" i="16" s="1"/>
  <c r="AK238" i="16" s="1"/>
  <c r="S238" i="16"/>
  <c r="K240" i="16"/>
  <c r="L239" i="16"/>
  <c r="X239" i="16" l="1"/>
  <c r="Y239" i="16" s="1"/>
  <c r="Z239" i="16" s="1"/>
  <c r="M239" i="16"/>
  <c r="AA239" i="16"/>
  <c r="AB239" i="16" s="1"/>
  <c r="AC239" i="16" s="1"/>
  <c r="N239" i="16"/>
  <c r="AI239" i="16"/>
  <c r="AJ239" i="16" s="1"/>
  <c r="AK239" i="16" s="1"/>
  <c r="S239" i="16"/>
  <c r="T239" i="16"/>
  <c r="U239" i="16" s="1"/>
  <c r="V239" i="16" s="1"/>
  <c r="AP239" i="16"/>
  <c r="AQ239" i="16" s="1"/>
  <c r="AR239" i="16" s="1"/>
  <c r="K241" i="16"/>
  <c r="L240" i="16"/>
  <c r="M240" i="16" l="1"/>
  <c r="AA240" i="16"/>
  <c r="AB240" i="16" s="1"/>
  <c r="AC240" i="16" s="1"/>
  <c r="N240" i="16"/>
  <c r="AI240" i="16"/>
  <c r="AJ240" i="16" s="1"/>
  <c r="AK240" i="16" s="1"/>
  <c r="S240" i="16"/>
  <c r="T240" i="16"/>
  <c r="U240" i="16" s="1"/>
  <c r="V240" i="16" s="1"/>
  <c r="X240" i="16"/>
  <c r="Y240" i="16" s="1"/>
  <c r="Z240" i="16" s="1"/>
  <c r="AP240" i="16"/>
  <c r="AQ240" i="16" s="1"/>
  <c r="AR240" i="16" s="1"/>
  <c r="K242" i="16"/>
  <c r="L241" i="16"/>
  <c r="M241" i="16" l="1"/>
  <c r="AA241" i="16"/>
  <c r="AB241" i="16" s="1"/>
  <c r="AC241" i="16" s="1"/>
  <c r="AI241" i="16"/>
  <c r="AJ241" i="16" s="1"/>
  <c r="AK241" i="16" s="1"/>
  <c r="S241" i="16"/>
  <c r="X241" i="16"/>
  <c r="Y241" i="16" s="1"/>
  <c r="Z241" i="16" s="1"/>
  <c r="AP241" i="16"/>
  <c r="AQ241" i="16" s="1"/>
  <c r="AR241" i="16" s="1"/>
  <c r="N241" i="16"/>
  <c r="T241" i="16"/>
  <c r="U241" i="16" s="1"/>
  <c r="V241" i="16" s="1"/>
  <c r="L242" i="16"/>
  <c r="K243" i="16"/>
  <c r="K244" i="16" l="1"/>
  <c r="L243" i="16"/>
  <c r="T242" i="16"/>
  <c r="U242" i="16" s="1"/>
  <c r="V242" i="16" s="1"/>
  <c r="AI242" i="16"/>
  <c r="AJ242" i="16" s="1"/>
  <c r="AK242" i="16" s="1"/>
  <c r="S242" i="16"/>
  <c r="M242" i="16"/>
  <c r="AA242" i="16"/>
  <c r="AB242" i="16" s="1"/>
  <c r="AC242" i="16" s="1"/>
  <c r="N242" i="16"/>
  <c r="X242" i="16"/>
  <c r="Y242" i="16" s="1"/>
  <c r="Z242" i="16" s="1"/>
  <c r="AP242" i="16"/>
  <c r="AQ242" i="16" s="1"/>
  <c r="AR242" i="16" s="1"/>
  <c r="S243" i="16" l="1"/>
  <c r="T243" i="16"/>
  <c r="U243" i="16" s="1"/>
  <c r="V243" i="16" s="1"/>
  <c r="X243" i="16"/>
  <c r="Y243" i="16" s="1"/>
  <c r="Z243" i="16" s="1"/>
  <c r="AP243" i="16"/>
  <c r="AQ243" i="16" s="1"/>
  <c r="AR243" i="16" s="1"/>
  <c r="M243" i="16"/>
  <c r="AA243" i="16"/>
  <c r="AB243" i="16" s="1"/>
  <c r="AC243" i="16" s="1"/>
  <c r="N243" i="16"/>
  <c r="AI243" i="16"/>
  <c r="AJ243" i="16" s="1"/>
  <c r="AK243" i="16" s="1"/>
  <c r="L244" i="16"/>
  <c r="K245" i="16"/>
  <c r="L245" i="16" l="1"/>
  <c r="K246" i="16"/>
  <c r="S244" i="16"/>
  <c r="T244" i="16"/>
  <c r="U244" i="16" s="1"/>
  <c r="V244" i="16" s="1"/>
  <c r="X244" i="16"/>
  <c r="Y244" i="16" s="1"/>
  <c r="Z244" i="16" s="1"/>
  <c r="M244" i="16"/>
  <c r="N244" i="16"/>
  <c r="AA244" i="16"/>
  <c r="AB244" i="16" s="1"/>
  <c r="AC244" i="16" s="1"/>
  <c r="AI244" i="16"/>
  <c r="AJ244" i="16" s="1"/>
  <c r="AK244" i="16" s="1"/>
  <c r="AP244" i="16"/>
  <c r="AQ244" i="16" s="1"/>
  <c r="AR244" i="16" s="1"/>
  <c r="L246" i="16" l="1"/>
  <c r="K247" i="16"/>
  <c r="AI245" i="16"/>
  <c r="AJ245" i="16" s="1"/>
  <c r="AK245" i="16" s="1"/>
  <c r="S245" i="16"/>
  <c r="T245" i="16"/>
  <c r="U245" i="16" s="1"/>
  <c r="V245" i="16" s="1"/>
  <c r="AP245" i="16"/>
  <c r="AQ245" i="16" s="1"/>
  <c r="AR245" i="16" s="1"/>
  <c r="M245" i="16"/>
  <c r="N245" i="16"/>
  <c r="AA245" i="16"/>
  <c r="AB245" i="16" s="1"/>
  <c r="AC245" i="16" s="1"/>
  <c r="X245" i="16"/>
  <c r="Y245" i="16" s="1"/>
  <c r="Z245" i="16" s="1"/>
  <c r="L247" i="16" l="1"/>
  <c r="K248" i="16"/>
  <c r="AI246" i="16"/>
  <c r="AJ246" i="16" s="1"/>
  <c r="AK246" i="16" s="1"/>
  <c r="S246" i="16"/>
  <c r="T246" i="16"/>
  <c r="U246" i="16" s="1"/>
  <c r="V246" i="16" s="1"/>
  <c r="X246" i="16"/>
  <c r="Y246" i="16" s="1"/>
  <c r="Z246" i="16" s="1"/>
  <c r="AP246" i="16"/>
  <c r="AQ246" i="16" s="1"/>
  <c r="AR246" i="16" s="1"/>
  <c r="M246" i="16"/>
  <c r="N246" i="16"/>
  <c r="AA246" i="16"/>
  <c r="AB246" i="16" s="1"/>
  <c r="AC246" i="16" s="1"/>
  <c r="K249" i="16" l="1"/>
  <c r="L248" i="16"/>
  <c r="N247" i="16"/>
  <c r="AA247" i="16"/>
  <c r="AB247" i="16" s="1"/>
  <c r="AC247" i="16" s="1"/>
  <c r="AI247" i="16"/>
  <c r="AJ247" i="16" s="1"/>
  <c r="AK247" i="16" s="1"/>
  <c r="S247" i="16"/>
  <c r="T247" i="16"/>
  <c r="U247" i="16" s="1"/>
  <c r="V247" i="16" s="1"/>
  <c r="X247" i="16"/>
  <c r="Y247" i="16" s="1"/>
  <c r="Z247" i="16" s="1"/>
  <c r="AP247" i="16"/>
  <c r="AQ247" i="16" s="1"/>
  <c r="AR247" i="16" s="1"/>
  <c r="M247" i="16"/>
  <c r="M248" i="16" l="1"/>
  <c r="S248" i="16"/>
  <c r="X248" i="16"/>
  <c r="Y248" i="16" s="1"/>
  <c r="Z248" i="16" s="1"/>
  <c r="T248" i="16"/>
  <c r="U248" i="16" s="1"/>
  <c r="V248" i="16" s="1"/>
  <c r="AA248" i="16"/>
  <c r="AB248" i="16" s="1"/>
  <c r="AC248" i="16" s="1"/>
  <c r="AI248" i="16"/>
  <c r="AJ248" i="16" s="1"/>
  <c r="AK248" i="16" s="1"/>
  <c r="AP248" i="16"/>
  <c r="AQ248" i="16" s="1"/>
  <c r="AR248" i="16" s="1"/>
  <c r="N248" i="16"/>
  <c r="L249" i="16"/>
  <c r="K250" i="16"/>
  <c r="L250" i="16" l="1"/>
  <c r="K251" i="16"/>
  <c r="N249" i="16"/>
  <c r="AA249" i="16"/>
  <c r="AB249" i="16" s="1"/>
  <c r="AC249" i="16" s="1"/>
  <c r="T249" i="16"/>
  <c r="U249" i="16" s="1"/>
  <c r="V249" i="16" s="1"/>
  <c r="AI249" i="16"/>
  <c r="AJ249" i="16" s="1"/>
  <c r="AK249" i="16" s="1"/>
  <c r="M249" i="16"/>
  <c r="AP249" i="16"/>
  <c r="AQ249" i="16" s="1"/>
  <c r="AR249" i="16" s="1"/>
  <c r="S249" i="16"/>
  <c r="X249" i="16"/>
  <c r="Y249" i="16" s="1"/>
  <c r="Z249" i="16" s="1"/>
  <c r="L251" i="16" l="1"/>
  <c r="K252" i="16"/>
  <c r="M250" i="16"/>
  <c r="S250" i="16"/>
  <c r="T250" i="16"/>
  <c r="U250" i="16" s="1"/>
  <c r="V250" i="16" s="1"/>
  <c r="AI250" i="16"/>
  <c r="AJ250" i="16" s="1"/>
  <c r="AK250" i="16" s="1"/>
  <c r="N250" i="16"/>
  <c r="AP250" i="16"/>
  <c r="AQ250" i="16" s="1"/>
  <c r="AR250" i="16" s="1"/>
  <c r="X250" i="16"/>
  <c r="Y250" i="16" s="1"/>
  <c r="Z250" i="16" s="1"/>
  <c r="AA250" i="16"/>
  <c r="AB250" i="16" s="1"/>
  <c r="AC250" i="16" s="1"/>
  <c r="L252" i="16" l="1"/>
  <c r="K253" i="16"/>
  <c r="AP251" i="16"/>
  <c r="AQ251" i="16" s="1"/>
  <c r="AR251" i="16" s="1"/>
  <c r="N251" i="16"/>
  <c r="AA251" i="16"/>
  <c r="AB251" i="16" s="1"/>
  <c r="AC251" i="16" s="1"/>
  <c r="AI251" i="16"/>
  <c r="AJ251" i="16" s="1"/>
  <c r="AK251" i="16" s="1"/>
  <c r="S251" i="16"/>
  <c r="M251" i="16"/>
  <c r="T251" i="16"/>
  <c r="U251" i="16" s="1"/>
  <c r="V251" i="16" s="1"/>
  <c r="X251" i="16"/>
  <c r="Y251" i="16" s="1"/>
  <c r="Z251" i="16" s="1"/>
  <c r="L253" i="16" l="1"/>
  <c r="K254" i="16"/>
  <c r="X252" i="16"/>
  <c r="Y252" i="16" s="1"/>
  <c r="Z252" i="16" s="1"/>
  <c r="M252" i="16"/>
  <c r="AI252" i="16"/>
  <c r="AJ252" i="16" s="1"/>
  <c r="AK252" i="16" s="1"/>
  <c r="T252" i="16"/>
  <c r="U252" i="16" s="1"/>
  <c r="V252" i="16" s="1"/>
  <c r="AA252" i="16"/>
  <c r="AB252" i="16" s="1"/>
  <c r="AC252" i="16" s="1"/>
  <c r="N252" i="16"/>
  <c r="S252" i="16"/>
  <c r="AP252" i="16"/>
  <c r="AQ252" i="16" s="1"/>
  <c r="AR252" i="16" s="1"/>
  <c r="L254" i="16" l="1"/>
  <c r="K255" i="16"/>
  <c r="AP253" i="16"/>
  <c r="AQ253" i="16" s="1"/>
  <c r="AR253" i="16" s="1"/>
  <c r="S253" i="16"/>
  <c r="T253" i="16"/>
  <c r="U253" i="16" s="1"/>
  <c r="V253" i="16" s="1"/>
  <c r="X253" i="16"/>
  <c r="Y253" i="16" s="1"/>
  <c r="Z253" i="16" s="1"/>
  <c r="AA253" i="16"/>
  <c r="AB253" i="16" s="1"/>
  <c r="AC253" i="16" s="1"/>
  <c r="M253" i="16"/>
  <c r="N253" i="16"/>
  <c r="AI253" i="16"/>
  <c r="AJ253" i="16" s="1"/>
  <c r="AK253" i="16" s="1"/>
  <c r="X254" i="16" l="1"/>
  <c r="Y254" i="16" s="1"/>
  <c r="Z254" i="16" s="1"/>
  <c r="AA254" i="16"/>
  <c r="AB254" i="16" s="1"/>
  <c r="AC254" i="16" s="1"/>
  <c r="M254" i="16"/>
  <c r="N254" i="16"/>
  <c r="AI254" i="16"/>
  <c r="AJ254" i="16" s="1"/>
  <c r="AK254" i="16" s="1"/>
  <c r="S254" i="16"/>
  <c r="T254" i="16"/>
  <c r="U254" i="16" s="1"/>
  <c r="V254" i="16" s="1"/>
  <c r="AP254" i="16"/>
  <c r="AQ254" i="16" s="1"/>
  <c r="AR254" i="16" s="1"/>
  <c r="K256" i="16"/>
  <c r="L255" i="16"/>
  <c r="N255" i="16" l="1"/>
  <c r="AA255" i="16"/>
  <c r="AB255" i="16" s="1"/>
  <c r="AC255" i="16" s="1"/>
  <c r="AI255" i="16"/>
  <c r="AJ255" i="16" s="1"/>
  <c r="AK255" i="16" s="1"/>
  <c r="S255" i="16"/>
  <c r="T255" i="16"/>
  <c r="U255" i="16" s="1"/>
  <c r="V255" i="16" s="1"/>
  <c r="AP255" i="16"/>
  <c r="AQ255" i="16" s="1"/>
  <c r="AR255" i="16" s="1"/>
  <c r="X255" i="16"/>
  <c r="Y255" i="16" s="1"/>
  <c r="Z255" i="16" s="1"/>
  <c r="M255" i="16"/>
  <c r="L256" i="16"/>
  <c r="K257" i="16"/>
  <c r="L257" i="16" l="1"/>
  <c r="K258" i="16"/>
  <c r="M256" i="16"/>
  <c r="T256" i="16"/>
  <c r="U256" i="16" s="1"/>
  <c r="V256" i="16" s="1"/>
  <c r="AP256" i="16"/>
  <c r="AQ256" i="16" s="1"/>
  <c r="AR256" i="16" s="1"/>
  <c r="X256" i="16"/>
  <c r="Y256" i="16" s="1"/>
  <c r="Z256" i="16" s="1"/>
  <c r="AA256" i="16"/>
  <c r="AB256" i="16" s="1"/>
  <c r="AC256" i="16" s="1"/>
  <c r="N256" i="16"/>
  <c r="AI256" i="16"/>
  <c r="AJ256" i="16" s="1"/>
  <c r="AK256" i="16" s="1"/>
  <c r="S256" i="16"/>
  <c r="K259" i="16" l="1"/>
  <c r="L258" i="16"/>
  <c r="AP257" i="16"/>
  <c r="AQ257" i="16" s="1"/>
  <c r="AR257" i="16" s="1"/>
  <c r="M257" i="16"/>
  <c r="N257" i="16"/>
  <c r="AA257" i="16"/>
  <c r="AB257" i="16" s="1"/>
  <c r="AC257" i="16" s="1"/>
  <c r="AI257" i="16"/>
  <c r="AJ257" i="16" s="1"/>
  <c r="AK257" i="16" s="1"/>
  <c r="S257" i="16"/>
  <c r="T257" i="16"/>
  <c r="U257" i="16" s="1"/>
  <c r="V257" i="16" s="1"/>
  <c r="X257" i="16"/>
  <c r="Y257" i="16" s="1"/>
  <c r="Z257" i="16" s="1"/>
  <c r="L259" i="16" l="1"/>
  <c r="K260" i="16"/>
  <c r="X258" i="16"/>
  <c r="Y258" i="16" s="1"/>
  <c r="Z258" i="16" s="1"/>
  <c r="N258" i="16"/>
  <c r="AI258" i="16"/>
  <c r="AJ258" i="16" s="1"/>
  <c r="AK258" i="16" s="1"/>
  <c r="S258" i="16"/>
  <c r="T258" i="16"/>
  <c r="U258" i="16" s="1"/>
  <c r="V258" i="16" s="1"/>
  <c r="AP258" i="16"/>
  <c r="AQ258" i="16" s="1"/>
  <c r="AR258" i="16" s="1"/>
  <c r="M258" i="16"/>
  <c r="AA258" i="16"/>
  <c r="AB258" i="16" s="1"/>
  <c r="AC258" i="16" s="1"/>
  <c r="K261" i="16" l="1"/>
  <c r="L260" i="16"/>
  <c r="N259" i="16"/>
  <c r="AA259" i="16"/>
  <c r="AB259" i="16" s="1"/>
  <c r="AC259" i="16" s="1"/>
  <c r="AI259" i="16"/>
  <c r="AJ259" i="16" s="1"/>
  <c r="AK259" i="16" s="1"/>
  <c r="S259" i="16"/>
  <c r="T259" i="16"/>
  <c r="U259" i="16" s="1"/>
  <c r="V259" i="16" s="1"/>
  <c r="X259" i="16"/>
  <c r="Y259" i="16" s="1"/>
  <c r="Z259" i="16" s="1"/>
  <c r="AP259" i="16"/>
  <c r="AQ259" i="16" s="1"/>
  <c r="AR259" i="16" s="1"/>
  <c r="M259" i="16"/>
  <c r="M260" i="16" l="1"/>
  <c r="AI260" i="16"/>
  <c r="AJ260" i="16" s="1"/>
  <c r="AK260" i="16" s="1"/>
  <c r="S260" i="16"/>
  <c r="T260" i="16"/>
  <c r="U260" i="16" s="1"/>
  <c r="V260" i="16" s="1"/>
  <c r="X260" i="16"/>
  <c r="Y260" i="16" s="1"/>
  <c r="Z260" i="16" s="1"/>
  <c r="AA260" i="16"/>
  <c r="AB260" i="16" s="1"/>
  <c r="AC260" i="16" s="1"/>
  <c r="AP260" i="16"/>
  <c r="AQ260" i="16" s="1"/>
  <c r="AR260" i="16" s="1"/>
  <c r="N260" i="16"/>
  <c r="L261" i="16"/>
  <c r="K262" i="16"/>
  <c r="K263" i="16" l="1"/>
  <c r="L262" i="16"/>
  <c r="AP261" i="16"/>
  <c r="AQ261" i="16" s="1"/>
  <c r="AR261" i="16" s="1"/>
  <c r="N261" i="16"/>
  <c r="AA261" i="16"/>
  <c r="AB261" i="16" s="1"/>
  <c r="AC261" i="16" s="1"/>
  <c r="AI261" i="16"/>
  <c r="AJ261" i="16" s="1"/>
  <c r="AK261" i="16" s="1"/>
  <c r="S261" i="16"/>
  <c r="T261" i="16"/>
  <c r="U261" i="16" s="1"/>
  <c r="V261" i="16" s="1"/>
  <c r="M261" i="16"/>
  <c r="X261" i="16"/>
  <c r="Y261" i="16" s="1"/>
  <c r="Z261" i="16" s="1"/>
  <c r="L263" i="16" l="1"/>
  <c r="K264" i="16"/>
  <c r="X262" i="16"/>
  <c r="Y262" i="16" s="1"/>
  <c r="Z262" i="16" s="1"/>
  <c r="M262" i="16"/>
  <c r="N262" i="16"/>
  <c r="AA262" i="16"/>
  <c r="AB262" i="16" s="1"/>
  <c r="AC262" i="16" s="1"/>
  <c r="AI262" i="16"/>
  <c r="AJ262" i="16" s="1"/>
  <c r="AK262" i="16" s="1"/>
  <c r="S262" i="16"/>
  <c r="T262" i="16"/>
  <c r="U262" i="16" s="1"/>
  <c r="V262" i="16" s="1"/>
  <c r="AP262" i="16"/>
  <c r="AQ262" i="16" s="1"/>
  <c r="AR262" i="16" s="1"/>
  <c r="AP263" i="16" l="1"/>
  <c r="AQ263" i="16" s="1"/>
  <c r="AR263" i="16" s="1"/>
  <c r="M263" i="16"/>
  <c r="N263" i="16"/>
  <c r="AA263" i="16"/>
  <c r="AB263" i="16" s="1"/>
  <c r="AC263" i="16" s="1"/>
  <c r="AI263" i="16"/>
  <c r="AJ263" i="16" s="1"/>
  <c r="AK263" i="16" s="1"/>
  <c r="S263" i="16"/>
  <c r="T263" i="16"/>
  <c r="U263" i="16" s="1"/>
  <c r="V263" i="16" s="1"/>
  <c r="X263" i="16"/>
  <c r="Y263" i="16" s="1"/>
  <c r="Z263" i="16" s="1"/>
  <c r="L264" i="16"/>
  <c r="K265" i="16"/>
  <c r="X264" i="16" l="1"/>
  <c r="Y264" i="16" s="1"/>
  <c r="Z264" i="16" s="1"/>
  <c r="AP264" i="16"/>
  <c r="AQ264" i="16" s="1"/>
  <c r="AR264" i="16" s="1"/>
  <c r="M264" i="16"/>
  <c r="N264" i="16"/>
  <c r="AA264" i="16"/>
  <c r="AB264" i="16" s="1"/>
  <c r="AC264" i="16" s="1"/>
  <c r="AI264" i="16"/>
  <c r="AJ264" i="16" s="1"/>
  <c r="AK264" i="16" s="1"/>
  <c r="S264" i="16"/>
  <c r="T264" i="16"/>
  <c r="U264" i="16" s="1"/>
  <c r="V264" i="16" s="1"/>
  <c r="L265" i="16"/>
  <c r="K266" i="16"/>
  <c r="L266" i="16" l="1"/>
  <c r="K267" i="16"/>
  <c r="T265" i="16"/>
  <c r="U265" i="16" s="1"/>
  <c r="V265" i="16" s="1"/>
  <c r="X265" i="16"/>
  <c r="Y265" i="16" s="1"/>
  <c r="Z265" i="16" s="1"/>
  <c r="AP265" i="16"/>
  <c r="AQ265" i="16" s="1"/>
  <c r="AR265" i="16" s="1"/>
  <c r="M265" i="16"/>
  <c r="N265" i="16"/>
  <c r="AA265" i="16"/>
  <c r="AB265" i="16" s="1"/>
  <c r="AC265" i="16" s="1"/>
  <c r="AI265" i="16"/>
  <c r="AJ265" i="16" s="1"/>
  <c r="AK265" i="16" s="1"/>
  <c r="S265" i="16"/>
  <c r="S266" i="16" l="1"/>
  <c r="X266" i="16"/>
  <c r="Y266" i="16" s="1"/>
  <c r="Z266" i="16" s="1"/>
  <c r="AP266" i="16"/>
  <c r="AQ266" i="16" s="1"/>
  <c r="AR266" i="16" s="1"/>
  <c r="M266" i="16"/>
  <c r="T266" i="16"/>
  <c r="U266" i="16" s="1"/>
  <c r="V266" i="16" s="1"/>
  <c r="AA266" i="16"/>
  <c r="AB266" i="16" s="1"/>
  <c r="AC266" i="16" s="1"/>
  <c r="AI266" i="16"/>
  <c r="AJ266" i="16" s="1"/>
  <c r="AK266" i="16" s="1"/>
  <c r="N266" i="16"/>
  <c r="L267" i="16"/>
  <c r="K268" i="16"/>
  <c r="L268" i="16" l="1"/>
  <c r="K269" i="16"/>
  <c r="AI267" i="16"/>
  <c r="AJ267" i="16" s="1"/>
  <c r="AK267" i="16" s="1"/>
  <c r="T267" i="16"/>
  <c r="U267" i="16" s="1"/>
  <c r="V267" i="16" s="1"/>
  <c r="X267" i="16"/>
  <c r="Y267" i="16" s="1"/>
  <c r="Z267" i="16" s="1"/>
  <c r="AP267" i="16"/>
  <c r="AQ267" i="16" s="1"/>
  <c r="AR267" i="16" s="1"/>
  <c r="M267" i="16"/>
  <c r="N267" i="16"/>
  <c r="S267" i="16"/>
  <c r="AA267" i="16"/>
  <c r="AB267" i="16" s="1"/>
  <c r="AC267" i="16" s="1"/>
  <c r="K270" i="16" l="1"/>
  <c r="L269" i="16"/>
  <c r="S268" i="16"/>
  <c r="T268" i="16"/>
  <c r="U268" i="16" s="1"/>
  <c r="V268" i="16" s="1"/>
  <c r="X268" i="16"/>
  <c r="Y268" i="16" s="1"/>
  <c r="Z268" i="16" s="1"/>
  <c r="N268" i="16"/>
  <c r="AA268" i="16"/>
  <c r="AB268" i="16" s="1"/>
  <c r="AC268" i="16" s="1"/>
  <c r="AP268" i="16"/>
  <c r="AQ268" i="16" s="1"/>
  <c r="AR268" i="16" s="1"/>
  <c r="M268" i="16"/>
  <c r="AI268" i="16"/>
  <c r="AJ268" i="16" s="1"/>
  <c r="AK268" i="16" s="1"/>
  <c r="AI269" i="16" l="1"/>
  <c r="AJ269" i="16" s="1"/>
  <c r="AK269" i="16" s="1"/>
  <c r="S269" i="16"/>
  <c r="T269" i="16"/>
  <c r="U269" i="16" s="1"/>
  <c r="V269" i="16" s="1"/>
  <c r="M269" i="16"/>
  <c r="N269" i="16"/>
  <c r="AA269" i="16"/>
  <c r="AB269" i="16" s="1"/>
  <c r="AC269" i="16" s="1"/>
  <c r="X269" i="16"/>
  <c r="Y269" i="16" s="1"/>
  <c r="Z269" i="16" s="1"/>
  <c r="AP269" i="16"/>
  <c r="AQ269" i="16" s="1"/>
  <c r="AR269" i="16" s="1"/>
  <c r="L270" i="16"/>
  <c r="K271" i="16"/>
  <c r="L271" i="16" l="1"/>
  <c r="K272" i="16"/>
  <c r="AI270" i="16"/>
  <c r="AJ270" i="16" s="1"/>
  <c r="AK270" i="16" s="1"/>
  <c r="S270" i="16"/>
  <c r="T270" i="16"/>
  <c r="U270" i="16" s="1"/>
  <c r="V270" i="16" s="1"/>
  <c r="AP270" i="16"/>
  <c r="AQ270" i="16" s="1"/>
  <c r="AR270" i="16" s="1"/>
  <c r="M270" i="16"/>
  <c r="N270" i="16"/>
  <c r="X270" i="16"/>
  <c r="Y270" i="16" s="1"/>
  <c r="Z270" i="16" s="1"/>
  <c r="AA270" i="16"/>
  <c r="AB270" i="16" s="1"/>
  <c r="AC270" i="16" s="1"/>
  <c r="K273" i="16" l="1"/>
  <c r="L272" i="16"/>
  <c r="N271" i="16"/>
  <c r="AA271" i="16"/>
  <c r="AB271" i="16" s="1"/>
  <c r="AC271" i="16" s="1"/>
  <c r="AI271" i="16"/>
  <c r="AJ271" i="16" s="1"/>
  <c r="AK271" i="16" s="1"/>
  <c r="S271" i="16"/>
  <c r="T271" i="16"/>
  <c r="U271" i="16" s="1"/>
  <c r="V271" i="16" s="1"/>
  <c r="X271" i="16"/>
  <c r="Y271" i="16" s="1"/>
  <c r="Z271" i="16" s="1"/>
  <c r="AP271" i="16"/>
  <c r="AQ271" i="16" s="1"/>
  <c r="AR271" i="16" s="1"/>
  <c r="M271" i="16"/>
  <c r="M272" i="16" l="1"/>
  <c r="AI272" i="16"/>
  <c r="AJ272" i="16" s="1"/>
  <c r="AK272" i="16" s="1"/>
  <c r="S272" i="16"/>
  <c r="X272" i="16"/>
  <c r="Y272" i="16" s="1"/>
  <c r="Z272" i="16" s="1"/>
  <c r="N272" i="16"/>
  <c r="T272" i="16"/>
  <c r="U272" i="16" s="1"/>
  <c r="V272" i="16" s="1"/>
  <c r="AA272" i="16"/>
  <c r="AB272" i="16" s="1"/>
  <c r="AC272" i="16" s="1"/>
  <c r="AP272" i="16"/>
  <c r="AQ272" i="16" s="1"/>
  <c r="AR272" i="16" s="1"/>
  <c r="L273" i="16"/>
  <c r="K274" i="16"/>
  <c r="L274" i="16" l="1"/>
  <c r="K275" i="16"/>
  <c r="AP273" i="16"/>
  <c r="AQ273" i="16" s="1"/>
  <c r="AR273" i="16" s="1"/>
  <c r="N273" i="16"/>
  <c r="AA273" i="16"/>
  <c r="AB273" i="16" s="1"/>
  <c r="AC273" i="16" s="1"/>
  <c r="AI273" i="16"/>
  <c r="AJ273" i="16" s="1"/>
  <c r="AK273" i="16" s="1"/>
  <c r="M273" i="16"/>
  <c r="T273" i="16"/>
  <c r="U273" i="16" s="1"/>
  <c r="V273" i="16" s="1"/>
  <c r="X273" i="16"/>
  <c r="Y273" i="16" s="1"/>
  <c r="Z273" i="16" s="1"/>
  <c r="S273" i="16"/>
  <c r="X274" i="16" l="1"/>
  <c r="Y274" i="16" s="1"/>
  <c r="Z274" i="16" s="1"/>
  <c r="M274" i="16"/>
  <c r="N274" i="16"/>
  <c r="AA274" i="16"/>
  <c r="AB274" i="16" s="1"/>
  <c r="AC274" i="16" s="1"/>
  <c r="T274" i="16"/>
  <c r="U274" i="16" s="1"/>
  <c r="V274" i="16" s="1"/>
  <c r="AP274" i="16"/>
  <c r="AQ274" i="16" s="1"/>
  <c r="AR274" i="16" s="1"/>
  <c r="S274" i="16"/>
  <c r="AI274" i="16"/>
  <c r="AJ274" i="16" s="1"/>
  <c r="AK274" i="16" s="1"/>
  <c r="L275" i="16"/>
  <c r="K276" i="16"/>
  <c r="L276" i="16" l="1"/>
  <c r="K277" i="16"/>
  <c r="AP275" i="16"/>
  <c r="AQ275" i="16" s="1"/>
  <c r="AR275" i="16" s="1"/>
  <c r="M275" i="16"/>
  <c r="N275" i="16"/>
  <c r="AA275" i="16"/>
  <c r="AB275" i="16" s="1"/>
  <c r="AC275" i="16" s="1"/>
  <c r="S275" i="16"/>
  <c r="T275" i="16"/>
  <c r="U275" i="16" s="1"/>
  <c r="V275" i="16" s="1"/>
  <c r="AI275" i="16"/>
  <c r="AJ275" i="16" s="1"/>
  <c r="AK275" i="16" s="1"/>
  <c r="X275" i="16"/>
  <c r="Y275" i="16" s="1"/>
  <c r="Z275" i="16" s="1"/>
  <c r="L277" i="16" l="1"/>
  <c r="K278" i="16"/>
  <c r="X276" i="16"/>
  <c r="Y276" i="16" s="1"/>
  <c r="Z276" i="16" s="1"/>
  <c r="AP276" i="16"/>
  <c r="AQ276" i="16" s="1"/>
  <c r="AR276" i="16" s="1"/>
  <c r="M276" i="16"/>
  <c r="N276" i="16"/>
  <c r="AA276" i="16"/>
  <c r="AB276" i="16" s="1"/>
  <c r="AC276" i="16" s="1"/>
  <c r="AI276" i="16"/>
  <c r="AJ276" i="16" s="1"/>
  <c r="AK276" i="16" s="1"/>
  <c r="S276" i="16"/>
  <c r="T276" i="16"/>
  <c r="U276" i="16" s="1"/>
  <c r="V276" i="16" s="1"/>
  <c r="L278" i="16" l="1"/>
  <c r="K279" i="16"/>
  <c r="T277" i="16"/>
  <c r="U277" i="16" s="1"/>
  <c r="V277" i="16" s="1"/>
  <c r="X277" i="16"/>
  <c r="Y277" i="16" s="1"/>
  <c r="Z277" i="16" s="1"/>
  <c r="AP277" i="16"/>
  <c r="AQ277" i="16" s="1"/>
  <c r="AR277" i="16" s="1"/>
  <c r="M277" i="16"/>
  <c r="N277" i="16"/>
  <c r="AA277" i="16"/>
  <c r="AB277" i="16" s="1"/>
  <c r="AC277" i="16" s="1"/>
  <c r="AI277" i="16"/>
  <c r="AJ277" i="16" s="1"/>
  <c r="AK277" i="16" s="1"/>
  <c r="S277" i="16"/>
  <c r="S278" i="16" l="1"/>
  <c r="X278" i="16"/>
  <c r="Y278" i="16" s="1"/>
  <c r="Z278" i="16" s="1"/>
  <c r="AP278" i="16"/>
  <c r="AQ278" i="16" s="1"/>
  <c r="AR278" i="16" s="1"/>
  <c r="M278" i="16"/>
  <c r="AI278" i="16"/>
  <c r="AJ278" i="16" s="1"/>
  <c r="AK278" i="16" s="1"/>
  <c r="T278" i="16"/>
  <c r="U278" i="16" s="1"/>
  <c r="V278" i="16" s="1"/>
  <c r="AA278" i="16"/>
  <c r="AB278" i="16" s="1"/>
  <c r="AC278" i="16" s="1"/>
  <c r="N278" i="16"/>
  <c r="L279" i="16"/>
  <c r="K280" i="16"/>
  <c r="K281" i="16" l="1"/>
  <c r="L280" i="16"/>
  <c r="AI279" i="16"/>
  <c r="AJ279" i="16" s="1"/>
  <c r="AK279" i="16" s="1"/>
  <c r="T279" i="16"/>
  <c r="U279" i="16" s="1"/>
  <c r="V279" i="16" s="1"/>
  <c r="X279" i="16"/>
  <c r="Y279" i="16" s="1"/>
  <c r="Z279" i="16" s="1"/>
  <c r="AP279" i="16"/>
  <c r="AQ279" i="16" s="1"/>
  <c r="AR279" i="16" s="1"/>
  <c r="S279" i="16"/>
  <c r="AA279" i="16"/>
  <c r="AB279" i="16" s="1"/>
  <c r="AC279" i="16" s="1"/>
  <c r="M279" i="16"/>
  <c r="N279" i="16"/>
  <c r="S280" i="16" l="1"/>
  <c r="T280" i="16"/>
  <c r="U280" i="16" s="1"/>
  <c r="V280" i="16" s="1"/>
  <c r="N280" i="16"/>
  <c r="AA280" i="16"/>
  <c r="AB280" i="16" s="1"/>
  <c r="AC280" i="16" s="1"/>
  <c r="AI280" i="16"/>
  <c r="AJ280" i="16" s="1"/>
  <c r="AK280" i="16" s="1"/>
  <c r="AP280" i="16"/>
  <c r="AQ280" i="16" s="1"/>
  <c r="AR280" i="16" s="1"/>
  <c r="M280" i="16"/>
  <c r="X280" i="16"/>
  <c r="Y280" i="16" s="1"/>
  <c r="Z280" i="16" s="1"/>
  <c r="L281" i="16"/>
  <c r="K282" i="16"/>
  <c r="L282" i="16" l="1"/>
  <c r="K283" i="16"/>
  <c r="AI281" i="16"/>
  <c r="AJ281" i="16" s="1"/>
  <c r="AK281" i="16" s="1"/>
  <c r="S281" i="16"/>
  <c r="T281" i="16"/>
  <c r="U281" i="16" s="1"/>
  <c r="V281" i="16" s="1"/>
  <c r="M281" i="16"/>
  <c r="AP281" i="16"/>
  <c r="AQ281" i="16" s="1"/>
  <c r="AR281" i="16" s="1"/>
  <c r="X281" i="16"/>
  <c r="Y281" i="16" s="1"/>
  <c r="Z281" i="16" s="1"/>
  <c r="AA281" i="16"/>
  <c r="AB281" i="16" s="1"/>
  <c r="AC281" i="16" s="1"/>
  <c r="N281" i="16"/>
  <c r="AI282" i="16" l="1"/>
  <c r="AJ282" i="16" s="1"/>
  <c r="AK282" i="16" s="1"/>
  <c r="S282" i="16"/>
  <c r="T282" i="16"/>
  <c r="U282" i="16" s="1"/>
  <c r="V282" i="16" s="1"/>
  <c r="AP282" i="16"/>
  <c r="AQ282" i="16" s="1"/>
  <c r="AR282" i="16" s="1"/>
  <c r="M282" i="16"/>
  <c r="N282" i="16"/>
  <c r="X282" i="16"/>
  <c r="Y282" i="16" s="1"/>
  <c r="Z282" i="16" s="1"/>
  <c r="AA282" i="16"/>
  <c r="AB282" i="16" s="1"/>
  <c r="AC282" i="16" s="1"/>
  <c r="K284" i="16"/>
  <c r="L283" i="16"/>
  <c r="N283" i="16" l="1"/>
  <c r="AA283" i="16"/>
  <c r="AB283" i="16" s="1"/>
  <c r="AC283" i="16" s="1"/>
  <c r="AI283" i="16"/>
  <c r="AJ283" i="16" s="1"/>
  <c r="AK283" i="16" s="1"/>
  <c r="S283" i="16"/>
  <c r="X283" i="16"/>
  <c r="Y283" i="16" s="1"/>
  <c r="Z283" i="16" s="1"/>
  <c r="T283" i="16"/>
  <c r="U283" i="16" s="1"/>
  <c r="V283" i="16" s="1"/>
  <c r="AP283" i="16"/>
  <c r="AQ283" i="16" s="1"/>
  <c r="AR283" i="16" s="1"/>
  <c r="M283" i="16"/>
  <c r="L284" i="16"/>
  <c r="K285" i="16"/>
  <c r="L285" i="16" l="1"/>
  <c r="K286" i="16"/>
  <c r="M284" i="16"/>
  <c r="S284" i="16"/>
  <c r="AP284" i="16"/>
  <c r="AQ284" i="16" s="1"/>
  <c r="AR284" i="16" s="1"/>
  <c r="T284" i="16"/>
  <c r="U284" i="16" s="1"/>
  <c r="V284" i="16" s="1"/>
  <c r="X284" i="16"/>
  <c r="Y284" i="16" s="1"/>
  <c r="Z284" i="16" s="1"/>
  <c r="AA284" i="16"/>
  <c r="AB284" i="16" s="1"/>
  <c r="AC284" i="16" s="1"/>
  <c r="AI284" i="16"/>
  <c r="AJ284" i="16" s="1"/>
  <c r="AK284" i="16" s="1"/>
  <c r="N284" i="16"/>
  <c r="AP285" i="16" l="1"/>
  <c r="AQ285" i="16" s="1"/>
  <c r="AR285" i="16" s="1"/>
  <c r="N285" i="16"/>
  <c r="AA285" i="16"/>
  <c r="AB285" i="16" s="1"/>
  <c r="AC285" i="16" s="1"/>
  <c r="S285" i="16"/>
  <c r="X285" i="16"/>
  <c r="Y285" i="16" s="1"/>
  <c r="Z285" i="16" s="1"/>
  <c r="M285" i="16"/>
  <c r="AI285" i="16"/>
  <c r="AJ285" i="16" s="1"/>
  <c r="AK285" i="16" s="1"/>
  <c r="T285" i="16"/>
  <c r="U285" i="16" s="1"/>
  <c r="V285" i="16" s="1"/>
  <c r="K287" i="16"/>
  <c r="L286" i="16"/>
  <c r="X286" i="16" l="1"/>
  <c r="Y286" i="16" s="1"/>
  <c r="Z286" i="16" s="1"/>
  <c r="M286" i="16"/>
  <c r="T286" i="16"/>
  <c r="U286" i="16" s="1"/>
  <c r="V286" i="16" s="1"/>
  <c r="N286" i="16"/>
  <c r="S286" i="16"/>
  <c r="AA286" i="16"/>
  <c r="AB286" i="16" s="1"/>
  <c r="AC286" i="16" s="1"/>
  <c r="AI286" i="16"/>
  <c r="AJ286" i="16" s="1"/>
  <c r="AK286" i="16" s="1"/>
  <c r="AP286" i="16"/>
  <c r="AQ286" i="16" s="1"/>
  <c r="AR286" i="16" s="1"/>
  <c r="L287" i="16"/>
  <c r="K288" i="16"/>
  <c r="K289" i="16" l="1"/>
  <c r="L288" i="16"/>
  <c r="AP287" i="16"/>
  <c r="AQ287" i="16" s="1"/>
  <c r="AR287" i="16" s="1"/>
  <c r="N287" i="16"/>
  <c r="AA287" i="16"/>
  <c r="AB287" i="16" s="1"/>
  <c r="AC287" i="16" s="1"/>
  <c r="S287" i="16"/>
  <c r="M287" i="16"/>
  <c r="AI287" i="16"/>
  <c r="AJ287" i="16" s="1"/>
  <c r="AK287" i="16" s="1"/>
  <c r="T287" i="16"/>
  <c r="U287" i="16" s="1"/>
  <c r="V287" i="16" s="1"/>
  <c r="X287" i="16"/>
  <c r="Y287" i="16" s="1"/>
  <c r="Z287" i="16" s="1"/>
  <c r="X288" i="16" l="1"/>
  <c r="Y288" i="16" s="1"/>
  <c r="Z288" i="16" s="1"/>
  <c r="M288" i="16"/>
  <c r="AI288" i="16"/>
  <c r="AJ288" i="16" s="1"/>
  <c r="AK288" i="16" s="1"/>
  <c r="AA288" i="16"/>
  <c r="AB288" i="16" s="1"/>
  <c r="AC288" i="16" s="1"/>
  <c r="N288" i="16"/>
  <c r="AP288" i="16"/>
  <c r="AQ288" i="16" s="1"/>
  <c r="AR288" i="16" s="1"/>
  <c r="S288" i="16"/>
  <c r="T288" i="16"/>
  <c r="U288" i="16" s="1"/>
  <c r="V288" i="16" s="1"/>
  <c r="L289" i="16"/>
  <c r="K290" i="16"/>
  <c r="T289" i="16" l="1"/>
  <c r="U289" i="16" s="1"/>
  <c r="V289" i="16" s="1"/>
  <c r="AP289" i="16"/>
  <c r="AQ289" i="16" s="1"/>
  <c r="AR289" i="16" s="1"/>
  <c r="X289" i="16"/>
  <c r="Y289" i="16" s="1"/>
  <c r="Z289" i="16" s="1"/>
  <c r="M289" i="16"/>
  <c r="N289" i="16"/>
  <c r="AI289" i="16"/>
  <c r="AJ289" i="16" s="1"/>
  <c r="AK289" i="16" s="1"/>
  <c r="S289" i="16"/>
  <c r="AA289" i="16"/>
  <c r="AB289" i="16" s="1"/>
  <c r="AC289" i="16" s="1"/>
  <c r="L290" i="16"/>
  <c r="K291" i="16"/>
  <c r="L291" i="16" l="1"/>
  <c r="K292" i="16"/>
  <c r="S290" i="16"/>
  <c r="X290" i="16"/>
  <c r="Y290" i="16" s="1"/>
  <c r="Z290" i="16" s="1"/>
  <c r="T290" i="16"/>
  <c r="U290" i="16" s="1"/>
  <c r="V290" i="16" s="1"/>
  <c r="AA290" i="16"/>
  <c r="AB290" i="16" s="1"/>
  <c r="AC290" i="16" s="1"/>
  <c r="M290" i="16"/>
  <c r="AI290" i="16"/>
  <c r="AJ290" i="16" s="1"/>
  <c r="AK290" i="16" s="1"/>
  <c r="N290" i="16"/>
  <c r="AP290" i="16"/>
  <c r="AQ290" i="16" s="1"/>
  <c r="AR290" i="16" s="1"/>
  <c r="L292" i="16" l="1"/>
  <c r="K293" i="16"/>
  <c r="AI291" i="16"/>
  <c r="AJ291" i="16" s="1"/>
  <c r="AK291" i="16" s="1"/>
  <c r="T291" i="16"/>
  <c r="U291" i="16" s="1"/>
  <c r="V291" i="16" s="1"/>
  <c r="AP291" i="16"/>
  <c r="AQ291" i="16" s="1"/>
  <c r="AR291" i="16" s="1"/>
  <c r="S291" i="16"/>
  <c r="X291" i="16"/>
  <c r="Y291" i="16" s="1"/>
  <c r="Z291" i="16" s="1"/>
  <c r="AA291" i="16"/>
  <c r="AB291" i="16" s="1"/>
  <c r="AC291" i="16" s="1"/>
  <c r="M291" i="16"/>
  <c r="N291" i="16"/>
  <c r="L293" i="16" l="1"/>
  <c r="K294" i="16"/>
  <c r="S292" i="16"/>
  <c r="N292" i="16"/>
  <c r="AA292" i="16"/>
  <c r="AB292" i="16" s="1"/>
  <c r="AC292" i="16" s="1"/>
  <c r="AI292" i="16"/>
  <c r="AJ292" i="16" s="1"/>
  <c r="AK292" i="16" s="1"/>
  <c r="M292" i="16"/>
  <c r="AP292" i="16"/>
  <c r="AQ292" i="16" s="1"/>
  <c r="AR292" i="16" s="1"/>
  <c r="T292" i="16"/>
  <c r="U292" i="16" s="1"/>
  <c r="V292" i="16" s="1"/>
  <c r="X292" i="16"/>
  <c r="Y292" i="16" s="1"/>
  <c r="Z292" i="16" s="1"/>
  <c r="L294" i="16" l="1"/>
  <c r="K295" i="16"/>
  <c r="T293" i="16"/>
  <c r="U293" i="16" s="1"/>
  <c r="V293" i="16" s="1"/>
  <c r="M293" i="16"/>
  <c r="AA293" i="16"/>
  <c r="AB293" i="16" s="1"/>
  <c r="AC293" i="16" s="1"/>
  <c r="AI293" i="16"/>
  <c r="AJ293" i="16" s="1"/>
  <c r="AK293" i="16" s="1"/>
  <c r="S293" i="16"/>
  <c r="AP293" i="16"/>
  <c r="AQ293" i="16" s="1"/>
  <c r="AR293" i="16" s="1"/>
  <c r="X293" i="16"/>
  <c r="Y293" i="16" s="1"/>
  <c r="Z293" i="16" s="1"/>
  <c r="N293" i="16"/>
  <c r="K296" i="16" l="1"/>
  <c r="L295" i="16"/>
  <c r="S294" i="16"/>
  <c r="AP294" i="16"/>
  <c r="AQ294" i="16" s="1"/>
  <c r="AR294" i="16" s="1"/>
  <c r="AI294" i="16"/>
  <c r="AJ294" i="16" s="1"/>
  <c r="AK294" i="16" s="1"/>
  <c r="X294" i="16"/>
  <c r="Y294" i="16" s="1"/>
  <c r="Z294" i="16" s="1"/>
  <c r="M294" i="16"/>
  <c r="AA294" i="16"/>
  <c r="AB294" i="16" s="1"/>
  <c r="AC294" i="16" s="1"/>
  <c r="N294" i="16"/>
  <c r="T294" i="16"/>
  <c r="U294" i="16" s="1"/>
  <c r="V294" i="16" s="1"/>
  <c r="L296" i="16" l="1"/>
  <c r="K297" i="16"/>
  <c r="AI295" i="16"/>
  <c r="AJ295" i="16" s="1"/>
  <c r="AK295" i="16" s="1"/>
  <c r="X295" i="16"/>
  <c r="Y295" i="16" s="1"/>
  <c r="Z295" i="16" s="1"/>
  <c r="T295" i="16"/>
  <c r="U295" i="16" s="1"/>
  <c r="V295" i="16" s="1"/>
  <c r="AP295" i="16"/>
  <c r="AQ295" i="16" s="1"/>
  <c r="AR295" i="16" s="1"/>
  <c r="AA295" i="16"/>
  <c r="AB295" i="16" s="1"/>
  <c r="AC295" i="16" s="1"/>
  <c r="M295" i="16"/>
  <c r="N295" i="16"/>
  <c r="S295" i="16"/>
  <c r="L297" i="16" l="1"/>
  <c r="K298" i="16"/>
  <c r="AA296" i="16"/>
  <c r="AB296" i="16" s="1"/>
  <c r="AC296" i="16" s="1"/>
  <c r="M296" i="16"/>
  <c r="AI296" i="16"/>
  <c r="AJ296" i="16" s="1"/>
  <c r="AK296" i="16" s="1"/>
  <c r="S296" i="16"/>
  <c r="T296" i="16"/>
  <c r="U296" i="16" s="1"/>
  <c r="V296" i="16" s="1"/>
  <c r="AP296" i="16"/>
  <c r="AQ296" i="16" s="1"/>
  <c r="AR296" i="16" s="1"/>
  <c r="X296" i="16"/>
  <c r="Y296" i="16" s="1"/>
  <c r="Z296" i="16" s="1"/>
  <c r="N296" i="16"/>
  <c r="L298" i="16" l="1"/>
  <c r="K299" i="16"/>
  <c r="AP297" i="16"/>
  <c r="AQ297" i="16" s="1"/>
  <c r="AR297" i="16" s="1"/>
  <c r="X297" i="16"/>
  <c r="Y297" i="16" s="1"/>
  <c r="Z297" i="16" s="1"/>
  <c r="AA297" i="16"/>
  <c r="AB297" i="16" s="1"/>
  <c r="AC297" i="16" s="1"/>
  <c r="M297" i="16"/>
  <c r="N297" i="16"/>
  <c r="S297" i="16"/>
  <c r="T297" i="16"/>
  <c r="U297" i="16" s="1"/>
  <c r="V297" i="16" s="1"/>
  <c r="AI297" i="16"/>
  <c r="AJ297" i="16" s="1"/>
  <c r="AK297" i="16" s="1"/>
  <c r="L299" i="16" l="1"/>
  <c r="K300" i="16"/>
  <c r="T298" i="16"/>
  <c r="U298" i="16" s="1"/>
  <c r="V298" i="16" s="1"/>
  <c r="AP298" i="16"/>
  <c r="AQ298" i="16" s="1"/>
  <c r="AR298" i="16" s="1"/>
  <c r="M298" i="16"/>
  <c r="N298" i="16"/>
  <c r="AA298" i="16"/>
  <c r="AB298" i="16" s="1"/>
  <c r="AC298" i="16" s="1"/>
  <c r="AI298" i="16"/>
  <c r="AJ298" i="16" s="1"/>
  <c r="AK298" i="16" s="1"/>
  <c r="S298" i="16"/>
  <c r="X298" i="16"/>
  <c r="Y298" i="16" s="1"/>
  <c r="Z298" i="16" s="1"/>
  <c r="L300" i="16" l="1"/>
  <c r="K301" i="16"/>
  <c r="S299" i="16"/>
  <c r="T299" i="16"/>
  <c r="U299" i="16" s="1"/>
  <c r="V299" i="16" s="1"/>
  <c r="X299" i="16"/>
  <c r="Y299" i="16" s="1"/>
  <c r="Z299" i="16" s="1"/>
  <c r="AP299" i="16"/>
  <c r="AQ299" i="16" s="1"/>
  <c r="AR299" i="16" s="1"/>
  <c r="M299" i="16"/>
  <c r="N299" i="16"/>
  <c r="AA299" i="16"/>
  <c r="AB299" i="16" s="1"/>
  <c r="AC299" i="16" s="1"/>
  <c r="AI299" i="16"/>
  <c r="AJ299" i="16" s="1"/>
  <c r="AK299" i="16" s="1"/>
  <c r="AI300" i="16" l="1"/>
  <c r="AJ300" i="16" s="1"/>
  <c r="AK300" i="16" s="1"/>
  <c r="S300" i="16"/>
  <c r="X300" i="16"/>
  <c r="Y300" i="16" s="1"/>
  <c r="Z300" i="16" s="1"/>
  <c r="AP300" i="16"/>
  <c r="AQ300" i="16" s="1"/>
  <c r="AR300" i="16" s="1"/>
  <c r="M300" i="16"/>
  <c r="N300" i="16"/>
  <c r="AA300" i="16"/>
  <c r="AB300" i="16" s="1"/>
  <c r="AC300" i="16" s="1"/>
  <c r="T300" i="16"/>
  <c r="U300" i="16" s="1"/>
  <c r="V300" i="16" s="1"/>
  <c r="L301" i="16"/>
  <c r="K302" i="16"/>
  <c r="AI301" i="16" l="1"/>
  <c r="AJ301" i="16" s="1"/>
  <c r="AK301" i="16" s="1"/>
  <c r="X301" i="16"/>
  <c r="Y301" i="16" s="1"/>
  <c r="Z301" i="16" s="1"/>
  <c r="AP301" i="16"/>
  <c r="AQ301" i="16" s="1"/>
  <c r="AR301" i="16" s="1"/>
  <c r="M301" i="16"/>
  <c r="N301" i="16"/>
  <c r="AA301" i="16"/>
  <c r="AB301" i="16" s="1"/>
  <c r="AC301" i="16" s="1"/>
  <c r="S301" i="16"/>
  <c r="T301" i="16"/>
  <c r="U301" i="16" s="1"/>
  <c r="V301" i="16" s="1"/>
  <c r="L302" i="16"/>
  <c r="K303" i="16"/>
  <c r="L303" i="16" l="1"/>
  <c r="K304" i="16"/>
  <c r="T302" i="16"/>
  <c r="U302" i="16" s="1"/>
  <c r="V302" i="16" s="1"/>
  <c r="X302" i="16"/>
  <c r="Y302" i="16" s="1"/>
  <c r="Z302" i="16" s="1"/>
  <c r="AP302" i="16"/>
  <c r="AQ302" i="16" s="1"/>
  <c r="AR302" i="16" s="1"/>
  <c r="M302" i="16"/>
  <c r="N302" i="16"/>
  <c r="AA302" i="16"/>
  <c r="AB302" i="16" s="1"/>
  <c r="AC302" i="16" s="1"/>
  <c r="S302" i="16"/>
  <c r="AI302" i="16"/>
  <c r="AJ302" i="16" s="1"/>
  <c r="AK302" i="16" s="1"/>
  <c r="L304" i="16" l="1"/>
  <c r="K305" i="16"/>
  <c r="S303" i="16"/>
  <c r="T303" i="16"/>
  <c r="U303" i="16" s="1"/>
  <c r="V303" i="16" s="1"/>
  <c r="X303" i="16"/>
  <c r="Y303" i="16" s="1"/>
  <c r="Z303" i="16" s="1"/>
  <c r="AP303" i="16"/>
  <c r="AQ303" i="16" s="1"/>
  <c r="AR303" i="16" s="1"/>
  <c r="M303" i="16"/>
  <c r="N303" i="16"/>
  <c r="AA303" i="16"/>
  <c r="AB303" i="16" s="1"/>
  <c r="AC303" i="16" s="1"/>
  <c r="AI303" i="16"/>
  <c r="AJ303" i="16" s="1"/>
  <c r="AK303" i="16" s="1"/>
  <c r="N304" i="16" l="1"/>
  <c r="AA304" i="16"/>
  <c r="AB304" i="16" s="1"/>
  <c r="AC304" i="16" s="1"/>
  <c r="AI304" i="16"/>
  <c r="AJ304" i="16" s="1"/>
  <c r="AK304" i="16" s="1"/>
  <c r="S304" i="16"/>
  <c r="T304" i="16"/>
  <c r="U304" i="16" s="1"/>
  <c r="V304" i="16" s="1"/>
  <c r="X304" i="16"/>
  <c r="Y304" i="16" s="1"/>
  <c r="Z304" i="16" s="1"/>
  <c r="AP304" i="16"/>
  <c r="AQ304" i="16" s="1"/>
  <c r="AR304" i="16" s="1"/>
  <c r="M304" i="16"/>
  <c r="L305" i="16"/>
  <c r="K306" i="16"/>
  <c r="M305" i="16" l="1"/>
  <c r="N305" i="16"/>
  <c r="AA305" i="16"/>
  <c r="AB305" i="16" s="1"/>
  <c r="AC305" i="16" s="1"/>
  <c r="AI305" i="16"/>
  <c r="AJ305" i="16" s="1"/>
  <c r="AK305" i="16" s="1"/>
  <c r="S305" i="16"/>
  <c r="T305" i="16"/>
  <c r="U305" i="16" s="1"/>
  <c r="V305" i="16" s="1"/>
  <c r="X305" i="16"/>
  <c r="Y305" i="16" s="1"/>
  <c r="Z305" i="16" s="1"/>
  <c r="AP305" i="16"/>
  <c r="AQ305" i="16" s="1"/>
  <c r="AR305" i="16" s="1"/>
  <c r="L306" i="16"/>
  <c r="K307" i="16"/>
  <c r="L307" i="16" l="1"/>
  <c r="K308" i="16"/>
  <c r="AP306" i="16"/>
  <c r="AQ306" i="16" s="1"/>
  <c r="AR306" i="16" s="1"/>
  <c r="M306" i="16"/>
  <c r="AI306" i="16"/>
  <c r="AJ306" i="16" s="1"/>
  <c r="AK306" i="16" s="1"/>
  <c r="S306" i="16"/>
  <c r="T306" i="16"/>
  <c r="U306" i="16" s="1"/>
  <c r="V306" i="16" s="1"/>
  <c r="X306" i="16"/>
  <c r="Y306" i="16" s="1"/>
  <c r="Z306" i="16" s="1"/>
  <c r="AA306" i="16"/>
  <c r="AB306" i="16" s="1"/>
  <c r="AC306" i="16" s="1"/>
  <c r="N306" i="16"/>
  <c r="L308" i="16" l="1"/>
  <c r="K309" i="16"/>
  <c r="X307" i="16"/>
  <c r="Y307" i="16" s="1"/>
  <c r="Z307" i="16" s="1"/>
  <c r="AP307" i="16"/>
  <c r="AQ307" i="16" s="1"/>
  <c r="AR307" i="16" s="1"/>
  <c r="AI307" i="16"/>
  <c r="AJ307" i="16" s="1"/>
  <c r="AK307" i="16" s="1"/>
  <c r="S307" i="16"/>
  <c r="T307" i="16"/>
  <c r="U307" i="16" s="1"/>
  <c r="V307" i="16" s="1"/>
  <c r="N307" i="16"/>
  <c r="AA307" i="16"/>
  <c r="AB307" i="16" s="1"/>
  <c r="AC307" i="16" s="1"/>
  <c r="M307" i="16"/>
  <c r="L309" i="16" l="1"/>
  <c r="K310" i="16"/>
  <c r="X308" i="16"/>
  <c r="Y308" i="16" s="1"/>
  <c r="Z308" i="16" s="1"/>
  <c r="N308" i="16"/>
  <c r="AA308" i="16"/>
  <c r="AB308" i="16" s="1"/>
  <c r="AC308" i="16" s="1"/>
  <c r="AI308" i="16"/>
  <c r="AJ308" i="16" s="1"/>
  <c r="AK308" i="16" s="1"/>
  <c r="S308" i="16"/>
  <c r="T308" i="16"/>
  <c r="U308" i="16" s="1"/>
  <c r="V308" i="16" s="1"/>
  <c r="M308" i="16"/>
  <c r="AP308" i="16"/>
  <c r="AQ308" i="16" s="1"/>
  <c r="AR308" i="16" s="1"/>
  <c r="L310" i="16" l="1"/>
  <c r="K311" i="16"/>
  <c r="M309" i="16"/>
  <c r="N309" i="16"/>
  <c r="AA309" i="16"/>
  <c r="AB309" i="16" s="1"/>
  <c r="AC309" i="16" s="1"/>
  <c r="AI309" i="16"/>
  <c r="AJ309" i="16" s="1"/>
  <c r="AK309" i="16" s="1"/>
  <c r="S309" i="16"/>
  <c r="AP309" i="16"/>
  <c r="AQ309" i="16" s="1"/>
  <c r="AR309" i="16" s="1"/>
  <c r="T309" i="16"/>
  <c r="U309" i="16" s="1"/>
  <c r="V309" i="16" s="1"/>
  <c r="X309" i="16"/>
  <c r="Y309" i="16" s="1"/>
  <c r="Z309" i="16" s="1"/>
  <c r="L311" i="16" l="1"/>
  <c r="K312" i="16"/>
  <c r="T310" i="16"/>
  <c r="U310" i="16" s="1"/>
  <c r="V310" i="16" s="1"/>
  <c r="AP310" i="16"/>
  <c r="AQ310" i="16" s="1"/>
  <c r="AR310" i="16" s="1"/>
  <c r="M310" i="16"/>
  <c r="N310" i="16"/>
  <c r="AA310" i="16"/>
  <c r="AB310" i="16" s="1"/>
  <c r="AC310" i="16" s="1"/>
  <c r="AI310" i="16"/>
  <c r="AJ310" i="16" s="1"/>
  <c r="AK310" i="16" s="1"/>
  <c r="X310" i="16"/>
  <c r="Y310" i="16" s="1"/>
  <c r="Z310" i="16" s="1"/>
  <c r="S310" i="16"/>
  <c r="L312" i="16" l="1"/>
  <c r="K313" i="16"/>
  <c r="S311" i="16"/>
  <c r="T311" i="16"/>
  <c r="U311" i="16" s="1"/>
  <c r="V311" i="16" s="1"/>
  <c r="X311" i="16"/>
  <c r="Y311" i="16" s="1"/>
  <c r="Z311" i="16" s="1"/>
  <c r="AP311" i="16"/>
  <c r="AQ311" i="16" s="1"/>
  <c r="AR311" i="16" s="1"/>
  <c r="M311" i="16"/>
  <c r="N311" i="16"/>
  <c r="AA311" i="16"/>
  <c r="AB311" i="16" s="1"/>
  <c r="AC311" i="16" s="1"/>
  <c r="AI311" i="16"/>
  <c r="AJ311" i="16" s="1"/>
  <c r="AK311" i="16" s="1"/>
  <c r="K314" i="16" l="1"/>
  <c r="L313" i="16"/>
  <c r="AI312" i="16"/>
  <c r="AJ312" i="16" s="1"/>
  <c r="AK312" i="16" s="1"/>
  <c r="X312" i="16"/>
  <c r="Y312" i="16" s="1"/>
  <c r="Z312" i="16" s="1"/>
  <c r="AP312" i="16"/>
  <c r="AQ312" i="16" s="1"/>
  <c r="AR312" i="16" s="1"/>
  <c r="N312" i="16"/>
  <c r="AA312" i="16"/>
  <c r="AB312" i="16" s="1"/>
  <c r="AC312" i="16" s="1"/>
  <c r="M312" i="16"/>
  <c r="S312" i="16"/>
  <c r="T312" i="16"/>
  <c r="U312" i="16" s="1"/>
  <c r="V312" i="16" s="1"/>
  <c r="X313" i="16" l="1"/>
  <c r="Y313" i="16" s="1"/>
  <c r="Z313" i="16" s="1"/>
  <c r="M313" i="16"/>
  <c r="N313" i="16"/>
  <c r="AA313" i="16"/>
  <c r="AB313" i="16" s="1"/>
  <c r="AC313" i="16" s="1"/>
  <c r="S313" i="16"/>
  <c r="T313" i="16"/>
  <c r="U313" i="16" s="1"/>
  <c r="V313" i="16" s="1"/>
  <c r="AI313" i="16"/>
  <c r="AJ313" i="16" s="1"/>
  <c r="AK313" i="16" s="1"/>
  <c r="AP313" i="16"/>
  <c r="AQ313" i="16" s="1"/>
  <c r="AR313" i="16" s="1"/>
  <c r="L314" i="16"/>
  <c r="K315" i="16"/>
  <c r="L315" i="16" l="1"/>
  <c r="K316" i="16"/>
  <c r="T314" i="16"/>
  <c r="U314" i="16" s="1"/>
  <c r="V314" i="16" s="1"/>
  <c r="AP314" i="16"/>
  <c r="AQ314" i="16" s="1"/>
  <c r="AR314" i="16" s="1"/>
  <c r="M314" i="16"/>
  <c r="N314" i="16"/>
  <c r="AA314" i="16"/>
  <c r="AB314" i="16" s="1"/>
  <c r="AC314" i="16" s="1"/>
  <c r="S314" i="16"/>
  <c r="X314" i="16"/>
  <c r="Y314" i="16" s="1"/>
  <c r="Z314" i="16" s="1"/>
  <c r="AI314" i="16"/>
  <c r="AJ314" i="16" s="1"/>
  <c r="AK314" i="16" s="1"/>
  <c r="L316" i="16" l="1"/>
  <c r="K317" i="16"/>
  <c r="S315" i="16"/>
  <c r="T315" i="16"/>
  <c r="U315" i="16" s="1"/>
  <c r="V315" i="16" s="1"/>
  <c r="X315" i="16"/>
  <c r="Y315" i="16" s="1"/>
  <c r="Z315" i="16" s="1"/>
  <c r="AP315" i="16"/>
  <c r="AQ315" i="16" s="1"/>
  <c r="AR315" i="16" s="1"/>
  <c r="M315" i="16"/>
  <c r="AA315" i="16"/>
  <c r="AB315" i="16" s="1"/>
  <c r="AC315" i="16" s="1"/>
  <c r="AI315" i="16"/>
  <c r="AJ315" i="16" s="1"/>
  <c r="AK315" i="16" s="1"/>
  <c r="N315" i="16"/>
  <c r="K318" i="16" l="1"/>
  <c r="L317" i="16"/>
  <c r="N316" i="16"/>
  <c r="AA316" i="16"/>
  <c r="AB316" i="16" s="1"/>
  <c r="AC316" i="16" s="1"/>
  <c r="AI316" i="16"/>
  <c r="AJ316" i="16" s="1"/>
  <c r="AK316" i="16" s="1"/>
  <c r="S316" i="16"/>
  <c r="T316" i="16"/>
  <c r="U316" i="16" s="1"/>
  <c r="V316" i="16" s="1"/>
  <c r="X316" i="16"/>
  <c r="Y316" i="16" s="1"/>
  <c r="Z316" i="16" s="1"/>
  <c r="AP316" i="16"/>
  <c r="AQ316" i="16" s="1"/>
  <c r="AR316" i="16" s="1"/>
  <c r="M316" i="16"/>
  <c r="M317" i="16" l="1"/>
  <c r="AI317" i="16"/>
  <c r="AJ317" i="16" s="1"/>
  <c r="AK317" i="16" s="1"/>
  <c r="S317" i="16"/>
  <c r="X317" i="16"/>
  <c r="Y317" i="16" s="1"/>
  <c r="Z317" i="16" s="1"/>
  <c r="T317" i="16"/>
  <c r="U317" i="16" s="1"/>
  <c r="V317" i="16" s="1"/>
  <c r="AA317" i="16"/>
  <c r="AB317" i="16" s="1"/>
  <c r="AC317" i="16" s="1"/>
  <c r="AP317" i="16"/>
  <c r="AQ317" i="16" s="1"/>
  <c r="AR317" i="16" s="1"/>
  <c r="N317" i="16"/>
  <c r="L318" i="16"/>
  <c r="K319" i="16"/>
  <c r="K320" i="16" l="1"/>
  <c r="L319" i="16"/>
  <c r="AP318" i="16"/>
  <c r="AQ318" i="16" s="1"/>
  <c r="AR318" i="16" s="1"/>
  <c r="AI318" i="16"/>
  <c r="AJ318" i="16" s="1"/>
  <c r="AK318" i="16" s="1"/>
  <c r="T318" i="16"/>
  <c r="U318" i="16" s="1"/>
  <c r="V318" i="16" s="1"/>
  <c r="M318" i="16"/>
  <c r="N318" i="16"/>
  <c r="S318" i="16"/>
  <c r="X318" i="16"/>
  <c r="Y318" i="16" s="1"/>
  <c r="Z318" i="16" s="1"/>
  <c r="AA318" i="16"/>
  <c r="AB318" i="16" s="1"/>
  <c r="AC318" i="16" s="1"/>
  <c r="X319" i="16" l="1"/>
  <c r="Y319" i="16" s="1"/>
  <c r="Z319" i="16" s="1"/>
  <c r="T319" i="16"/>
  <c r="U319" i="16" s="1"/>
  <c r="V319" i="16" s="1"/>
  <c r="S319" i="16"/>
  <c r="AA319" i="16"/>
  <c r="AB319" i="16" s="1"/>
  <c r="AC319" i="16" s="1"/>
  <c r="AI319" i="16"/>
  <c r="AJ319" i="16" s="1"/>
  <c r="AK319" i="16" s="1"/>
  <c r="M319" i="16"/>
  <c r="N319" i="16"/>
  <c r="AP319" i="16"/>
  <c r="AQ319" i="16" s="1"/>
  <c r="AR319" i="16" s="1"/>
  <c r="L320" i="16"/>
  <c r="K321" i="16"/>
  <c r="K322" i="16" l="1"/>
  <c r="L321" i="16"/>
  <c r="N320" i="16"/>
  <c r="AA320" i="16"/>
  <c r="AB320" i="16" s="1"/>
  <c r="AC320" i="16" s="1"/>
  <c r="S320" i="16"/>
  <c r="T320" i="16"/>
  <c r="U320" i="16" s="1"/>
  <c r="V320" i="16" s="1"/>
  <c r="X320" i="16"/>
  <c r="Y320" i="16" s="1"/>
  <c r="Z320" i="16" s="1"/>
  <c r="AI320" i="16"/>
  <c r="AJ320" i="16" s="1"/>
  <c r="AK320" i="16" s="1"/>
  <c r="M320" i="16"/>
  <c r="AP320" i="16"/>
  <c r="AQ320" i="16" s="1"/>
  <c r="AR320" i="16" s="1"/>
  <c r="M321" i="16" l="1"/>
  <c r="N321" i="16"/>
  <c r="AA321" i="16"/>
  <c r="AB321" i="16" s="1"/>
  <c r="AC321" i="16" s="1"/>
  <c r="AI321" i="16"/>
  <c r="AJ321" i="16" s="1"/>
  <c r="AK321" i="16" s="1"/>
  <c r="S321" i="16"/>
  <c r="T321" i="16"/>
  <c r="U321" i="16" s="1"/>
  <c r="V321" i="16" s="1"/>
  <c r="X321" i="16"/>
  <c r="Y321" i="16" s="1"/>
  <c r="Z321" i="16" s="1"/>
  <c r="AP321" i="16"/>
  <c r="AQ321" i="16" s="1"/>
  <c r="AR321" i="16" s="1"/>
  <c r="L322" i="16"/>
  <c r="K323" i="16"/>
  <c r="K324" i="16" l="1"/>
  <c r="L323" i="16"/>
  <c r="T322" i="16"/>
  <c r="U322" i="16" s="1"/>
  <c r="V322" i="16" s="1"/>
  <c r="AP322" i="16"/>
  <c r="AQ322" i="16" s="1"/>
  <c r="AR322" i="16" s="1"/>
  <c r="M322" i="16"/>
  <c r="AI322" i="16"/>
  <c r="AJ322" i="16" s="1"/>
  <c r="AK322" i="16" s="1"/>
  <c r="X322" i="16"/>
  <c r="Y322" i="16" s="1"/>
  <c r="Z322" i="16" s="1"/>
  <c r="AA322" i="16"/>
  <c r="AB322" i="16" s="1"/>
  <c r="AC322" i="16" s="1"/>
  <c r="S322" i="16"/>
  <c r="N322" i="16"/>
  <c r="S323" i="16" l="1"/>
  <c r="X323" i="16"/>
  <c r="Y323" i="16" s="1"/>
  <c r="Z323" i="16" s="1"/>
  <c r="T323" i="16"/>
  <c r="U323" i="16" s="1"/>
  <c r="V323" i="16" s="1"/>
  <c r="AP323" i="16"/>
  <c r="AQ323" i="16" s="1"/>
  <c r="AR323" i="16" s="1"/>
  <c r="AI323" i="16"/>
  <c r="AJ323" i="16" s="1"/>
  <c r="AK323" i="16" s="1"/>
  <c r="AA323" i="16"/>
  <c r="AB323" i="16" s="1"/>
  <c r="AC323" i="16" s="1"/>
  <c r="M323" i="16"/>
  <c r="N323" i="16"/>
  <c r="L324" i="16"/>
  <c r="K325" i="16"/>
  <c r="L325" i="16" l="1"/>
  <c r="K326" i="16"/>
  <c r="AI324" i="16"/>
  <c r="AJ324" i="16" s="1"/>
  <c r="AK324" i="16" s="1"/>
  <c r="AA324" i="16"/>
  <c r="AB324" i="16" s="1"/>
  <c r="AC324" i="16" s="1"/>
  <c r="M324" i="16"/>
  <c r="N324" i="16"/>
  <c r="S324" i="16"/>
  <c r="T324" i="16"/>
  <c r="U324" i="16" s="1"/>
  <c r="V324" i="16" s="1"/>
  <c r="AP324" i="16"/>
  <c r="AQ324" i="16" s="1"/>
  <c r="AR324" i="16" s="1"/>
  <c r="X324" i="16"/>
  <c r="Y324" i="16" s="1"/>
  <c r="Z324" i="16" s="1"/>
  <c r="N325" i="16" l="1"/>
  <c r="AA325" i="16"/>
  <c r="AB325" i="16" s="1"/>
  <c r="AC325" i="16" s="1"/>
  <c r="S325" i="16"/>
  <c r="T325" i="16"/>
  <c r="U325" i="16" s="1"/>
  <c r="V325" i="16" s="1"/>
  <c r="AP325" i="16"/>
  <c r="AQ325" i="16" s="1"/>
  <c r="AR325" i="16" s="1"/>
  <c r="X325" i="16"/>
  <c r="Y325" i="16" s="1"/>
  <c r="Z325" i="16" s="1"/>
  <c r="M325" i="16"/>
  <c r="AI325" i="16"/>
  <c r="AJ325" i="16" s="1"/>
  <c r="AK325" i="16" s="1"/>
  <c r="K327" i="16"/>
  <c r="L326" i="16"/>
  <c r="T326" i="16" l="1"/>
  <c r="U326" i="16" s="1"/>
  <c r="V326" i="16" s="1"/>
  <c r="M326" i="16"/>
  <c r="N326" i="16"/>
  <c r="AI326" i="16"/>
  <c r="AJ326" i="16" s="1"/>
  <c r="AK326" i="16" s="1"/>
  <c r="S326" i="16"/>
  <c r="AP326" i="16"/>
  <c r="AQ326" i="16" s="1"/>
  <c r="AR326" i="16" s="1"/>
  <c r="X326" i="16"/>
  <c r="Y326" i="16" s="1"/>
  <c r="Z326" i="16" s="1"/>
  <c r="AA326" i="16"/>
  <c r="AB326" i="16" s="1"/>
  <c r="AC326" i="16" s="1"/>
  <c r="L327" i="16"/>
  <c r="K328" i="16"/>
  <c r="S327" i="16" l="1"/>
  <c r="AP327" i="16"/>
  <c r="AQ327" i="16" s="1"/>
  <c r="AR327" i="16" s="1"/>
  <c r="X327" i="16"/>
  <c r="Y327" i="16" s="1"/>
  <c r="Z327" i="16" s="1"/>
  <c r="AA327" i="16"/>
  <c r="AB327" i="16" s="1"/>
  <c r="AC327" i="16" s="1"/>
  <c r="M327" i="16"/>
  <c r="N327" i="16"/>
  <c r="AI327" i="16"/>
  <c r="AJ327" i="16" s="1"/>
  <c r="AK327" i="16" s="1"/>
  <c r="T327" i="16"/>
  <c r="U327" i="16" s="1"/>
  <c r="V327" i="16" s="1"/>
  <c r="K329" i="16"/>
  <c r="L328" i="16"/>
  <c r="N328" i="16" l="1"/>
  <c r="AA328" i="16"/>
  <c r="AB328" i="16" s="1"/>
  <c r="AC328" i="16" s="1"/>
  <c r="AI328" i="16"/>
  <c r="AJ328" i="16" s="1"/>
  <c r="AK328" i="16" s="1"/>
  <c r="X328" i="16"/>
  <c r="Y328" i="16" s="1"/>
  <c r="Z328" i="16" s="1"/>
  <c r="S328" i="16"/>
  <c r="T328" i="16"/>
  <c r="U328" i="16" s="1"/>
  <c r="V328" i="16" s="1"/>
  <c r="AP328" i="16"/>
  <c r="AQ328" i="16" s="1"/>
  <c r="AR328" i="16" s="1"/>
  <c r="M328" i="16"/>
  <c r="L329" i="16"/>
  <c r="K330" i="16"/>
  <c r="L330" i="16" l="1"/>
  <c r="K331" i="16"/>
  <c r="M329" i="16"/>
  <c r="AA329" i="16"/>
  <c r="AB329" i="16" s="1"/>
  <c r="AC329" i="16" s="1"/>
  <c r="N329" i="16"/>
  <c r="AI329" i="16"/>
  <c r="AJ329" i="16" s="1"/>
  <c r="AK329" i="16" s="1"/>
  <c r="S329" i="16"/>
  <c r="T329" i="16"/>
  <c r="U329" i="16" s="1"/>
  <c r="V329" i="16" s="1"/>
  <c r="AP329" i="16"/>
  <c r="AQ329" i="16" s="1"/>
  <c r="AR329" i="16" s="1"/>
  <c r="X329" i="16"/>
  <c r="Y329" i="16" s="1"/>
  <c r="Z329" i="16" s="1"/>
  <c r="K332" i="16" l="1"/>
  <c r="L331" i="16"/>
  <c r="AP330" i="16"/>
  <c r="AQ330" i="16" s="1"/>
  <c r="AR330" i="16" s="1"/>
  <c r="T330" i="16"/>
  <c r="U330" i="16" s="1"/>
  <c r="V330" i="16" s="1"/>
  <c r="X330" i="16"/>
  <c r="Y330" i="16" s="1"/>
  <c r="Z330" i="16" s="1"/>
  <c r="AA330" i="16"/>
  <c r="AB330" i="16" s="1"/>
  <c r="AC330" i="16" s="1"/>
  <c r="M330" i="16"/>
  <c r="N330" i="16"/>
  <c r="AI330" i="16"/>
  <c r="AJ330" i="16" s="1"/>
  <c r="AK330" i="16" s="1"/>
  <c r="S330" i="16"/>
  <c r="X331" i="16" l="1"/>
  <c r="Y331" i="16" s="1"/>
  <c r="Z331" i="16" s="1"/>
  <c r="T331" i="16"/>
  <c r="U331" i="16" s="1"/>
  <c r="V331" i="16" s="1"/>
  <c r="N331" i="16"/>
  <c r="AI331" i="16"/>
  <c r="AJ331" i="16" s="1"/>
  <c r="AK331" i="16" s="1"/>
  <c r="S331" i="16"/>
  <c r="AP331" i="16"/>
  <c r="AQ331" i="16" s="1"/>
  <c r="AR331" i="16" s="1"/>
  <c r="AA331" i="16"/>
  <c r="AB331" i="16" s="1"/>
  <c r="AC331" i="16" s="1"/>
  <c r="M331" i="16"/>
  <c r="L332" i="16"/>
  <c r="K333" i="16"/>
  <c r="N332" i="16" l="1"/>
  <c r="AA332" i="16"/>
  <c r="AB332" i="16" s="1"/>
  <c r="AC332" i="16" s="1"/>
  <c r="S332" i="16"/>
  <c r="M332" i="16"/>
  <c r="AI332" i="16"/>
  <c r="AJ332" i="16" s="1"/>
  <c r="AK332" i="16" s="1"/>
  <c r="T332" i="16"/>
  <c r="U332" i="16" s="1"/>
  <c r="V332" i="16" s="1"/>
  <c r="AP332" i="16"/>
  <c r="AQ332" i="16" s="1"/>
  <c r="AR332" i="16" s="1"/>
  <c r="X332" i="16"/>
  <c r="Y332" i="16" s="1"/>
  <c r="Z332" i="16" s="1"/>
  <c r="K334" i="16"/>
  <c r="L333" i="16"/>
  <c r="M333" i="16" l="1"/>
  <c r="AI333" i="16"/>
  <c r="AJ333" i="16" s="1"/>
  <c r="AK333" i="16" s="1"/>
  <c r="S333" i="16"/>
  <c r="T333" i="16"/>
  <c r="U333" i="16" s="1"/>
  <c r="V333" i="16" s="1"/>
  <c r="AP333" i="16"/>
  <c r="AQ333" i="16" s="1"/>
  <c r="AR333" i="16" s="1"/>
  <c r="X333" i="16"/>
  <c r="Y333" i="16" s="1"/>
  <c r="Z333" i="16" s="1"/>
  <c r="AA333" i="16"/>
  <c r="AB333" i="16" s="1"/>
  <c r="AC333" i="16" s="1"/>
  <c r="N333" i="16"/>
  <c r="L334" i="16"/>
  <c r="K335" i="16"/>
  <c r="T334" i="16" l="1"/>
  <c r="U334" i="16" s="1"/>
  <c r="V334" i="16" s="1"/>
  <c r="AP334" i="16"/>
  <c r="AQ334" i="16" s="1"/>
  <c r="AR334" i="16" s="1"/>
  <c r="AA334" i="16"/>
  <c r="AB334" i="16" s="1"/>
  <c r="AC334" i="16" s="1"/>
  <c r="M334" i="16"/>
  <c r="N334" i="16"/>
  <c r="AI334" i="16"/>
  <c r="AJ334" i="16" s="1"/>
  <c r="AK334" i="16" s="1"/>
  <c r="S334" i="16"/>
  <c r="X334" i="16"/>
  <c r="Y334" i="16" s="1"/>
  <c r="Z334" i="16" s="1"/>
  <c r="K336" i="16"/>
  <c r="L335" i="16"/>
  <c r="X335" i="16" l="1"/>
  <c r="Y335" i="16" s="1"/>
  <c r="Z335" i="16" s="1"/>
  <c r="S335" i="16"/>
  <c r="T335" i="16"/>
  <c r="U335" i="16" s="1"/>
  <c r="V335" i="16" s="1"/>
  <c r="AP335" i="16"/>
  <c r="AQ335" i="16" s="1"/>
  <c r="AR335" i="16" s="1"/>
  <c r="AA335" i="16"/>
  <c r="AB335" i="16" s="1"/>
  <c r="AC335" i="16" s="1"/>
  <c r="M335" i="16"/>
  <c r="N335" i="16"/>
  <c r="AI335" i="16"/>
  <c r="AJ335" i="16" s="1"/>
  <c r="AK335" i="16" s="1"/>
  <c r="L336" i="16"/>
  <c r="K337" i="16"/>
  <c r="K338" i="16" l="1"/>
  <c r="L337" i="16"/>
  <c r="AA336" i="16"/>
  <c r="AB336" i="16" s="1"/>
  <c r="AC336" i="16" s="1"/>
  <c r="M336" i="16"/>
  <c r="N336" i="16"/>
  <c r="AI336" i="16"/>
  <c r="AJ336" i="16" s="1"/>
  <c r="AK336" i="16" s="1"/>
  <c r="S336" i="16"/>
  <c r="T336" i="16"/>
  <c r="U336" i="16" s="1"/>
  <c r="V336" i="16" s="1"/>
  <c r="AP336" i="16"/>
  <c r="AQ336" i="16" s="1"/>
  <c r="AR336" i="16" s="1"/>
  <c r="X336" i="16"/>
  <c r="Y336" i="16" s="1"/>
  <c r="Z336" i="16" s="1"/>
  <c r="N337" i="16" l="1"/>
  <c r="AA337" i="16"/>
  <c r="AB337" i="16" s="1"/>
  <c r="AC337" i="16" s="1"/>
  <c r="AI337" i="16"/>
  <c r="AJ337" i="16" s="1"/>
  <c r="AK337" i="16" s="1"/>
  <c r="S337" i="16"/>
  <c r="T337" i="16"/>
  <c r="U337" i="16" s="1"/>
  <c r="V337" i="16" s="1"/>
  <c r="AP337" i="16"/>
  <c r="AQ337" i="16" s="1"/>
  <c r="AR337" i="16" s="1"/>
  <c r="X337" i="16"/>
  <c r="Y337" i="16" s="1"/>
  <c r="Z337" i="16" s="1"/>
  <c r="M337" i="16"/>
  <c r="L338" i="16"/>
  <c r="K339" i="16"/>
  <c r="T338" i="16" l="1"/>
  <c r="U338" i="16" s="1"/>
  <c r="V338" i="16" s="1"/>
  <c r="M338" i="16"/>
  <c r="AP338" i="16"/>
  <c r="AQ338" i="16" s="1"/>
  <c r="AR338" i="16" s="1"/>
  <c r="X338" i="16"/>
  <c r="Y338" i="16" s="1"/>
  <c r="Z338" i="16" s="1"/>
  <c r="AA338" i="16"/>
  <c r="AB338" i="16" s="1"/>
  <c r="AC338" i="16" s="1"/>
  <c r="N338" i="16"/>
  <c r="AI338" i="16"/>
  <c r="AJ338" i="16" s="1"/>
  <c r="AK338" i="16" s="1"/>
  <c r="S338" i="16"/>
  <c r="L339" i="16"/>
  <c r="K340" i="16"/>
  <c r="L340" i="16" l="1"/>
  <c r="K341" i="16"/>
  <c r="AP339" i="16"/>
  <c r="AQ339" i="16" s="1"/>
  <c r="AR339" i="16" s="1"/>
  <c r="M339" i="16"/>
  <c r="N339" i="16"/>
  <c r="AA339" i="16"/>
  <c r="AB339" i="16" s="1"/>
  <c r="AC339" i="16" s="1"/>
  <c r="AI339" i="16"/>
  <c r="AJ339" i="16" s="1"/>
  <c r="AK339" i="16" s="1"/>
  <c r="S339" i="16"/>
  <c r="T339" i="16"/>
  <c r="U339" i="16" s="1"/>
  <c r="V339" i="16" s="1"/>
  <c r="X339" i="16"/>
  <c r="Y339" i="16" s="1"/>
  <c r="Z339" i="16" s="1"/>
  <c r="M340" i="16" l="1"/>
  <c r="N340" i="16"/>
  <c r="AA340" i="16"/>
  <c r="AB340" i="16" s="1"/>
  <c r="AC340" i="16" s="1"/>
  <c r="AI340" i="16"/>
  <c r="AJ340" i="16" s="1"/>
  <c r="AK340" i="16" s="1"/>
  <c r="S340" i="16"/>
  <c r="T340" i="16"/>
  <c r="U340" i="16" s="1"/>
  <c r="V340" i="16" s="1"/>
  <c r="X340" i="16"/>
  <c r="Y340" i="16" s="1"/>
  <c r="Z340" i="16" s="1"/>
  <c r="AP340" i="16"/>
  <c r="AQ340" i="16" s="1"/>
  <c r="AR340" i="16" s="1"/>
  <c r="L341" i="16"/>
  <c r="K342" i="16"/>
  <c r="L342" i="16" l="1"/>
  <c r="K343" i="16"/>
  <c r="L343" i="16" s="1"/>
  <c r="E86" i="8" s="1"/>
  <c r="Y86" i="8" s="1"/>
  <c r="AP341" i="16"/>
  <c r="AQ341" i="16" s="1"/>
  <c r="AR341" i="16" s="1"/>
  <c r="M341" i="16"/>
  <c r="N341" i="16"/>
  <c r="AA341" i="16"/>
  <c r="AB341" i="16" s="1"/>
  <c r="AC341" i="16" s="1"/>
  <c r="AI341" i="16"/>
  <c r="AJ341" i="16" s="1"/>
  <c r="AK341" i="16" s="1"/>
  <c r="S341" i="16"/>
  <c r="T341" i="16"/>
  <c r="U341" i="16" s="1"/>
  <c r="V341" i="16" s="1"/>
  <c r="X341" i="16"/>
  <c r="Y341" i="16" s="1"/>
  <c r="Z341" i="16" s="1"/>
  <c r="X343" i="16" l="1"/>
  <c r="Y343" i="16" s="1"/>
  <c r="AP343" i="16"/>
  <c r="AQ343" i="16" s="1"/>
  <c r="AR25" i="16" s="1"/>
  <c r="M343" i="16"/>
  <c r="N343" i="16"/>
  <c r="AA343" i="16"/>
  <c r="AI343" i="16"/>
  <c r="AJ343" i="16" s="1"/>
  <c r="S343" i="16"/>
  <c r="T343" i="16"/>
  <c r="U343" i="16" s="1"/>
  <c r="E75" i="8"/>
  <c r="Y75" i="8" s="1"/>
  <c r="E83" i="8"/>
  <c r="Y83" i="8" s="1"/>
  <c r="E69" i="8"/>
  <c r="Y69" i="8" s="1"/>
  <c r="E79" i="8"/>
  <c r="Y79" i="8" s="1"/>
  <c r="E77" i="8"/>
  <c r="Y77" i="8" s="1"/>
  <c r="E73" i="8"/>
  <c r="Y73" i="8" s="1"/>
  <c r="E67" i="8"/>
  <c r="Y67" i="8" s="1"/>
  <c r="E72" i="8"/>
  <c r="Y72" i="8" s="1"/>
  <c r="E84" i="8"/>
  <c r="Y84" i="8" s="1"/>
  <c r="E71" i="8"/>
  <c r="Y71" i="8" s="1"/>
  <c r="E82" i="8"/>
  <c r="Y82" i="8" s="1"/>
  <c r="E81" i="8"/>
  <c r="Y81" i="8" s="1"/>
  <c r="E80" i="8"/>
  <c r="Y80" i="8" s="1"/>
  <c r="E85" i="8"/>
  <c r="Y85" i="8" s="1"/>
  <c r="E70" i="8"/>
  <c r="Y70" i="8" s="1"/>
  <c r="E74" i="8"/>
  <c r="Y74" i="8" s="1"/>
  <c r="E68" i="8"/>
  <c r="Y68" i="8" s="1"/>
  <c r="E76" i="8"/>
  <c r="Y76" i="8" s="1"/>
  <c r="E78" i="8"/>
  <c r="Y78" i="8" s="1"/>
  <c r="X342" i="16"/>
  <c r="Y342" i="16" s="1"/>
  <c r="Z342" i="16" s="1"/>
  <c r="AP342" i="16"/>
  <c r="AQ342" i="16" s="1"/>
  <c r="AR342" i="16" s="1"/>
  <c r="M342" i="16"/>
  <c r="N342" i="16"/>
  <c r="AA342" i="16"/>
  <c r="AB342" i="16" s="1"/>
  <c r="AC342" i="16" s="1"/>
  <c r="AI342" i="16"/>
  <c r="AJ342" i="16" s="1"/>
  <c r="AK342" i="16" s="1"/>
  <c r="S342" i="16"/>
  <c r="T342" i="16"/>
  <c r="U342" i="16" s="1"/>
  <c r="V342" i="16" s="1"/>
  <c r="V36" i="16" l="1"/>
  <c r="V47" i="16"/>
  <c r="Z18" i="16"/>
  <c r="V51" i="16"/>
  <c r="V43" i="16"/>
  <c r="V52" i="16"/>
  <c r="AR21" i="16"/>
  <c r="Z52" i="16"/>
  <c r="AR20" i="16"/>
  <c r="AR56" i="16"/>
  <c r="V53" i="16"/>
  <c r="V63" i="16"/>
  <c r="V50" i="16"/>
  <c r="AK26" i="16"/>
  <c r="Z54" i="16"/>
  <c r="Z59" i="16"/>
  <c r="Z50" i="16"/>
  <c r="V31" i="16"/>
  <c r="AK57" i="16"/>
  <c r="AK14" i="16"/>
  <c r="AK47" i="16"/>
  <c r="AK11" i="16"/>
  <c r="AK16" i="16"/>
  <c r="AK60" i="16"/>
  <c r="AK24" i="16"/>
  <c r="AK49" i="16"/>
  <c r="AK21" i="16"/>
  <c r="AK34" i="16"/>
  <c r="AK54" i="16"/>
  <c r="AK20" i="16"/>
  <c r="AK33" i="16"/>
  <c r="AK61" i="16"/>
  <c r="AK51" i="16"/>
  <c r="AK56" i="16"/>
  <c r="AK38" i="16"/>
  <c r="AK62" i="16"/>
  <c r="AK27" i="16"/>
  <c r="AK64" i="16"/>
  <c r="AK37" i="16"/>
  <c r="AK68" i="16"/>
  <c r="AK22" i="16"/>
  <c r="AK36" i="16"/>
  <c r="AK52" i="16"/>
  <c r="AK59" i="16"/>
  <c r="AK46" i="16"/>
  <c r="AK41" i="16"/>
  <c r="AK42" i="16"/>
  <c r="AK39" i="16"/>
  <c r="AK32" i="16"/>
  <c r="AK12" i="16"/>
  <c r="AK25" i="16"/>
  <c r="AK18" i="16"/>
  <c r="AK44" i="16"/>
  <c r="AK63" i="16"/>
  <c r="AK43" i="16"/>
  <c r="AK28" i="16"/>
  <c r="AK48" i="16"/>
  <c r="AK17" i="16"/>
  <c r="AR14" i="16"/>
  <c r="AR34" i="16"/>
  <c r="Z20" i="16"/>
  <c r="M9" i="16"/>
  <c r="L37" i="8" s="1"/>
  <c r="K37" i="8" s="1"/>
  <c r="AK91" i="16"/>
  <c r="AK120" i="16"/>
  <c r="AK135" i="16"/>
  <c r="AK162" i="16"/>
  <c r="AK174" i="16"/>
  <c r="AR156" i="16"/>
  <c r="AR71" i="16"/>
  <c r="AR49" i="16"/>
  <c r="AR181" i="16"/>
  <c r="Z115" i="16"/>
  <c r="Z143" i="16"/>
  <c r="Z45" i="16"/>
  <c r="Z79" i="16"/>
  <c r="Z37" i="16"/>
  <c r="Z65" i="16"/>
  <c r="Z36" i="16"/>
  <c r="Z17" i="16"/>
  <c r="Z69" i="16"/>
  <c r="Z81" i="16"/>
  <c r="V87" i="16"/>
  <c r="V91" i="16"/>
  <c r="V98" i="16"/>
  <c r="V100" i="16"/>
  <c r="V155" i="16"/>
  <c r="V25" i="16"/>
  <c r="V46" i="16"/>
  <c r="V84" i="16"/>
  <c r="V30" i="16"/>
  <c r="V39" i="16"/>
  <c r="V72" i="16"/>
  <c r="V38" i="16"/>
  <c r="V83" i="16"/>
  <c r="V59" i="16"/>
  <c r="V70" i="16"/>
  <c r="V167" i="16"/>
  <c r="V174" i="16"/>
  <c r="AK123" i="16"/>
  <c r="AK129" i="16"/>
  <c r="AK150" i="16"/>
  <c r="AK166" i="16"/>
  <c r="AR130" i="16"/>
  <c r="AR133" i="16"/>
  <c r="AR24" i="16"/>
  <c r="AR46" i="16"/>
  <c r="Z151" i="16"/>
  <c r="Z90" i="16"/>
  <c r="Z87" i="16"/>
  <c r="Z91" i="16"/>
  <c r="Z30" i="16"/>
  <c r="Z41" i="16"/>
  <c r="Z76" i="16"/>
  <c r="Z84" i="16"/>
  <c r="V86" i="16"/>
  <c r="V90" i="16"/>
  <c r="V94" i="16"/>
  <c r="V95" i="16"/>
  <c r="V104" i="16"/>
  <c r="V111" i="16"/>
  <c r="V113" i="16"/>
  <c r="V122" i="16"/>
  <c r="V129" i="16"/>
  <c r="V138" i="16"/>
  <c r="V149" i="16"/>
  <c r="V153" i="16"/>
  <c r="V154" i="16"/>
  <c r="V157" i="16"/>
  <c r="V156" i="16"/>
  <c r="V161" i="16"/>
  <c r="V74" i="16"/>
  <c r="V57" i="16"/>
  <c r="V35" i="16"/>
  <c r="V22" i="16"/>
  <c r="V41" i="16"/>
  <c r="V60" i="16"/>
  <c r="V76" i="16"/>
  <c r="V65" i="16"/>
  <c r="V68" i="16"/>
  <c r="V73" i="16"/>
  <c r="V40" i="16"/>
  <c r="V171" i="16"/>
  <c r="V172" i="16"/>
  <c r="V183" i="16"/>
  <c r="AK45" i="16"/>
  <c r="AK74" i="16"/>
  <c r="AK29" i="16"/>
  <c r="AK65" i="16"/>
  <c r="AR106" i="16"/>
  <c r="AR112" i="16"/>
  <c r="AR141" i="16"/>
  <c r="AR150" i="16"/>
  <c r="AR65" i="16"/>
  <c r="AR184" i="16"/>
  <c r="Z86" i="16"/>
  <c r="Z157" i="16"/>
  <c r="Z111" i="16"/>
  <c r="Z104" i="16"/>
  <c r="Z153" i="16"/>
  <c r="Z161" i="16"/>
  <c r="Z63" i="16"/>
  <c r="Z40" i="16"/>
  <c r="Z43" i="16"/>
  <c r="AK86" i="16"/>
  <c r="AK127" i="16"/>
  <c r="AK149" i="16"/>
  <c r="AK35" i="16"/>
  <c r="AK161" i="16"/>
  <c r="AK31" i="16"/>
  <c r="AK55" i="16"/>
  <c r="AK70" i="16"/>
  <c r="AK83" i="16"/>
  <c r="Z127" i="16"/>
  <c r="Z107" i="16"/>
  <c r="Z136" i="16"/>
  <c r="Z131" i="16"/>
  <c r="Z95" i="16"/>
  <c r="Z93" i="16"/>
  <c r="Z70" i="16"/>
  <c r="Z75" i="16"/>
  <c r="Z46" i="16"/>
  <c r="Z61" i="16"/>
  <c r="Z68" i="16"/>
  <c r="Z47" i="16"/>
  <c r="Z24" i="16"/>
  <c r="Z11" i="16"/>
  <c r="Z62" i="16"/>
  <c r="Z13" i="16"/>
  <c r="Z42" i="16"/>
  <c r="Z183" i="16"/>
  <c r="AK89" i="16"/>
  <c r="AK99" i="16"/>
  <c r="AK124" i="16"/>
  <c r="AK58" i="16"/>
  <c r="AK66" i="16"/>
  <c r="AK170" i="16"/>
  <c r="AR89" i="16"/>
  <c r="AR99" i="16"/>
  <c r="AR124" i="16"/>
  <c r="AR58" i="16"/>
  <c r="AR170" i="16"/>
  <c r="AK110" i="16"/>
  <c r="AK136" i="16"/>
  <c r="AK142" i="16"/>
  <c r="AK148" i="16"/>
  <c r="AK159" i="16"/>
  <c r="AK182" i="16"/>
  <c r="AR87" i="16"/>
  <c r="AR104" i="16"/>
  <c r="AR110" i="16"/>
  <c r="AR118" i="16"/>
  <c r="AR119" i="16"/>
  <c r="AR134" i="16"/>
  <c r="AR136" i="16"/>
  <c r="AR142" i="16"/>
  <c r="AR144" i="16"/>
  <c r="AR153" i="16"/>
  <c r="AR159" i="16"/>
  <c r="AR162" i="16"/>
  <c r="AR168" i="16"/>
  <c r="AR178" i="16"/>
  <c r="Z97" i="16"/>
  <c r="Z138" i="16"/>
  <c r="Z149" i="16"/>
  <c r="Z98" i="16"/>
  <c r="Z155" i="16"/>
  <c r="Z122" i="16"/>
  <c r="Z150" i="16"/>
  <c r="Z132" i="16"/>
  <c r="Z94" i="16"/>
  <c r="Z39" i="16"/>
  <c r="Z19" i="16"/>
  <c r="Z74" i="16"/>
  <c r="Z51" i="16"/>
  <c r="Z58" i="16"/>
  <c r="Z60" i="16"/>
  <c r="Z73" i="16"/>
  <c r="Z22" i="16"/>
  <c r="Z38" i="16"/>
  <c r="Z83" i="16"/>
  <c r="Z12" i="16"/>
  <c r="Z25" i="16"/>
  <c r="Z57" i="16"/>
  <c r="Z169" i="16"/>
  <c r="Z171" i="16"/>
  <c r="AK125" i="16"/>
  <c r="AK177" i="16"/>
  <c r="AR96" i="16"/>
  <c r="AR98" i="16"/>
  <c r="AR125" i="16"/>
  <c r="AR135" i="16"/>
  <c r="AR143" i="16"/>
  <c r="AR161" i="16"/>
  <c r="AR74" i="16"/>
  <c r="AR16" i="16"/>
  <c r="AR169" i="16"/>
  <c r="AR177" i="16"/>
  <c r="V88" i="16"/>
  <c r="V93" i="16"/>
  <c r="V96" i="16"/>
  <c r="V99" i="16"/>
  <c r="V97" i="16"/>
  <c r="V105" i="16"/>
  <c r="V112" i="16"/>
  <c r="V117" i="16"/>
  <c r="V125" i="16"/>
  <c r="V127" i="16"/>
  <c r="V131" i="16"/>
  <c r="V134" i="16"/>
  <c r="V137" i="16"/>
  <c r="V145" i="16"/>
  <c r="V158" i="16"/>
  <c r="V159" i="16"/>
  <c r="V15" i="16"/>
  <c r="V27" i="16"/>
  <c r="V11" i="16"/>
  <c r="V29" i="16"/>
  <c r="V80" i="16"/>
  <c r="V58" i="16"/>
  <c r="V12" i="16"/>
  <c r="V48" i="16"/>
  <c r="V55" i="16"/>
  <c r="V28" i="16"/>
  <c r="V67" i="16"/>
  <c r="V66" i="16"/>
  <c r="V42" i="16"/>
  <c r="V26" i="16"/>
  <c r="V62" i="16"/>
  <c r="V61" i="16"/>
  <c r="AK88" i="16"/>
  <c r="AK113" i="16"/>
  <c r="AK137" i="16"/>
  <c r="AK158" i="16"/>
  <c r="AK67" i="16"/>
  <c r="AK180" i="16"/>
  <c r="AR101" i="16"/>
  <c r="AR113" i="16"/>
  <c r="AR137" i="16"/>
  <c r="AR158" i="16"/>
  <c r="AR163" i="16"/>
  <c r="AR75" i="16"/>
  <c r="AR167" i="16"/>
  <c r="AR176" i="16"/>
  <c r="AR180" i="16"/>
  <c r="Z99" i="16"/>
  <c r="Z137" i="16"/>
  <c r="Z96" i="16"/>
  <c r="Z159" i="16"/>
  <c r="Z105" i="16"/>
  <c r="Z147" i="16"/>
  <c r="Z125" i="16"/>
  <c r="Z88" i="16"/>
  <c r="Z134" i="16"/>
  <c r="Z32" i="16"/>
  <c r="Z29" i="16"/>
  <c r="Z21" i="16"/>
  <c r="Z15" i="16"/>
  <c r="Z66" i="16"/>
  <c r="Z80" i="16"/>
  <c r="Z55" i="16"/>
  <c r="Z33" i="16"/>
  <c r="Z26" i="16"/>
  <c r="Z67" i="16"/>
  <c r="Z27" i="16"/>
  <c r="Z28" i="16"/>
  <c r="Z163" i="16"/>
  <c r="Z48" i="16"/>
  <c r="Z14" i="16"/>
  <c r="AK94" i="16"/>
  <c r="AK108" i="16"/>
  <c r="AK147" i="16"/>
  <c r="AK152" i="16"/>
  <c r="AK173" i="16"/>
  <c r="AK179" i="16"/>
  <c r="AR94" i="16"/>
  <c r="AR108" i="16"/>
  <c r="AR115" i="16"/>
  <c r="AR117" i="16"/>
  <c r="AR127" i="16"/>
  <c r="AR146" i="16"/>
  <c r="AR147" i="16"/>
  <c r="AR148" i="16"/>
  <c r="AR152" i="16"/>
  <c r="AR12" i="16"/>
  <c r="AR73" i="16"/>
  <c r="AR79" i="16"/>
  <c r="AR29" i="16"/>
  <c r="AR67" i="16"/>
  <c r="AR66" i="16"/>
  <c r="AR171" i="16"/>
  <c r="AR173" i="16"/>
  <c r="AR179" i="16"/>
  <c r="Z108" i="16"/>
  <c r="Z146" i="16"/>
  <c r="Z106" i="16"/>
  <c r="Z141" i="16"/>
  <c r="Z116" i="16"/>
  <c r="Z142" i="16"/>
  <c r="Z152" i="16"/>
  <c r="Z128" i="16"/>
  <c r="Z123" i="16"/>
  <c r="Z135" i="16"/>
  <c r="Z110" i="16"/>
  <c r="Z126" i="16"/>
  <c r="Z140" i="16"/>
  <c r="Z109" i="16"/>
  <c r="Z124" i="16"/>
  <c r="Z101" i="16"/>
  <c r="Z56" i="16"/>
  <c r="Z114" i="16"/>
  <c r="Z82" i="16"/>
  <c r="Z16" i="16"/>
  <c r="Z31" i="16"/>
  <c r="Z71" i="16"/>
  <c r="Z162" i="16"/>
  <c r="Z77" i="16"/>
  <c r="Z64" i="16"/>
  <c r="Z49" i="16"/>
  <c r="Z85" i="16"/>
  <c r="Z168" i="16"/>
  <c r="Z173" i="16"/>
  <c r="Z170" i="16"/>
  <c r="Z177" i="16"/>
  <c r="Z178" i="16"/>
  <c r="Z180" i="16"/>
  <c r="Z179" i="16"/>
  <c r="Z182" i="16"/>
  <c r="Z184" i="16"/>
  <c r="Z181" i="16"/>
  <c r="AK100" i="16"/>
  <c r="AK102" i="16"/>
  <c r="AK15" i="16"/>
  <c r="AK40" i="16"/>
  <c r="AK50" i="16"/>
  <c r="AK13" i="16"/>
  <c r="AK69" i="16"/>
  <c r="AR86" i="16"/>
  <c r="AR88" i="16"/>
  <c r="AR91" i="16"/>
  <c r="AR92" i="16"/>
  <c r="AR95" i="16"/>
  <c r="AR100" i="16"/>
  <c r="AR102" i="16"/>
  <c r="AR103" i="16"/>
  <c r="AR107" i="16"/>
  <c r="AR126" i="16"/>
  <c r="AR128" i="16"/>
  <c r="AR145" i="16"/>
  <c r="AR149" i="16"/>
  <c r="AR55" i="16"/>
  <c r="AR80" i="16"/>
  <c r="AR61" i="16"/>
  <c r="AR76" i="16"/>
  <c r="AR62" i="16"/>
  <c r="AR57" i="16"/>
  <c r="AR41" i="16"/>
  <c r="AR28" i="16"/>
  <c r="AR50" i="16"/>
  <c r="AR36" i="16"/>
  <c r="AR26" i="16"/>
  <c r="AR45" i="16"/>
  <c r="AR22" i="16"/>
  <c r="AR59" i="16"/>
  <c r="AR64" i="16"/>
  <c r="AR42" i="16"/>
  <c r="AR83" i="16"/>
  <c r="AR43" i="16"/>
  <c r="AR39" i="16"/>
  <c r="AR40" i="16"/>
  <c r="AR37" i="16"/>
  <c r="AR72" i="16"/>
  <c r="AR47" i="16"/>
  <c r="AR18" i="16"/>
  <c r="AR52" i="16"/>
  <c r="AR81" i="16"/>
  <c r="AR54" i="16"/>
  <c r="AR44" i="16"/>
  <c r="AR11" i="16"/>
  <c r="AR48" i="16"/>
  <c r="AR13" i="16"/>
  <c r="AR33" i="16"/>
  <c r="AR15" i="16"/>
  <c r="AR35" i="16"/>
  <c r="AR69" i="16"/>
  <c r="AR31" i="16"/>
  <c r="AR51" i="16"/>
  <c r="AR175" i="16"/>
  <c r="V89" i="16"/>
  <c r="V101" i="16"/>
  <c r="V102" i="16"/>
  <c r="V106" i="16"/>
  <c r="V108" i="16"/>
  <c r="V109" i="16"/>
  <c r="V110" i="16"/>
  <c r="V118" i="16"/>
  <c r="V120" i="16"/>
  <c r="V119" i="16"/>
  <c r="V123" i="16"/>
  <c r="V121" i="16"/>
  <c r="V124" i="16"/>
  <c r="V126" i="16"/>
  <c r="V128" i="16"/>
  <c r="V130" i="16"/>
  <c r="V135" i="16"/>
  <c r="V136" i="16"/>
  <c r="V141" i="16"/>
  <c r="V142" i="16"/>
  <c r="V146" i="16"/>
  <c r="V150" i="16"/>
  <c r="V152" i="16"/>
  <c r="V160" i="16"/>
  <c r="V163" i="16"/>
  <c r="V162" i="16"/>
  <c r="V33" i="16"/>
  <c r="V165" i="16"/>
  <c r="V49" i="16"/>
  <c r="V75" i="16"/>
  <c r="V77" i="16"/>
  <c r="V45" i="16"/>
  <c r="V85" i="16"/>
  <c r="V64" i="16"/>
  <c r="V44" i="16"/>
  <c r="V71" i="16"/>
  <c r="V34" i="16"/>
  <c r="V82" i="16"/>
  <c r="V16" i="16"/>
  <c r="V56" i="16"/>
  <c r="V166" i="16"/>
  <c r="V169" i="16"/>
  <c r="V168" i="16"/>
  <c r="V170" i="16"/>
  <c r="V173" i="16"/>
  <c r="V175" i="16"/>
  <c r="V177" i="16"/>
  <c r="V179" i="16"/>
  <c r="V180" i="16"/>
  <c r="V181" i="16"/>
  <c r="V182" i="16"/>
  <c r="V184" i="16"/>
  <c r="AK114" i="16"/>
  <c r="AK131" i="16"/>
  <c r="AK132" i="16"/>
  <c r="AK155" i="16"/>
  <c r="AK157" i="16"/>
  <c r="AK160" i="16"/>
  <c r="AK53" i="16"/>
  <c r="AK82" i="16"/>
  <c r="AK19" i="16"/>
  <c r="AK30" i="16"/>
  <c r="AK172" i="16"/>
  <c r="AK183" i="16"/>
  <c r="AR90" i="16"/>
  <c r="AR93" i="16"/>
  <c r="AR109" i="16"/>
  <c r="AR114" i="16"/>
  <c r="AR116" i="16"/>
  <c r="AR120" i="16"/>
  <c r="AR123" i="16"/>
  <c r="AR129" i="16"/>
  <c r="AR131" i="16"/>
  <c r="AR132" i="16"/>
  <c r="AR139" i="16"/>
  <c r="AR140" i="16"/>
  <c r="AR151" i="16"/>
  <c r="AR155" i="16"/>
  <c r="AR157" i="16"/>
  <c r="AR160" i="16"/>
  <c r="AR30" i="16"/>
  <c r="AR82" i="16"/>
  <c r="AR84" i="16"/>
  <c r="AR27" i="16"/>
  <c r="AR68" i="16"/>
  <c r="AR63" i="16"/>
  <c r="AR85" i="16"/>
  <c r="AR38" i="16"/>
  <c r="AR53" i="16"/>
  <c r="AR19" i="16"/>
  <c r="AR60" i="16"/>
  <c r="AR78" i="16"/>
  <c r="AR70" i="16"/>
  <c r="AR17" i="16"/>
  <c r="AR165" i="16"/>
  <c r="AR166" i="16"/>
  <c r="AR172" i="16"/>
  <c r="AR174" i="16"/>
  <c r="AR182" i="16"/>
  <c r="AR183" i="16"/>
  <c r="Z343" i="16"/>
  <c r="Z118" i="16"/>
  <c r="Z121" i="16"/>
  <c r="Z103" i="16"/>
  <c r="Z112" i="16"/>
  <c r="Z133" i="16"/>
  <c r="Z117" i="16"/>
  <c r="Z145" i="16"/>
  <c r="Z154" i="16"/>
  <c r="Z100" i="16"/>
  <c r="Z130" i="16"/>
  <c r="Z119" i="16"/>
  <c r="Z158" i="16"/>
  <c r="Z120" i="16"/>
  <c r="Z102" i="16"/>
  <c r="Z89" i="16"/>
  <c r="Z160" i="16"/>
  <c r="Z144" i="16"/>
  <c r="Z113" i="16"/>
  <c r="Z35" i="16"/>
  <c r="Z23" i="16"/>
  <c r="Y9" i="16"/>
  <c r="L38" i="8" s="1"/>
  <c r="E51" i="8" s="1"/>
  <c r="Z44" i="16"/>
  <c r="Z53" i="16"/>
  <c r="Z34" i="16"/>
  <c r="Z166" i="16"/>
  <c r="Z72" i="16"/>
  <c r="Z165" i="16"/>
  <c r="Z167" i="16"/>
  <c r="Z174" i="16"/>
  <c r="Z175" i="16"/>
  <c r="V343" i="16"/>
  <c r="V18" i="16"/>
  <c r="V19" i="16"/>
  <c r="U9" i="16"/>
  <c r="V23" i="16"/>
  <c r="V24" i="16"/>
  <c r="V21" i="16"/>
  <c r="V20" i="16"/>
  <c r="V17" i="16"/>
  <c r="V13" i="16"/>
  <c r="V32" i="16"/>
  <c r="V14" i="16"/>
  <c r="AK23" i="16"/>
  <c r="AJ9" i="16"/>
  <c r="P10" i="16"/>
  <c r="Q7" i="16"/>
  <c r="O10" i="16"/>
  <c r="Q10" i="16"/>
  <c r="P7" i="16"/>
  <c r="AR32" i="16"/>
  <c r="AR23" i="16"/>
  <c r="AQ9" i="16"/>
  <c r="AK343" i="16"/>
  <c r="AL12" i="16"/>
  <c r="AB343" i="16"/>
  <c r="AC52" i="16" s="1"/>
  <c r="G119" i="8"/>
  <c r="G120" i="8"/>
  <c r="G121" i="8"/>
  <c r="Q8" i="16"/>
  <c r="U75" i="8"/>
  <c r="U78" i="8"/>
  <c r="U83" i="8"/>
  <c r="U85" i="8"/>
  <c r="U82" i="8"/>
  <c r="U76" i="8"/>
  <c r="U80" i="8"/>
  <c r="U79" i="8"/>
  <c r="U77" i="8"/>
  <c r="U84" i="8"/>
  <c r="U81" i="8"/>
  <c r="U74" i="8"/>
  <c r="U71" i="8"/>
  <c r="U67" i="8"/>
  <c r="U72" i="8"/>
  <c r="U68" i="8"/>
  <c r="U69" i="8"/>
  <c r="U73" i="8"/>
  <c r="U70" i="8"/>
  <c r="AR343" i="16"/>
  <c r="AS12" i="16"/>
  <c r="B93" i="8" s="1"/>
  <c r="AC20" i="16" l="1"/>
  <c r="AC50" i="16"/>
  <c r="AC54" i="16"/>
  <c r="Q38" i="8"/>
  <c r="K38" i="8" s="1"/>
  <c r="V38" i="8"/>
  <c r="E49" i="8"/>
  <c r="AC115" i="16"/>
  <c r="AC143" i="16"/>
  <c r="AC36" i="16"/>
  <c r="AC81" i="16"/>
  <c r="AC79" i="16"/>
  <c r="AC87" i="16"/>
  <c r="AC90" i="16"/>
  <c r="AC151" i="16"/>
  <c r="AC84" i="16"/>
  <c r="AC30" i="16"/>
  <c r="AC41" i="16"/>
  <c r="AC59" i="16"/>
  <c r="AC86" i="16"/>
  <c r="AC91" i="16"/>
  <c r="AC104" i="16"/>
  <c r="AC111" i="16"/>
  <c r="AC129" i="16"/>
  <c r="AC153" i="16"/>
  <c r="AC156" i="16"/>
  <c r="AC157" i="16"/>
  <c r="AC161" i="16"/>
  <c r="AC65" i="16"/>
  <c r="AC78" i="16"/>
  <c r="AC63" i="16"/>
  <c r="AC69" i="16"/>
  <c r="AC40" i="16"/>
  <c r="AC76" i="16"/>
  <c r="AC45" i="16"/>
  <c r="AC43" i="16"/>
  <c r="AC37" i="16"/>
  <c r="O343" i="16"/>
  <c r="AC94" i="16"/>
  <c r="AC97" i="16"/>
  <c r="AC98" i="16"/>
  <c r="AC122" i="16"/>
  <c r="AC132" i="16"/>
  <c r="AC138" i="16"/>
  <c r="AC149" i="16"/>
  <c r="AC150" i="16"/>
  <c r="AC155" i="16"/>
  <c r="AC83" i="16"/>
  <c r="AC60" i="16"/>
  <c r="AC39" i="16"/>
  <c r="AC51" i="16"/>
  <c r="AC73" i="16"/>
  <c r="AC22" i="16"/>
  <c r="AC38" i="16"/>
  <c r="AC12" i="16"/>
  <c r="AC74" i="16"/>
  <c r="AC25" i="16"/>
  <c r="AC57" i="16"/>
  <c r="AC58" i="16"/>
  <c r="AC169" i="16"/>
  <c r="AC171" i="16"/>
  <c r="AM11" i="16"/>
  <c r="AN11" i="16" s="1"/>
  <c r="AC88" i="16"/>
  <c r="AC93" i="16"/>
  <c r="AC95" i="16"/>
  <c r="AC96" i="16"/>
  <c r="AC99" i="16"/>
  <c r="AC105" i="16"/>
  <c r="AC107" i="16"/>
  <c r="AC125" i="16"/>
  <c r="AC127" i="16"/>
  <c r="AC131" i="16"/>
  <c r="AC134" i="16"/>
  <c r="AC137" i="16"/>
  <c r="AC136" i="16"/>
  <c r="AC147" i="16"/>
  <c r="AC159" i="16"/>
  <c r="AC163" i="16"/>
  <c r="AC13" i="16"/>
  <c r="AC21" i="16"/>
  <c r="AC26" i="16"/>
  <c r="AC61" i="16"/>
  <c r="AC66" i="16"/>
  <c r="AC29" i="16"/>
  <c r="AC55" i="16"/>
  <c r="AC68" i="16"/>
  <c r="AC11" i="16"/>
  <c r="AC33" i="16"/>
  <c r="AC75" i="16"/>
  <c r="AC48" i="16"/>
  <c r="AC70" i="16"/>
  <c r="AC27" i="16"/>
  <c r="AC42" i="16"/>
  <c r="AC47" i="16"/>
  <c r="AC15" i="16"/>
  <c r="AC80" i="16"/>
  <c r="AC67" i="16"/>
  <c r="AC28" i="16"/>
  <c r="AC32" i="16"/>
  <c r="AC46" i="16"/>
  <c r="AC62" i="16"/>
  <c r="AC183" i="16"/>
  <c r="L39" i="8"/>
  <c r="U108" i="8" s="1"/>
  <c r="V39" i="8"/>
  <c r="AC89" i="16"/>
  <c r="AC100" i="16"/>
  <c r="AC102" i="16"/>
  <c r="AC101" i="16"/>
  <c r="AC103" i="16"/>
  <c r="AC106" i="16"/>
  <c r="AC108" i="16"/>
  <c r="AC110" i="16"/>
  <c r="AC109" i="16"/>
  <c r="AC113" i="16"/>
  <c r="AC112" i="16"/>
  <c r="AC114" i="16"/>
  <c r="AC117" i="16"/>
  <c r="AC116" i="16"/>
  <c r="AC119" i="16"/>
  <c r="AC118" i="16"/>
  <c r="AC121" i="16"/>
  <c r="AC120" i="16"/>
  <c r="AC123" i="16"/>
  <c r="AC124" i="16"/>
  <c r="AC126" i="16"/>
  <c r="AC128" i="16"/>
  <c r="AC130" i="16"/>
  <c r="AC133" i="16"/>
  <c r="AC135" i="16"/>
  <c r="AC141" i="16"/>
  <c r="AC142" i="16"/>
  <c r="AC140" i="16"/>
  <c r="AC144" i="16"/>
  <c r="AC146" i="16"/>
  <c r="AC145" i="16"/>
  <c r="AC152" i="16"/>
  <c r="AC154" i="16"/>
  <c r="AC158" i="16"/>
  <c r="AC64" i="16"/>
  <c r="AC53" i="16"/>
  <c r="AC160" i="16"/>
  <c r="AC71" i="16"/>
  <c r="AC82" i="16"/>
  <c r="AC85" i="16"/>
  <c r="AC56" i="16"/>
  <c r="AC77" i="16"/>
  <c r="AC35" i="16"/>
  <c r="AC34" i="16"/>
  <c r="AC72" i="16"/>
  <c r="AC165" i="16"/>
  <c r="AC49" i="16"/>
  <c r="AC166" i="16"/>
  <c r="AC162" i="16"/>
  <c r="AC167" i="16"/>
  <c r="AC44" i="16"/>
  <c r="AC168" i="16"/>
  <c r="AC170" i="16"/>
  <c r="AC173" i="16"/>
  <c r="AC174" i="16"/>
  <c r="AC175" i="16"/>
  <c r="AC177" i="16"/>
  <c r="AC178" i="16"/>
  <c r="AC181" i="16"/>
  <c r="AC179" i="16"/>
  <c r="AC180" i="16"/>
  <c r="AC184" i="16"/>
  <c r="AC182" i="16"/>
  <c r="P343" i="16"/>
  <c r="AC343" i="16"/>
  <c r="AC17" i="16"/>
  <c r="AC14" i="16"/>
  <c r="AB9" i="16"/>
  <c r="AC16" i="16"/>
  <c r="AC24" i="16"/>
  <c r="AC31" i="16"/>
  <c r="AC23" i="16"/>
  <c r="AC18" i="16"/>
  <c r="AC19" i="16"/>
  <c r="O163" i="16"/>
  <c r="O95" i="16"/>
  <c r="O107" i="16"/>
  <c r="O119" i="16"/>
  <c r="O131" i="16"/>
  <c r="O143" i="16"/>
  <c r="O155" i="16"/>
  <c r="O17" i="16"/>
  <c r="O66" i="16"/>
  <c r="O37" i="16"/>
  <c r="O14" i="16"/>
  <c r="O56" i="16"/>
  <c r="O31" i="16"/>
  <c r="O79" i="16"/>
  <c r="O12" i="16"/>
  <c r="O35" i="16"/>
  <c r="O20" i="16"/>
  <c r="O24" i="16"/>
  <c r="O76" i="16"/>
  <c r="O84" i="16"/>
  <c r="O46" i="16"/>
  <c r="O30" i="16"/>
  <c r="O96" i="16"/>
  <c r="O108" i="16"/>
  <c r="O120" i="16"/>
  <c r="O132" i="16"/>
  <c r="O144" i="16"/>
  <c r="O156" i="16"/>
  <c r="O11" i="16"/>
  <c r="O58" i="16"/>
  <c r="O82" i="16"/>
  <c r="O29" i="16"/>
  <c r="O60" i="16"/>
  <c r="O83" i="16"/>
  <c r="O68" i="16"/>
  <c r="O78" i="16"/>
  <c r="O47" i="16"/>
  <c r="O51" i="16"/>
  <c r="O69" i="16"/>
  <c r="O97" i="16"/>
  <c r="O109" i="16"/>
  <c r="O121" i="16"/>
  <c r="O133" i="16"/>
  <c r="O145" i="16"/>
  <c r="O157" i="16"/>
  <c r="O26" i="16"/>
  <c r="O25" i="16"/>
  <c r="O21" i="16"/>
  <c r="O16" i="16"/>
  <c r="O64" i="16"/>
  <c r="O39" i="16"/>
  <c r="O13" i="16"/>
  <c r="O43" i="16"/>
  <c r="O57" i="16"/>
  <c r="O28" i="16"/>
  <c r="O77" i="16"/>
  <c r="O141" i="16"/>
  <c r="O86" i="16"/>
  <c r="O98" i="16"/>
  <c r="O110" i="16"/>
  <c r="O122" i="16"/>
  <c r="O134" i="16"/>
  <c r="O146" i="16"/>
  <c r="O158" i="16"/>
  <c r="O49" i="16"/>
  <c r="O81" i="16"/>
  <c r="O41" i="16"/>
  <c r="O93" i="16"/>
  <c r="O34" i="16"/>
  <c r="O87" i="16"/>
  <c r="O99" i="16"/>
  <c r="O111" i="16"/>
  <c r="O123" i="16"/>
  <c r="O135" i="16"/>
  <c r="O147" i="16"/>
  <c r="O159" i="16"/>
  <c r="O74" i="16"/>
  <c r="O72" i="16"/>
  <c r="O36" i="16"/>
  <c r="O88" i="16"/>
  <c r="O100" i="16"/>
  <c r="O112" i="16"/>
  <c r="O124" i="16"/>
  <c r="O136" i="16"/>
  <c r="O148" i="16"/>
  <c r="O160" i="16"/>
  <c r="O73" i="16"/>
  <c r="O70" i="16"/>
  <c r="O54" i="16"/>
  <c r="O63" i="16"/>
  <c r="O117" i="16"/>
  <c r="O23" i="16"/>
  <c r="O89" i="16"/>
  <c r="O101" i="16"/>
  <c r="O113" i="16"/>
  <c r="O125" i="16"/>
  <c r="O137" i="16"/>
  <c r="O149" i="16"/>
  <c r="O161" i="16"/>
  <c r="O85" i="16"/>
  <c r="O62" i="16"/>
  <c r="O32" i="16"/>
  <c r="O80" i="16"/>
  <c r="O55" i="16"/>
  <c r="O48" i="16"/>
  <c r="O90" i="16"/>
  <c r="O102" i="16"/>
  <c r="O114" i="16"/>
  <c r="O126" i="16"/>
  <c r="O138" i="16"/>
  <c r="O150" i="16"/>
  <c r="O162" i="16"/>
  <c r="O40" i="16"/>
  <c r="O153" i="16"/>
  <c r="O53" i="16"/>
  <c r="O91" i="16"/>
  <c r="O103" i="16"/>
  <c r="O115" i="16"/>
  <c r="O127" i="16"/>
  <c r="O139" i="16"/>
  <c r="O151" i="16"/>
  <c r="O15" i="16"/>
  <c r="O129" i="16"/>
  <c r="O33" i="16"/>
  <c r="O92" i="16"/>
  <c r="O104" i="16"/>
  <c r="O116" i="16"/>
  <c r="O128" i="16"/>
  <c r="O140" i="16"/>
  <c r="O152" i="16"/>
  <c r="O65" i="16"/>
  <c r="O18" i="16"/>
  <c r="O61" i="16"/>
  <c r="O38" i="16"/>
  <c r="O44" i="16"/>
  <c r="O19" i="16"/>
  <c r="O67" i="16"/>
  <c r="O105" i="16"/>
  <c r="O94" i="16"/>
  <c r="O106" i="16"/>
  <c r="O118" i="16"/>
  <c r="O130" i="16"/>
  <c r="O142" i="16"/>
  <c r="O154" i="16"/>
  <c r="O164" i="16"/>
  <c r="O42" i="16"/>
  <c r="O50" i="16"/>
  <c r="O45" i="16"/>
  <c r="O22" i="16"/>
  <c r="O52" i="16"/>
  <c r="O27" i="16"/>
  <c r="O75" i="16"/>
  <c r="O59" i="16"/>
  <c r="O71" i="16"/>
  <c r="O165" i="16"/>
  <c r="O166" i="16"/>
  <c r="O167" i="16"/>
  <c r="O168" i="16"/>
  <c r="O169" i="16"/>
  <c r="O170" i="16"/>
  <c r="O171" i="16"/>
  <c r="O172" i="16"/>
  <c r="O173" i="16"/>
  <c r="O174" i="16"/>
  <c r="O175" i="16"/>
  <c r="O176" i="16"/>
  <c r="O177" i="16"/>
  <c r="O178" i="16"/>
  <c r="O179" i="16"/>
  <c r="O180" i="16"/>
  <c r="O181" i="16"/>
  <c r="O182" i="16"/>
  <c r="O183" i="16"/>
  <c r="O184" i="16"/>
  <c r="O185" i="16"/>
  <c r="O186" i="16"/>
  <c r="O187" i="16"/>
  <c r="O188" i="16"/>
  <c r="O189" i="16"/>
  <c r="O190" i="16"/>
  <c r="O191" i="16"/>
  <c r="O192" i="16"/>
  <c r="O193" i="16"/>
  <c r="O194" i="16"/>
  <c r="O195" i="16"/>
  <c r="O196" i="16"/>
  <c r="O197" i="16"/>
  <c r="O198" i="16"/>
  <c r="O199" i="16"/>
  <c r="O200" i="16"/>
  <c r="O201" i="16"/>
  <c r="O202" i="16"/>
  <c r="O203" i="16"/>
  <c r="O204" i="16"/>
  <c r="O205" i="16"/>
  <c r="O206" i="16"/>
  <c r="O207" i="16"/>
  <c r="O208" i="16"/>
  <c r="O209" i="16"/>
  <c r="O210" i="16"/>
  <c r="O211" i="16"/>
  <c r="O212" i="16"/>
  <c r="O213" i="16"/>
  <c r="O214" i="16"/>
  <c r="O215" i="16"/>
  <c r="O216" i="16"/>
  <c r="O217" i="16"/>
  <c r="O218" i="16"/>
  <c r="O219" i="16"/>
  <c r="O220" i="16"/>
  <c r="O221" i="16"/>
  <c r="O222" i="16"/>
  <c r="O223" i="16"/>
  <c r="O224" i="16"/>
  <c r="O225" i="16"/>
  <c r="O226" i="16"/>
  <c r="O227" i="16"/>
  <c r="O228" i="16"/>
  <c r="O229" i="16"/>
  <c r="O230" i="16"/>
  <c r="O231" i="16"/>
  <c r="O232" i="16"/>
  <c r="O233" i="16"/>
  <c r="O234" i="16"/>
  <c r="O235" i="16"/>
  <c r="O236" i="16"/>
  <c r="O237" i="16"/>
  <c r="O238" i="16"/>
  <c r="O239" i="16"/>
  <c r="O240" i="16"/>
  <c r="O241" i="16"/>
  <c r="O242" i="16"/>
  <c r="O243" i="16"/>
  <c r="O244" i="16"/>
  <c r="O245" i="16"/>
  <c r="O246" i="16"/>
  <c r="O247" i="16"/>
  <c r="O248" i="16"/>
  <c r="O249" i="16"/>
  <c r="O250" i="16"/>
  <c r="O251" i="16"/>
  <c r="O252" i="16"/>
  <c r="O253" i="16"/>
  <c r="O254" i="16"/>
  <c r="O255" i="16"/>
  <c r="O256" i="16"/>
  <c r="O257" i="16"/>
  <c r="O258" i="16"/>
  <c r="O259" i="16"/>
  <c r="O260" i="16"/>
  <c r="O261" i="16"/>
  <c r="O262" i="16"/>
  <c r="O263" i="16"/>
  <c r="O264" i="16"/>
  <c r="O265" i="16"/>
  <c r="O266" i="16"/>
  <c r="O267" i="16"/>
  <c r="O268" i="16"/>
  <c r="O269" i="16"/>
  <c r="O270" i="16"/>
  <c r="O271" i="16"/>
  <c r="O272" i="16"/>
  <c r="O273" i="16"/>
  <c r="O274" i="16"/>
  <c r="O275" i="16"/>
  <c r="O276" i="16"/>
  <c r="O277" i="16"/>
  <c r="O278" i="16"/>
  <c r="O279" i="16"/>
  <c r="O280" i="16"/>
  <c r="O281" i="16"/>
  <c r="O282" i="16"/>
  <c r="O283" i="16"/>
  <c r="O284" i="16"/>
  <c r="O285" i="16"/>
  <c r="O286" i="16"/>
  <c r="O287" i="16"/>
  <c r="O288" i="16"/>
  <c r="O289" i="16"/>
  <c r="O290" i="16"/>
  <c r="O291" i="16"/>
  <c r="O292" i="16"/>
  <c r="O293" i="16"/>
  <c r="O294" i="16"/>
  <c r="O295" i="16"/>
  <c r="O296" i="16"/>
  <c r="O297" i="16"/>
  <c r="O298" i="16"/>
  <c r="O299" i="16"/>
  <c r="O300" i="16"/>
  <c r="O301" i="16"/>
  <c r="O302" i="16"/>
  <c r="O303" i="16"/>
  <c r="O304" i="16"/>
  <c r="O305" i="16"/>
  <c r="O306" i="16"/>
  <c r="O307" i="16"/>
  <c r="O308" i="16"/>
  <c r="O309" i="16"/>
  <c r="O310" i="16"/>
  <c r="O311" i="16"/>
  <c r="O312" i="16"/>
  <c r="O313" i="16"/>
  <c r="O314" i="16"/>
  <c r="O315" i="16"/>
  <c r="O316" i="16"/>
  <c r="O317" i="16"/>
  <c r="O318" i="16"/>
  <c r="O319" i="16"/>
  <c r="O320" i="16"/>
  <c r="O321" i="16"/>
  <c r="O322" i="16"/>
  <c r="O323" i="16"/>
  <c r="O324" i="16"/>
  <c r="O325" i="16"/>
  <c r="O326" i="16"/>
  <c r="O327" i="16"/>
  <c r="O328" i="16"/>
  <c r="O329" i="16"/>
  <c r="O330" i="16"/>
  <c r="O331" i="16"/>
  <c r="O332" i="16"/>
  <c r="O333" i="16"/>
  <c r="O334" i="16"/>
  <c r="O335" i="16"/>
  <c r="O336" i="16"/>
  <c r="O337" i="16"/>
  <c r="O338" i="16"/>
  <c r="O339" i="16"/>
  <c r="O340" i="16"/>
  <c r="O341" i="16"/>
  <c r="R163" i="16"/>
  <c r="R96" i="16"/>
  <c r="R108" i="16"/>
  <c r="R120" i="16"/>
  <c r="R132" i="16"/>
  <c r="R144" i="16"/>
  <c r="R156" i="16"/>
  <c r="R31" i="16"/>
  <c r="R49" i="16"/>
  <c r="R45" i="16"/>
  <c r="R23" i="16"/>
  <c r="R27" i="16"/>
  <c r="R52" i="16"/>
  <c r="R64" i="16"/>
  <c r="R38" i="16"/>
  <c r="R14" i="16"/>
  <c r="R97" i="16"/>
  <c r="R109" i="16"/>
  <c r="R121" i="16"/>
  <c r="R133" i="16"/>
  <c r="R145" i="16"/>
  <c r="R157" i="16"/>
  <c r="R164" i="16"/>
  <c r="R65" i="16"/>
  <c r="R47" i="16"/>
  <c r="R81" i="16"/>
  <c r="R37" i="16"/>
  <c r="R62" i="16"/>
  <c r="R18" i="16"/>
  <c r="R56" i="16"/>
  <c r="R16" i="16"/>
  <c r="R80" i="16"/>
  <c r="R44" i="16"/>
  <c r="R86" i="16"/>
  <c r="R98" i="16"/>
  <c r="R110" i="16"/>
  <c r="R122" i="16"/>
  <c r="R134" i="16"/>
  <c r="R146" i="16"/>
  <c r="R158" i="16"/>
  <c r="R55" i="16"/>
  <c r="R63" i="16"/>
  <c r="R29" i="16"/>
  <c r="R30" i="16"/>
  <c r="R11" i="16"/>
  <c r="R12" i="16"/>
  <c r="R60" i="16"/>
  <c r="R79" i="16"/>
  <c r="R82" i="16"/>
  <c r="R154" i="16"/>
  <c r="R87" i="16"/>
  <c r="R99" i="16"/>
  <c r="R111" i="16"/>
  <c r="R123" i="16"/>
  <c r="R135" i="16"/>
  <c r="R147" i="16"/>
  <c r="R159" i="16"/>
  <c r="R21" i="16"/>
  <c r="R50" i="16"/>
  <c r="R42" i="16"/>
  <c r="R88" i="16"/>
  <c r="R100" i="16"/>
  <c r="R112" i="16"/>
  <c r="R124" i="16"/>
  <c r="R136" i="16"/>
  <c r="R148" i="16"/>
  <c r="R160" i="16"/>
  <c r="R78" i="16"/>
  <c r="R25" i="16"/>
  <c r="R33" i="16"/>
  <c r="R13" i="16"/>
  <c r="R74" i="16"/>
  <c r="R20" i="16"/>
  <c r="R68" i="16"/>
  <c r="R67" i="16"/>
  <c r="R84" i="16"/>
  <c r="R118" i="16"/>
  <c r="R43" i="16"/>
  <c r="R89" i="16"/>
  <c r="R101" i="16"/>
  <c r="R113" i="16"/>
  <c r="R125" i="16"/>
  <c r="R137" i="16"/>
  <c r="R149" i="16"/>
  <c r="R161" i="16"/>
  <c r="R41" i="16"/>
  <c r="R15" i="16"/>
  <c r="R83" i="16"/>
  <c r="R70" i="16"/>
  <c r="R66" i="16"/>
  <c r="R24" i="16"/>
  <c r="R72" i="16"/>
  <c r="R85" i="16"/>
  <c r="R59" i="16"/>
  <c r="R94" i="16"/>
  <c r="R90" i="16"/>
  <c r="R102" i="16"/>
  <c r="R114" i="16"/>
  <c r="R126" i="16"/>
  <c r="R138" i="16"/>
  <c r="R150" i="16"/>
  <c r="R162" i="16"/>
  <c r="R57" i="16"/>
  <c r="AC32" i="8"/>
  <c r="R75" i="16"/>
  <c r="R54" i="16"/>
  <c r="R58" i="16"/>
  <c r="R28" i="16"/>
  <c r="R76" i="16"/>
  <c r="R73" i="16"/>
  <c r="R36" i="16"/>
  <c r="R61" i="16"/>
  <c r="R91" i="16"/>
  <c r="R103" i="16"/>
  <c r="R115" i="16"/>
  <c r="R127" i="16"/>
  <c r="R139" i="16"/>
  <c r="R151" i="16"/>
  <c r="R32" i="16"/>
  <c r="R77" i="16"/>
  <c r="R106" i="16"/>
  <c r="R71" i="16"/>
  <c r="R92" i="16"/>
  <c r="R104" i="16"/>
  <c r="R116" i="16"/>
  <c r="R128" i="16"/>
  <c r="R140" i="16"/>
  <c r="R152" i="16"/>
  <c r="R130" i="16"/>
  <c r="R93" i="16"/>
  <c r="R105" i="16"/>
  <c r="R117" i="16"/>
  <c r="R129" i="16"/>
  <c r="R141" i="16"/>
  <c r="R153" i="16"/>
  <c r="R39" i="16"/>
  <c r="R69" i="16"/>
  <c r="R51" i="16"/>
  <c r="R34" i="16"/>
  <c r="R40" i="16"/>
  <c r="R142" i="16"/>
  <c r="R26" i="16"/>
  <c r="R95" i="16"/>
  <c r="R107" i="16"/>
  <c r="R119" i="16"/>
  <c r="R131" i="16"/>
  <c r="R143" i="16"/>
  <c r="R155" i="16"/>
  <c r="R46" i="16"/>
  <c r="R17" i="16"/>
  <c r="R53" i="16"/>
  <c r="R35" i="16"/>
  <c r="R19" i="16"/>
  <c r="R48" i="16"/>
  <c r="R22" i="16"/>
  <c r="R165" i="16"/>
  <c r="R166" i="16"/>
  <c r="R167" i="16"/>
  <c r="R168" i="16"/>
  <c r="R169" i="16"/>
  <c r="R170" i="16"/>
  <c r="R171" i="16"/>
  <c r="R172" i="16"/>
  <c r="R173" i="16"/>
  <c r="R174" i="16"/>
  <c r="R175" i="16"/>
  <c r="R176" i="16"/>
  <c r="R177" i="16"/>
  <c r="R178" i="16"/>
  <c r="R179" i="16"/>
  <c r="R180" i="16"/>
  <c r="R181" i="16"/>
  <c r="R182" i="16"/>
  <c r="R183" i="16"/>
  <c r="R184" i="16"/>
  <c r="R185" i="16"/>
  <c r="R186" i="16"/>
  <c r="R187" i="16"/>
  <c r="R188" i="16"/>
  <c r="R189" i="16"/>
  <c r="R190" i="16"/>
  <c r="R191" i="16"/>
  <c r="R192" i="16"/>
  <c r="R193" i="16"/>
  <c r="R194" i="16"/>
  <c r="R195" i="16"/>
  <c r="R196" i="16"/>
  <c r="R197" i="16"/>
  <c r="R198" i="16"/>
  <c r="R199" i="16"/>
  <c r="R200" i="16"/>
  <c r="R201" i="16"/>
  <c r="R202" i="16"/>
  <c r="R203" i="16"/>
  <c r="R204" i="16"/>
  <c r="R205" i="16"/>
  <c r="R206" i="16"/>
  <c r="R207" i="16"/>
  <c r="R208" i="16"/>
  <c r="R209" i="16"/>
  <c r="R210" i="16"/>
  <c r="R211" i="16"/>
  <c r="R212" i="16"/>
  <c r="R213" i="16"/>
  <c r="R214" i="16"/>
  <c r="R215" i="16"/>
  <c r="R216" i="16"/>
  <c r="R217" i="16"/>
  <c r="R218" i="16"/>
  <c r="R219" i="16"/>
  <c r="R220" i="16"/>
  <c r="R221" i="16"/>
  <c r="R222" i="16"/>
  <c r="R223" i="16"/>
  <c r="R224" i="16"/>
  <c r="R225" i="16"/>
  <c r="R226" i="16"/>
  <c r="R227" i="16"/>
  <c r="R228" i="16"/>
  <c r="R229" i="16"/>
  <c r="R230" i="16"/>
  <c r="R231" i="16"/>
  <c r="R232" i="16"/>
  <c r="R233" i="16"/>
  <c r="R234" i="16"/>
  <c r="R235" i="16"/>
  <c r="R236" i="16"/>
  <c r="R237" i="16"/>
  <c r="R238" i="16"/>
  <c r="R239" i="16"/>
  <c r="R240" i="16"/>
  <c r="R241" i="16"/>
  <c r="R242" i="16"/>
  <c r="R243" i="16"/>
  <c r="R244" i="16"/>
  <c r="R245" i="16"/>
  <c r="R246" i="16"/>
  <c r="R247" i="16"/>
  <c r="R248" i="16"/>
  <c r="R249" i="16"/>
  <c r="R250" i="16"/>
  <c r="R251" i="16"/>
  <c r="R252" i="16"/>
  <c r="R253" i="16"/>
  <c r="R254" i="16"/>
  <c r="R255" i="16"/>
  <c r="R256" i="16"/>
  <c r="R257" i="16"/>
  <c r="R258" i="16"/>
  <c r="R259" i="16"/>
  <c r="R260" i="16"/>
  <c r="R261" i="16"/>
  <c r="R262" i="16"/>
  <c r="R263" i="16"/>
  <c r="R264" i="16"/>
  <c r="R265" i="16"/>
  <c r="R266" i="16"/>
  <c r="R267" i="16"/>
  <c r="R268" i="16"/>
  <c r="R269" i="16"/>
  <c r="R270" i="16"/>
  <c r="R271" i="16"/>
  <c r="R272" i="16"/>
  <c r="R273" i="16"/>
  <c r="R274" i="16"/>
  <c r="R275" i="16"/>
  <c r="R276" i="16"/>
  <c r="R277" i="16"/>
  <c r="R278" i="16"/>
  <c r="R279" i="16"/>
  <c r="R280" i="16"/>
  <c r="R281" i="16"/>
  <c r="R282" i="16"/>
  <c r="R283" i="16"/>
  <c r="R284" i="16"/>
  <c r="R285" i="16"/>
  <c r="R286" i="16"/>
  <c r="R287" i="16"/>
  <c r="R288" i="16"/>
  <c r="R289" i="16"/>
  <c r="R290" i="16"/>
  <c r="R291" i="16"/>
  <c r="R292" i="16"/>
  <c r="R293" i="16"/>
  <c r="R294" i="16"/>
  <c r="R295" i="16"/>
  <c r="R296" i="16"/>
  <c r="R297" i="16"/>
  <c r="R298" i="16"/>
  <c r="R299" i="16"/>
  <c r="R300" i="16"/>
  <c r="R301" i="16"/>
  <c r="R302" i="16"/>
  <c r="R303" i="16"/>
  <c r="R304" i="16"/>
  <c r="R305" i="16"/>
  <c r="R306" i="16"/>
  <c r="R307" i="16"/>
  <c r="R308" i="16"/>
  <c r="R309" i="16"/>
  <c r="R310" i="16"/>
  <c r="R311" i="16"/>
  <c r="R312" i="16"/>
  <c r="R313" i="16"/>
  <c r="R314" i="16"/>
  <c r="R315" i="16"/>
  <c r="R316" i="16"/>
  <c r="R317" i="16"/>
  <c r="R318" i="16"/>
  <c r="R319" i="16"/>
  <c r="R320" i="16"/>
  <c r="R321" i="16"/>
  <c r="R322" i="16"/>
  <c r="R323" i="16"/>
  <c r="R324" i="16"/>
  <c r="R325" i="16"/>
  <c r="R326" i="16"/>
  <c r="R327" i="16"/>
  <c r="R328" i="16"/>
  <c r="R329" i="16"/>
  <c r="R330" i="16"/>
  <c r="R331" i="16"/>
  <c r="R332" i="16"/>
  <c r="R333" i="16"/>
  <c r="R334" i="16"/>
  <c r="R335" i="16"/>
  <c r="R336" i="16"/>
  <c r="R337" i="16"/>
  <c r="R338" i="16"/>
  <c r="R339" i="16"/>
  <c r="R340" i="16"/>
  <c r="R341" i="16"/>
  <c r="P86" i="16"/>
  <c r="P98" i="16"/>
  <c r="P110" i="16"/>
  <c r="P122" i="16"/>
  <c r="P134" i="16"/>
  <c r="P146" i="16"/>
  <c r="P158" i="16"/>
  <c r="P132" i="16"/>
  <c r="P87" i="16"/>
  <c r="P99" i="16"/>
  <c r="P111" i="16"/>
  <c r="P123" i="16"/>
  <c r="P135" i="16"/>
  <c r="P147" i="16"/>
  <c r="P159" i="16"/>
  <c r="P14" i="16"/>
  <c r="P17" i="16"/>
  <c r="P13" i="16"/>
  <c r="P12" i="16"/>
  <c r="P88" i="16"/>
  <c r="P100" i="16"/>
  <c r="P112" i="16"/>
  <c r="P124" i="16"/>
  <c r="P136" i="16"/>
  <c r="P148" i="16"/>
  <c r="P160" i="16"/>
  <c r="P163" i="16"/>
  <c r="P143" i="16"/>
  <c r="P156" i="16"/>
  <c r="P89" i="16"/>
  <c r="P101" i="16"/>
  <c r="P113" i="16"/>
  <c r="P125" i="16"/>
  <c r="P137" i="16"/>
  <c r="P149" i="16"/>
  <c r="P161" i="16"/>
  <c r="P162" i="16"/>
  <c r="P107" i="16"/>
  <c r="P90" i="16"/>
  <c r="P102" i="16"/>
  <c r="P114" i="16"/>
  <c r="P126" i="16"/>
  <c r="P138" i="16"/>
  <c r="P150" i="16"/>
  <c r="P16" i="16"/>
  <c r="P15" i="16"/>
  <c r="P131" i="16"/>
  <c r="P91" i="16"/>
  <c r="P103" i="16"/>
  <c r="P115" i="16"/>
  <c r="P127" i="16"/>
  <c r="P139" i="16"/>
  <c r="P151" i="16"/>
  <c r="P11" i="16"/>
  <c r="P144" i="16"/>
  <c r="P92" i="16"/>
  <c r="P104" i="16"/>
  <c r="P116" i="16"/>
  <c r="P128" i="16"/>
  <c r="P140" i="16"/>
  <c r="P152" i="16"/>
  <c r="P23" i="16"/>
  <c r="P119" i="16"/>
  <c r="P120" i="16"/>
  <c r="P93" i="16"/>
  <c r="P105" i="16"/>
  <c r="P117" i="16"/>
  <c r="P129" i="16"/>
  <c r="P141" i="16"/>
  <c r="P153" i="16"/>
  <c r="P94" i="16"/>
  <c r="P106" i="16"/>
  <c r="P118" i="16"/>
  <c r="P130" i="16"/>
  <c r="P142" i="16"/>
  <c r="P154" i="16"/>
  <c r="P95" i="16"/>
  <c r="P155" i="16"/>
  <c r="P108" i="16"/>
  <c r="P97" i="16"/>
  <c r="P109" i="16"/>
  <c r="P121" i="16"/>
  <c r="P133" i="16"/>
  <c r="P145" i="16"/>
  <c r="P157" i="16"/>
  <c r="K32" i="8"/>
  <c r="P96" i="16"/>
  <c r="P21" i="16"/>
  <c r="P41" i="16"/>
  <c r="P75" i="16"/>
  <c r="P36" i="16"/>
  <c r="P81" i="16"/>
  <c r="P51" i="16"/>
  <c r="P30" i="16"/>
  <c r="P61" i="16"/>
  <c r="P68" i="16"/>
  <c r="P76" i="16"/>
  <c r="P64" i="16"/>
  <c r="P25" i="16"/>
  <c r="P55" i="16"/>
  <c r="P38" i="16"/>
  <c r="P27" i="16"/>
  <c r="P79" i="16"/>
  <c r="P77" i="16"/>
  <c r="P32" i="16"/>
  <c r="P48" i="16"/>
  <c r="P62" i="16"/>
  <c r="P66" i="16"/>
  <c r="P74" i="16"/>
  <c r="P40" i="16"/>
  <c r="P164" i="16"/>
  <c r="P52" i="16"/>
  <c r="P19" i="16"/>
  <c r="P82" i="16"/>
  <c r="P70" i="16"/>
  <c r="P85" i="16"/>
  <c r="P71" i="16"/>
  <c r="P83" i="16"/>
  <c r="P35" i="16"/>
  <c r="P22" i="16"/>
  <c r="P46" i="16"/>
  <c r="P33" i="16"/>
  <c r="P29" i="16"/>
  <c r="P80" i="16"/>
  <c r="P58" i="16"/>
  <c r="P39" i="16"/>
  <c r="P20" i="16"/>
  <c r="P56" i="16"/>
  <c r="P57" i="16"/>
  <c r="P50" i="16"/>
  <c r="P69" i="16"/>
  <c r="P42" i="16"/>
  <c r="P45" i="16"/>
  <c r="P73" i="16"/>
  <c r="P34" i="16"/>
  <c r="P26" i="16"/>
  <c r="P49" i="16"/>
  <c r="P24" i="16"/>
  <c r="P72" i="16"/>
  <c r="P54" i="16"/>
  <c r="P31" i="16"/>
  <c r="P65" i="16"/>
  <c r="P18" i="16"/>
  <c r="P47" i="16"/>
  <c r="P63" i="16"/>
  <c r="P59" i="16"/>
  <c r="P37" i="16"/>
  <c r="P28" i="16"/>
  <c r="P78" i="16"/>
  <c r="P44" i="16"/>
  <c r="P43" i="16"/>
  <c r="P84" i="16"/>
  <c r="P67" i="16"/>
  <c r="P60" i="16"/>
  <c r="P53" i="16"/>
  <c r="P165" i="16"/>
  <c r="P166" i="16"/>
  <c r="P167" i="16"/>
  <c r="P168" i="16"/>
  <c r="P169" i="16"/>
  <c r="P170" i="16"/>
  <c r="P171" i="16"/>
  <c r="P172" i="16"/>
  <c r="P173" i="16"/>
  <c r="P174" i="16"/>
  <c r="P175" i="16"/>
  <c r="P176" i="16"/>
  <c r="P177" i="16"/>
  <c r="P178" i="16"/>
  <c r="P179" i="16"/>
  <c r="P180" i="16"/>
  <c r="P181" i="16"/>
  <c r="P182" i="16"/>
  <c r="P183" i="16"/>
  <c r="P184" i="16"/>
  <c r="P185" i="16"/>
  <c r="P186" i="16"/>
  <c r="P187" i="16"/>
  <c r="P188" i="16"/>
  <c r="P189" i="16"/>
  <c r="P190" i="16"/>
  <c r="P191" i="16"/>
  <c r="P192" i="16"/>
  <c r="P193" i="16"/>
  <c r="P194" i="16"/>
  <c r="P195" i="16"/>
  <c r="P196" i="16"/>
  <c r="P197" i="16"/>
  <c r="P198" i="16"/>
  <c r="P199" i="16"/>
  <c r="P200" i="16"/>
  <c r="P201" i="16"/>
  <c r="P202" i="16"/>
  <c r="P203" i="16"/>
  <c r="P204" i="16"/>
  <c r="P205" i="16"/>
  <c r="P206" i="16"/>
  <c r="P207" i="16"/>
  <c r="P208" i="16"/>
  <c r="P209" i="16"/>
  <c r="P210" i="16"/>
  <c r="P211" i="16"/>
  <c r="P212" i="16"/>
  <c r="P213" i="16"/>
  <c r="P214" i="16"/>
  <c r="P215" i="16"/>
  <c r="P216" i="16"/>
  <c r="P217" i="16"/>
  <c r="P218" i="16"/>
  <c r="P219" i="16"/>
  <c r="P220" i="16"/>
  <c r="P221" i="16"/>
  <c r="P222" i="16"/>
  <c r="P223" i="16"/>
  <c r="P224" i="16"/>
  <c r="P225" i="16"/>
  <c r="P226" i="16"/>
  <c r="P227" i="16"/>
  <c r="P228" i="16"/>
  <c r="P229" i="16"/>
  <c r="P230" i="16"/>
  <c r="P231" i="16"/>
  <c r="P232" i="16"/>
  <c r="P233" i="16"/>
  <c r="P234" i="16"/>
  <c r="P235" i="16"/>
  <c r="P236" i="16"/>
  <c r="P237" i="16"/>
  <c r="P238" i="16"/>
  <c r="P239" i="16"/>
  <c r="P240" i="16"/>
  <c r="P241" i="16"/>
  <c r="P242" i="16"/>
  <c r="P243" i="16"/>
  <c r="P244" i="16"/>
  <c r="P245" i="16"/>
  <c r="P246" i="16"/>
  <c r="P247" i="16"/>
  <c r="P248" i="16"/>
  <c r="P249" i="16"/>
  <c r="P250" i="16"/>
  <c r="P251" i="16"/>
  <c r="P252" i="16"/>
  <c r="P253" i="16"/>
  <c r="P254" i="16"/>
  <c r="P255" i="16"/>
  <c r="P256" i="16"/>
  <c r="P257" i="16"/>
  <c r="P258" i="16"/>
  <c r="P259" i="16"/>
  <c r="P260" i="16"/>
  <c r="P261" i="16"/>
  <c r="P262" i="16"/>
  <c r="P263" i="16"/>
  <c r="P264" i="16"/>
  <c r="P265" i="16"/>
  <c r="P266" i="16"/>
  <c r="P267" i="16"/>
  <c r="P268" i="16"/>
  <c r="P269" i="16"/>
  <c r="P270" i="16"/>
  <c r="P271" i="16"/>
  <c r="P272" i="16"/>
  <c r="P273" i="16"/>
  <c r="P274" i="16"/>
  <c r="P275" i="16"/>
  <c r="P276" i="16"/>
  <c r="P277" i="16"/>
  <c r="P278" i="16"/>
  <c r="P279" i="16"/>
  <c r="P280" i="16"/>
  <c r="P281" i="16"/>
  <c r="P282" i="16"/>
  <c r="P283" i="16"/>
  <c r="P284" i="16"/>
  <c r="P285" i="16"/>
  <c r="P286" i="16"/>
  <c r="P287" i="16"/>
  <c r="P288" i="16"/>
  <c r="P289" i="16"/>
  <c r="P290" i="16"/>
  <c r="P291" i="16"/>
  <c r="P292" i="16"/>
  <c r="P293" i="16"/>
  <c r="P294" i="16"/>
  <c r="P295" i="16"/>
  <c r="P296" i="16"/>
  <c r="P297" i="16"/>
  <c r="P298" i="16"/>
  <c r="P299" i="16"/>
  <c r="P300" i="16"/>
  <c r="P301" i="16"/>
  <c r="P302" i="16"/>
  <c r="P303" i="16"/>
  <c r="P304" i="16"/>
  <c r="P305" i="16"/>
  <c r="P306" i="16"/>
  <c r="P307" i="16"/>
  <c r="P308" i="16"/>
  <c r="P309" i="16"/>
  <c r="P310" i="16"/>
  <c r="P311" i="16"/>
  <c r="P312" i="16"/>
  <c r="P313" i="16"/>
  <c r="P314" i="16"/>
  <c r="P315" i="16"/>
  <c r="P316" i="16"/>
  <c r="P317" i="16"/>
  <c r="P318" i="16"/>
  <c r="P319" i="16"/>
  <c r="P320" i="16"/>
  <c r="P321" i="16"/>
  <c r="P322" i="16"/>
  <c r="P323" i="16"/>
  <c r="P324" i="16"/>
  <c r="P325" i="16"/>
  <c r="P326" i="16"/>
  <c r="P327" i="16"/>
  <c r="P328" i="16"/>
  <c r="P329" i="16"/>
  <c r="P330" i="16"/>
  <c r="P331" i="16"/>
  <c r="P332" i="16"/>
  <c r="P333" i="16"/>
  <c r="P334" i="16"/>
  <c r="P335" i="16"/>
  <c r="P336" i="16"/>
  <c r="P337" i="16"/>
  <c r="P338" i="16"/>
  <c r="P339" i="16"/>
  <c r="P340" i="16"/>
  <c r="P341" i="16"/>
  <c r="R342" i="16"/>
  <c r="Q163" i="16"/>
  <c r="Q89" i="16"/>
  <c r="Q101" i="16"/>
  <c r="Q113" i="16"/>
  <c r="Q125" i="16"/>
  <c r="Q137" i="16"/>
  <c r="Q149" i="16"/>
  <c r="Q161" i="16"/>
  <c r="Q164" i="16"/>
  <c r="Q24" i="16"/>
  <c r="Q26" i="16"/>
  <c r="Q42" i="16"/>
  <c r="Q82" i="16"/>
  <c r="Q45" i="16"/>
  <c r="Q76" i="16"/>
  <c r="Q23" i="16"/>
  <c r="Q67" i="16"/>
  <c r="Q135" i="16"/>
  <c r="Q90" i="16"/>
  <c r="Q102" i="16"/>
  <c r="Q114" i="16"/>
  <c r="Q126" i="16"/>
  <c r="Q138" i="16"/>
  <c r="Q150" i="16"/>
  <c r="Q162" i="16"/>
  <c r="T32" i="8"/>
  <c r="Q36" i="16"/>
  <c r="Q79" i="16"/>
  <c r="Q71" i="16"/>
  <c r="Q66" i="16"/>
  <c r="Q78" i="16"/>
  <c r="Q68" i="16"/>
  <c r="Q159" i="16"/>
  <c r="Q48" i="16"/>
  <c r="Q91" i="16"/>
  <c r="Q103" i="16"/>
  <c r="Q115" i="16"/>
  <c r="Q127" i="16"/>
  <c r="Q139" i="16"/>
  <c r="Q151" i="16"/>
  <c r="Q35" i="16"/>
  <c r="Q17" i="16"/>
  <c r="Q47" i="16"/>
  <c r="Q55" i="16"/>
  <c r="Q50" i="16"/>
  <c r="Q70" i="16"/>
  <c r="Q60" i="16"/>
  <c r="Q20" i="16"/>
  <c r="Q92" i="16"/>
  <c r="Q104" i="16"/>
  <c r="Q116" i="16"/>
  <c r="Q128" i="16"/>
  <c r="Q140" i="16"/>
  <c r="Q152" i="16"/>
  <c r="Q19" i="16"/>
  <c r="Q37" i="16"/>
  <c r="Q28" i="16"/>
  <c r="Q25" i="16"/>
  <c r="Q74" i="16"/>
  <c r="Q64" i="16"/>
  <c r="Q38" i="16"/>
  <c r="Q54" i="16"/>
  <c r="Q52" i="16"/>
  <c r="Q80" i="16"/>
  <c r="Q111" i="16"/>
  <c r="Q43" i="16"/>
  <c r="Q93" i="16"/>
  <c r="Q105" i="16"/>
  <c r="Q117" i="16"/>
  <c r="Q129" i="16"/>
  <c r="Q141" i="16"/>
  <c r="Q153" i="16"/>
  <c r="Q32" i="16"/>
  <c r="Q29" i="16"/>
  <c r="Q33" i="16"/>
  <c r="Q57" i="16"/>
  <c r="Q81" i="16"/>
  <c r="Q30" i="16"/>
  <c r="Q46" i="16"/>
  <c r="Q44" i="16"/>
  <c r="Q85" i="16"/>
  <c r="Q94" i="16"/>
  <c r="Q106" i="16"/>
  <c r="Q118" i="16"/>
  <c r="Q130" i="16"/>
  <c r="Q142" i="16"/>
  <c r="Q154" i="16"/>
  <c r="Q18" i="16"/>
  <c r="Q72" i="16"/>
  <c r="Q65" i="16"/>
  <c r="Q22" i="16"/>
  <c r="Q83" i="16"/>
  <c r="Q56" i="16"/>
  <c r="Q59" i="16"/>
  <c r="Q27" i="16"/>
  <c r="Q61" i="16"/>
  <c r="Q95" i="16"/>
  <c r="Q107" i="16"/>
  <c r="Q119" i="16"/>
  <c r="Q131" i="16"/>
  <c r="Q143" i="16"/>
  <c r="Q155" i="16"/>
  <c r="Q34" i="16"/>
  <c r="Q41" i="16"/>
  <c r="Q49" i="16"/>
  <c r="Q14" i="16"/>
  <c r="Q69" i="16"/>
  <c r="Q75" i="16"/>
  <c r="Q73" i="16"/>
  <c r="Q147" i="16"/>
  <c r="Q21" i="16"/>
  <c r="Q96" i="16"/>
  <c r="Q108" i="16"/>
  <c r="Q120" i="16"/>
  <c r="Q132" i="16"/>
  <c r="Q144" i="16"/>
  <c r="Q156" i="16"/>
  <c r="Q62" i="16"/>
  <c r="Q97" i="16"/>
  <c r="Q109" i="16"/>
  <c r="Q121" i="16"/>
  <c r="Q133" i="16"/>
  <c r="Q145" i="16"/>
  <c r="Q157" i="16"/>
  <c r="Q12" i="16"/>
  <c r="Q58" i="16"/>
  <c r="Q86" i="16"/>
  <c r="Q98" i="16"/>
  <c r="Q110" i="16"/>
  <c r="Q122" i="16"/>
  <c r="Q134" i="16"/>
  <c r="Q146" i="16"/>
  <c r="Q158" i="16"/>
  <c r="Q31" i="16"/>
  <c r="Q63" i="16"/>
  <c r="Q40" i="16"/>
  <c r="Q77" i="16"/>
  <c r="Q51" i="16"/>
  <c r="Q87" i="16"/>
  <c r="Q123" i="16"/>
  <c r="Q88" i="16"/>
  <c r="Q100" i="16"/>
  <c r="Q112" i="16"/>
  <c r="Q124" i="16"/>
  <c r="Q136" i="16"/>
  <c r="Q148" i="16"/>
  <c r="Q160" i="16"/>
  <c r="Q15" i="16"/>
  <c r="Q11" i="16"/>
  <c r="Q16" i="16"/>
  <c r="Q13" i="16"/>
  <c r="Q39" i="16"/>
  <c r="Q53" i="16"/>
  <c r="Q84" i="16"/>
  <c r="Q99" i="16"/>
  <c r="Q165" i="16"/>
  <c r="Q166" i="16"/>
  <c r="Q167" i="16"/>
  <c r="Q168" i="16"/>
  <c r="Q169" i="16"/>
  <c r="Q170" i="16"/>
  <c r="Q171" i="16"/>
  <c r="Q172" i="16"/>
  <c r="Q173" i="16"/>
  <c r="Q174" i="16"/>
  <c r="Q175" i="16"/>
  <c r="Q176" i="16"/>
  <c r="Q177" i="16"/>
  <c r="Q178" i="16"/>
  <c r="Q179" i="16"/>
  <c r="Q180" i="16"/>
  <c r="Q181" i="16"/>
  <c r="Q182" i="16"/>
  <c r="Q183" i="16"/>
  <c r="Q184" i="16"/>
  <c r="Q185" i="16"/>
  <c r="Q186" i="16"/>
  <c r="Q187" i="16"/>
  <c r="Q188" i="16"/>
  <c r="Q189" i="16"/>
  <c r="Q190" i="16"/>
  <c r="Q191" i="16"/>
  <c r="Q192" i="16"/>
  <c r="Q193" i="16"/>
  <c r="Q194" i="16"/>
  <c r="Q195" i="16"/>
  <c r="Q196" i="16"/>
  <c r="Q197" i="16"/>
  <c r="Q198" i="16"/>
  <c r="Q199" i="16"/>
  <c r="Q200" i="16"/>
  <c r="Q201" i="16"/>
  <c r="Q202" i="16"/>
  <c r="Q203" i="16"/>
  <c r="Q204" i="16"/>
  <c r="Q205" i="16"/>
  <c r="Q206" i="16"/>
  <c r="Q207" i="16"/>
  <c r="Q208" i="16"/>
  <c r="Q209" i="16"/>
  <c r="Q210" i="16"/>
  <c r="Q211" i="16"/>
  <c r="Q212" i="16"/>
  <c r="Q213" i="16"/>
  <c r="Q214" i="16"/>
  <c r="Q215" i="16"/>
  <c r="Q216" i="16"/>
  <c r="Q217" i="16"/>
  <c r="Q218" i="16"/>
  <c r="Q219" i="16"/>
  <c r="Q220" i="16"/>
  <c r="Q221" i="16"/>
  <c r="Q222" i="16"/>
  <c r="Q223" i="16"/>
  <c r="Q224" i="16"/>
  <c r="Q225" i="16"/>
  <c r="Q226" i="16"/>
  <c r="Q227" i="16"/>
  <c r="Q228" i="16"/>
  <c r="Q229" i="16"/>
  <c r="Q230" i="16"/>
  <c r="Q231" i="16"/>
  <c r="Q232" i="16"/>
  <c r="Q233" i="16"/>
  <c r="Q234" i="16"/>
  <c r="Q235" i="16"/>
  <c r="Q236" i="16"/>
  <c r="Q237" i="16"/>
  <c r="Q238" i="16"/>
  <c r="Q239" i="16"/>
  <c r="Q240" i="16"/>
  <c r="Q241" i="16"/>
  <c r="Q242" i="16"/>
  <c r="Q243" i="16"/>
  <c r="Q244" i="16"/>
  <c r="Q245" i="16"/>
  <c r="Q246" i="16"/>
  <c r="Q247" i="16"/>
  <c r="Q248" i="16"/>
  <c r="Q249" i="16"/>
  <c r="Q250" i="16"/>
  <c r="Q251" i="16"/>
  <c r="Q252" i="16"/>
  <c r="Q253" i="16"/>
  <c r="Q254" i="16"/>
  <c r="Q255" i="16"/>
  <c r="Q256" i="16"/>
  <c r="Q257" i="16"/>
  <c r="Q258" i="16"/>
  <c r="Q259" i="16"/>
  <c r="Q260" i="16"/>
  <c r="Q261" i="16"/>
  <c r="Q262" i="16"/>
  <c r="Q263" i="16"/>
  <c r="Q264" i="16"/>
  <c r="Q265" i="16"/>
  <c r="Q266" i="16"/>
  <c r="Q267" i="16"/>
  <c r="Q268" i="16"/>
  <c r="Q269" i="16"/>
  <c r="Q270" i="16"/>
  <c r="Q271" i="16"/>
  <c r="Q272" i="16"/>
  <c r="Q273" i="16"/>
  <c r="Q274" i="16"/>
  <c r="Q275" i="16"/>
  <c r="Q276" i="16"/>
  <c r="Q277" i="16"/>
  <c r="Q278" i="16"/>
  <c r="Q279" i="16"/>
  <c r="Q280" i="16"/>
  <c r="Q281" i="16"/>
  <c r="Q282" i="16"/>
  <c r="Q283" i="16"/>
  <c r="Q284" i="16"/>
  <c r="Q285" i="16"/>
  <c r="Q286" i="16"/>
  <c r="Q287" i="16"/>
  <c r="Q288" i="16"/>
  <c r="Q289" i="16"/>
  <c r="Q290" i="16"/>
  <c r="Q291" i="16"/>
  <c r="Q292" i="16"/>
  <c r="Q293" i="16"/>
  <c r="Q294" i="16"/>
  <c r="Q295" i="16"/>
  <c r="Q296" i="16"/>
  <c r="Q297" i="16"/>
  <c r="Q298" i="16"/>
  <c r="Q299" i="16"/>
  <c r="Q300" i="16"/>
  <c r="Q301" i="16"/>
  <c r="Q302" i="16"/>
  <c r="Q303" i="16"/>
  <c r="Q304" i="16"/>
  <c r="Q305" i="16"/>
  <c r="Q306" i="16"/>
  <c r="Q307" i="16"/>
  <c r="Q308" i="16"/>
  <c r="Q309" i="16"/>
  <c r="Q310" i="16"/>
  <c r="Q311" i="16"/>
  <c r="Q312" i="16"/>
  <c r="Q313" i="16"/>
  <c r="Q314" i="16"/>
  <c r="Q315" i="16"/>
  <c r="Q316" i="16"/>
  <c r="Q317" i="16"/>
  <c r="Q318" i="16"/>
  <c r="Q319" i="16"/>
  <c r="Q320" i="16"/>
  <c r="Q321" i="16"/>
  <c r="Q322" i="16"/>
  <c r="Q323" i="16"/>
  <c r="Q324" i="16"/>
  <c r="Q325" i="16"/>
  <c r="Q326" i="16"/>
  <c r="Q327" i="16"/>
  <c r="Q328" i="16"/>
  <c r="Q329" i="16"/>
  <c r="Q330" i="16"/>
  <c r="Q331" i="16"/>
  <c r="Q332" i="16"/>
  <c r="Q333" i="16"/>
  <c r="Q334" i="16"/>
  <c r="Q335" i="16"/>
  <c r="Q336" i="16"/>
  <c r="Q337" i="16"/>
  <c r="Q338" i="16"/>
  <c r="Q339" i="16"/>
  <c r="Q340" i="16"/>
  <c r="Q341" i="16"/>
  <c r="R8" i="16"/>
  <c r="B36" i="8" s="1"/>
  <c r="Q342" i="16"/>
  <c r="R343" i="16"/>
  <c r="P342" i="16"/>
  <c r="Q343" i="16"/>
  <c r="O342" i="16"/>
  <c r="AT11" i="16"/>
  <c r="E92" i="8" s="1"/>
  <c r="Y92" i="8" s="1"/>
  <c r="Q39" i="8"/>
  <c r="AL13" i="16"/>
  <c r="AM12" i="16"/>
  <c r="AN12" i="16" s="1"/>
  <c r="AT12" i="16"/>
  <c r="AU12" i="16" s="1"/>
  <c r="U93" i="8" s="1"/>
  <c r="AS13" i="16"/>
  <c r="B94" i="8" s="1"/>
  <c r="K39" i="8" l="1"/>
  <c r="E50" i="8"/>
  <c r="E93" i="8"/>
  <c r="Y93" i="8" s="1"/>
  <c r="K48" i="8"/>
  <c r="K50" i="8"/>
  <c r="K51" i="8"/>
  <c r="K49" i="8"/>
  <c r="O48" i="8"/>
  <c r="O50" i="8"/>
  <c r="O51" i="8"/>
  <c r="O49" i="8"/>
  <c r="M51" i="8"/>
  <c r="M49" i="8"/>
  <c r="M50" i="8"/>
  <c r="M48" i="8"/>
  <c r="AS14" i="16"/>
  <c r="B95" i="8" s="1"/>
  <c r="AT13" i="16"/>
  <c r="AU13" i="16" s="1"/>
  <c r="U94" i="8" s="1"/>
  <c r="AL14" i="16"/>
  <c r="AM13" i="16"/>
  <c r="AN13" i="16" s="1"/>
  <c r="AU11" i="16"/>
  <c r="U92" i="8" s="1"/>
  <c r="E94" i="8" l="1"/>
  <c r="Y94" i="8" s="1"/>
  <c r="Q121" i="8"/>
  <c r="Q120" i="8"/>
  <c r="Q118" i="8"/>
  <c r="Q119" i="8"/>
  <c r="O121" i="8"/>
  <c r="O119" i="8"/>
  <c r="O118" i="8"/>
  <c r="O120" i="8"/>
  <c r="M120" i="8"/>
  <c r="M121" i="8"/>
  <c r="M118" i="8"/>
  <c r="M119" i="8"/>
  <c r="AL15" i="16"/>
  <c r="AM14" i="16"/>
  <c r="AN14" i="16" s="1"/>
  <c r="AS15" i="16"/>
  <c r="B96" i="8" s="1"/>
  <c r="AT14" i="16"/>
  <c r="AU14" i="16" s="1"/>
  <c r="U95" i="8" s="1"/>
  <c r="E95" i="8" l="1"/>
  <c r="Y95" i="8" s="1"/>
  <c r="AT15" i="16"/>
  <c r="AU15" i="16" s="1"/>
  <c r="U96" i="8" s="1"/>
  <c r="AS16" i="16"/>
  <c r="B97" i="8" s="1"/>
  <c r="AL16" i="16"/>
  <c r="AM15" i="16"/>
  <c r="AN15" i="16" s="1"/>
  <c r="E96" i="8" l="1"/>
  <c r="Y96" i="8" s="1"/>
  <c r="AL17" i="16"/>
  <c r="AM16" i="16"/>
  <c r="AN16" i="16" s="1"/>
  <c r="AS17" i="16"/>
  <c r="B98" i="8" s="1"/>
  <c r="AT16" i="16"/>
  <c r="AU16" i="16" s="1"/>
  <c r="U97" i="8" s="1"/>
  <c r="E97" i="8" l="1"/>
  <c r="Y97" i="8" s="1"/>
  <c r="AT17" i="16"/>
  <c r="AU17" i="16" s="1"/>
  <c r="U98" i="8" s="1"/>
  <c r="AS18" i="16"/>
  <c r="B99" i="8" s="1"/>
  <c r="AL18" i="16"/>
  <c r="AM17" i="16"/>
  <c r="AN17" i="16" s="1"/>
  <c r="E98" i="8" l="1"/>
  <c r="Y98" i="8" s="1"/>
  <c r="AL19" i="16"/>
  <c r="AM18" i="16"/>
  <c r="AN18" i="16" s="1"/>
  <c r="AT18" i="16"/>
  <c r="AU18" i="16" s="1"/>
  <c r="U99" i="8" s="1"/>
  <c r="AS19" i="16"/>
  <c r="B100" i="8" s="1"/>
  <c r="E99" i="8" l="1"/>
  <c r="Y99" i="8" s="1"/>
  <c r="AT19" i="16"/>
  <c r="AU19" i="16" s="1"/>
  <c r="U100" i="8" s="1"/>
  <c r="AS20" i="16"/>
  <c r="B101" i="8" s="1"/>
  <c r="AL20" i="16"/>
  <c r="AM19" i="16"/>
  <c r="AN19" i="16" s="1"/>
  <c r="E100" i="8" l="1"/>
  <c r="Y100" i="8" s="1"/>
  <c r="AL21" i="16"/>
  <c r="AM20" i="16"/>
  <c r="AN20" i="16" s="1"/>
  <c r="AS21" i="16"/>
  <c r="B102" i="8" s="1"/>
  <c r="AT20" i="16"/>
  <c r="AU20" i="16" s="1"/>
  <c r="U101" i="8" s="1"/>
  <c r="E101" i="8" l="1"/>
  <c r="Y101" i="8" s="1"/>
  <c r="AT21" i="16"/>
  <c r="AU21" i="16" s="1"/>
  <c r="U102" i="8" s="1"/>
  <c r="AS22" i="16"/>
  <c r="B103" i="8" s="1"/>
  <c r="AL22" i="16"/>
  <c r="AM21" i="16"/>
  <c r="AN21" i="16" s="1"/>
  <c r="E102" i="8" l="1"/>
  <c r="Y102" i="8" s="1"/>
  <c r="U103" i="8"/>
  <c r="E103" i="8"/>
  <c r="Y103" i="8" s="1"/>
  <c r="AT22" i="16"/>
  <c r="AU22" i="16" s="1"/>
  <c r="AS23" i="16"/>
  <c r="B104" i="8" s="1"/>
  <c r="AL23" i="16"/>
  <c r="AM22" i="16"/>
  <c r="AN22" i="16" s="1"/>
  <c r="U104" i="8" l="1"/>
  <c r="E104" i="8"/>
  <c r="Y104" i="8" s="1"/>
  <c r="AL24" i="16"/>
  <c r="AM23" i="16"/>
  <c r="AN23" i="16" s="1"/>
  <c r="AT23" i="16"/>
  <c r="AU23" i="16" s="1"/>
  <c r="AS24" i="16"/>
  <c r="B105" i="8" s="1"/>
  <c r="U105" i="8" l="1"/>
  <c r="E105" i="8"/>
  <c r="Y105" i="8" s="1"/>
  <c r="AT24" i="16"/>
  <c r="AU24" i="16" s="1"/>
  <c r="AS25" i="16"/>
  <c r="B106" i="8" s="1"/>
  <c r="AL25" i="16"/>
  <c r="AM24" i="16"/>
  <c r="AN24" i="16" s="1"/>
  <c r="U106" i="8" l="1"/>
  <c r="E106" i="8"/>
  <c r="Y106" i="8" s="1"/>
  <c r="AL26" i="16"/>
  <c r="AM25" i="16"/>
  <c r="AN25" i="16" s="1"/>
  <c r="AT25" i="16"/>
  <c r="AU25" i="16" s="1"/>
  <c r="AS26" i="16"/>
  <c r="B107" i="8" s="1"/>
  <c r="U107" i="8" l="1"/>
  <c r="E107" i="8"/>
  <c r="Y107" i="8" s="1"/>
  <c r="AS27" i="16"/>
  <c r="AT26" i="16"/>
  <c r="AU26" i="16" s="1"/>
  <c r="AL27" i="16"/>
  <c r="AM26" i="16"/>
  <c r="AN26" i="16" s="1"/>
  <c r="AL28" i="16" l="1"/>
  <c r="AM27" i="16"/>
  <c r="AN27" i="16" s="1"/>
  <c r="AS28" i="16"/>
  <c r="AT27" i="16"/>
  <c r="AU27" i="16" s="1"/>
  <c r="AS29" i="16" l="1"/>
  <c r="AT28" i="16"/>
  <c r="AU28" i="16" s="1"/>
  <c r="AL29" i="16"/>
  <c r="AM28" i="16"/>
  <c r="AN28" i="16" s="1"/>
  <c r="AL30" i="16" l="1"/>
  <c r="AM29" i="16"/>
  <c r="AN29" i="16" s="1"/>
  <c r="AS30" i="16"/>
  <c r="AT29" i="16"/>
  <c r="AU29" i="16" s="1"/>
  <c r="AS31" i="16" l="1"/>
  <c r="AT30" i="16"/>
  <c r="AU30" i="16" s="1"/>
  <c r="AL31" i="16"/>
  <c r="AM30" i="16"/>
  <c r="AN30" i="16" s="1"/>
  <c r="AL32" i="16" l="1"/>
  <c r="AM31" i="16"/>
  <c r="AN31" i="16" s="1"/>
  <c r="AS32" i="16"/>
  <c r="AT31" i="16"/>
  <c r="AU31" i="16" s="1"/>
  <c r="AT32" i="16" l="1"/>
  <c r="AU32" i="16" s="1"/>
  <c r="AS33" i="16"/>
  <c r="AL33" i="16"/>
  <c r="AM32" i="16"/>
  <c r="AN32" i="16" s="1"/>
  <c r="AL34" i="16" l="1"/>
  <c r="AM33" i="16"/>
  <c r="AN33" i="16" s="1"/>
  <c r="AS34" i="16"/>
  <c r="AT33" i="16"/>
  <c r="AU33" i="16" s="1"/>
  <c r="AS35" i="16" l="1"/>
  <c r="AT34" i="16"/>
  <c r="AU34" i="16" s="1"/>
  <c r="AL35" i="16"/>
  <c r="AM34" i="16"/>
  <c r="AN34" i="16" s="1"/>
  <c r="AL36" i="16" l="1"/>
  <c r="AM35" i="16"/>
  <c r="AN35" i="16" s="1"/>
  <c r="AS36" i="16"/>
  <c r="AT35" i="16"/>
  <c r="AU35" i="16" s="1"/>
  <c r="AT36" i="16" l="1"/>
  <c r="AU36" i="16" s="1"/>
  <c r="AS37" i="16"/>
  <c r="AL37" i="16"/>
  <c r="AM36" i="16"/>
  <c r="AN36" i="16" s="1"/>
  <c r="AL38" i="16" l="1"/>
  <c r="AM37" i="16"/>
  <c r="AN37" i="16" s="1"/>
  <c r="AS38" i="16"/>
  <c r="AT37" i="16"/>
  <c r="AU37" i="16" s="1"/>
  <c r="AT38" i="16" l="1"/>
  <c r="AU38" i="16" s="1"/>
  <c r="AS39" i="16"/>
  <c r="AL39" i="16"/>
  <c r="AM38" i="16"/>
  <c r="AN38" i="16" s="1"/>
  <c r="AL40" i="16" l="1"/>
  <c r="AM39" i="16"/>
  <c r="AN39" i="16" s="1"/>
  <c r="AS40" i="16"/>
  <c r="AT39" i="16"/>
  <c r="AU39" i="16" s="1"/>
  <c r="AS41" i="16" l="1"/>
  <c r="AT40" i="16"/>
  <c r="AU40" i="16" s="1"/>
  <c r="AL41" i="16"/>
  <c r="AM40" i="16"/>
  <c r="AN40" i="16" s="1"/>
  <c r="AL42" i="16" l="1"/>
  <c r="AM41" i="16"/>
  <c r="AN41" i="16" s="1"/>
  <c r="AS42" i="16"/>
  <c r="AT41" i="16"/>
  <c r="AU41" i="16" s="1"/>
  <c r="AT42" i="16" l="1"/>
  <c r="AU42" i="16" s="1"/>
  <c r="AS43" i="16"/>
  <c r="AL43" i="16"/>
  <c r="AM42" i="16"/>
  <c r="AN42" i="16" s="1"/>
  <c r="AL44" i="16" l="1"/>
  <c r="AM43" i="16"/>
  <c r="AN43" i="16" s="1"/>
  <c r="AS44" i="16"/>
  <c r="AT43" i="16"/>
  <c r="AU43" i="16" s="1"/>
  <c r="AS45" i="16" l="1"/>
  <c r="AT44" i="16"/>
  <c r="AU44" i="16" s="1"/>
  <c r="AL45" i="16"/>
  <c r="AM44" i="16"/>
  <c r="AN44" i="16" s="1"/>
  <c r="AL46" i="16" l="1"/>
  <c r="AM45" i="16"/>
  <c r="AN45" i="16" s="1"/>
  <c r="AS46" i="16"/>
  <c r="AT45" i="16"/>
  <c r="AU45" i="16" s="1"/>
  <c r="AT46" i="16" l="1"/>
  <c r="AU46" i="16" s="1"/>
  <c r="AS47" i="16"/>
  <c r="AL47" i="16"/>
  <c r="AM46" i="16"/>
  <c r="AN46" i="16" s="1"/>
  <c r="AL48" i="16" l="1"/>
  <c r="AM47" i="16"/>
  <c r="AN47" i="16" s="1"/>
  <c r="AT47" i="16"/>
  <c r="AU47" i="16" s="1"/>
  <c r="AS48" i="16"/>
  <c r="AT48" i="16" l="1"/>
  <c r="AU48" i="16" s="1"/>
  <c r="AS49" i="16"/>
  <c r="AL49" i="16"/>
  <c r="AM48" i="16"/>
  <c r="AN48" i="16" s="1"/>
  <c r="AL50" i="16" l="1"/>
  <c r="AM49" i="16"/>
  <c r="AN49" i="16" s="1"/>
  <c r="AS50" i="16"/>
  <c r="AT49" i="16"/>
  <c r="AU49" i="16" s="1"/>
  <c r="AT50" i="16" l="1"/>
  <c r="AU50" i="16" s="1"/>
  <c r="AS51" i="16"/>
  <c r="AL51" i="16"/>
  <c r="AM50" i="16"/>
  <c r="AN50" i="16" s="1"/>
  <c r="AL52" i="16" l="1"/>
  <c r="AM51" i="16"/>
  <c r="AN51" i="16" s="1"/>
  <c r="AT51" i="16"/>
  <c r="AU51" i="16" s="1"/>
  <c r="AS52" i="16"/>
  <c r="AT52" i="16" l="1"/>
  <c r="AU52" i="16" s="1"/>
  <c r="AS53" i="16"/>
  <c r="AL53" i="16"/>
  <c r="AM52" i="16"/>
  <c r="AN52" i="16" s="1"/>
  <c r="AL54" i="16" l="1"/>
  <c r="AM53" i="16"/>
  <c r="AN53" i="16" s="1"/>
  <c r="AS54" i="16"/>
  <c r="AT53" i="16"/>
  <c r="AU53" i="16" s="1"/>
  <c r="AS55" i="16" l="1"/>
  <c r="AT54" i="16"/>
  <c r="AU54" i="16" s="1"/>
  <c r="AL55" i="16"/>
  <c r="AM54" i="16"/>
  <c r="AN54" i="16" s="1"/>
  <c r="AL56" i="16" l="1"/>
  <c r="AM55" i="16"/>
  <c r="AN55" i="16" s="1"/>
  <c r="AS56" i="16"/>
  <c r="AT55" i="16"/>
  <c r="AU55" i="16" s="1"/>
  <c r="AL57" i="16" l="1"/>
  <c r="AM56" i="16"/>
  <c r="AN56" i="16" s="1"/>
  <c r="AT56" i="16"/>
  <c r="AU56" i="16" s="1"/>
  <c r="AS57" i="16"/>
  <c r="AS58" i="16" l="1"/>
  <c r="AT57" i="16"/>
  <c r="AU57" i="16" s="1"/>
  <c r="AL58" i="16"/>
  <c r="AM57" i="16"/>
  <c r="AN57" i="16" s="1"/>
  <c r="AL59" i="16" l="1"/>
  <c r="AM58" i="16"/>
  <c r="AN58" i="16" s="1"/>
  <c r="AT58" i="16"/>
  <c r="AU58" i="16" s="1"/>
  <c r="AS59" i="16"/>
  <c r="AT59" i="16" l="1"/>
  <c r="AU59" i="16" s="1"/>
  <c r="AS60" i="16"/>
  <c r="AL60" i="16"/>
  <c r="AM59" i="16"/>
  <c r="AN59" i="16" s="1"/>
  <c r="AL61" i="16" l="1"/>
  <c r="AM60" i="16"/>
  <c r="AN60" i="16" s="1"/>
  <c r="AT60" i="16"/>
  <c r="AU60" i="16" s="1"/>
  <c r="AS61" i="16"/>
  <c r="AS62" i="16" l="1"/>
  <c r="AT61" i="16"/>
  <c r="AU61" i="16" s="1"/>
  <c r="AL62" i="16"/>
  <c r="AM61" i="16"/>
  <c r="AN61" i="16" s="1"/>
  <c r="AL63" i="16" l="1"/>
  <c r="AM62" i="16"/>
  <c r="AN62" i="16" s="1"/>
  <c r="AS63" i="16"/>
  <c r="AT62" i="16"/>
  <c r="AU62" i="16" s="1"/>
  <c r="AS64" i="16" l="1"/>
  <c r="AT63" i="16"/>
  <c r="AU63" i="16" s="1"/>
  <c r="AL64" i="16"/>
  <c r="AM63" i="16"/>
  <c r="AN63" i="16" s="1"/>
  <c r="AL65" i="16" l="1"/>
  <c r="AM64" i="16"/>
  <c r="AN64" i="16" s="1"/>
  <c r="AS65" i="16"/>
  <c r="AT64" i="16"/>
  <c r="AU64" i="16" s="1"/>
  <c r="AT65" i="16" l="1"/>
  <c r="AU65" i="16" s="1"/>
  <c r="AS66" i="16"/>
  <c r="AL66" i="16"/>
  <c r="AM65" i="16"/>
  <c r="AN65" i="16" s="1"/>
  <c r="AL67" i="16" l="1"/>
  <c r="AM66" i="16"/>
  <c r="AN66" i="16" s="1"/>
  <c r="AS67" i="16"/>
  <c r="AT66" i="16"/>
  <c r="AU66" i="16" s="1"/>
  <c r="AS68" i="16" l="1"/>
  <c r="AT67" i="16"/>
  <c r="AU67" i="16" s="1"/>
  <c r="AL68" i="16"/>
  <c r="AM67" i="16"/>
  <c r="AN67" i="16" s="1"/>
  <c r="AL69" i="16" l="1"/>
  <c r="AM68" i="16"/>
  <c r="AN68" i="16" s="1"/>
  <c r="AS69" i="16"/>
  <c r="AT68" i="16"/>
  <c r="AU68" i="16" s="1"/>
  <c r="AS70" i="16" l="1"/>
  <c r="AT69" i="16"/>
  <c r="AU69" i="16" s="1"/>
  <c r="AL70" i="16"/>
  <c r="AM69" i="16"/>
  <c r="AN69" i="16" s="1"/>
  <c r="AL71" i="16" l="1"/>
  <c r="AM70" i="16"/>
  <c r="AN70" i="16" s="1"/>
  <c r="AS71" i="16"/>
  <c r="AT70" i="16"/>
  <c r="AU70" i="16" s="1"/>
  <c r="AT71" i="16" l="1"/>
  <c r="AU71" i="16" s="1"/>
  <c r="AS72" i="16"/>
  <c r="AL72" i="16"/>
  <c r="AM71" i="16"/>
  <c r="AN71" i="16" s="1"/>
  <c r="AT72" i="16" l="1"/>
  <c r="AU72" i="16" s="1"/>
  <c r="AS73" i="16"/>
  <c r="AL73" i="16"/>
  <c r="AM72" i="16"/>
  <c r="AN72" i="16" s="1"/>
  <c r="AL74" i="16" l="1"/>
  <c r="AM73" i="16"/>
  <c r="AN73" i="16" s="1"/>
  <c r="AS74" i="16"/>
  <c r="AT73" i="16"/>
  <c r="AU73" i="16" s="1"/>
  <c r="AS75" i="16" l="1"/>
  <c r="AT74" i="16"/>
  <c r="AU74" i="16" s="1"/>
  <c r="AL75" i="16"/>
  <c r="AM74" i="16"/>
  <c r="AN74" i="16" s="1"/>
  <c r="AL76" i="16" l="1"/>
  <c r="AM75" i="16"/>
  <c r="AN75" i="16" s="1"/>
  <c r="AS76" i="16"/>
  <c r="AT75" i="16"/>
  <c r="AU75" i="16" s="1"/>
  <c r="AT76" i="16" l="1"/>
  <c r="AU76" i="16" s="1"/>
  <c r="AS77" i="16"/>
  <c r="AL77" i="16"/>
  <c r="AM76" i="16"/>
  <c r="AN76" i="16" s="1"/>
  <c r="AL78" i="16" l="1"/>
  <c r="AM77" i="16"/>
  <c r="AN77" i="16" s="1"/>
  <c r="AT77" i="16"/>
  <c r="AU77" i="16" s="1"/>
  <c r="AS78" i="16"/>
  <c r="AT78" i="16" l="1"/>
  <c r="AU78" i="16" s="1"/>
  <c r="AS79" i="16"/>
  <c r="AL79" i="16"/>
  <c r="AM78" i="16"/>
  <c r="AN78" i="16" s="1"/>
  <c r="AL80" i="16" l="1"/>
  <c r="AM79" i="16"/>
  <c r="AN79" i="16" s="1"/>
  <c r="AS80" i="16"/>
  <c r="AT79" i="16"/>
  <c r="AU79" i="16" s="1"/>
  <c r="AS81" i="16" l="1"/>
  <c r="AT80" i="16"/>
  <c r="AU80" i="16" s="1"/>
  <c r="AL81" i="16"/>
  <c r="AM80" i="16"/>
  <c r="AN80" i="16" s="1"/>
  <c r="AL82" i="16" l="1"/>
  <c r="AM81" i="16"/>
  <c r="AN81" i="16" s="1"/>
  <c r="AS82" i="16"/>
  <c r="AT81" i="16"/>
  <c r="AU81" i="16" s="1"/>
  <c r="AT82" i="16" l="1"/>
  <c r="AU82" i="16" s="1"/>
  <c r="AS83" i="16"/>
  <c r="AL83" i="16"/>
  <c r="AM82" i="16"/>
  <c r="AN82" i="16" s="1"/>
  <c r="AL84" i="16" l="1"/>
  <c r="AM83" i="16"/>
  <c r="AN83" i="16" s="1"/>
  <c r="AT83" i="16"/>
  <c r="AU83" i="16" s="1"/>
  <c r="AS84" i="16"/>
  <c r="AT84" i="16" l="1"/>
  <c r="AU84" i="16" s="1"/>
  <c r="AS85" i="16"/>
  <c r="AL85" i="16"/>
  <c r="AM84" i="16"/>
  <c r="AN84" i="16" s="1"/>
  <c r="AL86" i="16" l="1"/>
  <c r="AM85" i="16"/>
  <c r="AN85" i="16" s="1"/>
  <c r="AS86" i="16"/>
  <c r="AT85" i="16"/>
  <c r="AU85" i="16" s="1"/>
  <c r="AT86" i="16" l="1"/>
  <c r="AU86" i="16" s="1"/>
  <c r="AS87" i="16"/>
  <c r="AM86" i="16"/>
  <c r="AN86" i="16" s="1"/>
  <c r="AL87" i="16"/>
  <c r="AM87" i="16" l="1"/>
  <c r="AN87" i="16" s="1"/>
  <c r="AL88" i="16"/>
  <c r="AT87" i="16"/>
  <c r="AU87" i="16" s="1"/>
  <c r="AS88" i="16"/>
  <c r="AS89" i="16" l="1"/>
  <c r="AT88" i="16"/>
  <c r="AU88" i="16" s="1"/>
  <c r="AM88" i="16"/>
  <c r="AN88" i="16" s="1"/>
  <c r="AL89" i="16"/>
  <c r="AL90" i="16" l="1"/>
  <c r="AM89" i="16"/>
  <c r="AN89" i="16" s="1"/>
  <c r="AT89" i="16"/>
  <c r="AU89" i="16" s="1"/>
  <c r="AS90" i="16"/>
  <c r="AS91" i="16" l="1"/>
  <c r="AT90" i="16"/>
  <c r="AU90" i="16" s="1"/>
  <c r="AM90" i="16"/>
  <c r="AN90" i="16" s="1"/>
  <c r="AL91" i="16"/>
  <c r="AM91" i="16" l="1"/>
  <c r="AN91" i="16" s="1"/>
  <c r="AL92" i="16"/>
  <c r="AT91" i="16"/>
  <c r="AU91" i="16" s="1"/>
  <c r="AS92" i="16"/>
  <c r="AT92" i="16" l="1"/>
  <c r="AU92" i="16" s="1"/>
  <c r="AS93" i="16"/>
  <c r="AM92" i="16"/>
  <c r="AN92" i="16" s="1"/>
  <c r="AL93" i="16"/>
  <c r="AM93" i="16" l="1"/>
  <c r="AN93" i="16" s="1"/>
  <c r="AL94" i="16"/>
  <c r="AS94" i="16"/>
  <c r="AT93" i="16"/>
  <c r="AU93" i="16" s="1"/>
  <c r="AT94" i="16" l="1"/>
  <c r="AU94" i="16" s="1"/>
  <c r="AS95" i="16"/>
  <c r="AL95" i="16"/>
  <c r="AM94" i="16"/>
  <c r="AN94" i="16" s="1"/>
  <c r="AL96" i="16" l="1"/>
  <c r="AM95" i="16"/>
  <c r="AN95" i="16" s="1"/>
  <c r="AS96" i="16"/>
  <c r="AT95" i="16"/>
  <c r="AU95" i="16" s="1"/>
  <c r="AT96" i="16" l="1"/>
  <c r="AU96" i="16" s="1"/>
  <c r="AS97" i="16"/>
  <c r="AL97" i="16"/>
  <c r="AM96" i="16"/>
  <c r="AN96" i="16" s="1"/>
  <c r="AL98" i="16" l="1"/>
  <c r="AM97" i="16"/>
  <c r="AN97" i="16" s="1"/>
  <c r="AT97" i="16"/>
  <c r="AU97" i="16" s="1"/>
  <c r="AS98" i="16"/>
  <c r="AT98" i="16" l="1"/>
  <c r="AU98" i="16" s="1"/>
  <c r="AS99" i="16"/>
  <c r="AM98" i="16"/>
  <c r="AN98" i="16" s="1"/>
  <c r="AL99" i="16"/>
  <c r="AM99" i="16" l="1"/>
  <c r="AN99" i="16" s="1"/>
  <c r="AL100" i="16"/>
  <c r="AT99" i="16"/>
  <c r="AU99" i="16" s="1"/>
  <c r="AS100" i="16"/>
  <c r="AS101" i="16" l="1"/>
  <c r="AT100" i="16"/>
  <c r="AU100" i="16" s="1"/>
  <c r="AM100" i="16"/>
  <c r="AN100" i="16" s="1"/>
  <c r="AL101" i="16"/>
  <c r="AL102" i="16" l="1"/>
  <c r="AM101" i="16"/>
  <c r="AN101" i="16" s="1"/>
  <c r="AT101" i="16"/>
  <c r="AU101" i="16" s="1"/>
  <c r="AS102" i="16"/>
  <c r="AS103" i="16" l="1"/>
  <c r="AT102" i="16"/>
  <c r="AU102" i="16" s="1"/>
  <c r="AM102" i="16"/>
  <c r="AN102" i="16" s="1"/>
  <c r="AL103" i="16"/>
  <c r="AM103" i="16" l="1"/>
  <c r="AN103" i="16" s="1"/>
  <c r="AL104" i="16"/>
  <c r="AS104" i="16"/>
  <c r="AT103" i="16"/>
  <c r="AU103" i="16" s="1"/>
  <c r="AT104" i="16" l="1"/>
  <c r="AU104" i="16" s="1"/>
  <c r="AS105" i="16"/>
  <c r="AM104" i="16"/>
  <c r="AN104" i="16" s="1"/>
  <c r="AL105" i="16"/>
  <c r="AL106" i="16" l="1"/>
  <c r="AM105" i="16"/>
  <c r="AN105" i="16" s="1"/>
  <c r="AS106" i="16"/>
  <c r="AT105" i="16"/>
  <c r="AU105" i="16" s="1"/>
  <c r="AS107" i="16" l="1"/>
  <c r="AT106" i="16"/>
  <c r="AU106" i="16" s="1"/>
  <c r="AM106" i="16"/>
  <c r="AN106" i="16" s="1"/>
  <c r="AL107" i="16"/>
  <c r="AM107" i="16" l="1"/>
  <c r="AN107" i="16" s="1"/>
  <c r="AL108" i="16"/>
  <c r="AT107" i="16"/>
  <c r="AU107" i="16" s="1"/>
  <c r="AS108" i="16"/>
  <c r="AT108" i="16" l="1"/>
  <c r="AU108" i="16" s="1"/>
  <c r="AS109" i="16"/>
  <c r="AL109" i="16"/>
  <c r="AM108" i="16"/>
  <c r="AN108" i="16" s="1"/>
  <c r="AM109" i="16" l="1"/>
  <c r="AN109" i="16" s="1"/>
  <c r="AL110" i="16"/>
  <c r="AT109" i="16"/>
  <c r="AU109" i="16" s="1"/>
  <c r="AS110" i="16"/>
  <c r="AT110" i="16" l="1"/>
  <c r="AU110" i="16" s="1"/>
  <c r="AS111" i="16"/>
  <c r="AM110" i="16"/>
  <c r="AN110" i="16" s="1"/>
  <c r="AL111" i="16"/>
  <c r="AL112" i="16" l="1"/>
  <c r="AM111" i="16"/>
  <c r="AN111" i="16" s="1"/>
  <c r="AT111" i="16"/>
  <c r="AU111" i="16" s="1"/>
  <c r="AS112" i="16"/>
  <c r="AS113" i="16" l="1"/>
  <c r="AT112" i="16"/>
  <c r="AU112" i="16" s="1"/>
  <c r="AL113" i="16"/>
  <c r="AM112" i="16"/>
  <c r="AN112" i="16" s="1"/>
  <c r="AM113" i="16" l="1"/>
  <c r="AN113" i="16" s="1"/>
  <c r="AL114" i="16"/>
  <c r="AS114" i="16"/>
  <c r="AT113" i="16"/>
  <c r="AU113" i="16" s="1"/>
  <c r="AS115" i="16" l="1"/>
  <c r="AT114" i="16"/>
  <c r="AU114" i="16" s="1"/>
  <c r="AL115" i="16"/>
  <c r="AM114" i="16"/>
  <c r="AN114" i="16" s="1"/>
  <c r="AM115" i="16" l="1"/>
  <c r="AN115" i="16" s="1"/>
  <c r="AL116" i="16"/>
  <c r="AS116" i="16"/>
  <c r="AT115" i="16"/>
  <c r="AU115" i="16" s="1"/>
  <c r="AT116" i="16" l="1"/>
  <c r="AU116" i="16" s="1"/>
  <c r="AS117" i="16"/>
  <c r="AL117" i="16"/>
  <c r="AM116" i="16"/>
  <c r="AN116" i="16" s="1"/>
  <c r="AM117" i="16" l="1"/>
  <c r="AN117" i="16" s="1"/>
  <c r="AL118" i="16"/>
  <c r="AT117" i="16"/>
  <c r="AU117" i="16" s="1"/>
  <c r="AS118" i="16"/>
  <c r="AS119" i="16" l="1"/>
  <c r="AT118" i="16"/>
  <c r="AU118" i="16" s="1"/>
  <c r="AL119" i="16"/>
  <c r="AM118" i="16"/>
  <c r="AN118" i="16" s="1"/>
  <c r="AM119" i="16" l="1"/>
  <c r="AN119" i="16" s="1"/>
  <c r="AL120" i="16"/>
  <c r="AS120" i="16"/>
  <c r="AT119" i="16"/>
  <c r="AU119" i="16" s="1"/>
  <c r="AT120" i="16" l="1"/>
  <c r="AU120" i="16" s="1"/>
  <c r="AS121" i="16"/>
  <c r="AM120" i="16"/>
  <c r="AN120" i="16" s="1"/>
  <c r="AL121" i="16"/>
  <c r="AM121" i="16" l="1"/>
  <c r="AN121" i="16" s="1"/>
  <c r="AL122" i="16"/>
  <c r="AT121" i="16"/>
  <c r="AU121" i="16" s="1"/>
  <c r="AS122" i="16"/>
  <c r="AT122" i="16" l="1"/>
  <c r="AU122" i="16" s="1"/>
  <c r="AS123" i="16"/>
  <c r="AL123" i="16"/>
  <c r="AM122" i="16"/>
  <c r="AN122" i="16" s="1"/>
  <c r="AL124" i="16" l="1"/>
  <c r="AM123" i="16"/>
  <c r="AN123" i="16" s="1"/>
  <c r="AS124" i="16"/>
  <c r="AT123" i="16"/>
  <c r="AU123" i="16" s="1"/>
  <c r="AT124" i="16" l="1"/>
  <c r="AU124" i="16" s="1"/>
  <c r="AS125" i="16"/>
  <c r="AM124" i="16"/>
  <c r="AN124" i="16" s="1"/>
  <c r="AL125" i="16"/>
  <c r="AM125" i="16" l="1"/>
  <c r="AN125" i="16" s="1"/>
  <c r="AL126" i="16"/>
  <c r="AS126" i="16"/>
  <c r="AT125" i="16"/>
  <c r="AU125" i="16" s="1"/>
  <c r="AT126" i="16" l="1"/>
  <c r="AU126" i="16" s="1"/>
  <c r="AS127" i="16"/>
  <c r="AM126" i="16"/>
  <c r="AN126" i="16" s="1"/>
  <c r="AL127" i="16"/>
  <c r="AM127" i="16" l="1"/>
  <c r="AN127" i="16" s="1"/>
  <c r="AL128" i="16"/>
  <c r="AT127" i="16"/>
  <c r="AU127" i="16" s="1"/>
  <c r="AS128" i="16"/>
  <c r="AS129" i="16" l="1"/>
  <c r="AT128" i="16"/>
  <c r="AU128" i="16" s="1"/>
  <c r="AL129" i="16"/>
  <c r="AM128" i="16"/>
  <c r="AN128" i="16" s="1"/>
  <c r="AL130" i="16" l="1"/>
  <c r="AM129" i="16"/>
  <c r="AN129" i="16" s="1"/>
  <c r="AS130" i="16"/>
  <c r="AT129" i="16"/>
  <c r="AU129" i="16" s="1"/>
  <c r="AT130" i="16" l="1"/>
  <c r="AU130" i="16" s="1"/>
  <c r="AS131" i="16"/>
  <c r="AL131" i="16"/>
  <c r="AM130" i="16"/>
  <c r="AN130" i="16" s="1"/>
  <c r="AL132" i="16" l="1"/>
  <c r="AM131" i="16"/>
  <c r="AN131" i="16" s="1"/>
  <c r="AS132" i="16"/>
  <c r="AT131" i="16"/>
  <c r="AU131" i="16" s="1"/>
  <c r="AS133" i="16" l="1"/>
  <c r="AT132" i="16"/>
  <c r="AU132" i="16" s="1"/>
  <c r="AM132" i="16"/>
  <c r="AN132" i="16" s="1"/>
  <c r="AL133" i="16"/>
  <c r="AM133" i="16" l="1"/>
  <c r="AN133" i="16" s="1"/>
  <c r="AL134" i="16"/>
  <c r="AT133" i="16"/>
  <c r="AU133" i="16" s="1"/>
  <c r="AS134" i="16"/>
  <c r="AT134" i="16" l="1"/>
  <c r="AU134" i="16" s="1"/>
  <c r="AS135" i="16"/>
  <c r="AM134" i="16"/>
  <c r="AN134" i="16" s="1"/>
  <c r="AL135" i="16"/>
  <c r="AM135" i="16" l="1"/>
  <c r="AN135" i="16" s="1"/>
  <c r="AL136" i="16"/>
  <c r="AS136" i="16"/>
  <c r="AT135" i="16"/>
  <c r="AU135" i="16" s="1"/>
  <c r="AT136" i="16" l="1"/>
  <c r="AU136" i="16" s="1"/>
  <c r="AS137" i="16"/>
  <c r="AM136" i="16"/>
  <c r="AN136" i="16" s="1"/>
  <c r="AL137" i="16"/>
  <c r="AM137" i="16" l="1"/>
  <c r="AN137" i="16" s="1"/>
  <c r="AL138" i="16"/>
  <c r="AT137" i="16"/>
  <c r="AU137" i="16" s="1"/>
  <c r="AS138" i="16"/>
  <c r="AT138" i="16" l="1"/>
  <c r="AU138" i="16" s="1"/>
  <c r="AS139" i="16"/>
  <c r="AM138" i="16"/>
  <c r="AN138" i="16" s="1"/>
  <c r="AL139" i="16"/>
  <c r="AL140" i="16" l="1"/>
  <c r="AM139" i="16"/>
  <c r="AN139" i="16" s="1"/>
  <c r="AT139" i="16"/>
  <c r="AU139" i="16" s="1"/>
  <c r="AS140" i="16"/>
  <c r="AS141" i="16" l="1"/>
  <c r="AT140" i="16"/>
  <c r="AU140" i="16" s="1"/>
  <c r="AM140" i="16"/>
  <c r="AN140" i="16" s="1"/>
  <c r="AL141" i="16"/>
  <c r="AM141" i="16" l="1"/>
  <c r="AN141" i="16" s="1"/>
  <c r="AL142" i="16"/>
  <c r="AT141" i="16"/>
  <c r="AU141" i="16" s="1"/>
  <c r="AS142" i="16"/>
  <c r="AS143" i="16" l="1"/>
  <c r="AT142" i="16"/>
  <c r="AU142" i="16" s="1"/>
  <c r="AM142" i="16"/>
  <c r="AN142" i="16" s="1"/>
  <c r="AL143" i="16"/>
  <c r="AL144" i="16" l="1"/>
  <c r="AM143" i="16"/>
  <c r="AN143" i="16" s="1"/>
  <c r="AS144" i="16"/>
  <c r="AT143" i="16"/>
  <c r="AU143" i="16" s="1"/>
  <c r="AT144" i="16" l="1"/>
  <c r="AU144" i="16" s="1"/>
  <c r="AS145" i="16"/>
  <c r="AM144" i="16"/>
  <c r="AN144" i="16" s="1"/>
  <c r="AL145" i="16"/>
  <c r="AM145" i="16" l="1"/>
  <c r="AN145" i="16" s="1"/>
  <c r="AL146" i="16"/>
  <c r="AT145" i="16"/>
  <c r="AU145" i="16" s="1"/>
  <c r="AS146" i="16"/>
  <c r="AT146" i="16" l="1"/>
  <c r="AU146" i="16" s="1"/>
  <c r="AS147" i="16"/>
  <c r="AM146" i="16"/>
  <c r="AN146" i="16" s="1"/>
  <c r="AL147" i="16"/>
  <c r="AM147" i="16" l="1"/>
  <c r="AN147" i="16" s="1"/>
  <c r="AL148" i="16"/>
  <c r="AT147" i="16"/>
  <c r="AU147" i="16" s="1"/>
  <c r="AS148" i="16"/>
  <c r="AT148" i="16" l="1"/>
  <c r="AU148" i="16" s="1"/>
  <c r="AS149" i="16"/>
  <c r="AM148" i="16"/>
  <c r="AN148" i="16" s="1"/>
  <c r="AL149" i="16"/>
  <c r="AM149" i="16" l="1"/>
  <c r="AN149" i="16" s="1"/>
  <c r="AL150" i="16"/>
  <c r="AT149" i="16"/>
  <c r="AU149" i="16" s="1"/>
  <c r="AS150" i="16"/>
  <c r="AS151" i="16" l="1"/>
  <c r="AT150" i="16"/>
  <c r="AU150" i="16" s="1"/>
  <c r="AL151" i="16"/>
  <c r="AM150" i="16"/>
  <c r="AN150" i="16" s="1"/>
  <c r="AL152" i="16" l="1"/>
  <c r="AM151" i="16"/>
  <c r="AN151" i="16" s="1"/>
  <c r="AS152" i="16"/>
  <c r="AT151" i="16"/>
  <c r="AU151" i="16" s="1"/>
  <c r="AT152" i="16" l="1"/>
  <c r="AU152" i="16" s="1"/>
  <c r="AS153" i="16"/>
  <c r="AM152" i="16"/>
  <c r="AN152" i="16" s="1"/>
  <c r="AL153" i="16"/>
  <c r="AM153" i="16" l="1"/>
  <c r="AN153" i="16" s="1"/>
  <c r="AL154" i="16"/>
  <c r="AT153" i="16"/>
  <c r="AU153" i="16" s="1"/>
  <c r="AS154" i="16"/>
  <c r="AT154" i="16" l="1"/>
  <c r="AU154" i="16" s="1"/>
  <c r="AS155" i="16"/>
  <c r="AM154" i="16"/>
  <c r="AN154" i="16" s="1"/>
  <c r="AL155" i="16"/>
  <c r="AM155" i="16" l="1"/>
  <c r="AN155" i="16" s="1"/>
  <c r="AL156" i="16"/>
  <c r="AS156" i="16"/>
  <c r="AT155" i="16"/>
  <c r="AU155" i="16" s="1"/>
  <c r="AS157" i="16" l="1"/>
  <c r="AT156" i="16"/>
  <c r="AU156" i="16" s="1"/>
  <c r="AM156" i="16"/>
  <c r="AN156" i="16" s="1"/>
  <c r="AL157" i="16"/>
  <c r="AM157" i="16" l="1"/>
  <c r="AN157" i="16" s="1"/>
  <c r="AL158" i="16"/>
  <c r="AS158" i="16"/>
  <c r="AT157" i="16"/>
  <c r="AU157" i="16" s="1"/>
  <c r="AS159" i="16" l="1"/>
  <c r="AT158" i="16"/>
  <c r="AU158" i="16" s="1"/>
  <c r="AM158" i="16"/>
  <c r="AN158" i="16" s="1"/>
  <c r="AL159" i="16"/>
  <c r="AM159" i="16" l="1"/>
  <c r="AN159" i="16" s="1"/>
  <c r="AL160" i="16"/>
  <c r="AS160" i="16"/>
  <c r="AT159" i="16"/>
  <c r="AU159" i="16" s="1"/>
  <c r="AT160" i="16" l="1"/>
  <c r="AU160" i="16" s="1"/>
  <c r="AS161" i="16"/>
  <c r="AL161" i="16"/>
  <c r="AM160" i="16"/>
  <c r="AN160" i="16" s="1"/>
  <c r="AM161" i="16" l="1"/>
  <c r="AN161" i="16" s="1"/>
  <c r="AL162" i="16"/>
  <c r="AT161" i="16"/>
  <c r="AU161" i="16" s="1"/>
  <c r="AS162" i="16"/>
  <c r="AT162" i="16" l="1"/>
  <c r="AU162" i="16" s="1"/>
  <c r="AS163" i="16"/>
  <c r="AM162" i="16"/>
  <c r="AN162" i="16" s="1"/>
  <c r="AL163" i="16"/>
  <c r="AM163" i="16" l="1"/>
  <c r="AN163" i="16" s="1"/>
  <c r="AL164" i="16"/>
  <c r="AS164" i="16"/>
  <c r="AT163" i="16"/>
  <c r="AU163" i="16" s="1"/>
  <c r="AT164" i="16" l="1"/>
  <c r="AU164" i="16" s="1"/>
  <c r="AS165" i="16"/>
  <c r="AM164" i="16"/>
  <c r="AN164" i="16" s="1"/>
  <c r="AL165" i="16"/>
  <c r="AM165" i="16" l="1"/>
  <c r="AN165" i="16" s="1"/>
  <c r="AL166" i="16"/>
  <c r="AT165" i="16"/>
  <c r="AU165" i="16" s="1"/>
  <c r="AS166" i="16"/>
  <c r="AS167" i="16" l="1"/>
  <c r="AT166" i="16"/>
  <c r="AU166" i="16" s="1"/>
  <c r="AM166" i="16"/>
  <c r="AN166" i="16" s="1"/>
  <c r="AL167" i="16"/>
  <c r="AM167" i="16" l="1"/>
  <c r="AN167" i="16" s="1"/>
  <c r="AL168" i="16"/>
  <c r="AS168" i="16"/>
  <c r="AT167" i="16"/>
  <c r="AU167" i="16" s="1"/>
  <c r="AS169" i="16" l="1"/>
  <c r="AT168" i="16"/>
  <c r="AU168" i="16" s="1"/>
  <c r="AL169" i="16"/>
  <c r="AM168" i="16"/>
  <c r="AN168" i="16" s="1"/>
  <c r="AM169" i="16" l="1"/>
  <c r="AN169" i="16" s="1"/>
  <c r="AL170" i="16"/>
  <c r="AS170" i="16"/>
  <c r="AT169" i="16"/>
  <c r="AU169" i="16" s="1"/>
  <c r="AS171" i="16" l="1"/>
  <c r="AT170" i="16"/>
  <c r="AU170" i="16" s="1"/>
  <c r="AM170" i="16"/>
  <c r="AN170" i="16" s="1"/>
  <c r="AL171" i="16"/>
  <c r="AM171" i="16" l="1"/>
  <c r="AN171" i="16" s="1"/>
  <c r="AL172" i="16"/>
  <c r="AT171" i="16"/>
  <c r="AU171" i="16" s="1"/>
  <c r="AS172" i="16"/>
  <c r="AT172" i="16" l="1"/>
  <c r="AU172" i="16" s="1"/>
  <c r="AS173" i="16"/>
  <c r="AM172" i="16"/>
  <c r="AN172" i="16" s="1"/>
  <c r="AL173" i="16"/>
  <c r="AM173" i="16" l="1"/>
  <c r="AN173" i="16" s="1"/>
  <c r="AL174" i="16"/>
  <c r="AS174" i="16"/>
  <c r="AT173" i="16"/>
  <c r="AU173" i="16" s="1"/>
  <c r="AT174" i="16" l="1"/>
  <c r="AU174" i="16" s="1"/>
  <c r="AS175" i="16"/>
  <c r="AL175" i="16"/>
  <c r="AM174" i="16"/>
  <c r="AN174" i="16" s="1"/>
  <c r="AM175" i="16" l="1"/>
  <c r="AN175" i="16" s="1"/>
  <c r="AL176" i="16"/>
  <c r="AT175" i="16"/>
  <c r="AU175" i="16" s="1"/>
  <c r="AS176" i="16"/>
  <c r="AT176" i="16" l="1"/>
  <c r="AU176" i="16" s="1"/>
  <c r="AS177" i="16"/>
  <c r="AL177" i="16"/>
  <c r="AM176" i="16"/>
  <c r="AN176" i="16" s="1"/>
  <c r="AM177" i="16" l="1"/>
  <c r="AN177" i="16" s="1"/>
  <c r="AL178" i="16"/>
  <c r="AS178" i="16"/>
  <c r="AT177" i="16"/>
  <c r="AU177" i="16" s="1"/>
  <c r="AS179" i="16" l="1"/>
  <c r="AT178" i="16"/>
  <c r="AU178" i="16" s="1"/>
  <c r="AL179" i="16"/>
  <c r="AM178" i="16"/>
  <c r="AN178" i="16" s="1"/>
  <c r="AM179" i="16" l="1"/>
  <c r="AN179" i="16" s="1"/>
  <c r="AL180" i="16"/>
  <c r="AT179" i="16"/>
  <c r="AU179" i="16" s="1"/>
  <c r="AS180" i="16"/>
  <c r="AS181" i="16" l="1"/>
  <c r="AT180" i="16"/>
  <c r="AU180" i="16" s="1"/>
  <c r="AL181" i="16"/>
  <c r="AM180" i="16"/>
  <c r="AN180" i="16" s="1"/>
  <c r="AM181" i="16" l="1"/>
  <c r="AN181" i="16" s="1"/>
  <c r="AL182" i="16"/>
  <c r="AT181" i="16"/>
  <c r="AU181" i="16" s="1"/>
  <c r="AS182" i="16"/>
  <c r="AT182" i="16" l="1"/>
  <c r="AU182" i="16" s="1"/>
  <c r="AS183" i="16"/>
  <c r="AM182" i="16"/>
  <c r="AN182" i="16" s="1"/>
  <c r="AL183" i="16"/>
  <c r="AM183" i="16" l="1"/>
  <c r="AN183" i="16" s="1"/>
  <c r="AL184" i="16"/>
  <c r="AT183" i="16"/>
  <c r="AU183" i="16" s="1"/>
  <c r="AS184" i="16"/>
  <c r="AS185" i="16" l="1"/>
  <c r="AT184" i="16"/>
  <c r="AU184" i="16" s="1"/>
  <c r="AM184" i="16"/>
  <c r="AN184" i="16" s="1"/>
  <c r="AL185" i="16"/>
  <c r="AM185" i="16" l="1"/>
  <c r="AN185" i="16" s="1"/>
  <c r="AL186" i="16"/>
  <c r="AT185" i="16"/>
  <c r="AU185" i="16" s="1"/>
  <c r="AS186" i="16"/>
  <c r="AT186" i="16" l="1"/>
  <c r="AU186" i="16" s="1"/>
  <c r="AS187" i="16"/>
  <c r="AM186" i="16"/>
  <c r="AN186" i="16" s="1"/>
  <c r="AL187" i="16"/>
  <c r="AM187" i="16" l="1"/>
  <c r="AN187" i="16" s="1"/>
  <c r="AL188" i="16"/>
  <c r="AT187" i="16"/>
  <c r="AU187" i="16" s="1"/>
  <c r="AS188" i="16"/>
  <c r="AT188" i="16" l="1"/>
  <c r="AU188" i="16" s="1"/>
  <c r="AS189" i="16"/>
  <c r="AM188" i="16"/>
  <c r="AN188" i="16" s="1"/>
  <c r="AL189" i="16"/>
  <c r="AL190" i="16" l="1"/>
  <c r="AM189" i="16"/>
  <c r="AN189" i="16" s="1"/>
  <c r="AS190" i="16"/>
  <c r="AT189" i="16"/>
  <c r="AU189" i="16" s="1"/>
  <c r="AS191" i="16" l="1"/>
  <c r="AT190" i="16"/>
  <c r="AU190" i="16" s="1"/>
  <c r="AL191" i="16"/>
  <c r="AM190" i="16"/>
  <c r="AN190" i="16" s="1"/>
  <c r="AM191" i="16" l="1"/>
  <c r="AN191" i="16" s="1"/>
  <c r="AL192" i="16"/>
  <c r="AT191" i="16"/>
  <c r="AU191" i="16" s="1"/>
  <c r="AS192" i="16"/>
  <c r="AT192" i="16" l="1"/>
  <c r="AU192" i="16" s="1"/>
  <c r="AS193" i="16"/>
  <c r="AM192" i="16"/>
  <c r="AN192" i="16" s="1"/>
  <c r="AL193" i="16"/>
  <c r="AM193" i="16" l="1"/>
  <c r="AN193" i="16" s="1"/>
  <c r="AL194" i="16"/>
  <c r="AT193" i="16"/>
  <c r="AU193" i="16" s="1"/>
  <c r="AS194" i="16"/>
  <c r="AT194" i="16" l="1"/>
  <c r="AU194" i="16" s="1"/>
  <c r="AS195" i="16"/>
  <c r="AL195" i="16"/>
  <c r="AM194" i="16"/>
  <c r="AN194" i="16" s="1"/>
  <c r="AM195" i="16" l="1"/>
  <c r="AN195" i="16" s="1"/>
  <c r="AL196" i="16"/>
  <c r="AT195" i="16"/>
  <c r="AU195" i="16" s="1"/>
  <c r="AS196" i="16"/>
  <c r="AT196" i="16" l="1"/>
  <c r="AU196" i="16" s="1"/>
  <c r="AS197" i="16"/>
  <c r="AM196" i="16"/>
  <c r="AN196" i="16" s="1"/>
  <c r="AL197" i="16"/>
  <c r="AM197" i="16" l="1"/>
  <c r="AN197" i="16" s="1"/>
  <c r="AL198" i="16"/>
  <c r="AS198" i="16"/>
  <c r="AT197" i="16"/>
  <c r="AU197" i="16" s="1"/>
  <c r="AT198" i="16" l="1"/>
  <c r="AU198" i="16" s="1"/>
  <c r="AS199" i="16"/>
  <c r="AM198" i="16"/>
  <c r="AN198" i="16" s="1"/>
  <c r="AL199" i="16"/>
  <c r="AM199" i="16" l="1"/>
  <c r="AN199" i="16" s="1"/>
  <c r="AL200" i="16"/>
  <c r="AT199" i="16"/>
  <c r="AU199" i="16" s="1"/>
  <c r="AS200" i="16"/>
  <c r="AT200" i="16" l="1"/>
  <c r="AU200" i="16" s="1"/>
  <c r="AS201" i="16"/>
  <c r="AL201" i="16"/>
  <c r="AM200" i="16"/>
  <c r="AN200" i="16" s="1"/>
  <c r="AM201" i="16" l="1"/>
  <c r="AN201" i="16" s="1"/>
  <c r="AL202" i="16"/>
  <c r="AT201" i="16"/>
  <c r="AU201" i="16" s="1"/>
  <c r="AS202" i="16"/>
  <c r="AS203" i="16" l="1"/>
  <c r="AT202" i="16"/>
  <c r="AU202" i="16" s="1"/>
  <c r="AM202" i="16"/>
  <c r="AN202" i="16" s="1"/>
  <c r="AL203" i="16"/>
  <c r="AM203" i="16" l="1"/>
  <c r="AN203" i="16" s="1"/>
  <c r="AL204" i="16"/>
  <c r="AT203" i="16"/>
  <c r="AU203" i="16" s="1"/>
  <c r="AS204" i="16"/>
  <c r="AT204" i="16" l="1"/>
  <c r="AU204" i="16" s="1"/>
  <c r="AS205" i="16"/>
  <c r="AM204" i="16"/>
  <c r="AN204" i="16" s="1"/>
  <c r="AL205" i="16"/>
  <c r="AM205" i="16" l="1"/>
  <c r="AN205" i="16" s="1"/>
  <c r="AL206" i="16"/>
  <c r="AT205" i="16"/>
  <c r="AU205" i="16" s="1"/>
  <c r="AS206" i="16"/>
  <c r="AT206" i="16" l="1"/>
  <c r="AU206" i="16" s="1"/>
  <c r="AS207" i="16"/>
  <c r="AL207" i="16"/>
  <c r="AM206" i="16"/>
  <c r="AN206" i="16" s="1"/>
  <c r="AL208" i="16" l="1"/>
  <c r="AM207" i="16"/>
  <c r="AN207" i="16" s="1"/>
  <c r="AT207" i="16"/>
  <c r="AU207" i="16" s="1"/>
  <c r="AS208" i="16"/>
  <c r="AT208" i="16" l="1"/>
  <c r="AU208" i="16" s="1"/>
  <c r="AS209" i="16"/>
  <c r="AL209" i="16"/>
  <c r="AM208" i="16"/>
  <c r="AN208" i="16" s="1"/>
  <c r="AL210" i="16" l="1"/>
  <c r="AM209" i="16"/>
  <c r="AN209" i="16" s="1"/>
  <c r="AS210" i="16"/>
  <c r="AT209" i="16"/>
  <c r="AU209" i="16" s="1"/>
  <c r="AT210" i="16" l="1"/>
  <c r="AU210" i="16" s="1"/>
  <c r="AS211" i="16"/>
  <c r="AL211" i="16"/>
  <c r="AM210" i="16"/>
  <c r="AN210" i="16" s="1"/>
  <c r="AM211" i="16" l="1"/>
  <c r="AN211" i="16" s="1"/>
  <c r="AL212" i="16"/>
  <c r="AT211" i="16"/>
  <c r="AU211" i="16" s="1"/>
  <c r="AS212" i="16"/>
  <c r="AT212" i="16" l="1"/>
  <c r="AU212" i="16" s="1"/>
  <c r="AS213" i="16"/>
  <c r="AM212" i="16"/>
  <c r="AN212" i="16" s="1"/>
  <c r="AL213" i="16"/>
  <c r="AM213" i="16" l="1"/>
  <c r="AN213" i="16" s="1"/>
  <c r="AL214" i="16"/>
  <c r="AS214" i="16"/>
  <c r="AT213" i="16"/>
  <c r="AU213" i="16" s="1"/>
  <c r="AT214" i="16" l="1"/>
  <c r="AU214" i="16" s="1"/>
  <c r="AS215" i="16"/>
  <c r="AM214" i="16"/>
  <c r="AN214" i="16" s="1"/>
  <c r="AL215" i="16"/>
  <c r="AM215" i="16" l="1"/>
  <c r="AN215" i="16" s="1"/>
  <c r="AL216" i="16"/>
  <c r="AS216" i="16"/>
  <c r="AT215" i="16"/>
  <c r="AU215" i="16" s="1"/>
  <c r="AS217" i="16" l="1"/>
  <c r="AT216" i="16"/>
  <c r="AU216" i="16" s="1"/>
  <c r="AM216" i="16"/>
  <c r="AN216" i="16" s="1"/>
  <c r="AL217" i="16"/>
  <c r="AM217" i="16" l="1"/>
  <c r="AN217" i="16" s="1"/>
  <c r="AL218" i="16"/>
  <c r="AS218" i="16"/>
  <c r="AT217" i="16"/>
  <c r="AU217" i="16" s="1"/>
  <c r="AT218" i="16" l="1"/>
  <c r="AU218" i="16" s="1"/>
  <c r="AS219" i="16"/>
  <c r="AM218" i="16"/>
  <c r="AN218" i="16" s="1"/>
  <c r="AL219" i="16"/>
  <c r="AL220" i="16" l="1"/>
  <c r="AM219" i="16"/>
  <c r="AN219" i="16" s="1"/>
  <c r="AT219" i="16"/>
  <c r="AU219" i="16" s="1"/>
  <c r="AS220" i="16"/>
  <c r="AS221" i="16" l="1"/>
  <c r="AT220" i="16"/>
  <c r="AU220" i="16" s="1"/>
  <c r="AM220" i="16"/>
  <c r="AN220" i="16" s="1"/>
  <c r="AL221" i="16"/>
  <c r="AL222" i="16" l="1"/>
  <c r="AM221" i="16"/>
  <c r="AN221" i="16" s="1"/>
  <c r="AT221" i="16"/>
  <c r="AU221" i="16" s="1"/>
  <c r="AS222" i="16"/>
  <c r="AT222" i="16" l="1"/>
  <c r="AU222" i="16" s="1"/>
  <c r="AS223" i="16"/>
  <c r="AL223" i="16"/>
  <c r="AM222" i="16"/>
  <c r="AN222" i="16" s="1"/>
  <c r="AL224" i="16" l="1"/>
  <c r="AM223" i="16"/>
  <c r="AN223" i="16" s="1"/>
  <c r="AT223" i="16"/>
  <c r="AU223" i="16" s="1"/>
  <c r="AS224" i="16"/>
  <c r="AS225" i="16" l="1"/>
  <c r="AT224" i="16"/>
  <c r="AU224" i="16" s="1"/>
  <c r="AM224" i="16"/>
  <c r="AN224" i="16" s="1"/>
  <c r="AL225" i="16"/>
  <c r="AM225" i="16" l="1"/>
  <c r="AN225" i="16" s="1"/>
  <c r="AL226" i="16"/>
  <c r="AT225" i="16"/>
  <c r="AU225" i="16" s="1"/>
  <c r="AS226" i="16"/>
  <c r="AS227" i="16" l="1"/>
  <c r="AT226" i="16"/>
  <c r="AU226" i="16" s="1"/>
  <c r="AM226" i="16"/>
  <c r="AN226" i="16" s="1"/>
  <c r="AL227" i="16"/>
  <c r="AM227" i="16" l="1"/>
  <c r="AN227" i="16" s="1"/>
  <c r="AL228" i="16"/>
  <c r="AS228" i="16"/>
  <c r="AT227" i="16"/>
  <c r="AU227" i="16" s="1"/>
  <c r="AS229" i="16" l="1"/>
  <c r="AT228" i="16"/>
  <c r="AU228" i="16" s="1"/>
  <c r="AM228" i="16"/>
  <c r="AN228" i="16" s="1"/>
  <c r="AL229" i="16"/>
  <c r="AL230" i="16" l="1"/>
  <c r="AM229" i="16"/>
  <c r="AN229" i="16" s="1"/>
  <c r="AS230" i="16"/>
  <c r="AT229" i="16"/>
  <c r="AU229" i="16" s="1"/>
  <c r="AT230" i="16" l="1"/>
  <c r="AU230" i="16" s="1"/>
  <c r="AS231" i="16"/>
  <c r="AL231" i="16"/>
  <c r="AM230" i="16"/>
  <c r="AN230" i="16" s="1"/>
  <c r="AL232" i="16" l="1"/>
  <c r="AM231" i="16"/>
  <c r="AN231" i="16" s="1"/>
  <c r="AT231" i="16"/>
  <c r="AU231" i="16" s="1"/>
  <c r="AS232" i="16"/>
  <c r="AT232" i="16" l="1"/>
  <c r="AU232" i="16" s="1"/>
  <c r="AS233" i="16"/>
  <c r="AM232" i="16"/>
  <c r="AN232" i="16" s="1"/>
  <c r="AL233" i="16"/>
  <c r="AL234" i="16" l="1"/>
  <c r="AM233" i="16"/>
  <c r="AN233" i="16" s="1"/>
  <c r="AT233" i="16"/>
  <c r="AU233" i="16" s="1"/>
  <c r="AS234" i="16"/>
  <c r="AT234" i="16" l="1"/>
  <c r="AU234" i="16" s="1"/>
  <c r="AS235" i="16"/>
  <c r="AL235" i="16"/>
  <c r="AM234" i="16"/>
  <c r="AN234" i="16" s="1"/>
  <c r="AM235" i="16" l="1"/>
  <c r="AN235" i="16" s="1"/>
  <c r="AL236" i="16"/>
  <c r="AS236" i="16"/>
  <c r="AT235" i="16"/>
  <c r="AU235" i="16" s="1"/>
  <c r="AS237" i="16" l="1"/>
  <c r="AT236" i="16"/>
  <c r="AU236" i="16" s="1"/>
  <c r="AL237" i="16"/>
  <c r="AM236" i="16"/>
  <c r="AN236" i="16" s="1"/>
  <c r="AM237" i="16" l="1"/>
  <c r="AN237" i="16" s="1"/>
  <c r="AL238" i="16"/>
  <c r="AS238" i="16"/>
  <c r="AT237" i="16"/>
  <c r="AU237" i="16" s="1"/>
  <c r="AS239" i="16" l="1"/>
  <c r="AT238" i="16"/>
  <c r="AU238" i="16" s="1"/>
  <c r="AM238" i="16"/>
  <c r="AN238" i="16" s="1"/>
  <c r="AL239" i="16"/>
  <c r="AM239" i="16" l="1"/>
  <c r="AN239" i="16" s="1"/>
  <c r="AL240" i="16"/>
  <c r="AS240" i="16"/>
  <c r="AT239" i="16"/>
  <c r="AU239" i="16" s="1"/>
  <c r="AS241" i="16" l="1"/>
  <c r="AT240" i="16"/>
  <c r="AU240" i="16" s="1"/>
  <c r="AM240" i="16"/>
  <c r="AN240" i="16" s="1"/>
  <c r="AL241" i="16"/>
  <c r="AL242" i="16" l="1"/>
  <c r="AM241" i="16"/>
  <c r="AN241" i="16" s="1"/>
  <c r="AS242" i="16"/>
  <c r="AT241" i="16"/>
  <c r="AU241" i="16" s="1"/>
  <c r="AS243" i="16" l="1"/>
  <c r="AT242" i="16"/>
  <c r="AU242" i="16" s="1"/>
  <c r="AL243" i="16"/>
  <c r="AM242" i="16"/>
  <c r="AN242" i="16" s="1"/>
  <c r="AM243" i="16" l="1"/>
  <c r="AN243" i="16" s="1"/>
  <c r="AL244" i="16"/>
  <c r="AT243" i="16"/>
  <c r="AU243" i="16" s="1"/>
  <c r="AS244" i="16"/>
  <c r="AT244" i="16" l="1"/>
  <c r="AU244" i="16" s="1"/>
  <c r="AS245" i="16"/>
  <c r="AM244" i="16"/>
  <c r="AN244" i="16" s="1"/>
  <c r="AL245" i="16"/>
  <c r="AM245" i="16" l="1"/>
  <c r="AN245" i="16" s="1"/>
  <c r="AL246" i="16"/>
  <c r="AT245" i="16"/>
  <c r="AU245" i="16" s="1"/>
  <c r="AS246" i="16"/>
  <c r="AT246" i="16" l="1"/>
  <c r="AU246" i="16" s="1"/>
  <c r="AS247" i="16"/>
  <c r="AL247" i="16"/>
  <c r="AM246" i="16"/>
  <c r="AN246" i="16" s="1"/>
  <c r="AM247" i="16" l="1"/>
  <c r="AN247" i="16" s="1"/>
  <c r="AL248" i="16"/>
  <c r="AT247" i="16"/>
  <c r="AU247" i="16" s="1"/>
  <c r="AS248" i="16"/>
  <c r="AS249" i="16" l="1"/>
  <c r="AT248" i="16"/>
  <c r="AU248" i="16" s="1"/>
  <c r="AM248" i="16"/>
  <c r="AN248" i="16" s="1"/>
  <c r="AL249" i="16"/>
  <c r="AM249" i="16" l="1"/>
  <c r="AN249" i="16" s="1"/>
  <c r="AL250" i="16"/>
  <c r="AT249" i="16"/>
  <c r="AU249" i="16" s="1"/>
  <c r="AS250" i="16"/>
  <c r="AT250" i="16" l="1"/>
  <c r="AU250" i="16" s="1"/>
  <c r="AS251" i="16"/>
  <c r="AM250" i="16"/>
  <c r="AN250" i="16" s="1"/>
  <c r="AL251" i="16"/>
  <c r="AM251" i="16" l="1"/>
  <c r="AN251" i="16" s="1"/>
  <c r="AL252" i="16"/>
  <c r="AS252" i="16"/>
  <c r="AT251" i="16"/>
  <c r="AU251" i="16" s="1"/>
  <c r="AT252" i="16" l="1"/>
  <c r="AU252" i="16" s="1"/>
  <c r="AS253" i="16"/>
  <c r="AL253" i="16"/>
  <c r="AM252" i="16"/>
  <c r="AN252" i="16" s="1"/>
  <c r="AM253" i="16" l="1"/>
  <c r="AN253" i="16" s="1"/>
  <c r="AL254" i="16"/>
  <c r="AT253" i="16"/>
  <c r="AU253" i="16" s="1"/>
  <c r="AS254" i="16"/>
  <c r="AT254" i="16" l="1"/>
  <c r="AU254" i="16" s="1"/>
  <c r="AS255" i="16"/>
  <c r="AL255" i="16"/>
  <c r="AM254" i="16"/>
  <c r="AN254" i="16" s="1"/>
  <c r="AM255" i="16" l="1"/>
  <c r="AN255" i="16" s="1"/>
  <c r="AL256" i="16"/>
  <c r="AS256" i="16"/>
  <c r="AT255" i="16"/>
  <c r="AU255" i="16" s="1"/>
  <c r="AS257" i="16" l="1"/>
  <c r="AT256" i="16"/>
  <c r="AU256" i="16" s="1"/>
  <c r="AL257" i="16"/>
  <c r="AM256" i="16"/>
  <c r="AN256" i="16" s="1"/>
  <c r="AL258" i="16" l="1"/>
  <c r="AM257" i="16"/>
  <c r="AN257" i="16" s="1"/>
  <c r="AS258" i="16"/>
  <c r="AT257" i="16"/>
  <c r="AU257" i="16" s="1"/>
  <c r="AT258" i="16" l="1"/>
  <c r="AU258" i="16" s="1"/>
  <c r="AS259" i="16"/>
  <c r="AM258" i="16"/>
  <c r="AN258" i="16" s="1"/>
  <c r="AL259" i="16"/>
  <c r="AM259" i="16" l="1"/>
  <c r="AN259" i="16" s="1"/>
  <c r="AL260" i="16"/>
  <c r="AT259" i="16"/>
  <c r="AU259" i="16" s="1"/>
  <c r="AS260" i="16"/>
  <c r="AT260" i="16" l="1"/>
  <c r="AU260" i="16" s="1"/>
  <c r="AS261" i="16"/>
  <c r="AM260" i="16"/>
  <c r="AN260" i="16" s="1"/>
  <c r="AL261" i="16"/>
  <c r="AM261" i="16" l="1"/>
  <c r="AN261" i="16" s="1"/>
  <c r="AL262" i="16"/>
  <c r="AT261" i="16"/>
  <c r="AU261" i="16" s="1"/>
  <c r="AS262" i="16"/>
  <c r="AT262" i="16" l="1"/>
  <c r="AU262" i="16" s="1"/>
  <c r="AS263" i="16"/>
  <c r="AM262" i="16"/>
  <c r="AN262" i="16" s="1"/>
  <c r="AL263" i="16"/>
  <c r="AM263" i="16" l="1"/>
  <c r="AN263" i="16" s="1"/>
  <c r="AL264" i="16"/>
  <c r="AT263" i="16"/>
  <c r="AU263" i="16" s="1"/>
  <c r="AS264" i="16"/>
  <c r="AM264" i="16" l="1"/>
  <c r="AN264" i="16" s="1"/>
  <c r="AL265" i="16"/>
  <c r="AT264" i="16"/>
  <c r="AU264" i="16" s="1"/>
  <c r="AS265" i="16"/>
  <c r="AT265" i="16" l="1"/>
  <c r="AU265" i="16" s="1"/>
  <c r="AS266" i="16"/>
  <c r="AM265" i="16"/>
  <c r="AN265" i="16" s="1"/>
  <c r="AL266" i="16"/>
  <c r="AM266" i="16" l="1"/>
  <c r="AN266" i="16" s="1"/>
  <c r="AL267" i="16"/>
  <c r="AT266" i="16"/>
  <c r="AU266" i="16" s="1"/>
  <c r="AS267" i="16"/>
  <c r="AT267" i="16" l="1"/>
  <c r="AU267" i="16" s="1"/>
  <c r="AS268" i="16"/>
  <c r="AM267" i="16"/>
  <c r="AN267" i="16" s="1"/>
  <c r="AL268" i="16"/>
  <c r="AT268" i="16" l="1"/>
  <c r="AU268" i="16" s="1"/>
  <c r="AS269" i="16"/>
  <c r="AM268" i="16"/>
  <c r="AN268" i="16" s="1"/>
  <c r="AL269" i="16"/>
  <c r="AM269" i="16" l="1"/>
  <c r="AN269" i="16" s="1"/>
  <c r="AL270" i="16"/>
  <c r="AT269" i="16"/>
  <c r="AU269" i="16" s="1"/>
  <c r="AS270" i="16"/>
  <c r="AT270" i="16" l="1"/>
  <c r="AU270" i="16" s="1"/>
  <c r="AS271" i="16"/>
  <c r="AL271" i="16"/>
  <c r="AM270" i="16"/>
  <c r="AN270" i="16" s="1"/>
  <c r="AL272" i="16" l="1"/>
  <c r="AM271" i="16"/>
  <c r="AN271" i="16" s="1"/>
  <c r="AT271" i="16"/>
  <c r="AU271" i="16" s="1"/>
  <c r="AS272" i="16"/>
  <c r="AT272" i="16" l="1"/>
  <c r="AU272" i="16" s="1"/>
  <c r="AS273" i="16"/>
  <c r="AM272" i="16"/>
  <c r="AN272" i="16" s="1"/>
  <c r="AL273" i="16"/>
  <c r="AM273" i="16" l="1"/>
  <c r="AN273" i="16" s="1"/>
  <c r="AL274" i="16"/>
  <c r="AT273" i="16"/>
  <c r="AU273" i="16" s="1"/>
  <c r="AS274" i="16"/>
  <c r="AT274" i="16" l="1"/>
  <c r="AU274" i="16" s="1"/>
  <c r="AS275" i="16"/>
  <c r="AL275" i="16"/>
  <c r="AM274" i="16"/>
  <c r="AN274" i="16" s="1"/>
  <c r="AM275" i="16" l="1"/>
  <c r="AN275" i="16" s="1"/>
  <c r="AL276" i="16"/>
  <c r="AT275" i="16"/>
  <c r="AU275" i="16" s="1"/>
  <c r="AS276" i="16"/>
  <c r="AT276" i="16" l="1"/>
  <c r="AU276" i="16" s="1"/>
  <c r="AS277" i="16"/>
  <c r="AM276" i="16"/>
  <c r="AN276" i="16" s="1"/>
  <c r="AL277" i="16"/>
  <c r="AM277" i="16" l="1"/>
  <c r="AN277" i="16" s="1"/>
  <c r="AL278" i="16"/>
  <c r="AT277" i="16"/>
  <c r="AU277" i="16" s="1"/>
  <c r="AS278" i="16"/>
  <c r="AT278" i="16" l="1"/>
  <c r="AU278" i="16" s="1"/>
  <c r="AS279" i="16"/>
  <c r="AM278" i="16"/>
  <c r="AN278" i="16" s="1"/>
  <c r="AL279" i="16"/>
  <c r="AM279" i="16" l="1"/>
  <c r="AN279" i="16" s="1"/>
  <c r="AL280" i="16"/>
  <c r="AS280" i="16"/>
  <c r="AT279" i="16"/>
  <c r="AU279" i="16" s="1"/>
  <c r="AS281" i="16" l="1"/>
  <c r="AT280" i="16"/>
  <c r="AU280" i="16" s="1"/>
  <c r="AM280" i="16"/>
  <c r="AN280" i="16" s="1"/>
  <c r="AL281" i="16"/>
  <c r="AM281" i="16" l="1"/>
  <c r="AN281" i="16" s="1"/>
  <c r="AL282" i="16"/>
  <c r="AT281" i="16"/>
  <c r="AU281" i="16" s="1"/>
  <c r="AS282" i="16"/>
  <c r="AS283" i="16" l="1"/>
  <c r="AT282" i="16"/>
  <c r="AU282" i="16" s="1"/>
  <c r="AL283" i="16"/>
  <c r="AM282" i="16"/>
  <c r="AN282" i="16" s="1"/>
  <c r="AM283" i="16" l="1"/>
  <c r="AN283" i="16" s="1"/>
  <c r="AL284" i="16"/>
  <c r="AT283" i="16"/>
  <c r="AU283" i="16" s="1"/>
  <c r="AS284" i="16"/>
  <c r="AS285" i="16" l="1"/>
  <c r="AT284" i="16"/>
  <c r="AU284" i="16" s="1"/>
  <c r="AM284" i="16"/>
  <c r="AN284" i="16" s="1"/>
  <c r="AL285" i="16"/>
  <c r="AM285" i="16" l="1"/>
  <c r="AN285" i="16" s="1"/>
  <c r="AL286" i="16"/>
  <c r="AT285" i="16"/>
  <c r="AU285" i="16" s="1"/>
  <c r="AS286" i="16"/>
  <c r="AT286" i="16" l="1"/>
  <c r="AU286" i="16" s="1"/>
  <c r="AS287" i="16"/>
  <c r="AM286" i="16"/>
  <c r="AN286" i="16" s="1"/>
  <c r="AL287" i="16"/>
  <c r="AM287" i="16" l="1"/>
  <c r="AN287" i="16" s="1"/>
  <c r="AL288" i="16"/>
  <c r="AT287" i="16"/>
  <c r="AU287" i="16" s="1"/>
  <c r="AS288" i="16"/>
  <c r="AS289" i="16" l="1"/>
  <c r="AT288" i="16"/>
  <c r="AU288" i="16" s="1"/>
  <c r="AM288" i="16"/>
  <c r="AN288" i="16" s="1"/>
  <c r="AL289" i="16"/>
  <c r="AM289" i="16" l="1"/>
  <c r="AN289" i="16" s="1"/>
  <c r="AL290" i="16"/>
  <c r="AT289" i="16"/>
  <c r="AU289" i="16" s="1"/>
  <c r="AS290" i="16"/>
  <c r="AT290" i="16" l="1"/>
  <c r="AU290" i="16" s="1"/>
  <c r="AS291" i="16"/>
  <c r="AM290" i="16"/>
  <c r="AN290" i="16" s="1"/>
  <c r="AL291" i="16"/>
  <c r="AM291" i="16" l="1"/>
  <c r="AN291" i="16" s="1"/>
  <c r="AL292" i="16"/>
  <c r="AT291" i="16"/>
  <c r="AU291" i="16" s="1"/>
  <c r="AS292" i="16"/>
  <c r="AT292" i="16" l="1"/>
  <c r="AU292" i="16" s="1"/>
  <c r="AS293" i="16"/>
  <c r="AM292" i="16"/>
  <c r="AN292" i="16" s="1"/>
  <c r="AL293" i="16"/>
  <c r="AM293" i="16" l="1"/>
  <c r="AN293" i="16" s="1"/>
  <c r="AL294" i="16"/>
  <c r="AT293" i="16"/>
  <c r="AU293" i="16" s="1"/>
  <c r="AS294" i="16"/>
  <c r="AS295" i="16" l="1"/>
  <c r="AT294" i="16"/>
  <c r="AU294" i="16" s="1"/>
  <c r="AM294" i="16"/>
  <c r="AN294" i="16" s="1"/>
  <c r="AL295" i="16"/>
  <c r="AM295" i="16" l="1"/>
  <c r="AN295" i="16" s="1"/>
  <c r="AL296" i="16"/>
  <c r="AS296" i="16"/>
  <c r="AT295" i="16"/>
  <c r="AU295" i="16" s="1"/>
  <c r="AT296" i="16" l="1"/>
  <c r="AU296" i="16" s="1"/>
  <c r="AS297" i="16"/>
  <c r="AM296" i="16"/>
  <c r="AN296" i="16" s="1"/>
  <c r="AL297" i="16"/>
  <c r="AL298" i="16" l="1"/>
  <c r="AM297" i="16"/>
  <c r="AN297" i="16" s="1"/>
  <c r="AS298" i="16"/>
  <c r="AT297" i="16"/>
  <c r="AU297" i="16" s="1"/>
  <c r="AT298" i="16" l="1"/>
  <c r="AU298" i="16" s="1"/>
  <c r="AS299" i="16"/>
  <c r="AL299" i="16"/>
  <c r="AM298" i="16"/>
  <c r="AN298" i="16" s="1"/>
  <c r="AM299" i="16" l="1"/>
  <c r="AN299" i="16" s="1"/>
  <c r="AL300" i="16"/>
  <c r="AT299" i="16"/>
  <c r="AU299" i="16" s="1"/>
  <c r="AS300" i="16"/>
  <c r="AT300" i="16" l="1"/>
  <c r="AU300" i="16" s="1"/>
  <c r="AS301" i="16"/>
  <c r="AM300" i="16"/>
  <c r="AN300" i="16" s="1"/>
  <c r="AL301" i="16"/>
  <c r="AM301" i="16" l="1"/>
  <c r="AN301" i="16" s="1"/>
  <c r="AL302" i="16"/>
  <c r="AS302" i="16"/>
  <c r="AT301" i="16"/>
  <c r="AU301" i="16" s="1"/>
  <c r="AT302" i="16" l="1"/>
  <c r="AU302" i="16" s="1"/>
  <c r="AS303" i="16"/>
  <c r="AM302" i="16"/>
  <c r="AN302" i="16" s="1"/>
  <c r="AL303" i="16"/>
  <c r="AM303" i="16" l="1"/>
  <c r="AN303" i="16" s="1"/>
  <c r="AL304" i="16"/>
  <c r="AT303" i="16"/>
  <c r="AU303" i="16" s="1"/>
  <c r="AS304" i="16"/>
  <c r="AT304" i="16" l="1"/>
  <c r="AU304" i="16" s="1"/>
  <c r="AS305" i="16"/>
  <c r="AM304" i="16"/>
  <c r="AN304" i="16" s="1"/>
  <c r="AL305" i="16"/>
  <c r="AM305" i="16" l="1"/>
  <c r="AN305" i="16" s="1"/>
  <c r="AL306" i="16"/>
  <c r="AT305" i="16"/>
  <c r="AU305" i="16" s="1"/>
  <c r="AS306" i="16"/>
  <c r="AT306" i="16" l="1"/>
  <c r="AU306" i="16" s="1"/>
  <c r="AS307" i="16"/>
  <c r="AM306" i="16"/>
  <c r="AN306" i="16" s="1"/>
  <c r="AL307" i="16"/>
  <c r="AM307" i="16" l="1"/>
  <c r="AN307" i="16" s="1"/>
  <c r="AL308" i="16"/>
  <c r="AT307" i="16"/>
  <c r="AU307" i="16" s="1"/>
  <c r="AS308" i="16"/>
  <c r="AT308" i="16" l="1"/>
  <c r="AU308" i="16" s="1"/>
  <c r="AS309" i="16"/>
  <c r="AM308" i="16"/>
  <c r="AN308" i="16" s="1"/>
  <c r="AL309" i="16"/>
  <c r="AM309" i="16" l="1"/>
  <c r="AN309" i="16" s="1"/>
  <c r="AL310" i="16"/>
  <c r="AT309" i="16"/>
  <c r="AU309" i="16" s="1"/>
  <c r="AS310" i="16"/>
  <c r="AT310" i="16" l="1"/>
  <c r="AU310" i="16" s="1"/>
  <c r="AS311" i="16"/>
  <c r="AM310" i="16"/>
  <c r="AN310" i="16" s="1"/>
  <c r="AL311" i="16"/>
  <c r="AL312" i="16" l="1"/>
  <c r="AM311" i="16"/>
  <c r="AN311" i="16" s="1"/>
  <c r="AT311" i="16"/>
  <c r="AU311" i="16" s="1"/>
  <c r="AS312" i="16"/>
  <c r="AT312" i="16" l="1"/>
  <c r="AU312" i="16" s="1"/>
  <c r="AS313" i="16"/>
  <c r="AM312" i="16"/>
  <c r="AN312" i="16" s="1"/>
  <c r="AL313" i="16"/>
  <c r="AM313" i="16" l="1"/>
  <c r="AN313" i="16" s="1"/>
  <c r="AL314" i="16"/>
  <c r="AS314" i="16"/>
  <c r="AT313" i="16"/>
  <c r="AU313" i="16" s="1"/>
  <c r="AT314" i="16" l="1"/>
  <c r="AU314" i="16" s="1"/>
  <c r="AS315" i="16"/>
  <c r="AM314" i="16"/>
  <c r="AN314" i="16" s="1"/>
  <c r="AL315" i="16"/>
  <c r="AM315" i="16" l="1"/>
  <c r="AN315" i="16" s="1"/>
  <c r="AL316" i="16"/>
  <c r="AS316" i="16"/>
  <c r="AT315" i="16"/>
  <c r="AU315" i="16" s="1"/>
  <c r="AT316" i="16" l="1"/>
  <c r="AU316" i="16" s="1"/>
  <c r="AS317" i="16"/>
  <c r="AM316" i="16"/>
  <c r="AN316" i="16" s="1"/>
  <c r="AL317" i="16"/>
  <c r="AM317" i="16" l="1"/>
  <c r="AN317" i="16" s="1"/>
  <c r="AL318" i="16"/>
  <c r="AS318" i="16"/>
  <c r="AT317" i="16"/>
  <c r="AU317" i="16" s="1"/>
  <c r="AT318" i="16" l="1"/>
  <c r="AU318" i="16" s="1"/>
  <c r="AS319" i="16"/>
  <c r="AM318" i="16"/>
  <c r="AN318" i="16" s="1"/>
  <c r="AL319" i="16"/>
  <c r="AL320" i="16" l="1"/>
  <c r="AM319" i="16"/>
  <c r="AN319" i="16" s="1"/>
  <c r="AT319" i="16"/>
  <c r="AU319" i="16" s="1"/>
  <c r="AS320" i="16"/>
  <c r="AT320" i="16" l="1"/>
  <c r="AU320" i="16" s="1"/>
  <c r="AS321" i="16"/>
  <c r="AM320" i="16"/>
  <c r="AN320" i="16" s="1"/>
  <c r="AL321" i="16"/>
  <c r="AM321" i="16" l="1"/>
  <c r="AN321" i="16" s="1"/>
  <c r="AL322" i="16"/>
  <c r="AT321" i="16"/>
  <c r="AU321" i="16" s="1"/>
  <c r="AS322" i="16"/>
  <c r="AT322" i="16" l="1"/>
  <c r="AU322" i="16" s="1"/>
  <c r="AS323" i="16"/>
  <c r="AL323" i="16"/>
  <c r="AM322" i="16"/>
  <c r="AN322" i="16" s="1"/>
  <c r="AM323" i="16" l="1"/>
  <c r="AN323" i="16" s="1"/>
  <c r="AL324" i="16"/>
  <c r="AT323" i="16"/>
  <c r="AU323" i="16" s="1"/>
  <c r="AS324" i="16"/>
  <c r="AS325" i="16" l="1"/>
  <c r="AT324" i="16"/>
  <c r="AU324" i="16" s="1"/>
  <c r="AM324" i="16"/>
  <c r="AN324" i="16" s="1"/>
  <c r="AL325" i="16"/>
  <c r="AL326" i="16" l="1"/>
  <c r="AM325" i="16"/>
  <c r="AN325" i="16" s="1"/>
  <c r="AT325" i="16"/>
  <c r="AU325" i="16" s="1"/>
  <c r="AS326" i="16"/>
  <c r="AT326" i="16" l="1"/>
  <c r="AU326" i="16" s="1"/>
  <c r="AS327" i="16"/>
  <c r="AM326" i="16"/>
  <c r="AN326" i="16" s="1"/>
  <c r="AL327" i="16"/>
  <c r="AL328" i="16" l="1"/>
  <c r="AM327" i="16"/>
  <c r="AN327" i="16" s="1"/>
  <c r="AT327" i="16"/>
  <c r="AU327" i="16" s="1"/>
  <c r="AS328" i="16"/>
  <c r="AT328" i="16" l="1"/>
  <c r="AU328" i="16" s="1"/>
  <c r="AS329" i="16"/>
  <c r="AM328" i="16"/>
  <c r="AN328" i="16" s="1"/>
  <c r="AL329" i="16"/>
  <c r="AM329" i="16" l="1"/>
  <c r="AN329" i="16" s="1"/>
  <c r="AL330" i="16"/>
  <c r="AS330" i="16"/>
  <c r="AT329" i="16"/>
  <c r="AU329" i="16" s="1"/>
  <c r="AT330" i="16" l="1"/>
  <c r="AU330" i="16" s="1"/>
  <c r="AS331" i="16"/>
  <c r="AL331" i="16"/>
  <c r="AM330" i="16"/>
  <c r="AN330" i="16" s="1"/>
  <c r="AM331" i="16" l="1"/>
  <c r="AN331" i="16" s="1"/>
  <c r="AL332" i="16"/>
  <c r="AT331" i="16"/>
  <c r="AU331" i="16" s="1"/>
  <c r="AS332" i="16"/>
  <c r="AT332" i="16" l="1"/>
  <c r="AU332" i="16" s="1"/>
  <c r="AS333" i="16"/>
  <c r="AM332" i="16"/>
  <c r="AN332" i="16" s="1"/>
  <c r="AL333" i="16"/>
  <c r="AM333" i="16" l="1"/>
  <c r="AN333" i="16" s="1"/>
  <c r="AL334" i="16"/>
  <c r="AT333" i="16"/>
  <c r="AU333" i="16" s="1"/>
  <c r="AS334" i="16"/>
  <c r="AT334" i="16" l="1"/>
  <c r="AU334" i="16" s="1"/>
  <c r="AS335" i="16"/>
  <c r="AL335" i="16"/>
  <c r="AM334" i="16"/>
  <c r="AN334" i="16" s="1"/>
  <c r="AM335" i="16" l="1"/>
  <c r="AN335" i="16" s="1"/>
  <c r="AL336" i="16"/>
  <c r="AT335" i="16"/>
  <c r="AU335" i="16" s="1"/>
  <c r="AS336" i="16"/>
  <c r="AT336" i="16" l="1"/>
  <c r="AU336" i="16" s="1"/>
  <c r="AS337" i="16"/>
  <c r="AM336" i="16"/>
  <c r="AN336" i="16" s="1"/>
  <c r="AL337" i="16"/>
  <c r="AM337" i="16" l="1"/>
  <c r="AN337" i="16" s="1"/>
  <c r="AL338" i="16"/>
  <c r="AS338" i="16"/>
  <c r="AT337" i="16"/>
  <c r="AU337" i="16" s="1"/>
  <c r="AS339" i="16" l="1"/>
  <c r="AT338" i="16"/>
  <c r="AU338" i="16" s="1"/>
  <c r="AL339" i="16"/>
  <c r="AM338" i="16"/>
  <c r="AN338" i="16" s="1"/>
  <c r="AL340" i="16" l="1"/>
  <c r="AM339" i="16"/>
  <c r="AN339" i="16" s="1"/>
  <c r="AT339" i="16"/>
  <c r="AU339" i="16" s="1"/>
  <c r="AS340" i="16"/>
  <c r="AT340" i="16" l="1"/>
  <c r="AU340" i="16" s="1"/>
  <c r="AS341" i="16"/>
  <c r="AM340" i="16"/>
  <c r="AN340" i="16" s="1"/>
  <c r="AL341" i="16"/>
  <c r="AM341" i="16" l="1"/>
  <c r="AN341" i="16" s="1"/>
  <c r="AL342" i="16"/>
  <c r="AT341" i="16"/>
  <c r="AU341" i="16" s="1"/>
  <c r="AS342" i="16"/>
  <c r="AT342" i="16" l="1"/>
  <c r="AU342" i="16" s="1"/>
  <c r="AS343" i="16"/>
  <c r="AT343" i="16" s="1"/>
  <c r="AU343" i="16" s="1"/>
  <c r="AL343" i="16"/>
  <c r="AM343" i="16" s="1"/>
  <c r="AN343" i="16" s="1"/>
  <c r="AM342" i="16"/>
  <c r="AN342" i="16" s="1"/>
</calcChain>
</file>

<file path=xl/sharedStrings.xml><?xml version="1.0" encoding="utf-8"?>
<sst xmlns="http://schemas.openxmlformats.org/spreadsheetml/2006/main" count="9640" uniqueCount="913">
  <si>
    <t>South East</t>
  </si>
  <si>
    <t>South West</t>
  </si>
  <si>
    <t>Isles of Scilly</t>
  </si>
  <si>
    <t/>
  </si>
  <si>
    <t>Adur</t>
  </si>
  <si>
    <t>District</t>
  </si>
  <si>
    <t>Allerdale</t>
  </si>
  <si>
    <t>Amber Valley</t>
  </si>
  <si>
    <t>Arun</t>
  </si>
  <si>
    <t>Ashfield</t>
  </si>
  <si>
    <t>Ashford</t>
  </si>
  <si>
    <t>Aylesbury Vale</t>
  </si>
  <si>
    <t>Babergh</t>
  </si>
  <si>
    <t>Barrow-in-Furness</t>
  </si>
  <si>
    <t>Basildon</t>
  </si>
  <si>
    <t>Bassetlaw</t>
  </si>
  <si>
    <t>Blaby</t>
  </si>
  <si>
    <t>Bolsover</t>
  </si>
  <si>
    <t>Boston</t>
  </si>
  <si>
    <t>Braintree</t>
  </si>
  <si>
    <t>Breckland</t>
  </si>
  <si>
    <t>Brentwood</t>
  </si>
  <si>
    <t>Broadland</t>
  </si>
  <si>
    <t>Bromsgrove</t>
  </si>
  <si>
    <t>Broxbourne</t>
  </si>
  <si>
    <t>Broxtowe</t>
  </si>
  <si>
    <t>Burnley</t>
  </si>
  <si>
    <t>Cambridge</t>
  </si>
  <si>
    <t>Cannock Chase</t>
  </si>
  <si>
    <t>Canterbury</t>
  </si>
  <si>
    <t>Carlisle</t>
  </si>
  <si>
    <t>Castle Point</t>
  </si>
  <si>
    <t>Charnwood</t>
  </si>
  <si>
    <t>Chelmsford</t>
  </si>
  <si>
    <t>Cheltenham</t>
  </si>
  <si>
    <t>Cherwell</t>
  </si>
  <si>
    <t>Chesterfield</t>
  </si>
  <si>
    <t>Chichester</t>
  </si>
  <si>
    <t>Chiltern</t>
  </si>
  <si>
    <t>Chorley</t>
  </si>
  <si>
    <t>Christchurch</t>
  </si>
  <si>
    <t>Colchester</t>
  </si>
  <si>
    <t>Copeland</t>
  </si>
  <si>
    <t>Corby</t>
  </si>
  <si>
    <t>Cotswold</t>
  </si>
  <si>
    <t>Craven</t>
  </si>
  <si>
    <t>Crawley</t>
  </si>
  <si>
    <t>Dacorum</t>
  </si>
  <si>
    <t>Dartford</t>
  </si>
  <si>
    <t>Daventry</t>
  </si>
  <si>
    <t>Derbyshire Dales</t>
  </si>
  <si>
    <t>Dover</t>
  </si>
  <si>
    <t>East Cambridgeshire</t>
  </si>
  <si>
    <t>East Devon</t>
  </si>
  <si>
    <t>East Dorset</t>
  </si>
  <si>
    <t>East Hampshire</t>
  </si>
  <si>
    <t>East Hertfordshire</t>
  </si>
  <si>
    <t>East Lindsey</t>
  </si>
  <si>
    <t>East Northamptonshire</t>
  </si>
  <si>
    <t>East Staffordshire</t>
  </si>
  <si>
    <t>Eastbourne</t>
  </si>
  <si>
    <t>Eastleigh</t>
  </si>
  <si>
    <t>Eden</t>
  </si>
  <si>
    <t>Elmbridge</t>
  </si>
  <si>
    <t>Epping Forest</t>
  </si>
  <si>
    <t>Erewash</t>
  </si>
  <si>
    <t>Exeter</t>
  </si>
  <si>
    <t>Fareham</t>
  </si>
  <si>
    <t>Fenland</t>
  </si>
  <si>
    <t>Forest Heath</t>
  </si>
  <si>
    <t>Forest of Dean</t>
  </si>
  <si>
    <t>Fylde</t>
  </si>
  <si>
    <t>Gedling</t>
  </si>
  <si>
    <t>Gloucester</t>
  </si>
  <si>
    <t>Gosport</t>
  </si>
  <si>
    <t>Gravesham</t>
  </si>
  <si>
    <t>Great Yarmouth</t>
  </si>
  <si>
    <t>Guildford</t>
  </si>
  <si>
    <t>Hambleton</t>
  </si>
  <si>
    <t>Harborough</t>
  </si>
  <si>
    <t>Harlow</t>
  </si>
  <si>
    <t>Harrogate</t>
  </si>
  <si>
    <t>Hart</t>
  </si>
  <si>
    <t>Hastings</t>
  </si>
  <si>
    <t>Havant</t>
  </si>
  <si>
    <t>Hertsmere</t>
  </si>
  <si>
    <t>High Peak</t>
  </si>
  <si>
    <t>Horsham</t>
  </si>
  <si>
    <t>Huntingdonshire</t>
  </si>
  <si>
    <t>Hyndburn</t>
  </si>
  <si>
    <t>Ipswich</t>
  </si>
  <si>
    <t>Kettering</t>
  </si>
  <si>
    <t>Lancaster</t>
  </si>
  <si>
    <t>Lewes</t>
  </si>
  <si>
    <t>Lichfield</t>
  </si>
  <si>
    <t>Lincoln</t>
  </si>
  <si>
    <t>Maidstone</t>
  </si>
  <si>
    <t>Maldon</t>
  </si>
  <si>
    <t>Malvern Hills</t>
  </si>
  <si>
    <t>Mansfield</t>
  </si>
  <si>
    <t>Melton</t>
  </si>
  <si>
    <t>Mendip</t>
  </si>
  <si>
    <t>Mid Devon</t>
  </si>
  <si>
    <t>Mid Suffolk</t>
  </si>
  <si>
    <t>Mid Sussex</t>
  </si>
  <si>
    <t>Mole Valley</t>
  </si>
  <si>
    <t>New Forest</t>
  </si>
  <si>
    <t>Newcastle-under-Lyme</t>
  </si>
  <si>
    <t>North Devon</t>
  </si>
  <si>
    <t>North Dorset</t>
  </si>
  <si>
    <t>North East Derbyshire</t>
  </si>
  <si>
    <t>North Hertfordshire</t>
  </si>
  <si>
    <t>North Kesteven</t>
  </si>
  <si>
    <t>North Norfolk</t>
  </si>
  <si>
    <t>North Warwickshire</t>
  </si>
  <si>
    <t>North West Leicestershire</t>
  </si>
  <si>
    <t>Northampton</t>
  </si>
  <si>
    <t>Norwich</t>
  </si>
  <si>
    <t>Oxford</t>
  </si>
  <si>
    <t>Pendle</t>
  </si>
  <si>
    <t>Preston</t>
  </si>
  <si>
    <t>Purbeck</t>
  </si>
  <si>
    <t>Redditch</t>
  </si>
  <si>
    <t>Ribble Valley</t>
  </si>
  <si>
    <t>Richmondshire</t>
  </si>
  <si>
    <t>Rochford</t>
  </si>
  <si>
    <t>Rossendale</t>
  </si>
  <si>
    <t>Rother</t>
  </si>
  <si>
    <t>Rugby</t>
  </si>
  <si>
    <t>Runnymede</t>
  </si>
  <si>
    <t>Rushcliffe</t>
  </si>
  <si>
    <t>Rushmoor</t>
  </si>
  <si>
    <t>Ryedale</t>
  </si>
  <si>
    <t>Scarborough</t>
  </si>
  <si>
    <t>Sedgemoor</t>
  </si>
  <si>
    <t>Selby</t>
  </si>
  <si>
    <t>Sevenoaks</t>
  </si>
  <si>
    <t>Shepway</t>
  </si>
  <si>
    <t>South Bucks</t>
  </si>
  <si>
    <t>South Cambridgeshire</t>
  </si>
  <si>
    <t>South Derbyshire</t>
  </si>
  <si>
    <t>South Hams</t>
  </si>
  <si>
    <t>South Holland</t>
  </si>
  <si>
    <t>South Kesteven</t>
  </si>
  <si>
    <t>South Lakeland</t>
  </si>
  <si>
    <t>South Norfolk</t>
  </si>
  <si>
    <t>South Northamptonshire</t>
  </si>
  <si>
    <t>South Oxfordshire</t>
  </si>
  <si>
    <t>South Ribble</t>
  </si>
  <si>
    <t>South Somerset</t>
  </si>
  <si>
    <t>South Staffordshire</t>
  </si>
  <si>
    <t>Spelthorne</t>
  </si>
  <si>
    <t>St Albans</t>
  </si>
  <si>
    <t>St Edmundsbury</t>
  </si>
  <si>
    <t>Stafford</t>
  </si>
  <si>
    <t>Staffordshire Moorlands</t>
  </si>
  <si>
    <t>Stevenage</t>
  </si>
  <si>
    <t>Stratford-on-Avon</t>
  </si>
  <si>
    <t>Stroud</t>
  </si>
  <si>
    <t>Suffolk Coastal</t>
  </si>
  <si>
    <t>Surrey Heath</t>
  </si>
  <si>
    <t>Swale</t>
  </si>
  <si>
    <t>Tamworth</t>
  </si>
  <si>
    <t>Tandridge</t>
  </si>
  <si>
    <t>Taunton Deane</t>
  </si>
  <si>
    <t>Teignbridge</t>
  </si>
  <si>
    <t>Tendring</t>
  </si>
  <si>
    <t>Test Valley</t>
  </si>
  <si>
    <t>Tewkesbury</t>
  </si>
  <si>
    <t>Thanet</t>
  </si>
  <si>
    <t>Three Rivers</t>
  </si>
  <si>
    <t>Torridge</t>
  </si>
  <si>
    <t>Tunbridge Wells</t>
  </si>
  <si>
    <t>Uttlesford</t>
  </si>
  <si>
    <t>Vale of White Horse</t>
  </si>
  <si>
    <t>Warwick</t>
  </si>
  <si>
    <t>Watford</t>
  </si>
  <si>
    <t>Waveney</t>
  </si>
  <si>
    <t>Waverley</t>
  </si>
  <si>
    <t>Wealden</t>
  </si>
  <si>
    <t>Wellingborough</t>
  </si>
  <si>
    <t>Welwyn Hatfield</t>
  </si>
  <si>
    <t>West Devon</t>
  </si>
  <si>
    <t>West Dorset</t>
  </si>
  <si>
    <t>West Lancashire</t>
  </si>
  <si>
    <t>West Lindsey</t>
  </si>
  <si>
    <t>West Oxfordshire</t>
  </si>
  <si>
    <t>West Somerset</t>
  </si>
  <si>
    <t>Westminster</t>
  </si>
  <si>
    <t>Winchester</t>
  </si>
  <si>
    <t>Woking</t>
  </si>
  <si>
    <t>Worcester</t>
  </si>
  <si>
    <t>Worthing</t>
  </si>
  <si>
    <t>Wychavon</t>
  </si>
  <si>
    <t>Wycombe</t>
  </si>
  <si>
    <t>Wyre</t>
  </si>
  <si>
    <t>Wyre Forest</t>
  </si>
  <si>
    <t>Barnet</t>
  </si>
  <si>
    <t>Bexley</t>
  </si>
  <si>
    <t>Brent</t>
  </si>
  <si>
    <t>Bromley</t>
  </si>
  <si>
    <t>Camden</t>
  </si>
  <si>
    <t>Croydon</t>
  </si>
  <si>
    <t>Ealing</t>
  </si>
  <si>
    <t>Enfield</t>
  </si>
  <si>
    <t>Greenwich</t>
  </si>
  <si>
    <t>Hackney</t>
  </si>
  <si>
    <t>Haringey</t>
  </si>
  <si>
    <t>Harrow</t>
  </si>
  <si>
    <t>Havering</t>
  </si>
  <si>
    <t>Hillingdon</t>
  </si>
  <si>
    <t>Hounslow</t>
  </si>
  <si>
    <t>Islington</t>
  </si>
  <si>
    <t>Lambeth</t>
  </si>
  <si>
    <t>Lewisham</t>
  </si>
  <si>
    <t>Merton</t>
  </si>
  <si>
    <t>Newham</t>
  </si>
  <si>
    <t>Redbridge</t>
  </si>
  <si>
    <t>Southwark</t>
  </si>
  <si>
    <t>Sutton</t>
  </si>
  <si>
    <t>Tower Hamlets</t>
  </si>
  <si>
    <t>Waltham Forest</t>
  </si>
  <si>
    <t>Wandsworth</t>
  </si>
  <si>
    <t>Barnsley</t>
  </si>
  <si>
    <t>Birmingham</t>
  </si>
  <si>
    <t>Bolton</t>
  </si>
  <si>
    <t>Bradford</t>
  </si>
  <si>
    <t>Bury</t>
  </si>
  <si>
    <t>Calderdale</t>
  </si>
  <si>
    <t>Coventry</t>
  </si>
  <si>
    <t>Doncaster</t>
  </si>
  <si>
    <t>Dudley</t>
  </si>
  <si>
    <t>Gateshead</t>
  </si>
  <si>
    <t>Kirklees</t>
  </si>
  <si>
    <t>Knowsley</t>
  </si>
  <si>
    <t>Leeds</t>
  </si>
  <si>
    <t>Liverpool</t>
  </si>
  <si>
    <t>Manchester</t>
  </si>
  <si>
    <t>Newcastle upon Tyne</t>
  </si>
  <si>
    <t>North Tyneside</t>
  </si>
  <si>
    <t>Oldham</t>
  </si>
  <si>
    <t>Rochdale</t>
  </si>
  <si>
    <t>Rotherham</t>
  </si>
  <si>
    <t>Salford</t>
  </si>
  <si>
    <t>Sandwell</t>
  </si>
  <si>
    <t>Sefton</t>
  </si>
  <si>
    <t>Sheffield</t>
  </si>
  <si>
    <t>Solihull</t>
  </si>
  <si>
    <t>South Tyneside</t>
  </si>
  <si>
    <t>St Helens</t>
  </si>
  <si>
    <t>Stockport</t>
  </si>
  <si>
    <t>Sunderland</t>
  </si>
  <si>
    <t>Tameside</t>
  </si>
  <si>
    <t>Trafford</t>
  </si>
  <si>
    <t>Wakefield</t>
  </si>
  <si>
    <t>Walsall</t>
  </si>
  <si>
    <t>Wigan</t>
  </si>
  <si>
    <t>Wirral</t>
  </si>
  <si>
    <t>Wolverhampton</t>
  </si>
  <si>
    <t>Bath &amp; North East Somerset</t>
  </si>
  <si>
    <t>Bedford</t>
  </si>
  <si>
    <t>Blackburn with Darwen</t>
  </si>
  <si>
    <t>Blackpool</t>
  </si>
  <si>
    <t>Bournemouth</t>
  </si>
  <si>
    <t>Bracknell Forest</t>
  </si>
  <si>
    <t>Darlington</t>
  </si>
  <si>
    <t>Derby</t>
  </si>
  <si>
    <t>Durham</t>
  </si>
  <si>
    <t>East Riding of Yorkshire</t>
  </si>
  <si>
    <t>Halton</t>
  </si>
  <si>
    <t>Hartlepool</t>
  </si>
  <si>
    <t>Isle of Wight</t>
  </si>
  <si>
    <t>Leicester</t>
  </si>
  <si>
    <t>Luton</t>
  </si>
  <si>
    <t>Medway</t>
  </si>
  <si>
    <t>Middlesbrough</t>
  </si>
  <si>
    <t>Milton Keynes</t>
  </si>
  <si>
    <t>North East Lincolnshire</t>
  </si>
  <si>
    <t>North Lincolnshire</t>
  </si>
  <si>
    <t>North Somerset</t>
  </si>
  <si>
    <t>Nottingham</t>
  </si>
  <si>
    <t>Peterborough</t>
  </si>
  <si>
    <t>Plymouth</t>
  </si>
  <si>
    <t>Poole</t>
  </si>
  <si>
    <t>Portsmouth</t>
  </si>
  <si>
    <t>Reading</t>
  </si>
  <si>
    <t>Rutland</t>
  </si>
  <si>
    <t>Slough</t>
  </si>
  <si>
    <t>South Gloucestershire</t>
  </si>
  <si>
    <t>Southampton</t>
  </si>
  <si>
    <t>Southend-on-Sea</t>
  </si>
  <si>
    <t>Stockton-on-Tees</t>
  </si>
  <si>
    <t>Stoke-on-Trent</t>
  </si>
  <si>
    <t>Swindon</t>
  </si>
  <si>
    <t>Thurrock</t>
  </si>
  <si>
    <t>Torbay</t>
  </si>
  <si>
    <t>Warrington</t>
  </si>
  <si>
    <t>West Berkshire</t>
  </si>
  <si>
    <t>Wiltshire</t>
  </si>
  <si>
    <t>Wokingham</t>
  </si>
  <si>
    <t>York</t>
  </si>
  <si>
    <t>Buckinghamshire</t>
  </si>
  <si>
    <t>County</t>
  </si>
  <si>
    <t>Cambridgeshire</t>
  </si>
  <si>
    <t>Central Bedfordshire</t>
  </si>
  <si>
    <t>Cheshire East</t>
  </si>
  <si>
    <t>Cornwall</t>
  </si>
  <si>
    <t>Cumbria</t>
  </si>
  <si>
    <t>Derbyshire</t>
  </si>
  <si>
    <t>Devon</t>
  </si>
  <si>
    <t>Dorset</t>
  </si>
  <si>
    <t>East Sussex</t>
  </si>
  <si>
    <t>Essex</t>
  </si>
  <si>
    <t>Gloucestershire</t>
  </si>
  <si>
    <t>Hampshire</t>
  </si>
  <si>
    <t>Hertfordshire</t>
  </si>
  <si>
    <t>Kent</t>
  </si>
  <si>
    <t>Lancashire</t>
  </si>
  <si>
    <t>Leicestershire</t>
  </si>
  <si>
    <t>Lincolnshire</t>
  </si>
  <si>
    <t>Norfolk</t>
  </si>
  <si>
    <t>North Yorkshire</t>
  </si>
  <si>
    <t>Northamptonshire</t>
  </si>
  <si>
    <t>Northumberland</t>
  </si>
  <si>
    <t>Nottinghamshire</t>
  </si>
  <si>
    <t>Oxfordshire</t>
  </si>
  <si>
    <t>Shropshire</t>
  </si>
  <si>
    <t>Somerset</t>
  </si>
  <si>
    <t>Staffordshire</t>
  </si>
  <si>
    <t>Suffolk</t>
  </si>
  <si>
    <t>Surrey</t>
  </si>
  <si>
    <t>Warwickshire</t>
  </si>
  <si>
    <t>West Sussex</t>
  </si>
  <si>
    <t>Worcestershire</t>
  </si>
  <si>
    <t>Authority</t>
  </si>
  <si>
    <t>Authority:</t>
  </si>
  <si>
    <t>Sparse</t>
  </si>
  <si>
    <t>Hammersmith &amp; Fulham</t>
  </si>
  <si>
    <t>Kensington &amp; Chelsea</t>
  </si>
  <si>
    <t>Barking &amp; Dagenham</t>
  </si>
  <si>
    <t>Region</t>
  </si>
  <si>
    <t>Average</t>
  </si>
  <si>
    <t>Top Quartile</t>
  </si>
  <si>
    <t>Bottom Quartile</t>
  </si>
  <si>
    <t>Basingstoke &amp; Deane</t>
  </si>
  <si>
    <t>Epsom &amp; Ewell</t>
  </si>
  <si>
    <t>Hinckley &amp; Bosworth</t>
  </si>
  <si>
    <t>Newark &amp; Sherwood</t>
  </si>
  <si>
    <t>Nuneaton &amp; Bedworth</t>
  </si>
  <si>
    <t>Oadby &amp; Wigston</t>
  </si>
  <si>
    <t>Reigate &amp; Banstead</t>
  </si>
  <si>
    <t>Tonbridge &amp; Malling</t>
  </si>
  <si>
    <t>Weymouth &amp; Portland</t>
  </si>
  <si>
    <t>2nd Quartile</t>
  </si>
  <si>
    <t>3rd Quartile</t>
  </si>
  <si>
    <t>Rank</t>
  </si>
  <si>
    <t>out of</t>
  </si>
  <si>
    <t>u</t>
  </si>
  <si>
    <t>Key Benchmark Comparisons:</t>
  </si>
  <si>
    <t>J</t>
  </si>
  <si>
    <t>L</t>
  </si>
  <si>
    <t>Authority performance is better than benchmark.</t>
  </si>
  <si>
    <t>Authority performance is lower than benchmark.</t>
  </si>
  <si>
    <t>Indicator: (click in box for list of indicators)</t>
  </si>
  <si>
    <t>Top 20 authorities</t>
  </si>
  <si>
    <t>Value</t>
  </si>
  <si>
    <t>Period:</t>
  </si>
  <si>
    <t>Source:</t>
  </si>
  <si>
    <t>East Midlands</t>
  </si>
  <si>
    <t>West Midlands</t>
  </si>
  <si>
    <t>East of England</t>
  </si>
  <si>
    <t>City of London</t>
  </si>
  <si>
    <t>Significant Rural</t>
  </si>
  <si>
    <t>Analysis by rural / urban classification</t>
  </si>
  <si>
    <t>Sparse?</t>
  </si>
  <si>
    <t>Score</t>
  </si>
  <si>
    <t>in order</t>
  </si>
  <si>
    <t>North West</t>
  </si>
  <si>
    <t>King's Lynn &amp; West Norfolk</t>
  </si>
  <si>
    <t>Class</t>
  </si>
  <si>
    <t>Lower Level Rural/Urban Classification</t>
  </si>
  <si>
    <t>County Level Rural/Urban Classification</t>
  </si>
  <si>
    <t>SD</t>
  </si>
  <si>
    <t>Predominantly Rural</t>
  </si>
  <si>
    <t>London</t>
  </si>
  <si>
    <t>Predominantly Urban</t>
  </si>
  <si>
    <t>Yorkshire &amp; Humberside</t>
  </si>
  <si>
    <t>MD</t>
  </si>
  <si>
    <t>UA</t>
  </si>
  <si>
    <t>Bristol, City of</t>
  </si>
  <si>
    <t>SC</t>
  </si>
  <si>
    <t>NE</t>
  </si>
  <si>
    <t>Herefordshire, County of</t>
  </si>
  <si>
    <t>Kingston upon Hull, City of</t>
  </si>
  <si>
    <t>Kingston upon Thames</t>
  </si>
  <si>
    <t>Richmond upon Thames</t>
  </si>
  <si>
    <t>St. Helens</t>
  </si>
  <si>
    <t>Unitary</t>
  </si>
  <si>
    <t>Metropolitan District</t>
  </si>
  <si>
    <t>Class Ref</t>
  </si>
  <si>
    <t>Local authority</t>
  </si>
  <si>
    <t>?</t>
  </si>
  <si>
    <t>Bottom</t>
  </si>
  <si>
    <t>Highest</t>
  </si>
  <si>
    <t>Lowest</t>
  </si>
  <si>
    <t>Ref for lists</t>
  </si>
  <si>
    <t>Lookup for source in cell G2 ends here</t>
  </si>
  <si>
    <t>Chosen Indicator</t>
  </si>
  <si>
    <t>Chosen Year</t>
  </si>
  <si>
    <t>Chosen Authority</t>
  </si>
  <si>
    <t>Authorities</t>
  </si>
  <si>
    <t>Family Ranking</t>
  </si>
  <si>
    <t>Lookup on Profile</t>
  </si>
  <si>
    <t>Display Name</t>
  </si>
  <si>
    <t>Family &amp; Indicator Name</t>
  </si>
  <si>
    <t>Metropolitan Districts</t>
  </si>
  <si>
    <t>Unitaries</t>
  </si>
  <si>
    <t>Counties</t>
  </si>
  <si>
    <t>Districts</t>
  </si>
  <si>
    <t>O</t>
  </si>
  <si>
    <t>Other Authorities</t>
  </si>
  <si>
    <t>Metropolitan</t>
  </si>
  <si>
    <t>Other Authority</t>
  </si>
  <si>
    <t>Closest fifteen authorities as generated by the new nearest neighbour model</t>
  </si>
  <si>
    <t>Code</t>
  </si>
  <si>
    <t>Comparator 1</t>
  </si>
  <si>
    <t>Comparator 2</t>
  </si>
  <si>
    <t>Comparator 3</t>
  </si>
  <si>
    <t>Comparator 4</t>
  </si>
  <si>
    <t>Comparator 5</t>
  </si>
  <si>
    <t>Comparator 6</t>
  </si>
  <si>
    <t>Comparator 7</t>
  </si>
  <si>
    <t>Comparator 8</t>
  </si>
  <si>
    <t>Comparator 9</t>
  </si>
  <si>
    <t>Comparator 10</t>
  </si>
  <si>
    <t>Comparator 11</t>
  </si>
  <si>
    <t>Comparator 12</t>
  </si>
  <si>
    <t>Comparator 13</t>
  </si>
  <si>
    <t>Comparator 14</t>
  </si>
  <si>
    <t>Comparator 15</t>
  </si>
  <si>
    <t>London Boroughs</t>
  </si>
  <si>
    <t>E5011</t>
  </si>
  <si>
    <t>E5012</t>
  </si>
  <si>
    <t>E5013</t>
  </si>
  <si>
    <t>E5014</t>
  </si>
  <si>
    <t>E5015</t>
  </si>
  <si>
    <t>E5016</t>
  </si>
  <si>
    <t>E5017</t>
  </si>
  <si>
    <t>E5018</t>
  </si>
  <si>
    <t>E5019</t>
  </si>
  <si>
    <t>E5020</t>
  </si>
  <si>
    <t>E5021</t>
  </si>
  <si>
    <t>E5022</t>
  </si>
  <si>
    <t>E5030</t>
  </si>
  <si>
    <t>E5031</t>
  </si>
  <si>
    <t>E5032</t>
  </si>
  <si>
    <t>E5033</t>
  </si>
  <si>
    <t>E5034</t>
  </si>
  <si>
    <t>E5035</t>
  </si>
  <si>
    <t>E5036</t>
  </si>
  <si>
    <t>E5037</t>
  </si>
  <si>
    <t>E5038</t>
  </si>
  <si>
    <t>E5039</t>
  </si>
  <si>
    <t>E5040</t>
  </si>
  <si>
    <t>E5041</t>
  </si>
  <si>
    <t>E5042</t>
  </si>
  <si>
    <t>E5043</t>
  </si>
  <si>
    <t>E5044</t>
  </si>
  <si>
    <t>E5045</t>
  </si>
  <si>
    <t>E5046</t>
  </si>
  <si>
    <t>E5047</t>
  </si>
  <si>
    <t>E5048</t>
  </si>
  <si>
    <t>E5049</t>
  </si>
  <si>
    <t>E4201</t>
  </si>
  <si>
    <t>E4202</t>
  </si>
  <si>
    <t>E4203</t>
  </si>
  <si>
    <t>E4204</t>
  </si>
  <si>
    <t>E4205</t>
  </si>
  <si>
    <t>E4206</t>
  </si>
  <si>
    <t>E4207</t>
  </si>
  <si>
    <t>E4208</t>
  </si>
  <si>
    <t>E4209</t>
  </si>
  <si>
    <t>E4210</t>
  </si>
  <si>
    <t>E4301</t>
  </si>
  <si>
    <t>E4302</t>
  </si>
  <si>
    <t>E4303</t>
  </si>
  <si>
    <t>E4304</t>
  </si>
  <si>
    <t>E4305</t>
  </si>
  <si>
    <t>E4401</t>
  </si>
  <si>
    <t>E4402</t>
  </si>
  <si>
    <t>E4403</t>
  </si>
  <si>
    <t>E4404</t>
  </si>
  <si>
    <t>E4501</t>
  </si>
  <si>
    <t>E4502</t>
  </si>
  <si>
    <t>E4503</t>
  </si>
  <si>
    <t>E4504</t>
  </si>
  <si>
    <t>E4505</t>
  </si>
  <si>
    <t>E4601</t>
  </si>
  <si>
    <t>E4602</t>
  </si>
  <si>
    <t>E4603</t>
  </si>
  <si>
    <t>E4604</t>
  </si>
  <si>
    <t>E4605</t>
  </si>
  <si>
    <t>E4606</t>
  </si>
  <si>
    <t>E4607</t>
  </si>
  <si>
    <t>E4701</t>
  </si>
  <si>
    <t>E4702</t>
  </si>
  <si>
    <t>E4703</t>
  </si>
  <si>
    <t>E4704</t>
  </si>
  <si>
    <t>E4705</t>
  </si>
  <si>
    <t>Unitary Authorities</t>
  </si>
  <si>
    <t>E0101</t>
  </si>
  <si>
    <t>E0202</t>
  </si>
  <si>
    <t>E2301</t>
  </si>
  <si>
    <t>E2302</t>
  </si>
  <si>
    <t>E1202</t>
  </si>
  <si>
    <t>E0301</t>
  </si>
  <si>
    <t>E1401</t>
  </si>
  <si>
    <t>E0102</t>
  </si>
  <si>
    <t>E0203</t>
  </si>
  <si>
    <t>E0801</t>
  </si>
  <si>
    <t>E1301</t>
  </si>
  <si>
    <t>E1001</t>
  </si>
  <si>
    <t>E1302</t>
  </si>
  <si>
    <t>E0603</t>
  </si>
  <si>
    <t>E2001</t>
  </si>
  <si>
    <t>E0601</t>
  </si>
  <si>
    <t>E0701</t>
  </si>
  <si>
    <t>E1801</t>
  </si>
  <si>
    <t>E2101</t>
  </si>
  <si>
    <t>E2002</t>
  </si>
  <si>
    <t>E2401</t>
  </si>
  <si>
    <t>E0201</t>
  </si>
  <si>
    <t>E2201</t>
  </si>
  <si>
    <t>E0702</t>
  </si>
  <si>
    <t>E0401</t>
  </si>
  <si>
    <t>E2003</t>
  </si>
  <si>
    <t>E2004</t>
  </si>
  <si>
    <t>E0104</t>
  </si>
  <si>
    <t>E2901</t>
  </si>
  <si>
    <t>E3001</t>
  </si>
  <si>
    <t>E0501</t>
  </si>
  <si>
    <t>E1101</t>
  </si>
  <si>
    <t>E1201</t>
  </si>
  <si>
    <t>E1701</t>
  </si>
  <si>
    <t>E0303</t>
  </si>
  <si>
    <t>E0703</t>
  </si>
  <si>
    <t>E2402</t>
  </si>
  <si>
    <t>E3202</t>
  </si>
  <si>
    <t>E0304</t>
  </si>
  <si>
    <t>E0103</t>
  </si>
  <si>
    <t>E1702</t>
  </si>
  <si>
    <t>E1501</t>
  </si>
  <si>
    <t>E0704</t>
  </si>
  <si>
    <t>E3401</t>
  </si>
  <si>
    <t>E3901</t>
  </si>
  <si>
    <t>E1502</t>
  </si>
  <si>
    <t>E1102</t>
  </si>
  <si>
    <t>E0602</t>
  </si>
  <si>
    <t>E0302</t>
  </si>
  <si>
    <t>E0604</t>
  </si>
  <si>
    <t>E3902</t>
  </si>
  <si>
    <t>E0305</t>
  </si>
  <si>
    <t>E0306</t>
  </si>
  <si>
    <t>E3201</t>
  </si>
  <si>
    <t>E2701</t>
  </si>
  <si>
    <t>E0421</t>
  </si>
  <si>
    <t>E0521</t>
  </si>
  <si>
    <t>E0920</t>
  </si>
  <si>
    <t>E1021</t>
  </si>
  <si>
    <t>E1121</t>
  </si>
  <si>
    <t>E1221</t>
  </si>
  <si>
    <t>E1421</t>
  </si>
  <si>
    <t>E1521</t>
  </si>
  <si>
    <t>E1620</t>
  </si>
  <si>
    <t>E1721</t>
  </si>
  <si>
    <t>E1821</t>
  </si>
  <si>
    <t>E1920</t>
  </si>
  <si>
    <t>E2221</t>
  </si>
  <si>
    <t>E2321</t>
  </si>
  <si>
    <t>E2421</t>
  </si>
  <si>
    <t>E2520</t>
  </si>
  <si>
    <t>E2620</t>
  </si>
  <si>
    <t>E2721</t>
  </si>
  <si>
    <t>E2820</t>
  </si>
  <si>
    <t>E3021</t>
  </si>
  <si>
    <t>E3120</t>
  </si>
  <si>
    <t>E3320</t>
  </si>
  <si>
    <t>E3421</t>
  </si>
  <si>
    <t>E3520</t>
  </si>
  <si>
    <t>E3620</t>
  </si>
  <si>
    <t>E3720</t>
  </si>
  <si>
    <t>E3820</t>
  </si>
  <si>
    <t>Non-Metropolitan Districts</t>
  </si>
  <si>
    <t>E0431</t>
  </si>
  <si>
    <t>E0432</t>
  </si>
  <si>
    <t>E0434</t>
  </si>
  <si>
    <t>E0435</t>
  </si>
  <si>
    <t>E0531</t>
  </si>
  <si>
    <t>E0532</t>
  </si>
  <si>
    <t>E0533</t>
  </si>
  <si>
    <t>E0551</t>
  </si>
  <si>
    <t>E0536</t>
  </si>
  <si>
    <t>E0931</t>
  </si>
  <si>
    <t>E0932</t>
  </si>
  <si>
    <t>E0933</t>
  </si>
  <si>
    <t>E0934</t>
  </si>
  <si>
    <t>E0935</t>
  </si>
  <si>
    <t>E0936</t>
  </si>
  <si>
    <t>E1031</t>
  </si>
  <si>
    <t>E1032</t>
  </si>
  <si>
    <t>E1033</t>
  </si>
  <si>
    <t>E1035</t>
  </si>
  <si>
    <t>E1036</t>
  </si>
  <si>
    <t>E1037</t>
  </si>
  <si>
    <t>E1038</t>
  </si>
  <si>
    <t>E1039</t>
  </si>
  <si>
    <t>E1131</t>
  </si>
  <si>
    <t>E1132</t>
  </si>
  <si>
    <t>E1133</t>
  </si>
  <si>
    <t>E1134</t>
  </si>
  <si>
    <t>E1136</t>
  </si>
  <si>
    <t>E1137</t>
  </si>
  <si>
    <t>E1139</t>
  </si>
  <si>
    <t>E1140</t>
  </si>
  <si>
    <t>E1232</t>
  </si>
  <si>
    <t>E1233</t>
  </si>
  <si>
    <t>E1234</t>
  </si>
  <si>
    <t>E1236</t>
  </si>
  <si>
    <t>E1237</t>
  </si>
  <si>
    <t>E1238</t>
  </si>
  <si>
    <t>E1432</t>
  </si>
  <si>
    <t>E1433</t>
  </si>
  <si>
    <t>E1435</t>
  </si>
  <si>
    <t>E1436</t>
  </si>
  <si>
    <t>E1437</t>
  </si>
  <si>
    <t>E1531</t>
  </si>
  <si>
    <t>E1532</t>
  </si>
  <si>
    <t>E1533</t>
  </si>
  <si>
    <t>E1534</t>
  </si>
  <si>
    <t>E1535</t>
  </si>
  <si>
    <t>E1536</t>
  </si>
  <si>
    <t>E1537</t>
  </si>
  <si>
    <t>E1538</t>
  </si>
  <si>
    <t>E1539</t>
  </si>
  <si>
    <t>E1540</t>
  </si>
  <si>
    <t>E1542</t>
  </si>
  <si>
    <t>E1544</t>
  </si>
  <si>
    <t>E1631</t>
  </si>
  <si>
    <t>E1632</t>
  </si>
  <si>
    <t>E1633</t>
  </si>
  <si>
    <t>E1634</t>
  </si>
  <si>
    <t>E1635</t>
  </si>
  <si>
    <t>E1636</t>
  </si>
  <si>
    <t>E1731</t>
  </si>
  <si>
    <t>E1732</t>
  </si>
  <si>
    <t>E1733</t>
  </si>
  <si>
    <t>E1734</t>
  </si>
  <si>
    <t>E1735</t>
  </si>
  <si>
    <t>E1736</t>
  </si>
  <si>
    <t>E1737</t>
  </si>
  <si>
    <t>E1738</t>
  </si>
  <si>
    <t>E1740</t>
  </si>
  <si>
    <t>E1742</t>
  </si>
  <si>
    <t>E1743</t>
  </si>
  <si>
    <t>E1831</t>
  </si>
  <si>
    <t>E1835</t>
  </si>
  <si>
    <t>E1837</t>
  </si>
  <si>
    <t>E1838</t>
  </si>
  <si>
    <t>E1839</t>
  </si>
  <si>
    <t>E1851</t>
  </si>
  <si>
    <t>E1931</t>
  </si>
  <si>
    <t>E1932</t>
  </si>
  <si>
    <t>E1933</t>
  </si>
  <si>
    <t>E1934</t>
  </si>
  <si>
    <t>E1935</t>
  </si>
  <si>
    <t>E1936</t>
  </si>
  <si>
    <t>E1937</t>
  </si>
  <si>
    <t>E1938</t>
  </si>
  <si>
    <t>E1939</t>
  </si>
  <si>
    <t>E1940</t>
  </si>
  <si>
    <t>E2231</t>
  </si>
  <si>
    <t>E2232</t>
  </si>
  <si>
    <t>E2233</t>
  </si>
  <si>
    <t>E2234</t>
  </si>
  <si>
    <t>E2236</t>
  </si>
  <si>
    <t>E2237</t>
  </si>
  <si>
    <t>E2239</t>
  </si>
  <si>
    <t>E2240</t>
  </si>
  <si>
    <t>E2241</t>
  </si>
  <si>
    <t>E2242</t>
  </si>
  <si>
    <t>E2243</t>
  </si>
  <si>
    <t>E2244</t>
  </si>
  <si>
    <t>E2333</t>
  </si>
  <si>
    <t>E2334</t>
  </si>
  <si>
    <t>E2335</t>
  </si>
  <si>
    <t>E2336</t>
  </si>
  <si>
    <t>E2337</t>
  </si>
  <si>
    <t>E2338</t>
  </si>
  <si>
    <t>E2339</t>
  </si>
  <si>
    <t>E2340</t>
  </si>
  <si>
    <t>E2341</t>
  </si>
  <si>
    <t>E2342</t>
  </si>
  <si>
    <t>E2343</t>
  </si>
  <si>
    <t>E2344</t>
  </si>
  <si>
    <t>E2431</t>
  </si>
  <si>
    <t>E2432</t>
  </si>
  <si>
    <t>E2433</t>
  </si>
  <si>
    <t>E2434</t>
  </si>
  <si>
    <t>E2436</t>
  </si>
  <si>
    <t>E2437</t>
  </si>
  <si>
    <t>E2438</t>
  </si>
  <si>
    <t>E2531</t>
  </si>
  <si>
    <t>E2532</t>
  </si>
  <si>
    <t>E2533</t>
  </si>
  <si>
    <t>E2534</t>
  </si>
  <si>
    <t>E2535</t>
  </si>
  <si>
    <t>E2536</t>
  </si>
  <si>
    <t>E2537</t>
  </si>
  <si>
    <t>E2631</t>
  </si>
  <si>
    <t>E2632</t>
  </si>
  <si>
    <t>E2633</t>
  </si>
  <si>
    <t>E2634</t>
  </si>
  <si>
    <t>E2635</t>
  </si>
  <si>
    <t>E2636</t>
  </si>
  <si>
    <t>E2637</t>
  </si>
  <si>
    <t>E2731</t>
  </si>
  <si>
    <t>E2732</t>
  </si>
  <si>
    <t>E2734</t>
  </si>
  <si>
    <t>E2736</t>
  </si>
  <si>
    <t>E2753</t>
  </si>
  <si>
    <t>E2755</t>
  </si>
  <si>
    <t>E2757</t>
  </si>
  <si>
    <t>E2831</t>
  </si>
  <si>
    <t>E2832</t>
  </si>
  <si>
    <t>E2833</t>
  </si>
  <si>
    <t>E2834</t>
  </si>
  <si>
    <t>E2835</t>
  </si>
  <si>
    <t>E2836</t>
  </si>
  <si>
    <t>E2837</t>
  </si>
  <si>
    <t>E3031</t>
  </si>
  <si>
    <t>E3032</t>
  </si>
  <si>
    <t>E3033</t>
  </si>
  <si>
    <t>E3034</t>
  </si>
  <si>
    <t>E3035</t>
  </si>
  <si>
    <t>E3036</t>
  </si>
  <si>
    <t>E3038</t>
  </si>
  <si>
    <t>E3131</t>
  </si>
  <si>
    <t>E3132</t>
  </si>
  <si>
    <t>E3133</t>
  </si>
  <si>
    <t>E3134</t>
  </si>
  <si>
    <t>E3135</t>
  </si>
  <si>
    <t>E3331</t>
  </si>
  <si>
    <t>E3332</t>
  </si>
  <si>
    <t>E3333</t>
  </si>
  <si>
    <t>E3334</t>
  </si>
  <si>
    <t>E3335</t>
  </si>
  <si>
    <t>E3431</t>
  </si>
  <si>
    <t>E3432</t>
  </si>
  <si>
    <t>E3433</t>
  </si>
  <si>
    <t>E3434</t>
  </si>
  <si>
    <t>E3435</t>
  </si>
  <si>
    <t>E3436</t>
  </si>
  <si>
    <t>E3437</t>
  </si>
  <si>
    <t>E3439</t>
  </si>
  <si>
    <t>E3531</t>
  </si>
  <si>
    <t>E3532</t>
  </si>
  <si>
    <t>E3533</t>
  </si>
  <si>
    <t>E3534</t>
  </si>
  <si>
    <t>E3535</t>
  </si>
  <si>
    <t>E3536</t>
  </si>
  <si>
    <t>E3537</t>
  </si>
  <si>
    <t>E3631</t>
  </si>
  <si>
    <t>E3632</t>
  </si>
  <si>
    <t>E3633</t>
  </si>
  <si>
    <t>E3634</t>
  </si>
  <si>
    <t>E3635</t>
  </si>
  <si>
    <t>E3636</t>
  </si>
  <si>
    <t>E3637</t>
  </si>
  <si>
    <t>E3638</t>
  </si>
  <si>
    <t>E3639</t>
  </si>
  <si>
    <t>E3640</t>
  </si>
  <si>
    <t>E3641</t>
  </si>
  <si>
    <t>E3731</t>
  </si>
  <si>
    <t>E3732</t>
  </si>
  <si>
    <t>E3733</t>
  </si>
  <si>
    <t>E3734</t>
  </si>
  <si>
    <t>E3735</t>
  </si>
  <si>
    <t>E3831</t>
  </si>
  <si>
    <t>E3832</t>
  </si>
  <si>
    <t>E3833</t>
  </si>
  <si>
    <t>E3834</t>
  </si>
  <si>
    <t>E3835</t>
  </si>
  <si>
    <t>E3836</t>
  </si>
  <si>
    <t>E3837</t>
  </si>
  <si>
    <t>Data Format</t>
  </si>
  <si>
    <t>Text format</t>
  </si>
  <si>
    <t>Top</t>
  </si>
  <si>
    <t>Med</t>
  </si>
  <si>
    <t>Bot</t>
  </si>
  <si>
    <t>Polarity</t>
  </si>
  <si>
    <t>Formatted</t>
  </si>
  <si>
    <t xml:space="preserve">Average </t>
  </si>
  <si>
    <t>Display Format</t>
  </si>
  <si>
    <t>Page title:</t>
  </si>
  <si>
    <t>Name:</t>
  </si>
  <si>
    <t>Hlookup for formula in column AX on Filtered sheet.</t>
  </si>
  <si>
    <t>Copy data into 'Data' sheet</t>
  </si>
  <si>
    <t>Complete Indicator sheet</t>
  </si>
  <si>
    <r>
      <t xml:space="preserve">Indicator </t>
    </r>
    <r>
      <rPr>
        <sz val="10"/>
        <color rgb="FFFF0000"/>
        <rFont val="Arial"/>
        <family val="2"/>
      </rPr>
      <t>(must match name on 'Data' sheet)</t>
    </r>
  </si>
  <si>
    <r>
      <t xml:space="preserve">Periods Inc </t>
    </r>
    <r>
      <rPr>
        <sz val="10"/>
        <color rgb="FFFF0000"/>
        <rFont val="Arial"/>
        <family val="2"/>
      </rPr>
      <t>(must math period on 'Data' sheet)</t>
    </r>
  </si>
  <si>
    <t>County Durham</t>
  </si>
  <si>
    <t>Redcar &amp; Cleveland</t>
  </si>
  <si>
    <t>%</t>
  </si>
  <si>
    <t>Brighton &amp; Hove</t>
  </si>
  <si>
    <t>Cheshire West &amp; Chester</t>
  </si>
  <si>
    <t>Telford &amp; Wrekin</t>
  </si>
  <si>
    <t>Windsor &amp; Maidenhead</t>
  </si>
  <si>
    <t>Bristol</t>
  </si>
  <si>
    <t>Herefordshire</t>
  </si>
  <si>
    <t>Kingston upon Hull</t>
  </si>
  <si>
    <t>Sparse Rankings &amp; Average</t>
  </si>
  <si>
    <t>Remember to find &amp; replace blanks with a number</t>
  </si>
  <si>
    <t>Boundary Name - paste in the authority list, &amp; any differences in listing will be highlighted for checking in column B</t>
  </si>
  <si>
    <t>.</t>
  </si>
  <si>
    <t>Kept in for future use</t>
  </si>
  <si>
    <t>Kept in case used for non spare member as well</t>
  </si>
  <si>
    <t>Scores match Data</t>
  </si>
  <si>
    <t>Check Class Analysis Graph</t>
  </si>
  <si>
    <t>Averages match Table</t>
  </si>
  <si>
    <t>Score is the same for all 3 Tables</t>
  </si>
  <si>
    <t>Chosen Auth is highlighted and correct score showing</t>
  </si>
  <si>
    <t>Check Ranking Tables</t>
  </si>
  <si>
    <t>Scores match Table</t>
  </si>
  <si>
    <t>Check Benchmark graph</t>
  </si>
  <si>
    <t>Smily faces</t>
  </si>
  <si>
    <t>Out of amount</t>
  </si>
  <si>
    <t>Averages</t>
  </si>
  <si>
    <t>Quartile description</t>
  </si>
  <si>
    <t>Check table is correct</t>
  </si>
  <si>
    <t>Check Quartiles are correct</t>
  </si>
  <si>
    <t>Class Analysis Graph</t>
  </si>
  <si>
    <t>Regional/County Table</t>
  </si>
  <si>
    <t>Family Table</t>
  </si>
  <si>
    <t>Top 20 Table</t>
  </si>
  <si>
    <t>Benchmark graph</t>
  </si>
  <si>
    <t>Table</t>
  </si>
  <si>
    <t>Quartile graph</t>
  </si>
  <si>
    <t>Check Titles are correct</t>
  </si>
  <si>
    <t>Check all Sparse Authorites are available to choose</t>
  </si>
  <si>
    <t>Check Source</t>
  </si>
  <si>
    <t>Recycling Rate</t>
  </si>
  <si>
    <t>Annual up to 30 September 2013</t>
  </si>
  <si>
    <t>Annual up to 31 December 2013</t>
  </si>
  <si>
    <t>Info</t>
  </si>
  <si>
    <t>e.g.</t>
  </si>
  <si>
    <t>Waste</t>
  </si>
  <si>
    <t>You would put the following on indicator sheet</t>
  </si>
  <si>
    <t>Data Sheet</t>
  </si>
  <si>
    <t>The data comes in whole number but needs to be displayed as %'s (0.87 in this instance)</t>
  </si>
  <si>
    <t>Ensuring Indicators &amp; Periods match the 'Data' sheet</t>
  </si>
  <si>
    <t>Enter the polarity A = Ascending , D =  Descending</t>
  </si>
  <si>
    <t>Complete cell B3, this will become the page titles on the 'Profile' sheet.</t>
  </si>
  <si>
    <t>Ensuring Authority names match the 'classifications' sheet.</t>
  </si>
  <si>
    <t>Make sure the formula is carries over in row 1 for each column of data.</t>
  </si>
  <si>
    <t>'.' = Whole Number, '%' = Percentage (some data comes in a whole number and needs to be displayed as %'s)</t>
  </si>
  <si>
    <r>
      <t xml:space="preserve">Ranking in first table on 'Profile' sheet (rows 36-40) is calculated by the authories that are in the chosen class and </t>
    </r>
    <r>
      <rPr>
        <b/>
        <sz val="10"/>
        <rFont val="Arial"/>
        <family val="2"/>
      </rPr>
      <t>have data</t>
    </r>
    <r>
      <rPr>
        <sz val="10"/>
        <rFont val="Arial"/>
        <family val="2"/>
      </rPr>
      <t xml:space="preserve"> (so 'out of' figure may not match the classsifications sheets exactly)</t>
    </r>
  </si>
  <si>
    <t>Rural figure for UA's in row 38 on 'Profile' sheet is calculated buy all authorites that are UA and are Significant Rural, Rural-80 and Rural-50.</t>
  </si>
  <si>
    <t>Only Sparse authorities are included in the drop down list (cell J5) on the 'Profile' sheet but all authorities in chosen class with data are included in calculations</t>
  </si>
  <si>
    <t>How To's</t>
  </si>
  <si>
    <t>To add a completely new authority</t>
  </si>
  <si>
    <t>Name of Authority changed</t>
  </si>
  <si>
    <t>Enter new data\indicator</t>
  </si>
  <si>
    <t>Choose Class on Filtered data sheet from drop down in cell D1</t>
  </si>
  <si>
    <t>To include or delete an authority from the drop down list (cell J5) on the 'Profile' sheet , enter 'Sparse' or delete it in column K on 'classifications sheet' (this will then amend the lookup list in column F,G on 'Filtered Data' sheet).</t>
  </si>
  <si>
    <t>- If data is for only one name amend the 'classifications' sheet (completeing information for all columns) and the 'Filtered Data' sheet column C, however, if you have data for the old name and new name then add it to the 'classifications' sheet and the 'Filtered Data' sheet column C.</t>
  </si>
  <si>
    <t>- Enter it onto the 'classifications' sheet (completeing information for all columns) and the 'Filtered Data' sheet column C.</t>
  </si>
  <si>
    <t>Choose Indicator from drop down menu in cell W5 on 'Profile' sheet (data must be entered onto data sheet and indicator sheet)</t>
  </si>
  <si>
    <t xml:space="preserve"> Guide</t>
  </si>
  <si>
    <t>Choose Period from drop down menu in cell W13 on 'Profile' sheet (data must be entered onto data sheet and indicator sheet)</t>
  </si>
  <si>
    <t>%.</t>
  </si>
  <si>
    <t>..</t>
  </si>
  <si>
    <t>%%</t>
  </si>
  <si>
    <t>Check Rows 8,9,10,11 are correct</t>
  </si>
  <si>
    <t>Check Table matches Rows 8,9,10,11</t>
  </si>
  <si>
    <t>Check no of councils in text under Quartiles graph is correct</t>
  </si>
  <si>
    <t>Quartiles are showing (polarity &amp; score)</t>
  </si>
  <si>
    <t>Waste Management Indicators</t>
  </si>
  <si>
    <t>You only have to put the indicator name once no matter how many time it shows up on the data sheet</t>
  </si>
  <si>
    <t>ENV18 - DEFRA</t>
  </si>
  <si>
    <t>Residual household waste per household (kg/household) (Ex NI191)</t>
  </si>
  <si>
    <t>Percentage of household waste sent for reuse, recycling or composting (Ex NI192)</t>
  </si>
  <si>
    <t>Percentage of municipal waste sent to landfill (Ex NI193)</t>
  </si>
  <si>
    <t>Collected household waste per person (kg) (Ex BVPI 84a)</t>
  </si>
  <si>
    <t>Urban with City and Town</t>
  </si>
  <si>
    <t xml:space="preserve">Mainly Rural (rural including hub towns &gt;=80%) </t>
  </si>
  <si>
    <t>Urban with Minor Conurbation</t>
  </si>
  <si>
    <t>Urban with Significant Rural (rural including hub towns 26-49%)</t>
  </si>
  <si>
    <t xml:space="preserve">Largely Rural (rural including hub towns 50-79%) </t>
  </si>
  <si>
    <t>Urban with Major Conurbation</t>
  </si>
  <si>
    <t>East Suffolk</t>
  </si>
  <si>
    <t>West Suffolk</t>
  </si>
  <si>
    <t>Bournemouth, Christchurch and Poole</t>
  </si>
  <si>
    <t>Folkestone and Hythe</t>
  </si>
  <si>
    <t>North Northamptonshire</t>
  </si>
  <si>
    <t>Somerset West and Taunton</t>
  </si>
  <si>
    <t>West Northamptonshire</t>
  </si>
  <si>
    <t>2021-22</t>
  </si>
  <si>
    <t xml:space="preserve">Predominantly Rural </t>
  </si>
  <si>
    <t>Urban with Significant Rural</t>
  </si>
  <si>
    <t>A</t>
  </si>
  <si>
    <t>2022-23</t>
  </si>
  <si>
    <t>Mid Suffolk &amp; Babergh</t>
  </si>
  <si>
    <t>South Cambridgeshire (with Cambridge City)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</si>
</sst>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quot;£&quot;* #,##0.00_-;\-&quot;£&quot;* #,##0.00_-;_-&quot;£&quot;* &quot;-&quot;??_-;_-@_-"/>
    <numFmt numFmtId="43" formatCode="_-* #,##0.00_-;\-* #,##0.00_-;_-* &quot;-&quot;??_-;_-@_-"/>
    <numFmt numFmtId="164" formatCode="_-* #,##0_-;\-* #,##0_-;_-* &quot;-&quot;??_-;_-@_-"/>
    <numFmt numFmtId="165" formatCode="_-* #,##0.0000_-;\-* #,##0.0000_-;_-* &quot;-&quot;??_-;_-@_-"/>
    <numFmt numFmtId="166" formatCode="#,##0_ ;\-#,##0\ "/>
    <numFmt numFmtId="167" formatCode="[$-10409]#,##0;\(#,##0\)"/>
    <numFmt numFmtId="168" formatCode="_(* #,##0.00_);_(* \(#,##0.00\);_(* &quot;-&quot;??_);_(@_)"/>
    <numFmt numFmtId="169" formatCode="0_)"/>
  </numFmts>
  <fonts count="59">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8"/>
      <name val="Arial"/>
      <family val="2"/>
    </font>
    <font>
      <b/>
      <sz val="8"/>
      <name val="Arial"/>
      <family val="2"/>
    </font>
    <font>
      <sz val="10"/>
      <name val="Arial"/>
      <family val="2"/>
    </font>
    <font>
      <sz val="10"/>
      <name val="Wingdings"/>
      <charset val="2"/>
    </font>
    <font>
      <b/>
      <sz val="12"/>
      <name val="Arial"/>
      <family val="2"/>
    </font>
    <font>
      <sz val="10"/>
      <name val="Arial"/>
      <family val="2"/>
    </font>
    <font>
      <i/>
      <sz val="10"/>
      <name val="Arial"/>
      <family val="2"/>
    </font>
    <font>
      <sz val="10"/>
      <color indexed="9"/>
      <name val="Wingdings"/>
      <charset val="2"/>
    </font>
    <font>
      <sz val="10"/>
      <color indexed="17"/>
      <name val="Wingdings"/>
      <charset val="2"/>
    </font>
    <font>
      <sz val="10"/>
      <color indexed="9"/>
      <name val="Arial"/>
      <family val="2"/>
    </font>
    <font>
      <b/>
      <sz val="10"/>
      <color indexed="9"/>
      <name val="Arial"/>
      <family val="2"/>
    </font>
    <font>
      <b/>
      <sz val="10"/>
      <color indexed="17"/>
      <name val="Arial"/>
      <family val="2"/>
    </font>
    <font>
      <b/>
      <sz val="8"/>
      <color indexed="9"/>
      <name val="Arial"/>
      <family val="2"/>
    </font>
    <font>
      <sz val="8"/>
      <name val="Arial"/>
      <family val="2"/>
    </font>
    <font>
      <b/>
      <sz val="11"/>
      <color indexed="9"/>
      <name val="Arial"/>
      <family val="2"/>
    </font>
    <font>
      <sz val="11"/>
      <color theme="1"/>
      <name val="Calibri"/>
      <family val="2"/>
      <scheme val="minor"/>
    </font>
    <font>
      <b/>
      <sz val="10"/>
      <color theme="0"/>
      <name val="Arial"/>
      <family val="2"/>
    </font>
    <font>
      <sz val="10"/>
      <color rgb="FFFF0000"/>
      <name val="Arial"/>
      <family val="2"/>
    </font>
    <font>
      <sz val="11"/>
      <color rgb="FFFF0000"/>
      <name val="Calibri"/>
      <family val="2"/>
      <scheme val="minor"/>
    </font>
    <font>
      <b/>
      <sz val="12"/>
      <color theme="1"/>
      <name val="Calibri"/>
      <family val="2"/>
      <scheme val="minor"/>
    </font>
    <font>
      <sz val="10"/>
      <name val="MS Sans Serif"/>
      <family val="2"/>
    </font>
    <font>
      <sz val="11"/>
      <name val="Calibri"/>
      <family val="2"/>
      <scheme val="minor"/>
    </font>
    <font>
      <sz val="11"/>
      <name val="Calibri"/>
      <family val="2"/>
    </font>
    <font>
      <sz val="12"/>
      <color theme="1"/>
      <name val="Calibri"/>
      <family val="2"/>
      <scheme val="minor"/>
    </font>
    <font>
      <u/>
      <sz val="10"/>
      <color indexed="12"/>
      <name val="Arial"/>
      <family val="2"/>
    </font>
    <font>
      <u/>
      <sz val="11"/>
      <color theme="10"/>
      <name val="Calibri"/>
      <family val="2"/>
    </font>
    <font>
      <b/>
      <sz val="8"/>
      <color theme="0" tint="-0.34998626667073579"/>
      <name val="Arial"/>
      <family val="2"/>
    </font>
    <font>
      <sz val="8"/>
      <color theme="0" tint="-0.34998626667073579"/>
      <name val="Arial"/>
      <family val="2"/>
    </font>
    <font>
      <b/>
      <sz val="10"/>
      <color rgb="FF0070C0"/>
      <name val="Wingdings"/>
      <charset val="2"/>
    </font>
    <font>
      <b/>
      <sz val="11"/>
      <color theme="0"/>
      <name val="Arial"/>
      <family val="2"/>
    </font>
    <font>
      <b/>
      <sz val="12"/>
      <color theme="0"/>
      <name val="Arial"/>
      <family val="2"/>
    </font>
    <font>
      <b/>
      <sz val="10"/>
      <color rgb="FFFF0000"/>
      <name val="Arial"/>
      <family val="2"/>
    </font>
    <font>
      <sz val="10"/>
      <name val="Arial"/>
      <family val="2"/>
    </font>
    <font>
      <sz val="8"/>
      <color indexed="8"/>
      <name val="Arial"/>
      <family val="2"/>
    </font>
    <font>
      <b/>
      <sz val="10"/>
      <color indexed="8"/>
      <name val="Arial"/>
      <family val="2"/>
    </font>
    <font>
      <b/>
      <i/>
      <sz val="10"/>
      <color indexed="8"/>
      <name val="Arial"/>
      <family val="2"/>
    </font>
    <font>
      <sz val="10"/>
      <color indexed="8"/>
      <name val="Arial"/>
      <family val="2"/>
    </font>
    <font>
      <i/>
      <sz val="10"/>
      <color indexed="8"/>
      <name val="Arial"/>
      <family val="2"/>
    </font>
    <font>
      <sz val="11"/>
      <color rgb="FFFF0000"/>
      <name val="Calibri"/>
      <family val="2"/>
    </font>
    <font>
      <sz val="12"/>
      <name val="Utah"/>
    </font>
    <font>
      <sz val="8"/>
      <name val="Utah"/>
    </font>
    <font>
      <b/>
      <sz val="10"/>
      <color theme="6" tint="-0.499984740745262"/>
      <name val="Arial"/>
      <family val="2"/>
    </font>
    <font>
      <i/>
      <sz val="12"/>
      <name val="Arial"/>
      <family val="2"/>
    </font>
    <font>
      <sz val="12"/>
      <name val="Arial"/>
      <family val="2"/>
    </font>
    <font>
      <sz val="10"/>
      <color theme="0" tint="-0.499984740745262"/>
      <name val="Arial"/>
      <family val="2"/>
    </font>
    <font>
      <b/>
      <sz val="10"/>
      <color theme="0" tint="-0.499984740745262"/>
      <name val="Arial"/>
      <family val="2"/>
    </font>
    <font>
      <b/>
      <sz val="11"/>
      <color theme="1"/>
      <name val="Calibri"/>
      <family val="2"/>
      <scheme val="minor"/>
    </font>
    <font>
      <sz val="9"/>
      <color theme="1"/>
      <name val="Calibri"/>
      <family val="2"/>
      <scheme val="minor"/>
    </font>
  </fonts>
  <fills count="26">
    <fill>
      <patternFill patternType="none"/>
    </fill>
    <fill>
      <patternFill patternType="gray125"/>
    </fill>
    <fill>
      <patternFill patternType="solid">
        <fgColor indexed="13"/>
        <bgColor indexed="64"/>
      </patternFill>
    </fill>
    <fill>
      <patternFill patternType="solid">
        <fgColor indexed="43"/>
        <bgColor indexed="64"/>
      </patternFill>
    </fill>
    <fill>
      <patternFill patternType="solid">
        <fgColor indexed="9"/>
        <bgColor indexed="64"/>
      </patternFill>
    </fill>
    <fill>
      <patternFill patternType="solid">
        <fgColor indexed="10"/>
        <bgColor indexed="64"/>
      </patternFill>
    </fill>
    <fill>
      <patternFill patternType="solid">
        <fgColor indexed="53"/>
        <bgColor indexed="64"/>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6" tint="0.59999389629810485"/>
        <bgColor indexed="64"/>
      </patternFill>
    </fill>
    <fill>
      <patternFill patternType="solid">
        <fgColor theme="0"/>
        <bgColor indexed="64"/>
      </patternFill>
    </fill>
    <fill>
      <patternFill patternType="solid">
        <fgColor theme="0" tint="-0.14999847407452621"/>
        <bgColor indexed="64"/>
      </patternFill>
    </fill>
    <fill>
      <patternFill patternType="solid">
        <fgColor theme="6" tint="-0.499984740745262"/>
        <bgColor indexed="64"/>
      </patternFill>
    </fill>
    <fill>
      <patternFill patternType="solid">
        <fgColor indexed="9"/>
      </patternFill>
    </fill>
    <fill>
      <patternFill patternType="solid">
        <fgColor theme="0" tint="-0.249977111117893"/>
        <bgColor indexed="64"/>
      </patternFill>
    </fill>
  </fills>
  <borders count="39">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17"/>
      </top>
      <bottom style="thin">
        <color indexed="17"/>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style="thick">
        <color auto="1"/>
      </left>
      <right/>
      <top/>
      <bottom/>
      <diagonal/>
    </border>
    <border>
      <left style="thick">
        <color auto="1"/>
      </left>
      <right/>
      <top/>
      <bottom style="thin">
        <color indexed="64"/>
      </bottom>
      <diagonal/>
    </border>
    <border>
      <left style="thick">
        <color auto="1"/>
      </left>
      <right/>
      <top style="thin">
        <color indexed="64"/>
      </top>
      <bottom/>
      <diagonal/>
    </border>
    <border>
      <left/>
      <right/>
      <top style="thin">
        <color indexed="17"/>
      </top>
      <bottom/>
      <diagonal/>
    </border>
    <border>
      <left style="hair">
        <color theme="1" tint="0.499984740745262"/>
      </left>
      <right style="hair">
        <color theme="1" tint="0.499984740745262"/>
      </right>
      <top style="hair">
        <color theme="1" tint="0.499984740745262"/>
      </top>
      <bottom style="hair">
        <color theme="1" tint="0.499984740745262"/>
      </bottom>
      <diagonal/>
    </border>
    <border>
      <left style="hair">
        <color theme="1" tint="0.499984740745262"/>
      </left>
      <right/>
      <top style="hair">
        <color theme="1" tint="0.499984740745262"/>
      </top>
      <bottom style="hair">
        <color theme="1" tint="0.499984740745262"/>
      </bottom>
      <diagonal/>
    </border>
    <border>
      <left/>
      <right/>
      <top style="hair">
        <color theme="1" tint="0.499984740745262"/>
      </top>
      <bottom style="hair">
        <color theme="1" tint="0.499984740745262"/>
      </bottom>
      <diagonal/>
    </border>
    <border>
      <left/>
      <right style="hair">
        <color theme="1" tint="0.499984740745262"/>
      </right>
      <top style="hair">
        <color theme="1" tint="0.499984740745262"/>
      </top>
      <bottom/>
      <diagonal/>
    </border>
    <border>
      <left/>
      <right style="hair">
        <color theme="1" tint="0.499984740745262"/>
      </right>
      <top/>
      <bottom/>
      <diagonal/>
    </border>
    <border>
      <left style="hair">
        <color theme="1" tint="0.499984740745262"/>
      </left>
      <right/>
      <top/>
      <bottom style="hair">
        <color theme="1" tint="0.499984740745262"/>
      </bottom>
      <diagonal/>
    </border>
    <border>
      <left/>
      <right/>
      <top/>
      <bottom style="hair">
        <color theme="1" tint="0.499984740745262"/>
      </bottom>
      <diagonal/>
    </border>
    <border>
      <left style="hair">
        <color theme="1" tint="0.499984740745262"/>
      </left>
      <right style="hair">
        <color theme="1" tint="0.499984740745262"/>
      </right>
      <top style="hair">
        <color theme="1" tint="0.499984740745262"/>
      </top>
      <bottom/>
      <diagonal/>
    </border>
    <border>
      <left style="thin">
        <color indexed="64"/>
      </left>
      <right style="hair">
        <color theme="1" tint="0.499984740745262"/>
      </right>
      <top style="hair">
        <color theme="1" tint="0.499984740745262"/>
      </top>
      <bottom style="thin">
        <color indexed="64"/>
      </bottom>
      <diagonal/>
    </border>
    <border>
      <left style="hair">
        <color theme="1" tint="0.499984740745262"/>
      </left>
      <right style="thin">
        <color indexed="64"/>
      </right>
      <top style="hair">
        <color theme="1" tint="0.499984740745262"/>
      </top>
      <bottom style="thin">
        <color indexed="64"/>
      </bottom>
      <diagonal/>
    </border>
    <border>
      <left style="thin">
        <color indexed="64"/>
      </left>
      <right style="hair">
        <color theme="1" tint="0.499984740745262"/>
      </right>
      <top style="thin">
        <color indexed="64"/>
      </top>
      <bottom style="hair">
        <color theme="1" tint="0.499984740745262"/>
      </bottom>
      <diagonal/>
    </border>
    <border>
      <left style="hair">
        <color theme="1" tint="0.499984740745262"/>
      </left>
      <right style="hair">
        <color theme="1" tint="0.499984740745262"/>
      </right>
      <top style="thin">
        <color indexed="64"/>
      </top>
      <bottom style="hair">
        <color theme="1" tint="0.499984740745262"/>
      </bottom>
      <diagonal/>
    </border>
    <border>
      <left style="hair">
        <color theme="1" tint="0.499984740745262"/>
      </left>
      <right style="thin">
        <color indexed="64"/>
      </right>
      <top style="thin">
        <color indexed="64"/>
      </top>
      <bottom style="hair">
        <color theme="1" tint="0.499984740745262"/>
      </bottom>
      <diagonal/>
    </border>
    <border>
      <left style="hair">
        <color theme="1" tint="0.499984740745262"/>
      </left>
      <right style="hair">
        <color theme="1" tint="0.499984740745262"/>
      </right>
      <top style="hair">
        <color theme="1" tint="0.499984740745262"/>
      </top>
      <bottom style="thin">
        <color indexed="64"/>
      </bottom>
      <diagonal/>
    </border>
    <border>
      <left style="thin">
        <color indexed="64"/>
      </left>
      <right/>
      <top style="hair">
        <color theme="1" tint="0.499984740745262"/>
      </top>
      <bottom style="hair">
        <color theme="1" tint="0.499984740745262"/>
      </bottom>
      <diagonal/>
    </border>
    <border>
      <left style="thin">
        <color indexed="64"/>
      </left>
      <right/>
      <top style="hair">
        <color theme="1" tint="0.499984740745262"/>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hair">
        <color theme="1" tint="0.499984740745262"/>
      </top>
      <bottom style="hair">
        <color theme="1" tint="0.499984740745262"/>
      </bottom>
      <diagonal/>
    </border>
    <border>
      <left style="thin">
        <color indexed="64"/>
      </left>
      <right style="thin">
        <color indexed="64"/>
      </right>
      <top style="hair">
        <color theme="1" tint="0.499984740745262"/>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63">
    <xf numFmtId="0" fontId="0" fillId="0" borderId="0"/>
    <xf numFmtId="43" fontId="13" fillId="0" borderId="0" applyFont="0" applyFill="0" applyBorder="0" applyAlignment="0" applyProtection="0"/>
    <xf numFmtId="0" fontId="26" fillId="0" borderId="0"/>
    <xf numFmtId="0" fontId="26" fillId="0" borderId="0"/>
    <xf numFmtId="9" fontId="16" fillId="0" borderId="0" applyFont="0" applyFill="0" applyBorder="0" applyAlignment="0" applyProtection="0"/>
    <xf numFmtId="0" fontId="31" fillId="0" borderId="0"/>
    <xf numFmtId="0" fontId="9" fillId="0" borderId="0"/>
    <xf numFmtId="0" fontId="8" fillId="8" borderId="0" applyNumberFormat="0" applyBorder="0" applyAlignment="0" applyProtection="0"/>
    <xf numFmtId="0" fontId="8" fillId="8"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4" fillId="0" borderId="0" applyFont="0" applyFill="0" applyBorder="0" applyAlignment="0" applyProtection="0"/>
    <xf numFmtId="0" fontId="35" fillId="0" borderId="0" applyNumberFormat="0" applyFill="0" applyBorder="0" applyAlignment="0" applyProtection="0">
      <alignment vertical="top"/>
      <protection locked="0"/>
    </xf>
    <xf numFmtId="0" fontId="36" fillId="0" borderId="0" applyNumberFormat="0" applyFill="0" applyBorder="0" applyAlignment="0" applyProtection="0">
      <alignment vertical="top"/>
      <protection locked="0"/>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8" fillId="0" borderId="0"/>
    <xf numFmtId="0" fontId="8" fillId="7" borderId="10" applyNumberFormat="0" applyFont="0" applyAlignment="0" applyProtection="0"/>
    <xf numFmtId="0" fontId="8" fillId="7" borderId="10" applyNumberFormat="0" applyFont="0" applyAlignment="0" applyProtection="0"/>
    <xf numFmtId="9" fontId="8" fillId="0" borderId="0" applyFont="0" applyFill="0" applyBorder="0" applyAlignment="0" applyProtection="0"/>
    <xf numFmtId="37" fontId="9" fillId="0" borderId="0"/>
    <xf numFmtId="9" fontId="9" fillId="0" borderId="0" applyFont="0" applyFill="0" applyBorder="0" applyAlignment="0" applyProtection="0"/>
    <xf numFmtId="43" fontId="7" fillId="0" borderId="0" applyFont="0" applyFill="0" applyBorder="0" applyAlignment="0" applyProtection="0"/>
    <xf numFmtId="43" fontId="9" fillId="0" borderId="0" applyFont="0" applyFill="0" applyBorder="0" applyAlignment="0" applyProtection="0"/>
    <xf numFmtId="0" fontId="43" fillId="0" borderId="0"/>
    <xf numFmtId="44" fontId="43" fillId="0" borderId="0" applyFont="0" applyFill="0" applyBorder="0" applyAlignment="0" applyProtection="0"/>
    <xf numFmtId="168" fontId="9" fillId="0" borderId="0" applyFont="0" applyFill="0" applyBorder="0" applyAlignment="0" applyProtection="0"/>
    <xf numFmtId="0" fontId="50" fillId="24" borderId="0"/>
    <xf numFmtId="0" fontId="6" fillId="0" borderId="0"/>
    <xf numFmtId="0" fontId="5" fillId="0" borderId="0"/>
    <xf numFmtId="43" fontId="5" fillId="0" borderId="0" applyFont="0" applyFill="0" applyBorder="0" applyAlignment="0" applyProtection="0"/>
    <xf numFmtId="9" fontId="5" fillId="0" borderId="0" applyFont="0" applyFill="0" applyBorder="0" applyAlignment="0" applyProtection="0"/>
  </cellStyleXfs>
  <cellXfs count="301">
    <xf numFmtId="0" fontId="0" fillId="0" borderId="0" xfId="0"/>
    <xf numFmtId="0" fontId="10" fillId="0" borderId="0" xfId="0" applyFont="1"/>
    <xf numFmtId="0" fontId="0" fillId="0" borderId="0" xfId="0" applyAlignment="1">
      <alignment horizontal="center"/>
    </xf>
    <xf numFmtId="0" fontId="0" fillId="0" borderId="0" xfId="0" applyAlignment="1">
      <alignment horizontal="left"/>
    </xf>
    <xf numFmtId="0" fontId="9"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0" fillId="0" borderId="5" xfId="0" applyBorder="1"/>
    <xf numFmtId="0" fontId="14" fillId="0" borderId="0" xfId="0" applyFont="1"/>
    <xf numFmtId="0" fontId="18" fillId="0" borderId="6" xfId="0" applyFont="1" applyBorder="1" applyAlignment="1">
      <alignment horizontal="center"/>
    </xf>
    <xf numFmtId="2" fontId="0" fillId="0" borderId="0" xfId="0" applyNumberFormat="1" applyAlignment="1">
      <alignment horizontal="center"/>
    </xf>
    <xf numFmtId="0" fontId="9" fillId="0" borderId="0" xfId="0" applyFont="1" applyAlignment="1">
      <alignment horizontal="center" vertical="center" textRotation="90"/>
    </xf>
    <xf numFmtId="0" fontId="18" fillId="0" borderId="0" xfId="0" applyFont="1" applyAlignment="1">
      <alignment horizontal="center"/>
    </xf>
    <xf numFmtId="2" fontId="0" fillId="0" borderId="0" xfId="0" applyNumberFormat="1"/>
    <xf numFmtId="0" fontId="9" fillId="0" borderId="0" xfId="0" applyFont="1" applyAlignment="1">
      <alignment horizontal="center"/>
    </xf>
    <xf numFmtId="0" fontId="19" fillId="0" borderId="6" xfId="0" applyFont="1" applyBorder="1" applyAlignment="1">
      <alignment horizontal="center"/>
    </xf>
    <xf numFmtId="0" fontId="20" fillId="0" borderId="0" xfId="0" applyFont="1"/>
    <xf numFmtId="0" fontId="13" fillId="0" borderId="0" xfId="0" applyFont="1" applyAlignment="1">
      <alignment horizontal="left"/>
    </xf>
    <xf numFmtId="0" fontId="0" fillId="0" borderId="7" xfId="0" applyBorder="1"/>
    <xf numFmtId="2" fontId="27" fillId="0" borderId="0" xfId="0" applyNumberFormat="1" applyFont="1"/>
    <xf numFmtId="0" fontId="0" fillId="20" borderId="0" xfId="0" applyFill="1"/>
    <xf numFmtId="0" fontId="30" fillId="0" borderId="0" xfId="0" applyFont="1" applyAlignment="1">
      <alignment wrapText="1"/>
    </xf>
    <xf numFmtId="0" fontId="30" fillId="0" borderId="0" xfId="0" applyFont="1" applyAlignment="1">
      <alignment horizontal="left" wrapText="1"/>
    </xf>
    <xf numFmtId="0" fontId="9" fillId="0" borderId="0" xfId="0" applyFont="1" applyAlignment="1">
      <alignment horizontal="left"/>
    </xf>
    <xf numFmtId="0" fontId="9" fillId="0" borderId="0" xfId="5" applyFont="1" applyAlignment="1">
      <alignment horizontal="center"/>
    </xf>
    <xf numFmtId="0" fontId="32" fillId="0" borderId="0" xfId="0" applyFont="1"/>
    <xf numFmtId="0" fontId="0" fillId="0" borderId="0" xfId="5" applyFont="1" applyAlignment="1">
      <alignment horizontal="center"/>
    </xf>
    <xf numFmtId="0" fontId="28" fillId="0" borderId="0" xfId="0" applyFont="1" applyAlignment="1">
      <alignment horizontal="left"/>
    </xf>
    <xf numFmtId="0" fontId="33" fillId="0" borderId="0" xfId="0" applyFont="1"/>
    <xf numFmtId="0" fontId="28" fillId="0" borderId="0" xfId="0" applyFont="1"/>
    <xf numFmtId="0" fontId="29" fillId="0" borderId="0" xfId="0" applyFont="1"/>
    <xf numFmtId="0" fontId="10" fillId="0" borderId="4" xfId="0" applyFont="1" applyBorder="1"/>
    <xf numFmtId="0" fontId="0" fillId="22" borderId="0" xfId="0" applyFill="1"/>
    <xf numFmtId="0" fontId="0" fillId="0" borderId="9" xfId="0" applyBorder="1"/>
    <xf numFmtId="0" fontId="0" fillId="0" borderId="1" xfId="0" applyBorder="1" applyAlignment="1">
      <alignment horizontal="left"/>
    </xf>
    <xf numFmtId="0" fontId="10" fillId="0" borderId="0" xfId="0" applyFont="1" applyAlignment="1">
      <alignment horizontal="right"/>
    </xf>
    <xf numFmtId="0" fontId="28" fillId="0" borderId="1" xfId="0" applyFont="1" applyBorder="1" applyAlignment="1">
      <alignment horizontal="left"/>
    </xf>
    <xf numFmtId="0" fontId="10" fillId="0" borderId="1" xfId="0" applyFont="1" applyBorder="1"/>
    <xf numFmtId="1" fontId="0" fillId="0" borderId="0" xfId="0" applyNumberFormat="1" applyAlignment="1">
      <alignment horizontal="left"/>
    </xf>
    <xf numFmtId="1" fontId="0" fillId="0" borderId="0" xfId="0" applyNumberFormat="1"/>
    <xf numFmtId="0" fontId="0" fillId="0" borderId="0" xfId="0" applyAlignment="1">
      <alignment horizontal="right"/>
    </xf>
    <xf numFmtId="2" fontId="0" fillId="0" borderId="0" xfId="0" applyNumberFormat="1" applyAlignment="1">
      <alignment horizontal="left"/>
    </xf>
    <xf numFmtId="0" fontId="0" fillId="0" borderId="8" xfId="0" applyBorder="1" applyAlignment="1">
      <alignment horizontal="left"/>
    </xf>
    <xf numFmtId="0" fontId="0" fillId="0" borderId="9" xfId="0" applyBorder="1" applyAlignment="1">
      <alignment horizontal="right"/>
    </xf>
    <xf numFmtId="0" fontId="0" fillId="0" borderId="8" xfId="0" applyBorder="1"/>
    <xf numFmtId="0" fontId="17" fillId="0" borderId="0" xfId="0" applyFont="1"/>
    <xf numFmtId="0" fontId="28" fillId="0" borderId="0" xfId="0" applyFont="1" applyAlignment="1">
      <alignment horizontal="left" wrapText="1"/>
    </xf>
    <xf numFmtId="1" fontId="0" fillId="0" borderId="1" xfId="0" applyNumberFormat="1" applyBorder="1" applyAlignment="1">
      <alignment horizontal="left"/>
    </xf>
    <xf numFmtId="1" fontId="17" fillId="0" borderId="0" xfId="0" applyNumberFormat="1" applyFont="1" applyAlignment="1">
      <alignment horizontal="left"/>
    </xf>
    <xf numFmtId="0" fontId="10" fillId="0" borderId="3" xfId="0" applyFont="1" applyBorder="1" applyAlignment="1">
      <alignment horizontal="left"/>
    </xf>
    <xf numFmtId="0" fontId="10" fillId="0" borderId="4" xfId="0" applyFont="1" applyBorder="1" applyAlignment="1">
      <alignment horizontal="right"/>
    </xf>
    <xf numFmtId="0" fontId="10" fillId="0" borderId="3" xfId="0" applyFont="1" applyBorder="1"/>
    <xf numFmtId="0" fontId="10" fillId="0" borderId="4" xfId="0" applyFont="1" applyBorder="1" applyAlignment="1">
      <alignment horizontal="left"/>
    </xf>
    <xf numFmtId="0" fontId="0" fillId="21" borderId="0" xfId="0" applyFill="1"/>
    <xf numFmtId="0" fontId="38" fillId="22" borderId="0" xfId="0" applyFont="1" applyFill="1"/>
    <xf numFmtId="0" fontId="37" fillId="0" borderId="0" xfId="0" applyFont="1"/>
    <xf numFmtId="0" fontId="37" fillId="0" borderId="4" xfId="0" applyFont="1" applyBorder="1"/>
    <xf numFmtId="0" fontId="38" fillId="0" borderId="0" xfId="0" applyFont="1"/>
    <xf numFmtId="0" fontId="38" fillId="0" borderId="0" xfId="0" quotePrefix="1" applyFont="1"/>
    <xf numFmtId="0" fontId="38" fillId="0" borderId="9" xfId="0" applyFont="1" applyBorder="1"/>
    <xf numFmtId="0" fontId="0" fillId="22" borderId="1" xfId="0" applyFill="1" applyBorder="1"/>
    <xf numFmtId="0" fontId="10" fillId="22" borderId="0" xfId="0" applyFont="1" applyFill="1" applyAlignment="1">
      <alignment horizontal="right"/>
    </xf>
    <xf numFmtId="0" fontId="0" fillId="22" borderId="8" xfId="0" applyFill="1" applyBorder="1"/>
    <xf numFmtId="0" fontId="10" fillId="22" borderId="0" xfId="0" applyFont="1" applyFill="1" applyAlignment="1">
      <alignment horizontal="left"/>
    </xf>
    <xf numFmtId="0" fontId="28" fillId="22" borderId="1" xfId="0" applyFont="1" applyFill="1" applyBorder="1"/>
    <xf numFmtId="0" fontId="10" fillId="22" borderId="0" xfId="0" applyFont="1" applyFill="1"/>
    <xf numFmtId="0" fontId="0" fillId="21" borderId="11" xfId="0" applyFill="1" applyBorder="1"/>
    <xf numFmtId="10" fontId="0" fillId="0" borderId="0" xfId="0" applyNumberFormat="1"/>
    <xf numFmtId="37" fontId="10" fillId="0" borderId="0" xfId="51" applyFont="1"/>
    <xf numFmtId="37" fontId="9" fillId="0" borderId="0" xfId="51"/>
    <xf numFmtId="37" fontId="0" fillId="0" borderId="0" xfId="51" applyFont="1"/>
    <xf numFmtId="2" fontId="0" fillId="22" borderId="0" xfId="0" applyNumberFormat="1" applyFill="1"/>
    <xf numFmtId="2" fontId="10" fillId="0" borderId="4" xfId="0" applyNumberFormat="1" applyFont="1" applyBorder="1"/>
    <xf numFmtId="2" fontId="0" fillId="0" borderId="9" xfId="0" applyNumberFormat="1" applyBorder="1"/>
    <xf numFmtId="0" fontId="0" fillId="22" borderId="0" xfId="0" applyFill="1" applyAlignment="1">
      <alignment horizontal="right"/>
    </xf>
    <xf numFmtId="10" fontId="0" fillId="22" borderId="0" xfId="4" applyNumberFormat="1" applyFont="1" applyFill="1" applyAlignment="1">
      <alignment horizontal="right"/>
    </xf>
    <xf numFmtId="0" fontId="0" fillId="22" borderId="0" xfId="4" applyNumberFormat="1" applyFont="1" applyFill="1" applyAlignment="1">
      <alignment horizontal="right"/>
    </xf>
    <xf numFmtId="1" fontId="0" fillId="0" borderId="0" xfId="0" applyNumberFormat="1" applyAlignment="1">
      <alignment horizontal="right"/>
    </xf>
    <xf numFmtId="0" fontId="0" fillId="22" borderId="12" xfId="0" applyFill="1" applyBorder="1"/>
    <xf numFmtId="0" fontId="0" fillId="0" borderId="12" xfId="0" applyBorder="1"/>
    <xf numFmtId="0" fontId="0" fillId="0" borderId="14" xfId="0" applyBorder="1"/>
    <xf numFmtId="10" fontId="0" fillId="22" borderId="0" xfId="4" applyNumberFormat="1" applyFont="1" applyFill="1" applyAlignment="1">
      <alignment horizontal="left"/>
    </xf>
    <xf numFmtId="0" fontId="17" fillId="22" borderId="0" xfId="0" applyFont="1" applyFill="1"/>
    <xf numFmtId="0" fontId="17" fillId="22" borderId="0" xfId="0" applyFont="1" applyFill="1" applyAlignment="1">
      <alignment vertical="top"/>
    </xf>
    <xf numFmtId="0" fontId="28" fillId="0" borderId="1" xfId="0" applyFont="1" applyBorder="1" applyAlignment="1">
      <alignment wrapText="1"/>
    </xf>
    <xf numFmtId="0" fontId="28" fillId="0" borderId="0" xfId="0" applyFont="1" applyAlignment="1">
      <alignment wrapText="1"/>
    </xf>
    <xf numFmtId="165" fontId="42" fillId="0" borderId="0" xfId="54" applyNumberFormat="1" applyFont="1" applyFill="1" applyBorder="1" applyAlignment="1">
      <alignment horizontal="right"/>
    </xf>
    <xf numFmtId="0" fontId="0" fillId="22" borderId="0" xfId="4" applyNumberFormat="1" applyFont="1" applyFill="1"/>
    <xf numFmtId="0" fontId="10" fillId="22" borderId="0" xfId="4" applyNumberFormat="1" applyFont="1" applyFill="1" applyBorder="1" applyAlignment="1">
      <alignment horizontal="right"/>
    </xf>
    <xf numFmtId="0" fontId="10" fillId="0" borderId="0" xfId="4" applyNumberFormat="1" applyFont="1" applyFill="1"/>
    <xf numFmtId="0" fontId="0" fillId="0" borderId="0" xfId="4" applyNumberFormat="1" applyFont="1" applyFill="1" applyBorder="1" applyAlignment="1">
      <alignment horizontal="right"/>
    </xf>
    <xf numFmtId="0" fontId="10" fillId="0" borderId="0" xfId="4" applyNumberFormat="1" applyFont="1" applyFill="1" applyBorder="1" applyAlignment="1">
      <alignment horizontal="right"/>
    </xf>
    <xf numFmtId="0" fontId="10" fillId="0" borderId="4" xfId="4" applyNumberFormat="1" applyFont="1" applyFill="1" applyBorder="1" applyAlignment="1">
      <alignment horizontal="right"/>
    </xf>
    <xf numFmtId="0" fontId="0" fillId="0" borderId="4" xfId="4" applyNumberFormat="1" applyFont="1" applyFill="1" applyBorder="1"/>
    <xf numFmtId="0" fontId="0" fillId="0" borderId="0" xfId="4" applyNumberFormat="1" applyFont="1" applyFill="1"/>
    <xf numFmtId="0" fontId="0" fillId="0" borderId="9" xfId="4" applyNumberFormat="1" applyFont="1" applyFill="1" applyBorder="1" applyAlignment="1">
      <alignment horizontal="right"/>
    </xf>
    <xf numFmtId="43" fontId="21" fillId="23" borderId="6" xfId="54" applyFont="1" applyFill="1" applyBorder="1"/>
    <xf numFmtId="43" fontId="39" fillId="23" borderId="6" xfId="54" applyFont="1" applyFill="1" applyBorder="1" applyAlignment="1">
      <alignment horizontal="center"/>
    </xf>
    <xf numFmtId="43" fontId="21" fillId="23" borderId="6" xfId="54" applyFont="1" applyFill="1" applyBorder="1" applyAlignment="1"/>
    <xf numFmtId="43" fontId="0" fillId="0" borderId="6" xfId="54" applyFont="1" applyBorder="1"/>
    <xf numFmtId="43" fontId="18" fillId="0" borderId="6" xfId="54" applyFont="1" applyBorder="1" applyAlignment="1">
      <alignment horizontal="center"/>
    </xf>
    <xf numFmtId="43" fontId="0" fillId="0" borderId="6" xfId="54" applyFont="1" applyBorder="1" applyAlignment="1"/>
    <xf numFmtId="43" fontId="0" fillId="0" borderId="0" xfId="54" applyFont="1"/>
    <xf numFmtId="43" fontId="9" fillId="0" borderId="6" xfId="54" applyFont="1" applyBorder="1" applyAlignment="1">
      <alignment horizontal="center"/>
    </xf>
    <xf numFmtId="43" fontId="0" fillId="0" borderId="6" xfId="54" applyFont="1" applyBorder="1" applyAlignment="1">
      <alignment horizontal="center"/>
    </xf>
    <xf numFmtId="2" fontId="17" fillId="0" borderId="0" xfId="0" applyNumberFormat="1" applyFont="1"/>
    <xf numFmtId="0" fontId="10" fillId="22" borderId="0" xfId="4" applyNumberFormat="1" applyFont="1" applyFill="1"/>
    <xf numFmtId="0" fontId="10" fillId="22" borderId="0" xfId="4" applyNumberFormat="1" applyFont="1" applyFill="1" applyBorder="1"/>
    <xf numFmtId="0" fontId="9" fillId="22" borderId="0" xfId="4" applyNumberFormat="1" applyFont="1" applyFill="1"/>
    <xf numFmtId="0" fontId="0" fillId="22" borderId="0" xfId="4" applyNumberFormat="1" applyFont="1" applyFill="1" applyBorder="1" applyAlignment="1">
      <alignment horizontal="right"/>
    </xf>
    <xf numFmtId="2" fontId="0" fillId="0" borderId="0" xfId="4" applyNumberFormat="1" applyFont="1" applyFill="1" applyBorder="1" applyAlignment="1">
      <alignment horizontal="right"/>
    </xf>
    <xf numFmtId="43" fontId="9" fillId="0" borderId="0" xfId="54" applyFont="1" applyBorder="1" applyAlignment="1">
      <alignment vertical="center" textRotation="90"/>
    </xf>
    <xf numFmtId="43" fontId="0" fillId="0" borderId="15" xfId="54" applyFont="1" applyBorder="1"/>
    <xf numFmtId="43" fontId="18" fillId="0" borderId="15" xfId="54" applyFont="1" applyBorder="1" applyAlignment="1">
      <alignment horizontal="center"/>
    </xf>
    <xf numFmtId="43" fontId="0" fillId="0" borderId="15" xfId="54" applyFont="1" applyBorder="1" applyAlignment="1"/>
    <xf numFmtId="1" fontId="0" fillId="0" borderId="0" xfId="4" applyNumberFormat="1" applyFont="1" applyFill="1" applyBorder="1" applyAlignment="1">
      <alignment horizontal="right"/>
    </xf>
    <xf numFmtId="0" fontId="9" fillId="0" borderId="0" xfId="0" applyFont="1" applyAlignment="1">
      <alignment vertical="top" wrapText="1"/>
    </xf>
    <xf numFmtId="0" fontId="9" fillId="0" borderId="4" xfId="0" applyFont="1" applyBorder="1" applyAlignment="1">
      <alignment vertical="top" wrapText="1"/>
    </xf>
    <xf numFmtId="167" fontId="46" fillId="0" borderId="0" xfId="37" applyNumberFormat="1" applyFont="1" applyAlignment="1" applyProtection="1">
      <alignment horizontal="right" vertical="top" wrapText="1" readingOrder="1"/>
      <protection locked="0"/>
    </xf>
    <xf numFmtId="0" fontId="47" fillId="0" borderId="0" xfId="0" applyFont="1" applyAlignment="1" applyProtection="1">
      <alignment vertical="top" wrapText="1" readingOrder="1"/>
      <protection locked="0"/>
    </xf>
    <xf numFmtId="167" fontId="48" fillId="0" borderId="0" xfId="37" applyNumberFormat="1" applyFont="1" applyAlignment="1" applyProtection="1">
      <alignment horizontal="right" vertical="top" wrapText="1" readingOrder="1"/>
      <protection locked="0"/>
    </xf>
    <xf numFmtId="0" fontId="9" fillId="0" borderId="0" xfId="37" applyAlignment="1">
      <alignment readingOrder="1"/>
    </xf>
    <xf numFmtId="49" fontId="11" fillId="0" borderId="0" xfId="57" applyNumberFormat="1" applyFont="1" applyFill="1" applyBorder="1" applyAlignment="1">
      <alignment horizontal="right"/>
    </xf>
    <xf numFmtId="49" fontId="51" fillId="0" borderId="0" xfId="58" applyNumberFormat="1" applyFont="1" applyFill="1" applyAlignment="1">
      <alignment horizontal="right"/>
    </xf>
    <xf numFmtId="0" fontId="49" fillId="0" borderId="0" xfId="0" applyFont="1"/>
    <xf numFmtId="0" fontId="28" fillId="22" borderId="0" xfId="0" applyFont="1" applyFill="1"/>
    <xf numFmtId="0" fontId="0" fillId="22" borderId="0" xfId="0" quotePrefix="1" applyFill="1"/>
    <xf numFmtId="0" fontId="10" fillId="22" borderId="13" xfId="0" applyFont="1" applyFill="1" applyBorder="1"/>
    <xf numFmtId="0" fontId="10" fillId="22" borderId="4" xfId="0" applyFont="1" applyFill="1" applyBorder="1"/>
    <xf numFmtId="0" fontId="0" fillId="22" borderId="4" xfId="0" applyFill="1" applyBorder="1"/>
    <xf numFmtId="0" fontId="44" fillId="22" borderId="0" xfId="37" applyFont="1" applyFill="1" applyAlignment="1" applyProtection="1">
      <alignment horizontal="right" vertical="top" wrapText="1" readingOrder="1"/>
      <protection locked="0"/>
    </xf>
    <xf numFmtId="0" fontId="0" fillId="22" borderId="0" xfId="0" applyFill="1" applyAlignment="1">
      <alignment wrapText="1"/>
    </xf>
    <xf numFmtId="0" fontId="9" fillId="0" borderId="0" xfId="37"/>
    <xf numFmtId="0" fontId="12" fillId="22" borderId="0" xfId="0" applyFont="1" applyFill="1"/>
    <xf numFmtId="0" fontId="22" fillId="0" borderId="0" xfId="0" applyFont="1"/>
    <xf numFmtId="0" fontId="52" fillId="0" borderId="0" xfId="0" applyFont="1"/>
    <xf numFmtId="0" fontId="10" fillId="25" borderId="16" xfId="60" applyFont="1" applyFill="1" applyBorder="1"/>
    <xf numFmtId="169" fontId="10" fillId="25" borderId="16" xfId="60" applyNumberFormat="1" applyFont="1" applyFill="1" applyBorder="1" applyAlignment="1">
      <alignment horizontal="left"/>
    </xf>
    <xf numFmtId="0" fontId="9" fillId="25" borderId="0" xfId="0" applyFont="1" applyFill="1"/>
    <xf numFmtId="0" fontId="10" fillId="25" borderId="22" xfId="60" applyFont="1" applyFill="1" applyBorder="1" applyProtection="1">
      <protection locked="0"/>
    </xf>
    <xf numFmtId="0" fontId="10" fillId="25" borderId="17" xfId="60" applyFont="1" applyFill="1" applyBorder="1" applyAlignment="1">
      <alignment wrapText="1"/>
    </xf>
    <xf numFmtId="0" fontId="10" fillId="25" borderId="17" xfId="60" applyFont="1" applyFill="1" applyBorder="1"/>
    <xf numFmtId="0" fontId="5" fillId="0" borderId="18" xfId="60" applyBorder="1" applyProtection="1">
      <protection locked="0"/>
    </xf>
    <xf numFmtId="0" fontId="10" fillId="25" borderId="16" xfId="60" applyFont="1" applyFill="1" applyBorder="1" applyAlignment="1">
      <alignment horizontal="left"/>
    </xf>
    <xf numFmtId="0" fontId="42" fillId="25" borderId="21" xfId="60" applyFont="1" applyFill="1" applyBorder="1" applyProtection="1">
      <protection locked="0"/>
    </xf>
    <xf numFmtId="167" fontId="45" fillId="0" borderId="0" xfId="37" applyNumberFormat="1" applyFont="1" applyAlignment="1" applyProtection="1">
      <alignment horizontal="right" vertical="top" wrapText="1" readingOrder="1"/>
      <protection locked="0"/>
    </xf>
    <xf numFmtId="0" fontId="11" fillId="22" borderId="0" xfId="0" applyFont="1" applyFill="1"/>
    <xf numFmtId="0" fontId="42" fillId="0" borderId="0" xfId="0" applyFont="1" applyAlignment="1" applyProtection="1">
      <alignment vertical="top" wrapText="1" readingOrder="1"/>
      <protection locked="0"/>
    </xf>
    <xf numFmtId="0" fontId="0" fillId="25" borderId="0" xfId="0" applyFill="1"/>
    <xf numFmtId="0" fontId="48" fillId="0" borderId="0" xfId="37" applyFont="1" applyAlignment="1" applyProtection="1">
      <alignment horizontal="right" vertical="top" wrapText="1" readingOrder="1"/>
      <protection locked="0"/>
    </xf>
    <xf numFmtId="0" fontId="44" fillId="0" borderId="0" xfId="37" applyFont="1" applyAlignment="1" applyProtection="1">
      <alignment vertical="top" wrapText="1" readingOrder="1"/>
      <protection locked="0"/>
    </xf>
    <xf numFmtId="0" fontId="47" fillId="0" borderId="0" xfId="37" applyFont="1" applyAlignment="1" applyProtection="1">
      <alignment horizontal="right" vertical="top" wrapText="1" readingOrder="1"/>
      <protection locked="0"/>
    </xf>
    <xf numFmtId="167" fontId="47" fillId="0" borderId="0" xfId="37" applyNumberFormat="1" applyFont="1" applyAlignment="1" applyProtection="1">
      <alignment horizontal="right" vertical="top" wrapText="1" readingOrder="1"/>
      <protection locked="0"/>
    </xf>
    <xf numFmtId="0" fontId="44" fillId="0" borderId="0" xfId="37" applyFont="1" applyAlignment="1" applyProtection="1">
      <alignment horizontal="left" vertical="top" wrapText="1" readingOrder="1"/>
      <protection locked="0"/>
    </xf>
    <xf numFmtId="0" fontId="0" fillId="0" borderId="16" xfId="60" applyFont="1" applyBorder="1" applyProtection="1">
      <protection locked="0"/>
    </xf>
    <xf numFmtId="0" fontId="53" fillId="22" borderId="0" xfId="0" applyFont="1" applyFill="1"/>
    <xf numFmtId="0" fontId="54" fillId="22" borderId="0" xfId="0" applyFont="1" applyFill="1"/>
    <xf numFmtId="0" fontId="54" fillId="22" borderId="0" xfId="0" applyFont="1" applyFill="1" applyAlignment="1">
      <alignment horizontal="right"/>
    </xf>
    <xf numFmtId="10" fontId="9" fillId="22" borderId="0" xfId="4" applyNumberFormat="1" applyFont="1" applyFill="1" applyAlignment="1">
      <alignment horizontal="right"/>
    </xf>
    <xf numFmtId="0" fontId="9" fillId="25" borderId="0" xfId="0" applyFont="1" applyFill="1" applyAlignment="1">
      <alignment wrapText="1"/>
    </xf>
    <xf numFmtId="0" fontId="11" fillId="22" borderId="4" xfId="0" applyFont="1" applyFill="1" applyBorder="1"/>
    <xf numFmtId="0" fontId="10" fillId="25" borderId="23" xfId="60" applyFont="1" applyFill="1" applyBorder="1"/>
    <xf numFmtId="0" fontId="9" fillId="0" borderId="0" xfId="0" applyFont="1" applyAlignment="1" applyProtection="1">
      <alignment wrapText="1"/>
      <protection locked="0"/>
    </xf>
    <xf numFmtId="0" fontId="9" fillId="0" borderId="0" xfId="0" applyFont="1" applyProtection="1">
      <protection locked="0"/>
    </xf>
    <xf numFmtId="0" fontId="0" fillId="0" borderId="0" xfId="0" applyProtection="1">
      <protection locked="0"/>
    </xf>
    <xf numFmtId="0" fontId="55" fillId="22" borderId="1" xfId="0" applyFont="1" applyFill="1" applyBorder="1"/>
    <xf numFmtId="0" fontId="55" fillId="22" borderId="0" xfId="0" applyFont="1" applyFill="1"/>
    <xf numFmtId="0" fontId="55" fillId="22" borderId="1" xfId="0" applyFont="1" applyFill="1" applyBorder="1" applyAlignment="1">
      <alignment horizontal="left"/>
    </xf>
    <xf numFmtId="165" fontId="56" fillId="22" borderId="0" xfId="54" applyNumberFormat="1" applyFont="1" applyFill="1" applyBorder="1" applyAlignment="1">
      <alignment horizontal="right"/>
    </xf>
    <xf numFmtId="0" fontId="56" fillId="22" borderId="0" xfId="0" applyFont="1" applyFill="1"/>
    <xf numFmtId="0" fontId="56" fillId="22" borderId="3" xfId="0" applyFont="1" applyFill="1" applyBorder="1"/>
    <xf numFmtId="0" fontId="56" fillId="22" borderId="4" xfId="0" applyFont="1" applyFill="1" applyBorder="1"/>
    <xf numFmtId="1" fontId="55" fillId="22" borderId="0" xfId="0" applyNumberFormat="1" applyFont="1" applyFill="1" applyAlignment="1">
      <alignment horizontal="left"/>
    </xf>
    <xf numFmtId="0" fontId="55" fillId="22" borderId="0" xfId="0" applyFont="1" applyFill="1" applyAlignment="1">
      <alignment horizontal="left"/>
    </xf>
    <xf numFmtId="0" fontId="55" fillId="22" borderId="8" xfId="0" applyFont="1" applyFill="1" applyBorder="1"/>
    <xf numFmtId="0" fontId="55" fillId="22" borderId="9" xfId="0" applyFont="1" applyFill="1" applyBorder="1"/>
    <xf numFmtId="0" fontId="55" fillId="22" borderId="1" xfId="0" applyFont="1" applyFill="1" applyBorder="1" applyAlignment="1">
      <alignment wrapText="1"/>
    </xf>
    <xf numFmtId="0" fontId="55" fillId="22" borderId="0" xfId="0" applyFont="1" applyFill="1" applyAlignment="1">
      <alignment wrapText="1"/>
    </xf>
    <xf numFmtId="1" fontId="55" fillId="22" borderId="1" xfId="0" applyNumberFormat="1" applyFont="1" applyFill="1" applyBorder="1" applyAlignment="1">
      <alignment horizontal="left"/>
    </xf>
    <xf numFmtId="0" fontId="0" fillId="0" borderId="0" xfId="0" quotePrefix="1"/>
    <xf numFmtId="0" fontId="0" fillId="0" borderId="0" xfId="0" quotePrefix="1" applyAlignment="1">
      <alignment wrapText="1"/>
    </xf>
    <xf numFmtId="0" fontId="10" fillId="22" borderId="8" xfId="0" applyFont="1" applyFill="1" applyBorder="1"/>
    <xf numFmtId="0" fontId="10" fillId="22" borderId="7" xfId="0" applyFont="1" applyFill="1" applyBorder="1"/>
    <xf numFmtId="0" fontId="58" fillId="0" borderId="26" xfId="60" applyFont="1" applyBorder="1" applyAlignment="1" applyProtection="1">
      <alignment wrapText="1"/>
      <protection locked="0"/>
    </xf>
    <xf numFmtId="0" fontId="58" fillId="0" borderId="27" xfId="60" applyFont="1" applyBorder="1" applyAlignment="1" applyProtection="1">
      <alignment wrapText="1"/>
      <protection locked="0"/>
    </xf>
    <xf numFmtId="0" fontId="58" fillId="0" borderId="28" xfId="60" applyFont="1" applyBorder="1" applyAlignment="1" applyProtection="1">
      <alignment wrapText="1"/>
      <protection locked="0"/>
    </xf>
    <xf numFmtId="0" fontId="58" fillId="0" borderId="24" xfId="60" applyFont="1" applyBorder="1" applyAlignment="1" applyProtection="1">
      <alignment wrapText="1"/>
      <protection locked="0"/>
    </xf>
    <xf numFmtId="0" fontId="58" fillId="0" borderId="29" xfId="60" applyFont="1" applyBorder="1" applyAlignment="1" applyProtection="1">
      <alignment wrapText="1"/>
      <protection locked="0"/>
    </xf>
    <xf numFmtId="0" fontId="58" fillId="0" borderId="25" xfId="60" applyFont="1" applyBorder="1" applyAlignment="1" applyProtection="1">
      <alignment wrapText="1"/>
      <protection locked="0"/>
    </xf>
    <xf numFmtId="0" fontId="58" fillId="0" borderId="30" xfId="60" applyFont="1" applyBorder="1" applyAlignment="1" applyProtection="1">
      <alignment wrapText="1"/>
      <protection locked="0"/>
    </xf>
    <xf numFmtId="0" fontId="58" fillId="0" borderId="31" xfId="60" applyFont="1" applyBorder="1" applyAlignment="1" applyProtection="1">
      <alignment vertical="top" wrapText="1"/>
      <protection locked="0"/>
    </xf>
    <xf numFmtId="0" fontId="10" fillId="22" borderId="32" xfId="0" applyFont="1" applyFill="1" applyBorder="1"/>
    <xf numFmtId="0" fontId="58" fillId="0" borderId="33" xfId="60" applyFont="1" applyBorder="1" applyAlignment="1" applyProtection="1">
      <alignment wrapText="1"/>
      <protection locked="0"/>
    </xf>
    <xf numFmtId="0" fontId="58" fillId="0" borderId="34" xfId="60" applyFont="1" applyBorder="1" applyAlignment="1" applyProtection="1">
      <alignment vertical="top" wrapText="1"/>
      <protection locked="0"/>
    </xf>
    <xf numFmtId="0" fontId="58" fillId="0" borderId="32" xfId="60" applyFont="1" applyBorder="1" applyAlignment="1" applyProtection="1">
      <alignment wrapText="1"/>
      <protection locked="0"/>
    </xf>
    <xf numFmtId="0" fontId="58" fillId="0" borderId="36" xfId="60" applyFont="1" applyBorder="1" applyAlignment="1" applyProtection="1">
      <alignment wrapText="1"/>
      <protection locked="0"/>
    </xf>
    <xf numFmtId="0" fontId="0" fillId="0" borderId="35" xfId="0" applyBorder="1" applyAlignment="1">
      <alignment horizontal="center"/>
    </xf>
    <xf numFmtId="0" fontId="57" fillId="25" borderId="0" xfId="0" applyFont="1" applyFill="1"/>
    <xf numFmtId="0" fontId="0" fillId="0" borderId="0" xfId="0" quotePrefix="1" applyAlignment="1">
      <alignment horizontal="left" indent="2"/>
    </xf>
    <xf numFmtId="0" fontId="4" fillId="0" borderId="16" xfId="60" applyFont="1" applyBorder="1" applyAlignment="1" applyProtection="1">
      <alignment wrapText="1"/>
      <protection locked="0"/>
    </xf>
    <xf numFmtId="0" fontId="0" fillId="0" borderId="37" xfId="0" applyBorder="1"/>
    <xf numFmtId="0" fontId="0" fillId="0" borderId="11" xfId="0" applyBorder="1"/>
    <xf numFmtId="0" fontId="0" fillId="0" borderId="38" xfId="0" applyBorder="1"/>
    <xf numFmtId="0" fontId="0" fillId="0" borderId="35" xfId="0" applyBorder="1"/>
    <xf numFmtId="0" fontId="3" fillId="0" borderId="16" xfId="60" applyFont="1" applyBorder="1" applyAlignment="1" applyProtection="1">
      <alignment wrapText="1"/>
      <protection locked="0"/>
    </xf>
    <xf numFmtId="0" fontId="2" fillId="0" borderId="17" xfId="60" applyFont="1" applyBorder="1" applyProtection="1">
      <protection locked="0"/>
    </xf>
    <xf numFmtId="0" fontId="1" fillId="0" borderId="16" xfId="60" applyFont="1" applyBorder="1" applyAlignment="1" applyProtection="1">
      <alignment wrapText="1"/>
      <protection locked="0"/>
    </xf>
    <xf numFmtId="0" fontId="4" fillId="0" borderId="16" xfId="60" applyFont="1" applyBorder="1" applyAlignment="1" applyProtection="1">
      <alignment vertical="top" wrapText="1"/>
      <protection locked="0"/>
    </xf>
    <xf numFmtId="0" fontId="10" fillId="0" borderId="0" xfId="0" applyFont="1" applyAlignment="1">
      <alignment horizontal="left"/>
    </xf>
    <xf numFmtId="43" fontId="0" fillId="0" borderId="0" xfId="54" applyFont="1" applyBorder="1"/>
    <xf numFmtId="43" fontId="18" fillId="0" borderId="0" xfId="54" applyFont="1" applyBorder="1" applyAlignment="1">
      <alignment horizontal="center"/>
    </xf>
    <xf numFmtId="43" fontId="0" fillId="0" borderId="0" xfId="54" applyFont="1" applyBorder="1" applyAlignment="1"/>
    <xf numFmtId="43" fontId="0" fillId="0" borderId="0" xfId="0" applyNumberFormat="1"/>
    <xf numFmtId="0" fontId="0" fillId="21" borderId="0" xfId="0" applyFill="1" applyAlignment="1">
      <alignment horizontal="left"/>
    </xf>
    <xf numFmtId="0" fontId="0" fillId="21" borderId="0" xfId="0" quotePrefix="1" applyFill="1" applyAlignment="1">
      <alignment horizontal="center"/>
    </xf>
    <xf numFmtId="2" fontId="0" fillId="0" borderId="0" xfId="52" applyNumberFormat="1" applyFont="1" applyAlignment="1">
      <alignment horizontal="center"/>
    </xf>
    <xf numFmtId="0" fontId="0" fillId="0" borderId="0" xfId="0" applyAlignment="1">
      <alignment horizontal="left"/>
    </xf>
    <xf numFmtId="0" fontId="10" fillId="0" borderId="0" xfId="0" applyFont="1" applyAlignment="1">
      <alignment horizontal="center"/>
    </xf>
    <xf numFmtId="0" fontId="0" fillId="0" borderId="0" xfId="0" quotePrefix="1" applyAlignment="1">
      <alignment horizontal="center"/>
    </xf>
    <xf numFmtId="0" fontId="0" fillId="0" borderId="0" xfId="0" applyAlignment="1">
      <alignment horizontal="center"/>
    </xf>
    <xf numFmtId="0" fontId="27" fillId="23" borderId="0" xfId="0" quotePrefix="1" applyFont="1" applyFill="1" applyAlignment="1">
      <alignment horizontal="center"/>
    </xf>
    <xf numFmtId="2" fontId="10" fillId="0" borderId="0" xfId="4" applyNumberFormat="1" applyFont="1" applyAlignment="1">
      <alignment horizontal="right"/>
    </xf>
    <xf numFmtId="0" fontId="25" fillId="23" borderId="0" xfId="0" applyFont="1" applyFill="1" applyAlignment="1">
      <alignment horizontal="center" vertical="center"/>
    </xf>
    <xf numFmtId="2" fontId="0" fillId="0" borderId="0" xfId="0" applyNumberFormat="1" applyAlignment="1">
      <alignment horizontal="center"/>
    </xf>
    <xf numFmtId="166" fontId="0" fillId="0" borderId="0" xfId="54" applyNumberFormat="1" applyFont="1" applyAlignment="1">
      <alignment horizontal="center"/>
    </xf>
    <xf numFmtId="0" fontId="10" fillId="0" borderId="0" xfId="0" applyFont="1" applyAlignment="1">
      <alignment horizontal="left"/>
    </xf>
    <xf numFmtId="164" fontId="0" fillId="0" borderId="15" xfId="54" applyNumberFormat="1" applyFont="1" applyBorder="1" applyAlignment="1">
      <alignment horizontal="center"/>
    </xf>
    <xf numFmtId="2" fontId="0" fillId="0" borderId="0" xfId="4" applyNumberFormat="1" applyFont="1" applyAlignment="1">
      <alignment horizontal="left" vertical="top"/>
    </xf>
    <xf numFmtId="0" fontId="10" fillId="0" borderId="8" xfId="0" applyFont="1" applyBorder="1" applyAlignment="1">
      <alignment horizontal="left" vertical="top"/>
    </xf>
    <xf numFmtId="0" fontId="10" fillId="0" borderId="9" xfId="0" applyFont="1" applyBorder="1" applyAlignment="1">
      <alignment horizontal="left" vertical="top"/>
    </xf>
    <xf numFmtId="0" fontId="10" fillId="0" borderId="1" xfId="0" applyFont="1" applyBorder="1" applyAlignment="1">
      <alignment horizontal="left" vertical="top"/>
    </xf>
    <xf numFmtId="0" fontId="10" fillId="0" borderId="0" xfId="0" applyFont="1" applyAlignment="1">
      <alignment horizontal="left" vertical="top"/>
    </xf>
    <xf numFmtId="2" fontId="10" fillId="0" borderId="0" xfId="4" applyNumberFormat="1" applyFont="1" applyAlignment="1">
      <alignment horizontal="center"/>
    </xf>
    <xf numFmtId="1" fontId="0" fillId="0" borderId="0" xfId="0" applyNumberFormat="1" applyAlignment="1">
      <alignment horizontal="center"/>
    </xf>
    <xf numFmtId="2" fontId="0" fillId="0" borderId="0" xfId="52" applyNumberFormat="1" applyFont="1" applyAlignment="1">
      <alignment horizontal="right"/>
    </xf>
    <xf numFmtId="0" fontId="22" fillId="0" borderId="0" xfId="0" applyFont="1" applyAlignment="1">
      <alignment horizontal="center"/>
    </xf>
    <xf numFmtId="164" fontId="0" fillId="0" borderId="6" xfId="54" applyNumberFormat="1" applyFont="1" applyBorder="1" applyAlignment="1">
      <alignment horizontal="center"/>
    </xf>
    <xf numFmtId="43" fontId="0" fillId="0" borderId="6" xfId="54" applyFont="1" applyBorder="1" applyAlignment="1">
      <alignment horizontal="center"/>
    </xf>
    <xf numFmtId="0" fontId="41" fillId="23" borderId="0" xfId="0" applyFont="1" applyFill="1" applyAlignment="1">
      <alignment horizontal="center" vertical="center"/>
    </xf>
    <xf numFmtId="0" fontId="10" fillId="0" borderId="9" xfId="0" applyFont="1" applyBorder="1" applyAlignment="1">
      <alignment horizontal="left" vertical="center" wrapText="1"/>
    </xf>
    <xf numFmtId="0" fontId="10" fillId="0" borderId="7" xfId="0" applyFont="1" applyBorder="1" applyAlignment="1">
      <alignment horizontal="left" vertical="center" wrapText="1"/>
    </xf>
    <xf numFmtId="0" fontId="10" fillId="0" borderId="0" xfId="0" applyFont="1" applyAlignment="1">
      <alignment horizontal="left" vertical="center" wrapText="1"/>
    </xf>
    <xf numFmtId="0" fontId="10" fillId="0" borderId="2" xfId="0" applyFont="1" applyBorder="1" applyAlignment="1">
      <alignment horizontal="left" vertical="center" wrapText="1"/>
    </xf>
    <xf numFmtId="0" fontId="10" fillId="0" borderId="8" xfId="0" applyFont="1" applyBorder="1" applyAlignment="1">
      <alignment horizontal="center" vertical="center"/>
    </xf>
    <xf numFmtId="0" fontId="10" fillId="0" borderId="9" xfId="0" applyFont="1" applyBorder="1" applyAlignment="1">
      <alignment horizontal="center" vertical="center"/>
    </xf>
    <xf numFmtId="0" fontId="10" fillId="0" borderId="1" xfId="0" applyFont="1" applyBorder="1" applyAlignment="1">
      <alignment horizontal="center" vertical="center"/>
    </xf>
    <xf numFmtId="0" fontId="10" fillId="0" borderId="0" xfId="0" applyFont="1" applyAlignment="1">
      <alignment horizontal="center" vertical="center"/>
    </xf>
    <xf numFmtId="43" fontId="0" fillId="0" borderId="0" xfId="54" applyFont="1" applyBorder="1" applyAlignment="1">
      <alignment horizontal="center"/>
    </xf>
    <xf numFmtId="0" fontId="40" fillId="23" borderId="0" xfId="0" applyFont="1" applyFill="1" applyAlignment="1">
      <alignment horizontal="center" vertical="center"/>
    </xf>
    <xf numFmtId="0" fontId="12" fillId="2" borderId="4" xfId="0" applyFont="1" applyFill="1" applyBorder="1" applyAlignment="1">
      <alignment horizontal="center"/>
    </xf>
    <xf numFmtId="1" fontId="11" fillId="0" borderId="4" xfId="4" applyNumberFormat="1" applyFont="1" applyBorder="1" applyAlignment="1">
      <alignment horizontal="center"/>
    </xf>
    <xf numFmtId="0" fontId="9" fillId="0" borderId="0" xfId="0" applyFont="1" applyAlignment="1">
      <alignment horizontal="left"/>
    </xf>
    <xf numFmtId="0" fontId="9" fillId="0" borderId="1" xfId="0" applyFont="1" applyBorder="1" applyAlignment="1" applyProtection="1">
      <alignment horizontal="left" vertical="center" wrapText="1"/>
      <protection locked="0"/>
    </xf>
    <xf numFmtId="0" fontId="9" fillId="0" borderId="0" xfId="0" applyFont="1" applyAlignment="1" applyProtection="1">
      <alignment horizontal="left" vertical="center" wrapText="1"/>
      <protection locked="0"/>
    </xf>
    <xf numFmtId="0" fontId="9" fillId="0" borderId="2" xfId="0" applyFont="1" applyBorder="1" applyAlignment="1" applyProtection="1">
      <alignment horizontal="left" vertical="center" wrapText="1"/>
      <protection locked="0"/>
    </xf>
    <xf numFmtId="0" fontId="23" fillId="5" borderId="4" xfId="0" applyFont="1" applyFill="1" applyBorder="1" applyAlignment="1">
      <alignment horizontal="center"/>
    </xf>
    <xf numFmtId="43" fontId="0" fillId="0" borderId="15" xfId="54" applyFont="1" applyBorder="1" applyAlignment="1">
      <alignment horizontal="center"/>
    </xf>
    <xf numFmtId="43" fontId="9" fillId="0" borderId="15" xfId="54" applyFont="1" applyBorder="1" applyAlignment="1">
      <alignment horizontal="center"/>
    </xf>
    <xf numFmtId="0" fontId="10" fillId="3" borderId="1" xfId="0" applyFont="1" applyFill="1" applyBorder="1" applyAlignment="1" applyProtection="1">
      <alignment horizontal="center" vertical="center" wrapText="1"/>
      <protection locked="0"/>
    </xf>
    <xf numFmtId="0" fontId="10" fillId="3" borderId="0" xfId="0" applyFont="1" applyFill="1" applyAlignment="1" applyProtection="1">
      <alignment horizontal="center" vertical="center" wrapText="1"/>
      <protection locked="0"/>
    </xf>
    <xf numFmtId="0" fontId="10" fillId="3" borderId="2" xfId="0" applyFont="1" applyFill="1" applyBorder="1" applyAlignment="1" applyProtection="1">
      <alignment horizontal="center" vertical="center" wrapText="1"/>
      <protection locked="0"/>
    </xf>
    <xf numFmtId="43" fontId="9" fillId="0" borderId="0" xfId="54" applyFont="1" applyBorder="1" applyAlignment="1">
      <alignment horizontal="center"/>
    </xf>
    <xf numFmtId="164" fontId="9" fillId="0" borderId="6" xfId="54" applyNumberFormat="1" applyFont="1" applyBorder="1" applyAlignment="1">
      <alignment horizontal="center"/>
    </xf>
    <xf numFmtId="0" fontId="9" fillId="0" borderId="0" xfId="0" applyFont="1" applyAlignment="1">
      <alignment horizontal="left" vertical="top" wrapText="1"/>
    </xf>
    <xf numFmtId="43" fontId="11" fillId="0" borderId="15" xfId="54" applyFont="1" applyBorder="1" applyAlignment="1">
      <alignment horizontal="center" vertical="center" textRotation="90"/>
    </xf>
    <xf numFmtId="43" fontId="11" fillId="0" borderId="0" xfId="54" applyFont="1" applyBorder="1" applyAlignment="1">
      <alignment horizontal="center" vertical="center" textRotation="90"/>
    </xf>
    <xf numFmtId="164" fontId="0" fillId="0" borderId="0" xfId="54" applyNumberFormat="1" applyFont="1" applyBorder="1" applyAlignment="1">
      <alignment horizontal="center"/>
    </xf>
    <xf numFmtId="0" fontId="9" fillId="0" borderId="8" xfId="0" applyFont="1" applyBorder="1" applyAlignment="1">
      <alignment horizontal="left"/>
    </xf>
    <xf numFmtId="0" fontId="9" fillId="0" borderId="9" xfId="0" applyFont="1" applyBorder="1" applyAlignment="1">
      <alignment horizontal="left"/>
    </xf>
    <xf numFmtId="0" fontId="9" fillId="0" borderId="7" xfId="0" applyFont="1" applyBorder="1" applyAlignment="1">
      <alignment horizontal="left"/>
    </xf>
    <xf numFmtId="0" fontId="15" fillId="3" borderId="1" xfId="0" applyFont="1" applyFill="1" applyBorder="1" applyAlignment="1" applyProtection="1">
      <alignment horizontal="center" vertical="center" wrapText="1"/>
      <protection locked="0"/>
    </xf>
    <xf numFmtId="0" fontId="15" fillId="3" borderId="0" xfId="0" applyFont="1" applyFill="1" applyAlignment="1" applyProtection="1">
      <alignment horizontal="center" vertical="center" wrapText="1"/>
      <protection locked="0"/>
    </xf>
    <xf numFmtId="0" fontId="15" fillId="3" borderId="2" xfId="0" applyFont="1" applyFill="1" applyBorder="1" applyAlignment="1" applyProtection="1">
      <alignment horizontal="center" vertical="center" wrapText="1"/>
      <protection locked="0"/>
    </xf>
    <xf numFmtId="0" fontId="10" fillId="3" borderId="3" xfId="0" applyFont="1" applyFill="1" applyBorder="1" applyAlignment="1" applyProtection="1">
      <alignment horizontal="center" vertical="center" wrapText="1"/>
      <protection locked="0"/>
    </xf>
    <xf numFmtId="0" fontId="10" fillId="3" borderId="4" xfId="0" applyFont="1" applyFill="1" applyBorder="1" applyAlignment="1" applyProtection="1">
      <alignment horizontal="center" vertical="center" wrapText="1"/>
      <protection locked="0"/>
    </xf>
    <xf numFmtId="0" fontId="10" fillId="3" borderId="5" xfId="0" applyFont="1" applyFill="1" applyBorder="1" applyAlignment="1" applyProtection="1">
      <alignment horizontal="center" vertical="center" wrapText="1"/>
      <protection locked="0"/>
    </xf>
    <xf numFmtId="0" fontId="9" fillId="4" borderId="1" xfId="0" applyFont="1" applyFill="1" applyBorder="1" applyAlignment="1" applyProtection="1">
      <alignment horizontal="left" vertical="center" wrapText="1"/>
      <protection locked="0"/>
    </xf>
    <xf numFmtId="0" fontId="9" fillId="4" borderId="0" xfId="0" applyFont="1" applyFill="1" applyAlignment="1" applyProtection="1">
      <alignment horizontal="left" vertical="center" wrapText="1"/>
      <protection locked="0"/>
    </xf>
    <xf numFmtId="0" fontId="9" fillId="4" borderId="2" xfId="0" applyFont="1" applyFill="1" applyBorder="1" applyAlignment="1" applyProtection="1">
      <alignment horizontal="left" vertical="center" wrapText="1"/>
      <protection locked="0"/>
    </xf>
    <xf numFmtId="43" fontId="21" fillId="21" borderId="6" xfId="54" applyFont="1" applyFill="1" applyBorder="1" applyAlignment="1">
      <alignment horizontal="center"/>
    </xf>
    <xf numFmtId="43" fontId="21" fillId="23" borderId="6" xfId="54" applyFont="1" applyFill="1" applyBorder="1" applyAlignment="1">
      <alignment horizontal="center"/>
    </xf>
    <xf numFmtId="0" fontId="10" fillId="0" borderId="7" xfId="0" applyFont="1" applyBorder="1" applyAlignment="1">
      <alignment horizontal="left" vertical="top"/>
    </xf>
    <xf numFmtId="0" fontId="10" fillId="0" borderId="2" xfId="0" applyFont="1" applyBorder="1" applyAlignment="1">
      <alignment horizontal="left" vertical="top"/>
    </xf>
    <xf numFmtId="0" fontId="23" fillId="6" borderId="4" xfId="0" applyFont="1" applyFill="1" applyBorder="1" applyAlignment="1">
      <alignment horizontal="center"/>
    </xf>
    <xf numFmtId="0" fontId="13" fillId="0" borderId="0" xfId="0" applyFont="1" applyAlignment="1">
      <alignment horizontal="left"/>
    </xf>
    <xf numFmtId="0" fontId="23" fillId="23" borderId="4" xfId="0" applyFont="1" applyFill="1" applyBorder="1" applyAlignment="1">
      <alignment horizontal="center"/>
    </xf>
    <xf numFmtId="0" fontId="0" fillId="23" borderId="4" xfId="0" applyFill="1" applyBorder="1" applyAlignment="1">
      <alignment horizontal="center"/>
    </xf>
    <xf numFmtId="0" fontId="15" fillId="3" borderId="0" xfId="0" applyFont="1" applyFill="1" applyAlignment="1" applyProtection="1">
      <alignment horizontal="left" vertical="top" wrapText="1"/>
      <protection locked="0"/>
    </xf>
    <xf numFmtId="0" fontId="10" fillId="21" borderId="0" xfId="0" applyFont="1" applyFill="1" applyAlignment="1">
      <alignment horizontal="center"/>
    </xf>
    <xf numFmtId="2" fontId="10" fillId="21" borderId="0" xfId="4" applyNumberFormat="1" applyFont="1" applyFill="1" applyAlignment="1">
      <alignment horizontal="center"/>
    </xf>
    <xf numFmtId="0" fontId="28" fillId="22" borderId="1" xfId="0" applyFont="1" applyFill="1" applyBorder="1" applyAlignment="1">
      <alignment horizontal="left" wrapText="1"/>
    </xf>
    <xf numFmtId="0" fontId="28" fillId="22" borderId="0" xfId="0" applyFont="1" applyFill="1" applyAlignment="1">
      <alignment horizontal="left" wrapText="1"/>
    </xf>
    <xf numFmtId="0" fontId="55" fillId="22" borderId="1" xfId="0" applyFont="1" applyFill="1" applyBorder="1" applyAlignment="1">
      <alignment horizontal="left" vertical="top" wrapText="1"/>
    </xf>
    <xf numFmtId="0" fontId="55" fillId="22" borderId="0" xfId="0" applyFont="1" applyFill="1" applyAlignment="1">
      <alignment horizontal="left" vertical="top" wrapText="1"/>
    </xf>
    <xf numFmtId="0" fontId="55" fillId="22" borderId="2" xfId="0" applyFont="1" applyFill="1" applyBorder="1" applyAlignment="1">
      <alignment horizontal="left" vertical="top" wrapText="1"/>
    </xf>
    <xf numFmtId="0" fontId="10" fillId="25" borderId="19" xfId="60" applyFont="1" applyFill="1" applyBorder="1" applyAlignment="1">
      <alignment horizontal="left" vertical="center" wrapText="1"/>
    </xf>
    <xf numFmtId="0" fontId="10" fillId="25" borderId="20" xfId="60" applyFont="1" applyFill="1" applyBorder="1" applyAlignment="1">
      <alignment horizontal="left" vertical="center" wrapText="1"/>
    </xf>
    <xf numFmtId="167" fontId="45" fillId="0" borderId="0" xfId="37" applyNumberFormat="1" applyFont="1" applyAlignment="1" applyProtection="1">
      <alignment horizontal="right" vertical="top" wrapText="1" readingOrder="1"/>
      <protection locked="0"/>
    </xf>
    <xf numFmtId="0" fontId="0" fillId="0" borderId="0" xfId="0" applyAlignment="1">
      <alignment horizontal="left" vertical="top" wrapText="1"/>
    </xf>
  </cellXfs>
  <cellStyles count="63">
    <cellStyle name="%" xfId="6" xr:uid="{00000000-0005-0000-0000-000000000000}"/>
    <cellStyle name="20% - Accent1 2" xfId="7" xr:uid="{00000000-0005-0000-0000-000001000000}"/>
    <cellStyle name="20% - Accent1 3" xfId="8" xr:uid="{00000000-0005-0000-0000-000002000000}"/>
    <cellStyle name="20% - Accent2 2" xfId="9" xr:uid="{00000000-0005-0000-0000-000003000000}"/>
    <cellStyle name="20% - Accent2 3" xfId="10" xr:uid="{00000000-0005-0000-0000-000004000000}"/>
    <cellStyle name="20% - Accent3 2" xfId="11" xr:uid="{00000000-0005-0000-0000-000005000000}"/>
    <cellStyle name="20% - Accent3 3" xfId="12" xr:uid="{00000000-0005-0000-0000-000006000000}"/>
    <cellStyle name="20% - Accent4 2" xfId="13" xr:uid="{00000000-0005-0000-0000-000007000000}"/>
    <cellStyle name="20% - Accent4 3" xfId="14" xr:uid="{00000000-0005-0000-0000-000008000000}"/>
    <cellStyle name="20% - Accent5 2" xfId="15" xr:uid="{00000000-0005-0000-0000-000009000000}"/>
    <cellStyle name="20% - Accent5 3" xfId="16" xr:uid="{00000000-0005-0000-0000-00000A000000}"/>
    <cellStyle name="20% - Accent6 2" xfId="17" xr:uid="{00000000-0005-0000-0000-00000B000000}"/>
    <cellStyle name="20% - Accent6 3" xfId="18" xr:uid="{00000000-0005-0000-0000-00000C000000}"/>
    <cellStyle name="40% - Accent1 2" xfId="19" xr:uid="{00000000-0005-0000-0000-00000D000000}"/>
    <cellStyle name="40% - Accent1 3" xfId="20" xr:uid="{00000000-0005-0000-0000-00000E000000}"/>
    <cellStyle name="40% - Accent2 2" xfId="21" xr:uid="{00000000-0005-0000-0000-00000F000000}"/>
    <cellStyle name="40% - Accent2 3" xfId="22" xr:uid="{00000000-0005-0000-0000-000010000000}"/>
    <cellStyle name="40% - Accent3 2" xfId="23" xr:uid="{00000000-0005-0000-0000-000011000000}"/>
    <cellStyle name="40% - Accent3 3" xfId="24" xr:uid="{00000000-0005-0000-0000-000012000000}"/>
    <cellStyle name="40% - Accent4 2" xfId="25" xr:uid="{00000000-0005-0000-0000-000013000000}"/>
    <cellStyle name="40% - Accent4 3" xfId="26" xr:uid="{00000000-0005-0000-0000-000014000000}"/>
    <cellStyle name="40% - Accent5 2" xfId="27" xr:uid="{00000000-0005-0000-0000-000015000000}"/>
    <cellStyle name="40% - Accent5 3" xfId="28" xr:uid="{00000000-0005-0000-0000-000016000000}"/>
    <cellStyle name="40% - Accent6 2" xfId="29" xr:uid="{00000000-0005-0000-0000-000017000000}"/>
    <cellStyle name="40% - Accent6 3" xfId="30" xr:uid="{00000000-0005-0000-0000-000018000000}"/>
    <cellStyle name="Comma" xfId="54" builtinId="3"/>
    <cellStyle name="Comma 2" xfId="31" xr:uid="{00000000-0005-0000-0000-00001A000000}"/>
    <cellStyle name="Comma 2 2" xfId="32" xr:uid="{00000000-0005-0000-0000-00001B000000}"/>
    <cellStyle name="Comma 2 3" xfId="33" xr:uid="{00000000-0005-0000-0000-00001C000000}"/>
    <cellStyle name="Comma 2 4" xfId="53" xr:uid="{00000000-0005-0000-0000-00001D000000}"/>
    <cellStyle name="Comma 3" xfId="1" xr:uid="{00000000-0005-0000-0000-00001E000000}"/>
    <cellStyle name="Comma 4" xfId="34" xr:uid="{00000000-0005-0000-0000-00001F000000}"/>
    <cellStyle name="Comma 5" xfId="61" xr:uid="{00000000-0005-0000-0000-000020000000}"/>
    <cellStyle name="Comma_Sheet16" xfId="57" xr:uid="{00000000-0005-0000-0000-000021000000}"/>
    <cellStyle name="Currency 2" xfId="56" xr:uid="{00000000-0005-0000-0000-000022000000}"/>
    <cellStyle name="Hyperlink 2" xfId="35" xr:uid="{00000000-0005-0000-0000-000023000000}"/>
    <cellStyle name="Hyperlink 3" xfId="36" xr:uid="{00000000-0005-0000-0000-000024000000}"/>
    <cellStyle name="Normal" xfId="0" builtinId="0"/>
    <cellStyle name="Normal 2" xfId="37" xr:uid="{00000000-0005-0000-0000-000026000000}"/>
    <cellStyle name="Normal 2 2" xfId="38" xr:uid="{00000000-0005-0000-0000-000027000000}"/>
    <cellStyle name="Normal 2 2 2" xfId="39" xr:uid="{00000000-0005-0000-0000-000028000000}"/>
    <cellStyle name="Normal 2 2 3" xfId="40" xr:uid="{00000000-0005-0000-0000-000029000000}"/>
    <cellStyle name="Normal 2 2 4" xfId="41" xr:uid="{00000000-0005-0000-0000-00002A000000}"/>
    <cellStyle name="Normal 2 2 5" xfId="42" xr:uid="{00000000-0005-0000-0000-00002B000000}"/>
    <cellStyle name="Normal 3" xfId="2" xr:uid="{00000000-0005-0000-0000-00002C000000}"/>
    <cellStyle name="Normal 4" xfId="3" xr:uid="{00000000-0005-0000-0000-00002D000000}"/>
    <cellStyle name="Normal 4 2" xfId="43" xr:uid="{00000000-0005-0000-0000-00002E000000}"/>
    <cellStyle name="Normal 4 3" xfId="44" xr:uid="{00000000-0005-0000-0000-00002F000000}"/>
    <cellStyle name="Normal 4 4" xfId="45" xr:uid="{00000000-0005-0000-0000-000030000000}"/>
    <cellStyle name="Normal 4 5" xfId="46" xr:uid="{00000000-0005-0000-0000-000031000000}"/>
    <cellStyle name="Normal 5" xfId="47" xr:uid="{00000000-0005-0000-0000-000032000000}"/>
    <cellStyle name="Normal 6" xfId="51" xr:uid="{00000000-0005-0000-0000-000033000000}"/>
    <cellStyle name="Normal 7" xfId="55" xr:uid="{00000000-0005-0000-0000-000034000000}"/>
    <cellStyle name="Normal 8" xfId="59" xr:uid="{00000000-0005-0000-0000-000035000000}"/>
    <cellStyle name="Normal 9" xfId="60" xr:uid="{00000000-0005-0000-0000-000036000000}"/>
    <cellStyle name="Normal_Dist_OA_Jun_05_class" xfId="5" xr:uid="{00000000-0005-0000-0000-000037000000}"/>
    <cellStyle name="Normal_QB11" xfId="58" xr:uid="{00000000-0005-0000-0000-000038000000}"/>
    <cellStyle name="Note 2" xfId="48" xr:uid="{00000000-0005-0000-0000-000039000000}"/>
    <cellStyle name="Note 3" xfId="49" xr:uid="{00000000-0005-0000-0000-00003A000000}"/>
    <cellStyle name="Percent" xfId="4" builtinId="5"/>
    <cellStyle name="Percent 2" xfId="50" xr:uid="{00000000-0005-0000-0000-00003C000000}"/>
    <cellStyle name="Percent 3" xfId="52" xr:uid="{00000000-0005-0000-0000-00003D000000}"/>
    <cellStyle name="Percent 4" xfId="62" xr:uid="{00000000-0005-0000-0000-00003E000000}"/>
  </cellStyles>
  <dxfs count="27">
    <dxf>
      <numFmt numFmtId="13" formatCode="0%"/>
    </dxf>
    <dxf>
      <font>
        <b/>
        <i val="0"/>
        <color theme="0"/>
      </font>
      <fill>
        <patternFill>
          <bgColor theme="6" tint="-0.499984740745262"/>
        </patternFill>
      </fill>
    </dxf>
    <dxf>
      <font>
        <b/>
        <i val="0"/>
        <color theme="0"/>
      </font>
      <fill>
        <patternFill>
          <bgColor theme="6" tint="-0.499984740745262"/>
        </patternFill>
      </fill>
    </dxf>
    <dxf>
      <numFmt numFmtId="14" formatCode="0.00%"/>
    </dxf>
    <dxf>
      <font>
        <b/>
        <i val="0"/>
        <color theme="0"/>
      </font>
      <fill>
        <patternFill>
          <bgColor theme="6" tint="-0.499984740745262"/>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color theme="0"/>
      </font>
      <fill>
        <patternFill>
          <bgColor theme="6" tint="-0.499984740745262"/>
        </patternFill>
      </fill>
    </dxf>
    <dxf>
      <numFmt numFmtId="14" formatCode="0.00%"/>
    </dxf>
    <dxf>
      <numFmt numFmtId="14" formatCode="0.00%"/>
    </dxf>
    <dxf>
      <numFmt numFmtId="14" formatCode="0.00%"/>
    </dxf>
    <dxf>
      <font>
        <color theme="0"/>
      </font>
      <fill>
        <patternFill>
          <bgColor theme="0"/>
        </patternFill>
      </fill>
    </dxf>
    <dxf>
      <font>
        <color theme="0"/>
      </font>
      <fill>
        <patternFill>
          <bgColor theme="0"/>
        </patternFill>
      </fill>
    </dxf>
    <dxf>
      <font>
        <color theme="0"/>
      </font>
      <fill>
        <patternFill>
          <bgColor theme="0"/>
        </patternFill>
      </fill>
    </dxf>
    <dxf>
      <font>
        <b/>
        <i val="0"/>
        <color theme="0"/>
      </font>
      <fill>
        <patternFill>
          <bgColor theme="6" tint="-0.499984740745262"/>
        </patternFill>
      </fill>
    </dxf>
    <dxf>
      <font>
        <b/>
        <i val="0"/>
        <condense val="0"/>
        <extend val="0"/>
        <color indexed="9"/>
      </font>
      <fill>
        <patternFill>
          <bgColor theme="6" tint="-0.499984740745262"/>
        </patternFill>
      </fill>
    </dxf>
    <dxf>
      <font>
        <color theme="0"/>
      </font>
      <fill>
        <patternFill>
          <bgColor theme="0"/>
        </patternFill>
      </fill>
    </dxf>
    <dxf>
      <font>
        <b val="0"/>
        <i val="0"/>
        <color auto="1"/>
      </font>
      <numFmt numFmtId="0" formatCode="General"/>
      <fill>
        <patternFill patternType="none">
          <bgColor auto="1"/>
        </patternFill>
      </fill>
    </dxf>
    <dxf>
      <font>
        <b/>
        <i val="0"/>
        <color theme="0"/>
      </font>
      <fill>
        <patternFill>
          <bgColor theme="6" tint="-0.24994659260841701"/>
        </patternFill>
      </fill>
    </dxf>
    <dxf>
      <font>
        <condense val="0"/>
        <extend val="0"/>
        <color rgb="FF9C6500"/>
      </font>
      <fill>
        <patternFill>
          <bgColor rgb="FFFFEB9C"/>
        </patternFill>
      </fill>
    </dxf>
    <dxf>
      <font>
        <color theme="9" tint="-0.24994659260841701"/>
      </font>
      <fill>
        <patternFill>
          <bgColor theme="9" tint="0.39994506668294322"/>
        </patternFill>
      </fill>
    </dxf>
    <dxf>
      <font>
        <color theme="0"/>
      </font>
      <fill>
        <patternFill>
          <bgColor rgb="FFFF000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336600"/>
      <color rgb="FFFCF305"/>
      <color rgb="FFFF9900"/>
      <color rgb="FFFFFF00"/>
      <color rgb="FFFFFF66"/>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ustomXml" Target="../customXml/item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811382090846033E-2"/>
          <c:y val="0.10656910066260319"/>
          <c:w val="0.94318861790915465"/>
          <c:h val="0.79816523433588105"/>
        </c:manualLayout>
      </c:layout>
      <c:barChart>
        <c:barDir val="col"/>
        <c:grouping val="clustered"/>
        <c:varyColors val="0"/>
        <c:ser>
          <c:idx val="0"/>
          <c:order val="0"/>
          <c:tx>
            <c:strRef>
              <c:f>Profile!$E$32</c:f>
              <c:strCache>
                <c:ptCount val="1"/>
                <c:pt idx="0">
                  <c:v>Top Quartile</c:v>
                </c:pt>
              </c:strCache>
            </c:strRef>
          </c:tx>
          <c:spPr>
            <a:solidFill>
              <a:schemeClr val="accent3">
                <a:lumMod val="75000"/>
              </a:schemeClr>
            </a:solidFill>
            <a:ln>
              <a:solidFill>
                <a:srgbClr val="00B050"/>
              </a:solidFill>
            </a:ln>
          </c:spPr>
          <c:invertIfNegative val="0"/>
          <c:cat>
            <c:strRef>
              <c:f>[0]!Marker</c:f>
              <c:strCache>
                <c:ptCount val="52"/>
                <c:pt idx="51">
                  <c:v>u</c:v>
                </c:pt>
              </c:strCache>
            </c:strRef>
          </c:cat>
          <c:val>
            <c:numRef>
              <c:f>[0]!TopQuart</c:f>
              <c:numCache>
                <c:formatCode>General</c:formatCode>
                <c:ptCount val="58"/>
                <c:pt idx="0">
                  <c:v>302</c:v>
                </c:pt>
                <c:pt idx="1">
                  <c:v>310.8</c:v>
                </c:pt>
                <c:pt idx="2">
                  <c:v>322</c:v>
                </c:pt>
                <c:pt idx="3">
                  <c:v>328.3</c:v>
                </c:pt>
                <c:pt idx="4">
                  <c:v>329.6</c:v>
                </c:pt>
                <c:pt idx="5">
                  <c:v>332</c:v>
                </c:pt>
                <c:pt idx="6">
                  <c:v>339.7</c:v>
                </c:pt>
                <c:pt idx="7">
                  <c:v>340.8</c:v>
                </c:pt>
                <c:pt idx="8">
                  <c:v>340.9</c:v>
                </c:pt>
                <c:pt idx="9">
                  <c:v>360.1</c:v>
                </c:pt>
                <c:pt idx="10">
                  <c:v>361.1</c:v>
                </c:pt>
                <c:pt idx="11">
                  <c:v>362.3</c:v>
                </c:pt>
                <c:pt idx="12">
                  <c:v>362.9</c:v>
                </c:pt>
                <c:pt idx="13">
                  <c:v>363.3</c:v>
                </c:pt>
                <c:pt idx="14">
                  <c:v>363.4</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numCache>
            </c:numRef>
          </c:val>
          <c:extLst>
            <c:ext xmlns:c16="http://schemas.microsoft.com/office/drawing/2014/chart" uri="{C3380CC4-5D6E-409C-BE32-E72D297353CC}">
              <c16:uniqueId val="{00000000-3F37-4BB9-8AE1-7C6CC772096D}"/>
            </c:ext>
          </c:extLst>
        </c:ser>
        <c:ser>
          <c:idx val="1"/>
          <c:order val="1"/>
          <c:tx>
            <c:strRef>
              <c:f>Profile!$N$32</c:f>
              <c:strCache>
                <c:ptCount val="1"/>
                <c:pt idx="0">
                  <c:v>2nd Quartile</c:v>
                </c:pt>
              </c:strCache>
            </c:strRef>
          </c:tx>
          <c:spPr>
            <a:solidFill>
              <a:srgbClr val="FCF305"/>
            </a:solidFill>
            <a:ln>
              <a:solidFill>
                <a:srgbClr val="FFFF99"/>
              </a:solidFill>
            </a:ln>
          </c:spPr>
          <c:invertIfNegative val="0"/>
          <c:cat>
            <c:strRef>
              <c:f>[0]!Marker</c:f>
              <c:strCache>
                <c:ptCount val="52"/>
                <c:pt idx="51">
                  <c:v>u</c:v>
                </c:pt>
              </c:strCache>
            </c:strRef>
          </c:cat>
          <c:val>
            <c:numRef>
              <c:f>[0]!SecQuart</c:f>
              <c:numCache>
                <c:formatCode>General</c:formatCode>
                <c:ptCount val="5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372.1</c:v>
                </c:pt>
                <c:pt idx="16">
                  <c:v>374.6</c:v>
                </c:pt>
                <c:pt idx="17">
                  <c:v>375.8</c:v>
                </c:pt>
                <c:pt idx="18">
                  <c:v>380.5</c:v>
                </c:pt>
                <c:pt idx="19">
                  <c:v>382.5</c:v>
                </c:pt>
                <c:pt idx="20">
                  <c:v>382.9</c:v>
                </c:pt>
                <c:pt idx="21">
                  <c:v>384.2</c:v>
                </c:pt>
                <c:pt idx="22">
                  <c:v>384.5</c:v>
                </c:pt>
                <c:pt idx="23">
                  <c:v>384.8</c:v>
                </c:pt>
                <c:pt idx="24">
                  <c:v>388.7</c:v>
                </c:pt>
                <c:pt idx="25">
                  <c:v>389.9</c:v>
                </c:pt>
                <c:pt idx="26">
                  <c:v>392.1</c:v>
                </c:pt>
                <c:pt idx="27">
                  <c:v>392.2</c:v>
                </c:pt>
                <c:pt idx="28">
                  <c:v>393.1</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numCache>
            </c:numRef>
          </c:val>
          <c:extLst>
            <c:ext xmlns:c16="http://schemas.microsoft.com/office/drawing/2014/chart" uri="{C3380CC4-5D6E-409C-BE32-E72D297353CC}">
              <c16:uniqueId val="{00000001-3F37-4BB9-8AE1-7C6CC772096D}"/>
            </c:ext>
          </c:extLst>
        </c:ser>
        <c:ser>
          <c:idx val="2"/>
          <c:order val="2"/>
          <c:tx>
            <c:strRef>
              <c:f>Profile!$X$32</c:f>
              <c:strCache>
                <c:ptCount val="1"/>
                <c:pt idx="0">
                  <c:v>3rd Quartile</c:v>
                </c:pt>
              </c:strCache>
            </c:strRef>
          </c:tx>
          <c:spPr>
            <a:solidFill>
              <a:srgbClr val="FF9900"/>
            </a:solidFill>
            <a:ln>
              <a:solidFill>
                <a:schemeClr val="accent6">
                  <a:lumMod val="60000"/>
                  <a:lumOff val="40000"/>
                </a:schemeClr>
              </a:solidFill>
            </a:ln>
          </c:spPr>
          <c:invertIfNegative val="0"/>
          <c:cat>
            <c:strRef>
              <c:f>[0]!Marker</c:f>
              <c:strCache>
                <c:ptCount val="52"/>
                <c:pt idx="51">
                  <c:v>u</c:v>
                </c:pt>
              </c:strCache>
            </c:strRef>
          </c:cat>
          <c:val>
            <c:numRef>
              <c:f>[0]!ThirdQuart</c:f>
              <c:numCache>
                <c:formatCode>General</c:formatCode>
                <c:ptCount val="5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393.2</c:v>
                </c:pt>
                <c:pt idx="30">
                  <c:v>394.1</c:v>
                </c:pt>
                <c:pt idx="31">
                  <c:v>395.2</c:v>
                </c:pt>
                <c:pt idx="32">
                  <c:v>396.8</c:v>
                </c:pt>
                <c:pt idx="33">
                  <c:v>400.2</c:v>
                </c:pt>
                <c:pt idx="34">
                  <c:v>401.7</c:v>
                </c:pt>
                <c:pt idx="35">
                  <c:v>403.5</c:v>
                </c:pt>
                <c:pt idx="36">
                  <c:v>405.7</c:v>
                </c:pt>
                <c:pt idx="37">
                  <c:v>407.2</c:v>
                </c:pt>
                <c:pt idx="38">
                  <c:v>411.3</c:v>
                </c:pt>
                <c:pt idx="39">
                  <c:v>415</c:v>
                </c:pt>
                <c:pt idx="40">
                  <c:v>415.3</c:v>
                </c:pt>
                <c:pt idx="41">
                  <c:v>417.7</c:v>
                </c:pt>
                <c:pt idx="42">
                  <c:v>422.3</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numCache>
            </c:numRef>
          </c:val>
          <c:extLst>
            <c:ext xmlns:c16="http://schemas.microsoft.com/office/drawing/2014/chart" uri="{C3380CC4-5D6E-409C-BE32-E72D297353CC}">
              <c16:uniqueId val="{00000002-3F37-4BB9-8AE1-7C6CC772096D}"/>
            </c:ext>
          </c:extLst>
        </c:ser>
        <c:ser>
          <c:idx val="3"/>
          <c:order val="3"/>
          <c:tx>
            <c:strRef>
              <c:f>Profile!$AF$32</c:f>
              <c:strCache>
                <c:ptCount val="1"/>
                <c:pt idx="0">
                  <c:v>Bottom Quartile</c:v>
                </c:pt>
              </c:strCache>
            </c:strRef>
          </c:tx>
          <c:spPr>
            <a:solidFill>
              <a:schemeClr val="accent2">
                <a:lumMod val="75000"/>
              </a:schemeClr>
            </a:solidFill>
            <a:ln>
              <a:solidFill>
                <a:srgbClr val="FF0000"/>
              </a:solidFill>
            </a:ln>
          </c:spPr>
          <c:invertIfNegative val="0"/>
          <c:cat>
            <c:strRef>
              <c:f>[0]!Marker</c:f>
              <c:strCache>
                <c:ptCount val="52"/>
                <c:pt idx="51">
                  <c:v>u</c:v>
                </c:pt>
              </c:strCache>
            </c:strRef>
          </c:cat>
          <c:val>
            <c:numRef>
              <c:f>[0]!BotQuart</c:f>
              <c:numCache>
                <c:formatCode>General</c:formatCode>
                <c:ptCount val="5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426.5</c:v>
                </c:pt>
                <c:pt idx="44">
                  <c:v>428</c:v>
                </c:pt>
                <c:pt idx="45">
                  <c:v>429.7</c:v>
                </c:pt>
                <c:pt idx="46">
                  <c:v>430.4</c:v>
                </c:pt>
                <c:pt idx="47">
                  <c:v>437.6</c:v>
                </c:pt>
                <c:pt idx="48">
                  <c:v>439.4</c:v>
                </c:pt>
                <c:pt idx="49">
                  <c:v>441.4</c:v>
                </c:pt>
                <c:pt idx="50">
                  <c:v>442.3</c:v>
                </c:pt>
                <c:pt idx="51">
                  <c:v>442.4</c:v>
                </c:pt>
                <c:pt idx="52">
                  <c:v>445</c:v>
                </c:pt>
                <c:pt idx="53">
                  <c:v>457.1</c:v>
                </c:pt>
                <c:pt idx="54">
                  <c:v>468.3</c:v>
                </c:pt>
                <c:pt idx="55">
                  <c:v>468.3</c:v>
                </c:pt>
                <c:pt idx="56">
                  <c:v>468.4</c:v>
                </c:pt>
                <c:pt idx="57">
                  <c:v>479.3</c:v>
                </c:pt>
              </c:numCache>
            </c:numRef>
          </c:val>
          <c:extLst>
            <c:ext xmlns:c16="http://schemas.microsoft.com/office/drawing/2014/chart" uri="{C3380CC4-5D6E-409C-BE32-E72D297353CC}">
              <c16:uniqueId val="{00000003-3F37-4BB9-8AE1-7C6CC772096D}"/>
            </c:ext>
          </c:extLst>
        </c:ser>
        <c:ser>
          <c:idx val="4"/>
          <c:order val="4"/>
          <c:spPr>
            <a:noFill/>
            <a:ln>
              <a:noFill/>
            </a:ln>
          </c:spPr>
          <c:invertIfNegative val="0"/>
          <c:dLbls>
            <c:spPr>
              <a:noFill/>
              <a:ln>
                <a:noFill/>
              </a:ln>
              <a:effectLst/>
            </c:spPr>
            <c:txPr>
              <a:bodyPr/>
              <a:lstStyle/>
              <a:p>
                <a:pPr>
                  <a:defRPr>
                    <a:solidFill>
                      <a:srgbClr val="0070C0"/>
                    </a:solidFill>
                    <a:latin typeface="Wingdings" panose="05000000000000000000" pitchFamily="2" charset="2"/>
                  </a:defRPr>
                </a:pPr>
                <a:endParaRPr lang="en-US"/>
              </a:p>
            </c:txPr>
            <c:dLblPos val="outEnd"/>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cat>
            <c:strRef>
              <c:f>[0]!Marker</c:f>
              <c:strCache>
                <c:ptCount val="52"/>
                <c:pt idx="51">
                  <c:v>u</c:v>
                </c:pt>
              </c:strCache>
            </c:strRef>
          </c:cat>
          <c:val>
            <c:numRef>
              <c:f>[0]!MarkData</c:f>
              <c:numCache>
                <c:formatCode>0.00</c:formatCode>
                <c:ptCount val="58"/>
                <c:pt idx="0">
                  <c:v>302</c:v>
                </c:pt>
                <c:pt idx="1">
                  <c:v>310.8</c:v>
                </c:pt>
                <c:pt idx="2">
                  <c:v>322</c:v>
                </c:pt>
                <c:pt idx="3">
                  <c:v>328.3</c:v>
                </c:pt>
                <c:pt idx="4">
                  <c:v>329.6</c:v>
                </c:pt>
                <c:pt idx="5">
                  <c:v>332</c:v>
                </c:pt>
                <c:pt idx="6">
                  <c:v>339.7</c:v>
                </c:pt>
                <c:pt idx="7">
                  <c:v>340.8</c:v>
                </c:pt>
                <c:pt idx="8">
                  <c:v>340.9</c:v>
                </c:pt>
                <c:pt idx="9">
                  <c:v>360.1</c:v>
                </c:pt>
                <c:pt idx="10">
                  <c:v>361.1</c:v>
                </c:pt>
                <c:pt idx="11">
                  <c:v>362.3</c:v>
                </c:pt>
                <c:pt idx="12">
                  <c:v>362.9</c:v>
                </c:pt>
                <c:pt idx="13">
                  <c:v>363.3</c:v>
                </c:pt>
                <c:pt idx="14">
                  <c:v>363.4</c:v>
                </c:pt>
                <c:pt idx="15">
                  <c:v>372.1</c:v>
                </c:pt>
                <c:pt idx="16">
                  <c:v>374.6</c:v>
                </c:pt>
                <c:pt idx="17">
                  <c:v>375.8</c:v>
                </c:pt>
                <c:pt idx="18">
                  <c:v>380.5</c:v>
                </c:pt>
                <c:pt idx="19">
                  <c:v>382.5</c:v>
                </c:pt>
                <c:pt idx="20">
                  <c:v>382.9</c:v>
                </c:pt>
                <c:pt idx="21">
                  <c:v>384.2</c:v>
                </c:pt>
                <c:pt idx="22">
                  <c:v>384.5</c:v>
                </c:pt>
                <c:pt idx="23">
                  <c:v>384.8</c:v>
                </c:pt>
                <c:pt idx="24">
                  <c:v>388.7</c:v>
                </c:pt>
                <c:pt idx="25">
                  <c:v>389.9</c:v>
                </c:pt>
                <c:pt idx="26">
                  <c:v>392.1</c:v>
                </c:pt>
                <c:pt idx="27">
                  <c:v>392.2</c:v>
                </c:pt>
                <c:pt idx="28">
                  <c:v>393.1</c:v>
                </c:pt>
                <c:pt idx="29">
                  <c:v>393.2</c:v>
                </c:pt>
                <c:pt idx="30">
                  <c:v>394.1</c:v>
                </c:pt>
                <c:pt idx="31">
                  <c:v>395.2</c:v>
                </c:pt>
                <c:pt idx="32">
                  <c:v>396.8</c:v>
                </c:pt>
                <c:pt idx="33">
                  <c:v>400.2</c:v>
                </c:pt>
                <c:pt idx="34">
                  <c:v>401.7</c:v>
                </c:pt>
                <c:pt idx="35">
                  <c:v>403.5</c:v>
                </c:pt>
                <c:pt idx="36">
                  <c:v>405.7</c:v>
                </c:pt>
                <c:pt idx="37">
                  <c:v>407.2</c:v>
                </c:pt>
                <c:pt idx="38">
                  <c:v>411.3</c:v>
                </c:pt>
                <c:pt idx="39">
                  <c:v>415</c:v>
                </c:pt>
                <c:pt idx="40">
                  <c:v>415.3</c:v>
                </c:pt>
                <c:pt idx="41">
                  <c:v>417.7</c:v>
                </c:pt>
                <c:pt idx="42">
                  <c:v>422.3</c:v>
                </c:pt>
                <c:pt idx="43">
                  <c:v>426.5</c:v>
                </c:pt>
                <c:pt idx="44">
                  <c:v>428</c:v>
                </c:pt>
                <c:pt idx="45">
                  <c:v>429.7</c:v>
                </c:pt>
                <c:pt idx="46">
                  <c:v>430.4</c:v>
                </c:pt>
                <c:pt idx="47">
                  <c:v>437.6</c:v>
                </c:pt>
                <c:pt idx="48">
                  <c:v>439.4</c:v>
                </c:pt>
                <c:pt idx="49">
                  <c:v>441.4</c:v>
                </c:pt>
                <c:pt idx="50">
                  <c:v>442.3</c:v>
                </c:pt>
                <c:pt idx="51">
                  <c:v>442.4</c:v>
                </c:pt>
                <c:pt idx="52">
                  <c:v>445</c:v>
                </c:pt>
                <c:pt idx="53">
                  <c:v>457.1</c:v>
                </c:pt>
                <c:pt idx="54">
                  <c:v>468.3</c:v>
                </c:pt>
                <c:pt idx="55">
                  <c:v>468.3</c:v>
                </c:pt>
                <c:pt idx="56">
                  <c:v>468.4</c:v>
                </c:pt>
                <c:pt idx="57">
                  <c:v>479.3</c:v>
                </c:pt>
              </c:numCache>
            </c:numRef>
          </c:val>
          <c:extLst>
            <c:ext xmlns:c16="http://schemas.microsoft.com/office/drawing/2014/chart" uri="{C3380CC4-5D6E-409C-BE32-E72D297353CC}">
              <c16:uniqueId val="{00000004-3F37-4BB9-8AE1-7C6CC772096D}"/>
            </c:ext>
          </c:extLst>
        </c:ser>
        <c:dLbls>
          <c:showLegendKey val="0"/>
          <c:showVal val="0"/>
          <c:showCatName val="0"/>
          <c:showSerName val="0"/>
          <c:showPercent val="0"/>
          <c:showBubbleSize val="0"/>
        </c:dLbls>
        <c:gapWidth val="0"/>
        <c:overlap val="100"/>
        <c:axId val="378522624"/>
        <c:axId val="378557184"/>
      </c:barChart>
      <c:catAx>
        <c:axId val="378522624"/>
        <c:scaling>
          <c:orientation val="minMax"/>
        </c:scaling>
        <c:delete val="0"/>
        <c:axPos val="b"/>
        <c:numFmt formatCode="General" sourceLinked="1"/>
        <c:majorTickMark val="none"/>
        <c:minorTickMark val="none"/>
        <c:tickLblPos val="none"/>
        <c:crossAx val="378557184"/>
        <c:crosses val="autoZero"/>
        <c:auto val="1"/>
        <c:lblAlgn val="ctr"/>
        <c:lblOffset val="100"/>
        <c:noMultiLvlLbl val="0"/>
      </c:catAx>
      <c:valAx>
        <c:axId val="378557184"/>
        <c:scaling>
          <c:orientation val="minMax"/>
        </c:scaling>
        <c:delete val="0"/>
        <c:axPos val="l"/>
        <c:numFmt formatCode="0" sourceLinked="0"/>
        <c:majorTickMark val="out"/>
        <c:minorTickMark val="none"/>
        <c:tickLblPos val="nextTo"/>
        <c:txPr>
          <a:bodyPr rot="0" vert="horz"/>
          <a:lstStyle/>
          <a:p>
            <a:pPr>
              <a:defRPr/>
            </a:pPr>
            <a:endParaRPr lang="en-US"/>
          </a:p>
        </c:txPr>
        <c:crossAx val="378522624"/>
        <c:crosses val="autoZero"/>
        <c:crossBetween val="between"/>
      </c:valAx>
      <c:spPr>
        <a:ln>
          <a:noFill/>
        </a:ln>
      </c:spPr>
    </c:plotArea>
    <c:plotVisOnly val="1"/>
    <c:dispBlanksAs val="gap"/>
    <c:showDLblsOverMax val="0"/>
  </c:chart>
  <c:spPr>
    <a:ln>
      <a:noFill/>
    </a:ln>
  </c:spPr>
  <c:printSettings>
    <c:headerFooter alignWithMargins="0"/>
    <c:pageMargins b="0.75000000000000444" l="0.70000000000000062" r="0.70000000000000062" t="0.75000000000000444" header="0.30000000000000032" footer="0.30000000000000032"/>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6874634301285582E-2"/>
          <c:y val="9.1248268821218684E-2"/>
          <c:w val="0.9123717337880537"/>
          <c:h val="0.66160783888545605"/>
        </c:manualLayout>
      </c:layout>
      <c:barChart>
        <c:barDir val="col"/>
        <c:grouping val="clustered"/>
        <c:varyColors val="0"/>
        <c:ser>
          <c:idx val="9"/>
          <c:order val="0"/>
          <c:tx>
            <c:v>Block Data</c:v>
          </c:tx>
          <c:spPr>
            <a:solidFill>
              <a:schemeClr val="accent3">
                <a:lumMod val="75000"/>
              </a:schemeClr>
            </a:solidFill>
          </c:spPr>
          <c:invertIfNegative val="0"/>
          <c:dPt>
            <c:idx val="4"/>
            <c:invertIfNegative val="0"/>
            <c:bubble3D val="0"/>
            <c:spPr>
              <a:solidFill>
                <a:schemeClr val="accent3">
                  <a:lumMod val="50000"/>
                </a:schemeClr>
              </a:solidFill>
            </c:spPr>
            <c:extLst>
              <c:ext xmlns:c16="http://schemas.microsoft.com/office/drawing/2014/chart" uri="{C3380CC4-5D6E-409C-BE32-E72D297353CC}">
                <c16:uniqueId val="{00000000-BD69-43AE-9FE1-2AE025650BE0}"/>
              </c:ext>
            </c:extLst>
          </c:dPt>
          <c:cat>
            <c:strRef>
              <c:f>Profile!$D$48:$D$51</c:f>
              <c:strCache>
                <c:ptCount val="4"/>
                <c:pt idx="0">
                  <c:v>Cheshire East</c:v>
                </c:pt>
                <c:pt idx="1">
                  <c:v>Unitaries</c:v>
                </c:pt>
                <c:pt idx="2">
                  <c:v>Regional</c:v>
                </c:pt>
                <c:pt idx="3">
                  <c:v> Rural </c:v>
                </c:pt>
              </c:strCache>
            </c:strRef>
          </c:cat>
          <c:val>
            <c:numRef>
              <c:f>Profile!$E$48:$E$51</c:f>
              <c:numCache>
                <c:formatCode>0.00</c:formatCode>
                <c:ptCount val="4"/>
                <c:pt idx="0">
                  <c:v>442.4</c:v>
                </c:pt>
                <c:pt idx="1">
                  <c:v>394.4896551724139</c:v>
                </c:pt>
                <c:pt idx="2">
                  <c:v>414.13333333333338</c:v>
                </c:pt>
                <c:pt idx="3">
                  <c:v>424.12499999999989</c:v>
                </c:pt>
              </c:numCache>
            </c:numRef>
          </c:val>
          <c:extLst>
            <c:ext xmlns:c16="http://schemas.microsoft.com/office/drawing/2014/chart" uri="{C3380CC4-5D6E-409C-BE32-E72D297353CC}">
              <c16:uniqueId val="{00000001-BD69-43AE-9FE1-2AE025650BE0}"/>
            </c:ext>
          </c:extLst>
        </c:ser>
        <c:dLbls>
          <c:showLegendKey val="0"/>
          <c:showVal val="0"/>
          <c:showCatName val="0"/>
          <c:showSerName val="0"/>
          <c:showPercent val="0"/>
          <c:showBubbleSize val="0"/>
        </c:dLbls>
        <c:gapWidth val="39"/>
        <c:overlap val="100"/>
        <c:axId val="478292224"/>
        <c:axId val="570490880"/>
      </c:barChart>
      <c:lineChart>
        <c:grouping val="standard"/>
        <c:varyColors val="0"/>
        <c:ser>
          <c:idx val="0"/>
          <c:order val="1"/>
          <c:tx>
            <c:v>Top Quartile Benchmark</c:v>
          </c:tx>
          <c:spPr>
            <a:ln>
              <a:solidFill>
                <a:schemeClr val="bg2">
                  <a:lumMod val="25000"/>
                </a:schemeClr>
              </a:solidFill>
            </a:ln>
          </c:spPr>
          <c:marker>
            <c:symbol val="none"/>
          </c:marker>
          <c:val>
            <c:numRef>
              <c:f>(Profile!$K$48,Profile!$K$49,Profile!$K$50,Profile!$K$51)</c:f>
              <c:numCache>
                <c:formatCode>General</c:formatCode>
                <c:ptCount val="4"/>
                <c:pt idx="0">
                  <c:v>365.57499999999999</c:v>
                </c:pt>
                <c:pt idx="1">
                  <c:v>365.57499999999999</c:v>
                </c:pt>
                <c:pt idx="2">
                  <c:v>365.57499999999999</c:v>
                </c:pt>
                <c:pt idx="3">
                  <c:v>365.57499999999999</c:v>
                </c:pt>
              </c:numCache>
            </c:numRef>
          </c:val>
          <c:smooth val="0"/>
          <c:extLst>
            <c:ext xmlns:c16="http://schemas.microsoft.com/office/drawing/2014/chart" uri="{C3380CC4-5D6E-409C-BE32-E72D297353CC}">
              <c16:uniqueId val="{00000002-BD69-43AE-9FE1-2AE025650BE0}"/>
            </c:ext>
          </c:extLst>
        </c:ser>
        <c:ser>
          <c:idx val="1"/>
          <c:order val="2"/>
          <c:tx>
            <c:v>Median</c:v>
          </c:tx>
          <c:spPr>
            <a:ln>
              <a:solidFill>
                <a:srgbClr val="FFFF00"/>
              </a:solidFill>
            </a:ln>
          </c:spPr>
          <c:marker>
            <c:symbol val="none"/>
          </c:marker>
          <c:val>
            <c:numRef>
              <c:f>(Profile!$M$48,Profile!$M$49,Profile!$M$50,Profile!$M$51)</c:f>
              <c:numCache>
                <c:formatCode>General</c:formatCode>
                <c:ptCount val="4"/>
                <c:pt idx="0">
                  <c:v>393.15</c:v>
                </c:pt>
                <c:pt idx="1">
                  <c:v>393.15</c:v>
                </c:pt>
                <c:pt idx="2">
                  <c:v>393.15</c:v>
                </c:pt>
                <c:pt idx="3">
                  <c:v>393.15</c:v>
                </c:pt>
              </c:numCache>
            </c:numRef>
          </c:val>
          <c:smooth val="0"/>
          <c:extLst>
            <c:ext xmlns:c16="http://schemas.microsoft.com/office/drawing/2014/chart" uri="{C3380CC4-5D6E-409C-BE32-E72D297353CC}">
              <c16:uniqueId val="{00000003-BD69-43AE-9FE1-2AE025650BE0}"/>
            </c:ext>
          </c:extLst>
        </c:ser>
        <c:ser>
          <c:idx val="2"/>
          <c:order val="3"/>
          <c:tx>
            <c:v>Bottom Quartile Benchmark</c:v>
          </c:tx>
          <c:spPr>
            <a:ln>
              <a:solidFill>
                <a:srgbClr val="FF0000"/>
              </a:solidFill>
            </a:ln>
          </c:spPr>
          <c:marker>
            <c:symbol val="none"/>
          </c:marker>
          <c:val>
            <c:numRef>
              <c:f>(Profile!$O$48,Profile!$O$49,Profile!$O$50,Profile!$O$51)</c:f>
              <c:numCache>
                <c:formatCode>General</c:formatCode>
                <c:ptCount val="4"/>
                <c:pt idx="0">
                  <c:v>425.45</c:v>
                </c:pt>
                <c:pt idx="1">
                  <c:v>425.45</c:v>
                </c:pt>
                <c:pt idx="2">
                  <c:v>425.45</c:v>
                </c:pt>
                <c:pt idx="3">
                  <c:v>425.45</c:v>
                </c:pt>
              </c:numCache>
            </c:numRef>
          </c:val>
          <c:smooth val="0"/>
          <c:extLst>
            <c:ext xmlns:c16="http://schemas.microsoft.com/office/drawing/2014/chart" uri="{C3380CC4-5D6E-409C-BE32-E72D297353CC}">
              <c16:uniqueId val="{00000004-BD69-43AE-9FE1-2AE025650BE0}"/>
            </c:ext>
          </c:extLst>
        </c:ser>
        <c:dLbls>
          <c:showLegendKey val="0"/>
          <c:showVal val="0"/>
          <c:showCatName val="0"/>
          <c:showSerName val="0"/>
          <c:showPercent val="0"/>
          <c:showBubbleSize val="0"/>
        </c:dLbls>
        <c:marker val="1"/>
        <c:smooth val="0"/>
        <c:axId val="478292224"/>
        <c:axId val="570490880"/>
      </c:lineChart>
      <c:catAx>
        <c:axId val="478292224"/>
        <c:scaling>
          <c:orientation val="minMax"/>
        </c:scaling>
        <c:delete val="0"/>
        <c:axPos val="b"/>
        <c:numFmt formatCode="General" sourceLinked="1"/>
        <c:majorTickMark val="out"/>
        <c:minorTickMark val="none"/>
        <c:tickLblPos val="nextTo"/>
        <c:spPr>
          <a:ln w="3175">
            <a:solidFill>
              <a:srgbClr val="80808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570490880"/>
        <c:crosses val="autoZero"/>
        <c:auto val="1"/>
        <c:lblAlgn val="ctr"/>
        <c:lblOffset val="100"/>
        <c:noMultiLvlLbl val="0"/>
      </c:catAx>
      <c:valAx>
        <c:axId val="570490880"/>
        <c:scaling>
          <c:orientation val="minMax"/>
        </c:scaling>
        <c:delete val="0"/>
        <c:axPos val="l"/>
        <c:majorGridlines>
          <c:spPr>
            <a:ln>
              <a:noFill/>
            </a:ln>
          </c:spPr>
        </c:majorGridlines>
        <c:numFmt formatCode="0" sourceLinked="0"/>
        <c:majorTickMark val="out"/>
        <c:minorTickMark val="none"/>
        <c:tickLblPos val="nextTo"/>
        <c:spPr>
          <a:ln w="3175">
            <a:solidFill>
              <a:srgbClr val="808080"/>
            </a:solidFill>
            <a:prstDash val="solid"/>
          </a:ln>
        </c:spPr>
        <c:txPr>
          <a:bodyPr rot="0" vert="horz"/>
          <a:lstStyle/>
          <a:p>
            <a:pPr>
              <a:defRPr sz="1000" b="0" i="0" u="none" strike="noStrike" baseline="0">
                <a:solidFill>
                  <a:srgbClr val="000000"/>
                </a:solidFill>
                <a:latin typeface="Calibri"/>
                <a:ea typeface="Calibri"/>
                <a:cs typeface="Calibri"/>
              </a:defRPr>
            </a:pPr>
            <a:endParaRPr lang="en-US"/>
          </a:p>
        </c:txPr>
        <c:crossAx val="478292224"/>
        <c:crosses val="autoZero"/>
        <c:crossBetween val="between"/>
      </c:valAx>
    </c:plotArea>
    <c:legend>
      <c:legendPos val="b"/>
      <c:legendEntry>
        <c:idx val="0"/>
        <c:delete val="1"/>
      </c:legendEntry>
      <c:layout>
        <c:manualLayout>
          <c:xMode val="edge"/>
          <c:yMode val="edge"/>
          <c:x val="0.10120783739241845"/>
          <c:y val="0.90916944591436155"/>
          <c:w val="0.85546529939571503"/>
          <c:h val="8.4690001676023266E-2"/>
        </c:manualLayout>
      </c:layout>
      <c:overlay val="0"/>
      <c:txPr>
        <a:bodyPr/>
        <a:lstStyle/>
        <a:p>
          <a:pPr>
            <a:defRPr sz="800"/>
          </a:pPr>
          <a:endParaRPr lang="en-US"/>
        </a:p>
      </c:txPr>
    </c:legend>
    <c:plotVisOnly val="1"/>
    <c:dispBlanksAs val="gap"/>
    <c:showDLblsOverMax val="0"/>
  </c:chart>
  <c:spPr>
    <a:solidFill>
      <a:schemeClr val="bg1"/>
    </a:solidFill>
    <a:ln w="9525">
      <a:noFill/>
    </a:ln>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0.75000000000000411" l="0.70000000000000062" r="0.70000000000000062" t="0.7500000000000041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9733469848777324E-2"/>
          <c:y val="6.0725521892544924E-2"/>
          <c:w val="0.93589299789538694"/>
          <c:h val="0.66660374406841938"/>
        </c:manualLayout>
      </c:layout>
      <c:barChart>
        <c:barDir val="col"/>
        <c:grouping val="clustered"/>
        <c:varyColors val="0"/>
        <c:ser>
          <c:idx val="0"/>
          <c:order val="0"/>
          <c:spPr>
            <a:solidFill>
              <a:schemeClr val="accent3">
                <a:lumMod val="75000"/>
              </a:schemeClr>
            </a:solidFill>
          </c:spPr>
          <c:invertIfNegative val="0"/>
          <c:dPt>
            <c:idx val="0"/>
            <c:invertIfNegative val="0"/>
            <c:bubble3D val="0"/>
            <c:spPr>
              <a:solidFill>
                <a:schemeClr val="accent3">
                  <a:lumMod val="50000"/>
                </a:schemeClr>
              </a:solidFill>
            </c:spPr>
            <c:extLst>
              <c:ext xmlns:c16="http://schemas.microsoft.com/office/drawing/2014/chart" uri="{C3380CC4-5D6E-409C-BE32-E72D297353CC}">
                <c16:uniqueId val="{00000000-EADE-4ECD-AD33-954985ABFCCF}"/>
              </c:ext>
            </c:extLst>
          </c:dPt>
          <c:cat>
            <c:strRef>
              <c:f>Profile!$F$118:$F$121</c:f>
              <c:strCache>
                <c:ptCount val="4"/>
                <c:pt idx="0">
                  <c:v>Cheshire East</c:v>
                </c:pt>
                <c:pt idx="1">
                  <c:v>Predominantly Rural</c:v>
                </c:pt>
                <c:pt idx="2">
                  <c:v>Predominantly Urban</c:v>
                </c:pt>
                <c:pt idx="3">
                  <c:v>Significant Rural</c:v>
                </c:pt>
              </c:strCache>
            </c:strRef>
          </c:cat>
          <c:val>
            <c:numRef>
              <c:f>Profile!$G$118:$G$121</c:f>
              <c:numCache>
                <c:formatCode>0.00</c:formatCode>
                <c:ptCount val="4"/>
                <c:pt idx="0">
                  <c:v>442.4</c:v>
                </c:pt>
                <c:pt idx="1">
                  <c:v>432.73636363636365</c:v>
                </c:pt>
                <c:pt idx="2">
                  <c:v>378.12499999999994</c:v>
                </c:pt>
                <c:pt idx="3">
                  <c:v>411.56000000000006</c:v>
                </c:pt>
              </c:numCache>
            </c:numRef>
          </c:val>
          <c:extLst>
            <c:ext xmlns:c16="http://schemas.microsoft.com/office/drawing/2014/chart" uri="{C3380CC4-5D6E-409C-BE32-E72D297353CC}">
              <c16:uniqueId val="{00000001-EADE-4ECD-AD33-954985ABFCCF}"/>
            </c:ext>
          </c:extLst>
        </c:ser>
        <c:dLbls>
          <c:showLegendKey val="0"/>
          <c:showVal val="0"/>
          <c:showCatName val="0"/>
          <c:showSerName val="0"/>
          <c:showPercent val="0"/>
          <c:showBubbleSize val="0"/>
        </c:dLbls>
        <c:gapWidth val="39"/>
        <c:overlap val="100"/>
        <c:axId val="617943808"/>
        <c:axId val="617945344"/>
      </c:barChart>
      <c:lineChart>
        <c:grouping val="standard"/>
        <c:varyColors val="0"/>
        <c:ser>
          <c:idx val="1"/>
          <c:order val="1"/>
          <c:tx>
            <c:v>Top Quartile Benchmark</c:v>
          </c:tx>
          <c:spPr>
            <a:ln>
              <a:solidFill>
                <a:schemeClr val="bg2">
                  <a:lumMod val="25000"/>
                </a:schemeClr>
              </a:solidFill>
            </a:ln>
          </c:spPr>
          <c:marker>
            <c:symbol val="none"/>
          </c:marker>
          <c:val>
            <c:numRef>
              <c:f>(Profile!$M$118,Profile!$M$119,Profile!$M$120,Profile!$M$121)</c:f>
              <c:numCache>
                <c:formatCode>General</c:formatCode>
                <c:ptCount val="4"/>
                <c:pt idx="0">
                  <c:v>365.57499999999999</c:v>
                </c:pt>
                <c:pt idx="1">
                  <c:v>365.57499999999999</c:v>
                </c:pt>
                <c:pt idx="2">
                  <c:v>365.57499999999999</c:v>
                </c:pt>
                <c:pt idx="3">
                  <c:v>365.57499999999999</c:v>
                </c:pt>
              </c:numCache>
            </c:numRef>
          </c:val>
          <c:smooth val="0"/>
          <c:extLst>
            <c:ext xmlns:c16="http://schemas.microsoft.com/office/drawing/2014/chart" uri="{C3380CC4-5D6E-409C-BE32-E72D297353CC}">
              <c16:uniqueId val="{00000002-EADE-4ECD-AD33-954985ABFCCF}"/>
            </c:ext>
          </c:extLst>
        </c:ser>
        <c:ser>
          <c:idx val="2"/>
          <c:order val="2"/>
          <c:tx>
            <c:v>Median</c:v>
          </c:tx>
          <c:spPr>
            <a:ln>
              <a:solidFill>
                <a:srgbClr val="FFFF00"/>
              </a:solidFill>
            </a:ln>
          </c:spPr>
          <c:marker>
            <c:symbol val="none"/>
          </c:marker>
          <c:val>
            <c:numRef>
              <c:f>(Profile!$O$118,Profile!$O$119,Profile!$O$120,Profile!$O$121)</c:f>
              <c:numCache>
                <c:formatCode>General</c:formatCode>
                <c:ptCount val="4"/>
                <c:pt idx="0">
                  <c:v>393.15</c:v>
                </c:pt>
                <c:pt idx="1">
                  <c:v>393.15</c:v>
                </c:pt>
                <c:pt idx="2">
                  <c:v>393.15</c:v>
                </c:pt>
                <c:pt idx="3">
                  <c:v>393.15</c:v>
                </c:pt>
              </c:numCache>
            </c:numRef>
          </c:val>
          <c:smooth val="0"/>
          <c:extLst>
            <c:ext xmlns:c16="http://schemas.microsoft.com/office/drawing/2014/chart" uri="{C3380CC4-5D6E-409C-BE32-E72D297353CC}">
              <c16:uniqueId val="{00000003-EADE-4ECD-AD33-954985ABFCCF}"/>
            </c:ext>
          </c:extLst>
        </c:ser>
        <c:ser>
          <c:idx val="3"/>
          <c:order val="3"/>
          <c:tx>
            <c:v>Bottom Quartile Benchmark</c:v>
          </c:tx>
          <c:spPr>
            <a:ln>
              <a:solidFill>
                <a:srgbClr val="FF0000"/>
              </a:solidFill>
            </a:ln>
          </c:spPr>
          <c:marker>
            <c:symbol val="none"/>
          </c:marker>
          <c:val>
            <c:numRef>
              <c:f>(Profile!$Q$118,Profile!$Q$119,Profile!$Q$120,Profile!$Q$121)</c:f>
              <c:numCache>
                <c:formatCode>General</c:formatCode>
                <c:ptCount val="4"/>
                <c:pt idx="0">
                  <c:v>425.45</c:v>
                </c:pt>
                <c:pt idx="1">
                  <c:v>425.45</c:v>
                </c:pt>
                <c:pt idx="2">
                  <c:v>425.45</c:v>
                </c:pt>
                <c:pt idx="3">
                  <c:v>425.45</c:v>
                </c:pt>
              </c:numCache>
            </c:numRef>
          </c:val>
          <c:smooth val="0"/>
          <c:extLst>
            <c:ext xmlns:c16="http://schemas.microsoft.com/office/drawing/2014/chart" uri="{C3380CC4-5D6E-409C-BE32-E72D297353CC}">
              <c16:uniqueId val="{00000004-EADE-4ECD-AD33-954985ABFCCF}"/>
            </c:ext>
          </c:extLst>
        </c:ser>
        <c:dLbls>
          <c:showLegendKey val="0"/>
          <c:showVal val="0"/>
          <c:showCatName val="0"/>
          <c:showSerName val="0"/>
          <c:showPercent val="0"/>
          <c:showBubbleSize val="0"/>
        </c:dLbls>
        <c:marker val="1"/>
        <c:smooth val="0"/>
        <c:axId val="617943808"/>
        <c:axId val="617945344"/>
      </c:lineChart>
      <c:catAx>
        <c:axId val="617943808"/>
        <c:scaling>
          <c:orientation val="minMax"/>
        </c:scaling>
        <c:delete val="0"/>
        <c:axPos val="b"/>
        <c:numFmt formatCode="General" sourceLinked="1"/>
        <c:majorTickMark val="out"/>
        <c:minorTickMark val="none"/>
        <c:tickLblPos val="nextTo"/>
        <c:spPr>
          <a:ln w="3175">
            <a:solidFill>
              <a:srgbClr val="80808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617945344"/>
        <c:crosses val="autoZero"/>
        <c:auto val="1"/>
        <c:lblAlgn val="ctr"/>
        <c:lblOffset val="100"/>
        <c:noMultiLvlLbl val="0"/>
      </c:catAx>
      <c:valAx>
        <c:axId val="617945344"/>
        <c:scaling>
          <c:orientation val="minMax"/>
        </c:scaling>
        <c:delete val="0"/>
        <c:axPos val="l"/>
        <c:numFmt formatCode="#,##0" sourceLinked="0"/>
        <c:majorTickMark val="out"/>
        <c:minorTickMark val="none"/>
        <c:tickLblPos val="nextTo"/>
        <c:spPr>
          <a:ln w="3175">
            <a:solidFill>
              <a:srgbClr val="808080"/>
            </a:solidFill>
            <a:prstDash val="solid"/>
          </a:ln>
        </c:spPr>
        <c:txPr>
          <a:bodyPr rot="0" vert="horz"/>
          <a:lstStyle/>
          <a:p>
            <a:pPr>
              <a:defRPr sz="1000" b="0" i="0" u="none" strike="noStrike" baseline="0">
                <a:solidFill>
                  <a:srgbClr val="000000"/>
                </a:solidFill>
                <a:latin typeface="Calibri"/>
                <a:ea typeface="Calibri"/>
                <a:cs typeface="Calibri"/>
              </a:defRPr>
            </a:pPr>
            <a:endParaRPr lang="en-US"/>
          </a:p>
        </c:txPr>
        <c:crossAx val="617943808"/>
        <c:crosses val="autoZero"/>
        <c:crossBetween val="between"/>
      </c:valAx>
      <c:spPr>
        <a:solidFill>
          <a:srgbClr val="FFFFFF"/>
        </a:solidFill>
        <a:ln w="25400">
          <a:noFill/>
        </a:ln>
      </c:spPr>
    </c:plotArea>
    <c:legend>
      <c:legendPos val="r"/>
      <c:legendEntry>
        <c:idx val="0"/>
        <c:delete val="1"/>
      </c:legendEntry>
      <c:layout>
        <c:manualLayout>
          <c:xMode val="edge"/>
          <c:yMode val="edge"/>
          <c:x val="8.3660564101314658E-2"/>
          <c:y val="0.90819672131147544"/>
          <c:w val="0.82180752947677205"/>
          <c:h val="9.1803278688524559E-2"/>
        </c:manualLayout>
      </c:layout>
      <c:overlay val="0"/>
      <c:spPr>
        <a:noFill/>
        <a:ln w="25400">
          <a:noFill/>
        </a:ln>
      </c:spPr>
      <c:txPr>
        <a:bodyPr/>
        <a:lstStyle/>
        <a:p>
          <a:pPr>
            <a:defRPr sz="8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9525">
      <a:noFill/>
    </a:ln>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0.75000000000000433" l="0.70000000000000062" r="0.70000000000000062" t="0.75000000000000433" header="0.30000000000000032" footer="0.30000000000000032"/>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57151</xdr:colOff>
      <xdr:row>16</xdr:row>
      <xdr:rowOff>57152</xdr:rowOff>
    </xdr:from>
    <xdr:to>
      <xdr:col>38</xdr:col>
      <xdr:colOff>47625</xdr:colOff>
      <xdr:row>30</xdr:row>
      <xdr:rowOff>104776</xdr:rowOff>
    </xdr:to>
    <xdr:graphicFrame macro="">
      <xdr:nvGraphicFramePr>
        <xdr:cNvPr id="989264" name="Chart 3">
          <a:extLst>
            <a:ext uri="{FF2B5EF4-FFF2-40B4-BE49-F238E27FC236}">
              <a16:creationId xmlns:a16="http://schemas.microsoft.com/office/drawing/2014/main" id="{00000000-0008-0000-0000-000050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85725</xdr:colOff>
      <xdr:row>44</xdr:row>
      <xdr:rowOff>28574</xdr:rowOff>
    </xdr:from>
    <xdr:to>
      <xdr:col>38</xdr:col>
      <xdr:colOff>76200</xdr:colOff>
      <xdr:row>56</xdr:row>
      <xdr:rowOff>123825</xdr:rowOff>
    </xdr:to>
    <xdr:graphicFrame macro="">
      <xdr:nvGraphicFramePr>
        <xdr:cNvPr id="989265" name="Chart 2">
          <a:extLst>
            <a:ext uri="{FF2B5EF4-FFF2-40B4-BE49-F238E27FC236}">
              <a16:creationId xmlns:a16="http://schemas.microsoft.com/office/drawing/2014/main" id="{00000000-0008-0000-0000-000051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19050</xdr:colOff>
      <xdr:row>114</xdr:row>
      <xdr:rowOff>142875</xdr:rowOff>
    </xdr:from>
    <xdr:to>
      <xdr:col>38</xdr:col>
      <xdr:colOff>104775</xdr:colOff>
      <xdr:row>133</xdr:row>
      <xdr:rowOff>85725</xdr:rowOff>
    </xdr:to>
    <xdr:graphicFrame macro="">
      <xdr:nvGraphicFramePr>
        <xdr:cNvPr id="989266" name="Chart 2">
          <a:extLst>
            <a:ext uri="{FF2B5EF4-FFF2-40B4-BE49-F238E27FC236}">
              <a16:creationId xmlns:a16="http://schemas.microsoft.com/office/drawing/2014/main" id="{00000000-0008-0000-0000-000052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oneCellAnchor>
    <xdr:from>
      <xdr:col>0</xdr:col>
      <xdr:colOff>0</xdr:colOff>
      <xdr:row>0</xdr:row>
      <xdr:rowOff>0</xdr:rowOff>
    </xdr:from>
    <xdr:ext cx="409575" cy="247650"/>
    <xdr:pic>
      <xdr:nvPicPr>
        <xdr:cNvPr id="6" name="Picture 4" descr="rsnlogo1.jpg">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0" y="647700"/>
          <a:ext cx="40957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1</xdr:col>
      <xdr:colOff>57151</xdr:colOff>
      <xdr:row>16</xdr:row>
      <xdr:rowOff>19050</xdr:rowOff>
    </xdr:from>
    <xdr:to>
      <xdr:col>3</xdr:col>
      <xdr:colOff>28575</xdr:colOff>
      <xdr:row>17</xdr:row>
      <xdr:rowOff>123825</xdr:rowOff>
    </xdr:to>
    <xdr:sp macro="" textlink="D21">
      <xdr:nvSpPr>
        <xdr:cNvPr id="2" name="Rectangle 1">
          <a:extLst>
            <a:ext uri="{FF2B5EF4-FFF2-40B4-BE49-F238E27FC236}">
              <a16:creationId xmlns:a16="http://schemas.microsoft.com/office/drawing/2014/main" id="{00000000-0008-0000-0000-000002000000}"/>
            </a:ext>
          </a:extLst>
        </xdr:cNvPr>
        <xdr:cNvSpPr/>
      </xdr:nvSpPr>
      <xdr:spPr>
        <a:xfrm>
          <a:off x="104776" y="3038475"/>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4BB4C60A-239C-4D12-BD42-53D8C4E5352D}" type="TxLink">
            <a:rPr lang="en-US" sz="1000" b="0" i="0" u="none" strike="noStrike" cap="none" spc="0">
              <a:ln>
                <a:noFill/>
              </a:ln>
              <a:solidFill>
                <a:srgbClr val="000000"/>
              </a:solidFill>
              <a:effectLst/>
              <a:latin typeface="Arial"/>
              <a:cs typeface="Arial"/>
            </a:rPr>
            <a:pPr algn="l"/>
            <a:t> </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twoCellAnchor>
    <xdr:from>
      <xdr:col>1</xdr:col>
      <xdr:colOff>123825</xdr:colOff>
      <xdr:row>43</xdr:row>
      <xdr:rowOff>66675</xdr:rowOff>
    </xdr:from>
    <xdr:to>
      <xdr:col>3</xdr:col>
      <xdr:colOff>95249</xdr:colOff>
      <xdr:row>45</xdr:row>
      <xdr:rowOff>9525</xdr:rowOff>
    </xdr:to>
    <xdr:sp macro="" textlink="D21">
      <xdr:nvSpPr>
        <xdr:cNvPr id="8" name="Rectangle 7">
          <a:extLst>
            <a:ext uri="{FF2B5EF4-FFF2-40B4-BE49-F238E27FC236}">
              <a16:creationId xmlns:a16="http://schemas.microsoft.com/office/drawing/2014/main" id="{00000000-0008-0000-0000-000008000000}"/>
            </a:ext>
          </a:extLst>
        </xdr:cNvPr>
        <xdr:cNvSpPr/>
      </xdr:nvSpPr>
      <xdr:spPr>
        <a:xfrm>
          <a:off x="171450" y="7458075"/>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F1C8DFD4-087F-4F86-92F7-3CE9F906857C}" type="TxLink">
            <a:rPr lang="en-US" sz="1000" b="0" i="0" u="none" strike="noStrike" cap="none" spc="0">
              <a:ln>
                <a:noFill/>
              </a:ln>
              <a:solidFill>
                <a:srgbClr val="000000"/>
              </a:solidFill>
              <a:effectLst/>
              <a:latin typeface="Arial"/>
              <a:cs typeface="Arial"/>
            </a:rPr>
            <a:pPr algn="l"/>
            <a:t> </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twoCellAnchor>
    <xdr:from>
      <xdr:col>1</xdr:col>
      <xdr:colOff>66675</xdr:colOff>
      <xdr:row>114</xdr:row>
      <xdr:rowOff>19050</xdr:rowOff>
    </xdr:from>
    <xdr:to>
      <xdr:col>3</xdr:col>
      <xdr:colOff>38099</xdr:colOff>
      <xdr:row>115</xdr:row>
      <xdr:rowOff>133350</xdr:rowOff>
    </xdr:to>
    <xdr:sp macro="" textlink="D21">
      <xdr:nvSpPr>
        <xdr:cNvPr id="9" name="Rectangle 8">
          <a:extLst>
            <a:ext uri="{FF2B5EF4-FFF2-40B4-BE49-F238E27FC236}">
              <a16:creationId xmlns:a16="http://schemas.microsoft.com/office/drawing/2014/main" id="{00000000-0008-0000-0000-000009000000}"/>
            </a:ext>
          </a:extLst>
        </xdr:cNvPr>
        <xdr:cNvSpPr/>
      </xdr:nvSpPr>
      <xdr:spPr>
        <a:xfrm>
          <a:off x="114300" y="18573750"/>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F995019D-F542-44B3-ACF6-F17BAA3220FE}" type="TxLink">
            <a:rPr lang="en-US" sz="1000" b="0" i="0" u="none" strike="noStrike" cap="none" spc="0">
              <a:ln>
                <a:noFill/>
              </a:ln>
              <a:solidFill>
                <a:srgbClr val="000000"/>
              </a:solidFill>
              <a:effectLst/>
              <a:latin typeface="Arial"/>
              <a:cs typeface="Arial"/>
            </a:rPr>
            <a:pPr algn="l"/>
            <a:t> </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Projects\2007\NNM\Model%20Test%20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7Model"/>
      <sheetName val="Data"/>
      <sheetName val="YourGroup"/>
      <sheetName val="Macros"/>
      <sheetName val="Master"/>
      <sheetName val="Counties"/>
      <sheetName val="London"/>
      <sheetName val="MetUnit"/>
      <sheetName val="Districts"/>
    </sheetNames>
    <sheetDataSet>
      <sheetData sheetId="0">
        <row r="2">
          <cell r="U2" t="str">
            <v>E0101</v>
          </cell>
        </row>
        <row r="6">
          <cell r="L6" t="e">
            <v>#N/A</v>
          </cell>
        </row>
        <row r="7">
          <cell r="L7" t="e">
            <v>#N/A</v>
          </cell>
        </row>
        <row r="8">
          <cell r="L8" t="e">
            <v>#N/A</v>
          </cell>
        </row>
        <row r="9">
          <cell r="L9" t="e">
            <v>#N/A</v>
          </cell>
        </row>
        <row r="10">
          <cell r="L10" t="e">
            <v>#N/A</v>
          </cell>
        </row>
        <row r="11">
          <cell r="L11" t="e">
            <v>#N/A</v>
          </cell>
        </row>
        <row r="12">
          <cell r="L12" t="e">
            <v>#N/A</v>
          </cell>
        </row>
        <row r="13">
          <cell r="L13" t="e">
            <v>#N/A</v>
          </cell>
        </row>
        <row r="14">
          <cell r="L14" t="e">
            <v>#N/A</v>
          </cell>
        </row>
        <row r="15">
          <cell r="L15" t="e">
            <v>#N/A</v>
          </cell>
        </row>
        <row r="16">
          <cell r="L16" t="e">
            <v>#N/A</v>
          </cell>
        </row>
        <row r="17">
          <cell r="L17" t="e">
            <v>#N/A</v>
          </cell>
        </row>
        <row r="18">
          <cell r="L18" t="e">
            <v>#N/A</v>
          </cell>
        </row>
        <row r="19">
          <cell r="L19" t="e">
            <v>#N/A</v>
          </cell>
        </row>
        <row r="20">
          <cell r="L20" t="e">
            <v>#N/A</v>
          </cell>
        </row>
      </sheetData>
      <sheetData sheetId="1">
        <row r="119">
          <cell r="A119">
            <v>115</v>
          </cell>
          <cell r="AN119">
            <v>0</v>
          </cell>
          <cell r="AW119">
            <v>12.87</v>
          </cell>
        </row>
        <row r="120">
          <cell r="AN120">
            <v>0</v>
          </cell>
          <cell r="AW120">
            <v>8.36</v>
          </cell>
        </row>
        <row r="121">
          <cell r="AN121">
            <v>0</v>
          </cell>
          <cell r="AW121">
            <v>11.66</v>
          </cell>
        </row>
        <row r="122">
          <cell r="AN122">
            <v>0</v>
          </cell>
          <cell r="AW122">
            <v>15.06</v>
          </cell>
        </row>
        <row r="123">
          <cell r="AN123">
            <v>1</v>
          </cell>
          <cell r="AW123">
            <v>22.87</v>
          </cell>
        </row>
        <row r="124">
          <cell r="AN124">
            <v>0</v>
          </cell>
          <cell r="AW124">
            <v>21.61</v>
          </cell>
        </row>
        <row r="125">
          <cell r="AN125">
            <v>0</v>
          </cell>
          <cell r="AW125">
            <v>19.670000000000002</v>
          </cell>
        </row>
        <row r="126">
          <cell r="AN126">
            <v>1</v>
          </cell>
          <cell r="AW126">
            <v>17.41</v>
          </cell>
        </row>
        <row r="127">
          <cell r="AN127">
            <v>0</v>
          </cell>
          <cell r="AW127">
            <v>13.01</v>
          </cell>
        </row>
        <row r="128">
          <cell r="AN128">
            <v>0</v>
          </cell>
          <cell r="AW128">
            <v>28.47</v>
          </cell>
        </row>
        <row r="129">
          <cell r="AN129">
            <v>1</v>
          </cell>
          <cell r="AW129">
            <v>17.3</v>
          </cell>
        </row>
        <row r="130">
          <cell r="AN130">
            <v>1</v>
          </cell>
          <cell r="AW130">
            <v>14.33</v>
          </cell>
        </row>
        <row r="131">
          <cell r="AN131">
            <v>0</v>
          </cell>
          <cell r="AW131">
            <v>13.51</v>
          </cell>
        </row>
        <row r="132">
          <cell r="AN132">
            <v>1</v>
          </cell>
          <cell r="AW132">
            <v>10.039999999999999</v>
          </cell>
        </row>
        <row r="133">
          <cell r="AN133">
            <v>0</v>
          </cell>
          <cell r="AW133">
            <v>14.8</v>
          </cell>
        </row>
        <row r="134">
          <cell r="AN134">
            <v>0</v>
          </cell>
          <cell r="AW134">
            <v>10.76</v>
          </cell>
        </row>
        <row r="135">
          <cell r="AN135">
            <v>1</v>
          </cell>
          <cell r="AW135">
            <v>16.010000000000002</v>
          </cell>
        </row>
        <row r="136">
          <cell r="AN136">
            <v>0</v>
          </cell>
          <cell r="AW136">
            <v>21.8</v>
          </cell>
        </row>
        <row r="137">
          <cell r="AN137">
            <v>0</v>
          </cell>
          <cell r="AW137">
            <v>10.98</v>
          </cell>
        </row>
        <row r="138">
          <cell r="AN138">
            <v>1</v>
          </cell>
          <cell r="AW138">
            <v>18.46</v>
          </cell>
        </row>
        <row r="139">
          <cell r="AN139">
            <v>0</v>
          </cell>
          <cell r="AW139">
            <v>17.93</v>
          </cell>
        </row>
        <row r="140">
          <cell r="AN140">
            <v>0</v>
          </cell>
          <cell r="AW140">
            <v>15.97</v>
          </cell>
        </row>
        <row r="141">
          <cell r="AN141">
            <v>0</v>
          </cell>
          <cell r="AW141">
            <v>21.88</v>
          </cell>
        </row>
        <row r="142">
          <cell r="AN142">
            <v>1</v>
          </cell>
          <cell r="AW142">
            <v>14.03</v>
          </cell>
        </row>
        <row r="143">
          <cell r="AN143">
            <v>0</v>
          </cell>
          <cell r="AW143">
            <v>20.92</v>
          </cell>
        </row>
        <row r="144">
          <cell r="AN144">
            <v>0</v>
          </cell>
          <cell r="AW144">
            <v>10.77</v>
          </cell>
        </row>
        <row r="145">
          <cell r="AN145">
            <v>0</v>
          </cell>
          <cell r="AW145">
            <v>15.39</v>
          </cell>
        </row>
        <row r="146">
          <cell r="AN146">
            <v>0</v>
          </cell>
          <cell r="AW146">
            <v>15.76</v>
          </cell>
        </row>
        <row r="147">
          <cell r="AN147">
            <v>0</v>
          </cell>
          <cell r="AW147">
            <v>16.309999999999999</v>
          </cell>
        </row>
        <row r="148">
          <cell r="AN148">
            <v>0</v>
          </cell>
          <cell r="AW148">
            <v>15.04</v>
          </cell>
        </row>
        <row r="149">
          <cell r="AN149">
            <v>0</v>
          </cell>
          <cell r="AW149">
            <v>7.56</v>
          </cell>
        </row>
        <row r="150">
          <cell r="AN150">
            <v>0</v>
          </cell>
          <cell r="AW150">
            <v>14.41</v>
          </cell>
        </row>
        <row r="151">
          <cell r="AN151">
            <v>1</v>
          </cell>
          <cell r="AW151">
            <v>11.91</v>
          </cell>
        </row>
        <row r="152">
          <cell r="AN152">
            <v>0</v>
          </cell>
          <cell r="AW152">
            <v>10.56</v>
          </cell>
        </row>
        <row r="395">
          <cell r="BA395">
            <v>1</v>
          </cell>
          <cell r="BB395">
            <v>2</v>
          </cell>
          <cell r="BC395">
            <v>3</v>
          </cell>
          <cell r="BD395">
            <v>4</v>
          </cell>
          <cell r="BE395">
            <v>5</v>
          </cell>
          <cell r="BF395">
            <v>6</v>
          </cell>
          <cell r="BG395">
            <v>7</v>
          </cell>
          <cell r="BH395">
            <v>8</v>
          </cell>
          <cell r="BI395">
            <v>9</v>
          </cell>
          <cell r="BJ395">
            <v>10</v>
          </cell>
          <cell r="BK395">
            <v>11</v>
          </cell>
          <cell r="BL395">
            <v>12</v>
          </cell>
          <cell r="BM395">
            <v>13</v>
          </cell>
          <cell r="BN395">
            <v>14</v>
          </cell>
          <cell r="BO395">
            <v>15</v>
          </cell>
          <cell r="BP395">
            <v>16</v>
          </cell>
          <cell r="BQ395">
            <v>17</v>
          </cell>
          <cell r="BR395">
            <v>18</v>
          </cell>
          <cell r="BS395">
            <v>19</v>
          </cell>
          <cell r="BT395">
            <v>20</v>
          </cell>
          <cell r="BU395">
            <v>21</v>
          </cell>
          <cell r="BV395">
            <v>22</v>
          </cell>
          <cell r="BW395">
            <v>23</v>
          </cell>
          <cell r="BX395">
            <v>24</v>
          </cell>
          <cell r="BY395">
            <v>25</v>
          </cell>
          <cell r="BZ395">
            <v>26</v>
          </cell>
          <cell r="CA395">
            <v>27</v>
          </cell>
          <cell r="CB395">
            <v>28</v>
          </cell>
          <cell r="CC395">
            <v>29</v>
          </cell>
          <cell r="CD395">
            <v>30</v>
          </cell>
          <cell r="CE395">
            <v>31</v>
          </cell>
          <cell r="CF395">
            <v>32</v>
          </cell>
          <cell r="CG395">
            <v>33</v>
          </cell>
          <cell r="CH395">
            <v>34</v>
          </cell>
          <cell r="CI395">
            <v>35</v>
          </cell>
          <cell r="CJ395">
            <v>36</v>
          </cell>
          <cell r="CK395">
            <v>37</v>
          </cell>
          <cell r="CL395">
            <v>38</v>
          </cell>
          <cell r="CM395">
            <v>39</v>
          </cell>
          <cell r="CN395">
            <v>40</v>
          </cell>
          <cell r="CO395">
            <v>41</v>
          </cell>
          <cell r="CP395">
            <v>42</v>
          </cell>
          <cell r="CQ395">
            <v>43</v>
          </cell>
          <cell r="CR395">
            <v>44</v>
          </cell>
          <cell r="CS395">
            <v>45</v>
          </cell>
          <cell r="CT395">
            <v>46</v>
          </cell>
          <cell r="CU395">
            <v>47</v>
          </cell>
        </row>
      </sheetData>
      <sheetData sheetId="2">
        <row r="2">
          <cell r="K2">
            <v>0</v>
          </cell>
        </row>
      </sheetData>
      <sheetData sheetId="3">
        <row r="1">
          <cell r="B1" t="b">
            <v>1</v>
          </cell>
        </row>
      </sheetData>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6">
    <tabColor theme="0"/>
  </sheetPr>
  <dimension ref="A1:XFD136"/>
  <sheetViews>
    <sheetView showGridLines="0" tabSelected="1" zoomScaleNormal="100" workbookViewId="0">
      <selection activeCell="J5" sqref="J5:S6"/>
    </sheetView>
  </sheetViews>
  <sheetFormatPr defaultColWidth="0" defaultRowHeight="13.2" zeroHeight="1"/>
  <cols>
    <col min="1" max="1" width="0.6640625" customWidth="1"/>
    <col min="2" max="15" width="2.44140625" customWidth="1"/>
    <col min="16" max="16" width="3.77734375" customWidth="1"/>
    <col min="17" max="17" width="5.33203125" customWidth="1"/>
    <col min="18" max="18" width="3.88671875" customWidth="1"/>
    <col min="19" max="22" width="2.44140625" customWidth="1"/>
    <col min="23" max="23" width="3.21875" customWidth="1"/>
    <col min="24" max="39" width="2.44140625" customWidth="1"/>
    <col min="40" max="40" width="2.33203125" customWidth="1"/>
    <col min="41" max="41" width="3" customWidth="1"/>
  </cols>
  <sheetData>
    <row r="1" spans="2:40" ht="19.5" customHeight="1">
      <c r="B1" s="240" t="str">
        <f>VLOOKUP('Filtered Data'!D1,'Filtered Data'!L1:O6,3,FALSE)</f>
        <v>Unitary</v>
      </c>
      <c r="C1" s="240"/>
      <c r="D1" s="240"/>
      <c r="E1" s="240"/>
      <c r="F1" s="240"/>
      <c r="G1" s="240"/>
      <c r="H1" s="240"/>
      <c r="I1" s="240"/>
      <c r="J1" s="240"/>
      <c r="K1" s="240"/>
      <c r="L1" s="240"/>
      <c r="M1" s="240"/>
      <c r="N1" s="240"/>
      <c r="O1" s="240"/>
      <c r="P1" s="240"/>
      <c r="Q1" s="240"/>
      <c r="R1" s="240"/>
      <c r="S1" s="240"/>
      <c r="T1" s="240"/>
      <c r="U1" s="240"/>
      <c r="V1" s="240"/>
      <c r="W1" s="240"/>
      <c r="X1" s="240"/>
      <c r="Y1" s="240"/>
      <c r="Z1" s="240"/>
      <c r="AA1" s="240"/>
      <c r="AB1" s="240"/>
      <c r="AC1" s="240"/>
      <c r="AD1" s="240"/>
      <c r="AE1" s="240"/>
      <c r="AF1" s="240"/>
      <c r="AG1" s="240"/>
      <c r="AH1" s="240"/>
      <c r="AI1" s="240"/>
      <c r="AJ1" s="240"/>
      <c r="AK1" s="240"/>
      <c r="AL1" s="240"/>
      <c r="AM1" s="240"/>
      <c r="AN1" s="240"/>
    </row>
    <row r="2" spans="2:40"/>
    <row r="3" spans="2:40" ht="19.5" customHeight="1">
      <c r="B3" s="250" t="str">
        <f>Data!B3</f>
        <v>Waste Management Indicators</v>
      </c>
      <c r="C3" s="250"/>
      <c r="D3" s="250"/>
      <c r="E3" s="250"/>
      <c r="F3" s="250"/>
      <c r="G3" s="250"/>
      <c r="H3" s="250"/>
      <c r="I3" s="250"/>
      <c r="J3" s="250"/>
      <c r="K3" s="250"/>
      <c r="L3" s="250"/>
      <c r="M3" s="250"/>
      <c r="N3" s="250"/>
      <c r="O3" s="250"/>
      <c r="P3" s="250"/>
      <c r="Q3" s="250"/>
      <c r="R3" s="250"/>
      <c r="S3" s="250"/>
      <c r="T3" s="250"/>
      <c r="U3" s="250"/>
      <c r="V3" s="250"/>
      <c r="W3" s="250"/>
      <c r="X3" s="250"/>
      <c r="Y3" s="250"/>
      <c r="Z3" s="250"/>
      <c r="AA3" s="250"/>
      <c r="AB3" s="250"/>
      <c r="AC3" s="250"/>
      <c r="AD3" s="250"/>
      <c r="AE3" s="250"/>
      <c r="AF3" s="250"/>
      <c r="AG3" s="250"/>
      <c r="AH3" s="250"/>
      <c r="AI3" s="250"/>
      <c r="AJ3" s="250"/>
      <c r="AK3" s="250"/>
      <c r="AL3" s="250"/>
      <c r="AM3" s="250"/>
      <c r="AN3" s="250"/>
    </row>
    <row r="4" spans="2:40">
      <c r="D4" s="3"/>
      <c r="E4" s="3"/>
    </row>
    <row r="5" spans="2:40" ht="15.75" customHeight="1">
      <c r="B5" s="286" t="s">
        <v>335</v>
      </c>
      <c r="C5" s="286"/>
      <c r="D5" s="286"/>
      <c r="E5" s="286"/>
      <c r="J5" s="289" t="s">
        <v>305</v>
      </c>
      <c r="K5" s="289"/>
      <c r="L5" s="289"/>
      <c r="M5" s="289"/>
      <c r="N5" s="289"/>
      <c r="O5" s="289"/>
      <c r="P5" s="289"/>
      <c r="Q5" s="289"/>
      <c r="R5" s="289"/>
      <c r="S5" s="289"/>
      <c r="W5" s="269" t="s">
        <v>363</v>
      </c>
      <c r="X5" s="270"/>
      <c r="Y5" s="270"/>
      <c r="Z5" s="270"/>
      <c r="AA5" s="270"/>
      <c r="AB5" s="270"/>
      <c r="AC5" s="270"/>
      <c r="AD5" s="270"/>
      <c r="AE5" s="270"/>
      <c r="AF5" s="270"/>
      <c r="AG5" s="270"/>
      <c r="AH5" s="270"/>
      <c r="AI5" s="270"/>
      <c r="AJ5" s="270"/>
      <c r="AK5" s="270"/>
      <c r="AL5" s="270"/>
      <c r="AM5" s="271"/>
    </row>
    <row r="6" spans="2:40" ht="17.25" customHeight="1">
      <c r="J6" s="289"/>
      <c r="K6" s="289"/>
      <c r="L6" s="289"/>
      <c r="M6" s="289"/>
      <c r="N6" s="289"/>
      <c r="O6" s="289"/>
      <c r="P6" s="289"/>
      <c r="Q6" s="289"/>
      <c r="R6" s="289"/>
      <c r="S6" s="289"/>
      <c r="W6" s="272" t="s">
        <v>892</v>
      </c>
      <c r="X6" s="273"/>
      <c r="Y6" s="273"/>
      <c r="Z6" s="273"/>
      <c r="AA6" s="273"/>
      <c r="AB6" s="273"/>
      <c r="AC6" s="273"/>
      <c r="AD6" s="273"/>
      <c r="AE6" s="273"/>
      <c r="AF6" s="273"/>
      <c r="AG6" s="273"/>
      <c r="AH6" s="273"/>
      <c r="AI6" s="273"/>
      <c r="AJ6" s="273"/>
      <c r="AK6" s="273"/>
      <c r="AL6" s="273"/>
      <c r="AM6" s="274"/>
    </row>
    <row r="7" spans="2:40" ht="12.75" customHeight="1">
      <c r="W7" s="272"/>
      <c r="X7" s="273"/>
      <c r="Y7" s="273"/>
      <c r="Z7" s="273"/>
      <c r="AA7" s="273"/>
      <c r="AB7" s="273"/>
      <c r="AC7" s="273"/>
      <c r="AD7" s="273"/>
      <c r="AE7" s="273"/>
      <c r="AF7" s="273"/>
      <c r="AG7" s="273"/>
      <c r="AH7" s="273"/>
      <c r="AI7" s="273"/>
      <c r="AJ7" s="273"/>
      <c r="AK7" s="273"/>
      <c r="AL7" s="273"/>
      <c r="AM7" s="274"/>
    </row>
    <row r="8" spans="2:40" ht="12.75" customHeight="1">
      <c r="B8" s="218" t="str">
        <f>IF('Filtered Data'!D1="L","County:","Type of Authority:")</f>
        <v>Type of Authority:</v>
      </c>
      <c r="C8" s="253"/>
      <c r="D8" s="253"/>
      <c r="E8" s="253"/>
      <c r="F8" s="253"/>
      <c r="G8" s="253"/>
      <c r="H8" s="253"/>
      <c r="I8" s="253"/>
      <c r="J8" s="3" t="str">
        <f>IF('Filtered Data'!D1="L",'Filtered Data'!I3,VLOOKUP('Filtered Data'!D1,'Filtered Data'!L1:O5,3,FALSE))</f>
        <v>Unitary</v>
      </c>
      <c r="K8" s="3"/>
      <c r="L8" s="3"/>
      <c r="M8" s="3"/>
      <c r="N8" s="3"/>
      <c r="O8" s="3"/>
      <c r="P8" s="3"/>
      <c r="Q8" s="3"/>
      <c r="R8" s="3"/>
      <c r="W8" s="272"/>
      <c r="X8" s="273"/>
      <c r="Y8" s="273"/>
      <c r="Z8" s="273"/>
      <c r="AA8" s="273"/>
      <c r="AB8" s="273"/>
      <c r="AC8" s="273"/>
      <c r="AD8" s="273"/>
      <c r="AE8" s="273"/>
      <c r="AF8" s="273"/>
      <c r="AG8" s="273"/>
      <c r="AH8" s="273"/>
      <c r="AI8" s="273"/>
      <c r="AJ8" s="273"/>
      <c r="AK8" s="273"/>
      <c r="AL8" s="273"/>
      <c r="AM8" s="274"/>
    </row>
    <row r="9" spans="2:40" ht="12.75" customHeight="1">
      <c r="B9" s="218" t="str">
        <f>IF('Filtered Data'!D1="L","Rural Classification:","Region:")</f>
        <v>Region:</v>
      </c>
      <c r="C9" s="253"/>
      <c r="D9" s="253"/>
      <c r="E9" s="253"/>
      <c r="F9" s="253"/>
      <c r="G9" s="253"/>
      <c r="H9" s="253"/>
      <c r="I9" s="253"/>
      <c r="J9" s="3" t="str">
        <f>IF('Filtered Data'!D1="L",'Filtered Data'!H3,'Filtered Data'!G3)</f>
        <v>North West</v>
      </c>
      <c r="K9" s="3"/>
      <c r="L9" s="3"/>
      <c r="M9" s="3"/>
      <c r="N9" s="3"/>
      <c r="O9" s="3"/>
      <c r="P9" s="3"/>
      <c r="Q9" s="3"/>
      <c r="R9" s="3"/>
      <c r="W9" s="272"/>
      <c r="X9" s="273"/>
      <c r="Y9" s="273"/>
      <c r="Z9" s="273"/>
      <c r="AA9" s="273"/>
      <c r="AB9" s="273"/>
      <c r="AC9" s="273"/>
      <c r="AD9" s="273"/>
      <c r="AE9" s="273"/>
      <c r="AF9" s="273"/>
      <c r="AG9" s="273"/>
      <c r="AH9" s="273"/>
      <c r="AI9" s="273"/>
      <c r="AJ9" s="273"/>
      <c r="AK9" s="273"/>
      <c r="AL9" s="273"/>
      <c r="AM9" s="274"/>
    </row>
    <row r="10" spans="2:40" ht="12.75" customHeight="1">
      <c r="B10" s="253" t="str">
        <f>IF('Filtered Data'!D1="L","",IF('Filtered Data'!D1="SC","Rural Classification:",IF('Filtered Data'!D1="UA","Rural Classification:","County:")))</f>
        <v>Rural Classification:</v>
      </c>
      <c r="C10" s="253"/>
      <c r="D10" s="253"/>
      <c r="E10" s="253"/>
      <c r="F10" s="253"/>
      <c r="G10" s="253"/>
      <c r="H10" s="253"/>
      <c r="I10" s="253"/>
      <c r="J10" s="218" t="str">
        <f>IF('Filtered Data'!D1="L","",IF('Filtered Data'!D1="MD",'Filtered Data'!I3,IF('Filtered Data'!D1="SD",'Filtered Data'!I3,'Filtered Data'!H3)))</f>
        <v>Urban with Significant Rural (rural including hub towns 26-49%)</v>
      </c>
      <c r="K10" s="218"/>
      <c r="L10" s="218"/>
      <c r="M10" s="218"/>
      <c r="N10" s="218"/>
      <c r="O10" s="218"/>
      <c r="P10" s="218"/>
      <c r="Q10" s="218"/>
      <c r="R10" s="218"/>
      <c r="W10" s="272"/>
      <c r="X10" s="273"/>
      <c r="Y10" s="273"/>
      <c r="Z10" s="273"/>
      <c r="AA10" s="273"/>
      <c r="AB10" s="273"/>
      <c r="AC10" s="273"/>
      <c r="AD10" s="273"/>
      <c r="AE10" s="273"/>
      <c r="AF10" s="273"/>
      <c r="AG10" s="273"/>
      <c r="AH10" s="273"/>
      <c r="AI10" s="273"/>
      <c r="AJ10" s="273"/>
      <c r="AK10" s="273"/>
      <c r="AL10" s="273"/>
      <c r="AM10" s="274"/>
    </row>
    <row r="11" spans="2:40" ht="12.75" customHeight="1">
      <c r="B11" s="253" t="str">
        <f>IF('Filtered Data'!D1="L","",IF('Filtered Data'!D1="SC","",IF('Filtered Data'!D1="UA","","Rural Classification:")))</f>
        <v/>
      </c>
      <c r="C11" s="253"/>
      <c r="D11" s="253"/>
      <c r="E11" s="253"/>
      <c r="F11" s="253"/>
      <c r="G11" s="253"/>
      <c r="H11" s="253"/>
      <c r="I11" s="253"/>
      <c r="J11" s="3" t="str">
        <f>IF('Filtered Data'!D1="MD",'Filtered Data'!H3,IF('Filtered Data'!D1="SD",'Filtered Data'!H3,""))</f>
        <v/>
      </c>
      <c r="K11" s="3"/>
      <c r="W11" s="278" t="s">
        <v>366</v>
      </c>
      <c r="X11" s="279"/>
      <c r="Y11" s="279"/>
      <c r="Z11" s="279"/>
      <c r="AA11" s="279"/>
      <c r="AB11" s="279"/>
      <c r="AC11" s="279"/>
      <c r="AD11" s="279"/>
      <c r="AE11" s="279"/>
      <c r="AF11" s="279"/>
      <c r="AG11" s="279"/>
      <c r="AH11" s="279"/>
      <c r="AI11" s="279"/>
      <c r="AJ11" s="279"/>
      <c r="AK11" s="279"/>
      <c r="AL11" s="279"/>
      <c r="AM11" s="280"/>
    </row>
    <row r="12" spans="2:40" ht="12.75" customHeight="1">
      <c r="W12" s="260" t="s">
        <v>910</v>
      </c>
      <c r="X12" s="261"/>
      <c r="Y12" s="261"/>
      <c r="Z12" s="261"/>
      <c r="AA12" s="261"/>
      <c r="AB12" s="261"/>
      <c r="AC12" s="261"/>
      <c r="AD12" s="261"/>
      <c r="AE12" s="261"/>
      <c r="AF12" s="261"/>
      <c r="AG12" s="261"/>
      <c r="AH12" s="261"/>
      <c r="AI12" s="261"/>
      <c r="AJ12" s="261"/>
      <c r="AK12" s="261"/>
      <c r="AL12" s="261"/>
      <c r="AM12" s="262"/>
    </row>
    <row r="13" spans="2:40" ht="12.75" customHeight="1">
      <c r="B13" s="19"/>
      <c r="C13" s="19"/>
      <c r="D13" s="19"/>
      <c r="E13" s="19"/>
      <c r="F13" s="19"/>
      <c r="G13" s="19"/>
      <c r="H13" s="19"/>
      <c r="I13" s="19"/>
      <c r="J13" s="3"/>
      <c r="K13" s="3"/>
      <c r="L13" s="3"/>
      <c r="M13" s="3"/>
      <c r="N13" s="3"/>
      <c r="O13" s="3"/>
      <c r="P13" s="3"/>
      <c r="Q13" s="3"/>
      <c r="R13" s="3"/>
      <c r="W13" s="254" t="s">
        <v>367</v>
      </c>
      <c r="X13" s="255"/>
      <c r="Y13" s="255"/>
      <c r="Z13" s="255"/>
      <c r="AA13" s="255"/>
      <c r="AB13" s="255"/>
      <c r="AC13" s="255"/>
      <c r="AD13" s="255"/>
      <c r="AE13" s="255"/>
      <c r="AF13" s="255"/>
      <c r="AG13" s="255"/>
      <c r="AH13" s="255"/>
      <c r="AI13" s="255"/>
      <c r="AJ13" s="255"/>
      <c r="AK13" s="255"/>
      <c r="AL13" s="255"/>
      <c r="AM13" s="256"/>
    </row>
    <row r="14" spans="2:40" ht="25.5" customHeight="1">
      <c r="B14" s="19"/>
      <c r="C14" s="19"/>
      <c r="D14" s="19"/>
      <c r="E14" s="19"/>
      <c r="F14" s="19"/>
      <c r="G14" s="19"/>
      <c r="H14" s="19"/>
      <c r="I14" s="19"/>
      <c r="J14" s="3"/>
      <c r="K14" s="3"/>
      <c r="L14" s="3"/>
      <c r="M14" s="3"/>
      <c r="N14" s="3"/>
      <c r="O14" s="3"/>
      <c r="P14" s="3"/>
      <c r="Q14" s="3"/>
      <c r="R14" s="3"/>
      <c r="W14" s="275" t="str">
        <f>HLOOKUP(W6,Data!4:6,3,FALSE)</f>
        <v>ENV18 - DEFRA</v>
      </c>
      <c r="X14" s="276"/>
      <c r="Y14" s="276"/>
      <c r="Z14" s="276"/>
      <c r="AA14" s="276"/>
      <c r="AB14" s="276"/>
      <c r="AC14" s="276"/>
      <c r="AD14" s="276"/>
      <c r="AE14" s="276"/>
      <c r="AF14" s="276"/>
      <c r="AG14" s="276"/>
      <c r="AH14" s="276"/>
      <c r="AI14" s="276"/>
      <c r="AJ14" s="276"/>
      <c r="AK14" s="276"/>
      <c r="AL14" s="276"/>
      <c r="AM14" s="277"/>
    </row>
    <row r="15" spans="2:40"/>
    <row r="16" spans="2:40">
      <c r="B16" s="230" t="str">
        <f>W6&amp;" - "&amp;W12</f>
        <v>Collected household waste per person (kg) (Ex BVPI 84a) - 2022-23</v>
      </c>
      <c r="C16" s="231"/>
      <c r="D16" s="231"/>
      <c r="E16" s="231"/>
      <c r="F16" s="231"/>
      <c r="G16" s="231"/>
      <c r="H16" s="231"/>
      <c r="I16" s="231"/>
      <c r="J16" s="231"/>
      <c r="K16" s="231"/>
      <c r="L16" s="231"/>
      <c r="M16" s="231"/>
      <c r="N16" s="231"/>
      <c r="O16" s="231"/>
      <c r="P16" s="231"/>
      <c r="Q16" s="231"/>
      <c r="R16" s="231"/>
      <c r="S16" s="231"/>
      <c r="T16" s="231"/>
      <c r="U16" s="231"/>
      <c r="V16" s="231"/>
      <c r="W16" s="231"/>
      <c r="X16" s="231"/>
      <c r="Y16" s="231"/>
      <c r="Z16" s="231"/>
      <c r="AA16" s="231"/>
      <c r="AB16" s="231"/>
      <c r="AC16" s="231"/>
      <c r="AD16" s="231"/>
      <c r="AE16" s="231"/>
      <c r="AF16" s="231"/>
      <c r="AG16" s="231"/>
      <c r="AH16" s="231"/>
      <c r="AI16" s="231"/>
      <c r="AJ16" s="231"/>
      <c r="AK16" s="231"/>
      <c r="AL16" s="231"/>
      <c r="AM16" s="283"/>
    </row>
    <row r="17" spans="2:42">
      <c r="B17" s="232"/>
      <c r="C17" s="233"/>
      <c r="D17" s="233"/>
      <c r="E17" s="233"/>
      <c r="F17" s="233"/>
      <c r="G17" s="233"/>
      <c r="H17" s="233"/>
      <c r="I17" s="233"/>
      <c r="J17" s="233"/>
      <c r="K17" s="233"/>
      <c r="L17" s="233"/>
      <c r="M17" s="233"/>
      <c r="N17" s="233"/>
      <c r="O17" s="233"/>
      <c r="P17" s="233"/>
      <c r="Q17" s="233"/>
      <c r="R17" s="233"/>
      <c r="S17" s="233"/>
      <c r="T17" s="233"/>
      <c r="U17" s="233"/>
      <c r="V17" s="233"/>
      <c r="W17" s="233"/>
      <c r="X17" s="233"/>
      <c r="Y17" s="233"/>
      <c r="Z17" s="233"/>
      <c r="AA17" s="233"/>
      <c r="AB17" s="233"/>
      <c r="AC17" s="233"/>
      <c r="AD17" s="233"/>
      <c r="AE17" s="233"/>
      <c r="AF17" s="233"/>
      <c r="AG17" s="233"/>
      <c r="AH17" s="233"/>
      <c r="AI17" s="233"/>
      <c r="AJ17" s="233"/>
      <c r="AK17" s="233"/>
      <c r="AL17" s="233"/>
      <c r="AM17" s="284"/>
      <c r="AP17" s="60"/>
    </row>
    <row r="18" spans="2:42">
      <c r="B18" s="5"/>
      <c r="AM18" s="6"/>
      <c r="AP18" s="60"/>
    </row>
    <row r="19" spans="2:42">
      <c r="B19" s="5"/>
      <c r="AM19" s="6"/>
      <c r="AP19" s="60"/>
    </row>
    <row r="20" spans="2:42">
      <c r="B20" s="5"/>
      <c r="AM20" s="6"/>
      <c r="AP20" s="60"/>
    </row>
    <row r="21" spans="2:42">
      <c r="B21" s="5"/>
      <c r="D21" t="str">
        <f>IF('Filtered Data'!D8=".","",'Filtered Data'!D8)</f>
        <v/>
      </c>
      <c r="AM21" s="6"/>
      <c r="AP21" s="60"/>
    </row>
    <row r="22" spans="2:42">
      <c r="B22" s="5"/>
      <c r="D22" t="str">
        <f>'Filtered Data'!D8</f>
        <v>.</v>
      </c>
      <c r="AM22" s="6"/>
      <c r="AP22" s="60"/>
    </row>
    <row r="23" spans="2:42">
      <c r="B23" s="5"/>
      <c r="AM23" s="6"/>
      <c r="AP23" s="60"/>
    </row>
    <row r="24" spans="2:42">
      <c r="B24" s="5"/>
      <c r="AM24" s="6"/>
      <c r="AP24" s="60"/>
    </row>
    <row r="25" spans="2:42">
      <c r="B25" s="5"/>
      <c r="AM25" s="6"/>
      <c r="AP25" s="60"/>
    </row>
    <row r="26" spans="2:42">
      <c r="B26" s="5"/>
      <c r="AM26" s="6"/>
      <c r="AP26" s="60"/>
    </row>
    <row r="27" spans="2:42">
      <c r="B27" s="5"/>
      <c r="AM27" s="6"/>
      <c r="AP27" s="60"/>
    </row>
    <row r="28" spans="2:42">
      <c r="B28" s="5"/>
      <c r="AM28" s="6"/>
      <c r="AP28" s="60"/>
    </row>
    <row r="29" spans="2:42">
      <c r="B29" s="5"/>
      <c r="AM29" s="6"/>
      <c r="AP29" s="60"/>
    </row>
    <row r="30" spans="2:42">
      <c r="B30" s="5"/>
      <c r="AM30" s="6"/>
      <c r="AP30" s="60"/>
    </row>
    <row r="31" spans="2:42">
      <c r="B31" s="5"/>
      <c r="AM31" s="6"/>
      <c r="AP31" s="60"/>
    </row>
    <row r="32" spans="2:42">
      <c r="B32" s="7"/>
      <c r="C32" s="8"/>
      <c r="D32" s="8"/>
      <c r="E32" s="287" t="s">
        <v>342</v>
      </c>
      <c r="F32" s="288"/>
      <c r="G32" s="288"/>
      <c r="H32" s="288"/>
      <c r="I32" s="288"/>
      <c r="J32" s="288"/>
      <c r="K32" s="252">
        <f>IF('Filtered Data'!$H$8="..",'Filtered Data'!O10,'Filtered Data'!O10/100)</f>
        <v>365.57499999999999</v>
      </c>
      <c r="L32" s="252"/>
      <c r="M32" s="252"/>
      <c r="N32" s="251" t="s">
        <v>353</v>
      </c>
      <c r="O32" s="251"/>
      <c r="P32" s="251"/>
      <c r="Q32" s="251"/>
      <c r="R32" s="251"/>
      <c r="S32" s="251"/>
      <c r="T32" s="252">
        <f>IF('Filtered Data'!$H$8="..",'Filtered Data'!P10,'Filtered Data'!P10/100)</f>
        <v>393.15</v>
      </c>
      <c r="U32" s="252"/>
      <c r="V32" s="252"/>
      <c r="W32" s="252"/>
      <c r="X32" s="285" t="s">
        <v>354</v>
      </c>
      <c r="Y32" s="285"/>
      <c r="Z32" s="285"/>
      <c r="AA32" s="285"/>
      <c r="AB32" s="285"/>
      <c r="AC32" s="252">
        <f>IF('Filtered Data'!$H$8="..",'Filtered Data'!Q10,'Filtered Data'!Q10/100)</f>
        <v>425.45</v>
      </c>
      <c r="AD32" s="252"/>
      <c r="AE32" s="252"/>
      <c r="AF32" s="257" t="s">
        <v>343</v>
      </c>
      <c r="AG32" s="257"/>
      <c r="AH32" s="257"/>
      <c r="AI32" s="257"/>
      <c r="AJ32" s="257"/>
      <c r="AK32" s="257"/>
      <c r="AL32" s="257"/>
      <c r="AM32" s="9"/>
      <c r="AP32" s="60"/>
    </row>
    <row r="33" spans="2:16384">
      <c r="B33" s="4" t="str">
        <f>"The graph &amp; quartile information show data for all "&amp;V37&amp;" "&amp;VLOOKUP('Filtered Data'!D1,'Filtered Data'!L1:O6,3,FALSE)&amp;" councils in England."</f>
        <v>The graph &amp; quartile information show data for all 58 Unitary councils in England.</v>
      </c>
      <c r="AP33" s="60"/>
    </row>
    <row r="34" spans="2:16384">
      <c r="AO34" s="10"/>
      <c r="AP34" s="60"/>
      <c r="AQ34" s="10"/>
      <c r="AR34" s="10"/>
      <c r="AS34" s="10"/>
      <c r="AT34" s="10"/>
      <c r="AU34" s="10"/>
      <c r="AV34" s="10"/>
      <c r="AW34" s="10"/>
      <c r="AX34" s="10"/>
      <c r="AY34" s="10"/>
      <c r="AZ34" s="10"/>
      <c r="BA34" s="10"/>
      <c r="BB34" s="10"/>
      <c r="BC34" s="10"/>
      <c r="BD34" s="10"/>
      <c r="BE34" s="10"/>
      <c r="BF34" s="10"/>
      <c r="BG34" s="10"/>
      <c r="BH34" s="10"/>
      <c r="BI34" s="10"/>
      <c r="BJ34" s="10"/>
      <c r="BK34" s="10"/>
      <c r="BL34" s="10"/>
      <c r="BM34" s="10"/>
      <c r="BN34" s="10"/>
      <c r="BO34" s="10"/>
      <c r="BP34" s="10"/>
      <c r="BQ34" s="10"/>
      <c r="BR34" s="10"/>
      <c r="BS34" s="10"/>
      <c r="BT34" s="10"/>
      <c r="BU34" s="10"/>
      <c r="BV34" s="10"/>
      <c r="BW34" s="10"/>
      <c r="BX34" s="10"/>
      <c r="BY34" s="10"/>
      <c r="BZ34" s="10"/>
      <c r="CA34" s="10"/>
      <c r="CB34" s="10"/>
      <c r="CC34" s="10"/>
      <c r="CD34" s="10"/>
      <c r="CE34" s="10"/>
      <c r="CF34" s="10"/>
      <c r="CG34" s="10"/>
      <c r="CH34" s="10"/>
      <c r="CI34" s="10"/>
      <c r="CJ34" s="10"/>
      <c r="CK34" s="10"/>
      <c r="CL34" s="10"/>
      <c r="CM34" s="10"/>
      <c r="CN34" s="10"/>
      <c r="CO34" s="10"/>
      <c r="CP34" s="10"/>
      <c r="CQ34" s="10"/>
      <c r="CR34" s="10"/>
      <c r="CS34" s="10"/>
      <c r="CT34" s="10"/>
      <c r="CU34" s="10"/>
      <c r="CV34" s="10"/>
      <c r="CW34" s="10"/>
      <c r="CX34" s="10"/>
      <c r="CY34" s="10"/>
      <c r="CZ34" s="10"/>
      <c r="DA34" s="10"/>
      <c r="DB34" s="10"/>
      <c r="DC34" s="10"/>
      <c r="DD34" s="10"/>
      <c r="DE34" s="10"/>
      <c r="DF34" s="10"/>
      <c r="DG34" s="10"/>
      <c r="DH34" s="10"/>
      <c r="DI34" s="10"/>
      <c r="DJ34" s="10"/>
      <c r="DK34" s="10"/>
      <c r="DL34" s="10"/>
      <c r="DM34" s="10"/>
      <c r="DN34" s="10"/>
      <c r="DO34" s="10"/>
      <c r="DP34" s="10"/>
      <c r="DQ34" s="10"/>
      <c r="DR34" s="10"/>
      <c r="DS34" s="10"/>
      <c r="DT34" s="10"/>
      <c r="DU34" s="10"/>
      <c r="DV34" s="10"/>
      <c r="DW34" s="10"/>
      <c r="DX34" s="10"/>
      <c r="DY34" s="10"/>
      <c r="DZ34" s="10"/>
      <c r="EA34" s="10"/>
      <c r="EB34" s="10"/>
      <c r="EC34" s="10"/>
      <c r="ED34" s="10"/>
      <c r="EE34" s="10"/>
      <c r="EF34" s="10"/>
      <c r="EG34" s="10"/>
      <c r="EH34" s="10"/>
      <c r="EI34" s="10"/>
      <c r="EJ34" s="10"/>
      <c r="EK34" s="10"/>
      <c r="EL34" s="10"/>
      <c r="EM34" s="10"/>
      <c r="EN34" s="10"/>
      <c r="EO34" s="10"/>
      <c r="EP34" s="10"/>
      <c r="EQ34" s="10"/>
      <c r="ER34" s="10"/>
      <c r="ES34" s="10"/>
      <c r="ET34" s="10"/>
      <c r="EU34" s="10"/>
      <c r="EV34" s="10"/>
      <c r="EW34" s="10"/>
      <c r="EX34" s="10"/>
      <c r="EY34" s="10"/>
      <c r="EZ34" s="10"/>
      <c r="FA34" s="10"/>
      <c r="FB34" s="10"/>
      <c r="FC34" s="10"/>
      <c r="FD34" s="10"/>
      <c r="FE34" s="10"/>
      <c r="FF34" s="10"/>
      <c r="FG34" s="10"/>
      <c r="FH34" s="10"/>
      <c r="FI34" s="10"/>
      <c r="FJ34" s="10"/>
      <c r="FK34" s="10"/>
      <c r="FL34" s="10"/>
      <c r="FM34" s="10"/>
      <c r="FN34" s="10"/>
      <c r="FO34" s="10"/>
      <c r="FP34" s="10"/>
      <c r="FQ34" s="10"/>
      <c r="FR34" s="10"/>
      <c r="FS34" s="10"/>
      <c r="FT34" s="10"/>
      <c r="FU34" s="10"/>
      <c r="FV34" s="10"/>
      <c r="FW34" s="10"/>
      <c r="FX34" s="10"/>
      <c r="FY34" s="10"/>
      <c r="FZ34" s="10"/>
      <c r="GA34" s="10"/>
      <c r="GB34" s="10"/>
      <c r="GC34" s="10"/>
      <c r="GD34" s="10"/>
      <c r="GE34" s="10"/>
      <c r="GF34" s="10"/>
      <c r="GG34" s="10"/>
      <c r="GH34" s="10"/>
      <c r="GI34" s="10"/>
      <c r="GJ34" s="10"/>
      <c r="GK34" s="10"/>
      <c r="GL34" s="10"/>
      <c r="GM34" s="10"/>
      <c r="GN34" s="10"/>
      <c r="GO34" s="10"/>
      <c r="GP34" s="10"/>
      <c r="GQ34" s="10"/>
      <c r="GR34" s="10"/>
      <c r="GS34" s="10"/>
      <c r="GT34" s="10"/>
      <c r="GU34" s="10"/>
      <c r="GV34" s="10"/>
      <c r="GW34" s="10"/>
      <c r="GX34" s="10"/>
      <c r="GY34" s="10"/>
      <c r="GZ34" s="10"/>
      <c r="HA34" s="10"/>
      <c r="HB34" s="10"/>
      <c r="HC34" s="10"/>
      <c r="HD34" s="10"/>
      <c r="HE34" s="10"/>
      <c r="HF34" s="10"/>
      <c r="HG34" s="10"/>
      <c r="HH34" s="10"/>
      <c r="HI34" s="10"/>
      <c r="HJ34" s="10"/>
      <c r="HK34" s="10"/>
      <c r="HL34" s="10"/>
      <c r="HM34" s="10"/>
      <c r="HN34" s="10"/>
      <c r="HO34" s="10"/>
      <c r="HP34" s="10"/>
      <c r="HQ34" s="10"/>
      <c r="HR34" s="10"/>
      <c r="HS34" s="10"/>
      <c r="HT34" s="10"/>
      <c r="HU34" s="10"/>
      <c r="HV34" s="10"/>
      <c r="HW34" s="10"/>
      <c r="HX34" s="10"/>
      <c r="HY34" s="10"/>
      <c r="HZ34" s="10"/>
      <c r="IA34" s="10"/>
      <c r="IB34" s="10"/>
      <c r="IC34" s="10"/>
      <c r="ID34" s="10"/>
      <c r="IE34" s="10"/>
      <c r="IF34" s="10"/>
      <c r="IG34" s="10"/>
      <c r="IH34" s="10"/>
      <c r="II34" s="10"/>
      <c r="IJ34" s="10"/>
      <c r="IK34" s="10"/>
      <c r="IL34" s="10"/>
      <c r="IM34" s="10"/>
      <c r="IN34" s="10"/>
      <c r="IO34" s="10"/>
      <c r="IP34" s="10"/>
      <c r="IQ34" s="10"/>
      <c r="IR34" s="10"/>
      <c r="IS34" s="10"/>
      <c r="IT34" s="10"/>
      <c r="IU34" s="10"/>
      <c r="IV34" s="10"/>
      <c r="IW34" s="10"/>
      <c r="IX34" s="10"/>
      <c r="IY34" s="10"/>
      <c r="IZ34" s="10"/>
      <c r="JA34" s="10"/>
      <c r="JB34" s="10"/>
      <c r="JC34" s="10"/>
      <c r="JD34" s="10"/>
      <c r="JE34" s="10"/>
      <c r="JF34" s="10"/>
      <c r="JG34" s="10"/>
      <c r="JH34" s="10"/>
      <c r="JI34" s="10"/>
      <c r="JJ34" s="10"/>
      <c r="JK34" s="10"/>
      <c r="JL34" s="10"/>
      <c r="JM34" s="10"/>
      <c r="JN34" s="10"/>
      <c r="JO34" s="10"/>
      <c r="JP34" s="10"/>
      <c r="JQ34" s="10"/>
      <c r="JR34" s="10"/>
      <c r="JS34" s="10"/>
      <c r="JT34" s="10"/>
      <c r="JU34" s="10"/>
      <c r="JV34" s="10"/>
      <c r="JW34" s="10"/>
      <c r="JX34" s="10"/>
      <c r="JY34" s="10"/>
      <c r="JZ34" s="10"/>
      <c r="KA34" s="10"/>
      <c r="KB34" s="10"/>
      <c r="KC34" s="10"/>
      <c r="KD34" s="10"/>
      <c r="KE34" s="10"/>
      <c r="KF34" s="10"/>
      <c r="KG34" s="10"/>
      <c r="KH34" s="10"/>
      <c r="KI34" s="10"/>
      <c r="KJ34" s="10"/>
      <c r="KK34" s="10"/>
      <c r="KL34" s="10"/>
      <c r="KM34" s="10"/>
      <c r="KN34" s="10"/>
      <c r="KO34" s="10"/>
      <c r="KP34" s="10"/>
      <c r="KQ34" s="10"/>
      <c r="KR34" s="10"/>
      <c r="KS34" s="10"/>
      <c r="KT34" s="10"/>
      <c r="KU34" s="10"/>
      <c r="KV34" s="10"/>
      <c r="KW34" s="10"/>
      <c r="KX34" s="10"/>
      <c r="KY34" s="10"/>
      <c r="KZ34" s="10"/>
      <c r="LA34" s="10"/>
      <c r="LB34" s="10"/>
      <c r="LC34" s="10"/>
      <c r="LD34" s="10"/>
      <c r="LE34" s="10"/>
      <c r="LF34" s="10"/>
      <c r="LG34" s="10"/>
      <c r="LH34" s="10"/>
      <c r="LI34" s="10"/>
      <c r="LJ34" s="10"/>
      <c r="LK34" s="10"/>
      <c r="LL34" s="10"/>
      <c r="LM34" s="10"/>
      <c r="LN34" s="10"/>
      <c r="LO34" s="10"/>
      <c r="LP34" s="10"/>
      <c r="LQ34" s="10"/>
      <c r="LR34" s="10"/>
      <c r="LS34" s="10"/>
      <c r="LT34" s="10"/>
      <c r="LU34" s="10"/>
      <c r="LV34" s="10"/>
      <c r="LW34" s="10"/>
      <c r="LX34" s="10"/>
      <c r="LY34" s="10"/>
      <c r="LZ34" s="10"/>
      <c r="MA34" s="10"/>
      <c r="MB34" s="10"/>
      <c r="MC34" s="10"/>
      <c r="MD34" s="10"/>
      <c r="ME34" s="10"/>
      <c r="MF34" s="10"/>
      <c r="MG34" s="10"/>
      <c r="MH34" s="10"/>
      <c r="MI34" s="10"/>
      <c r="MJ34" s="10"/>
      <c r="MK34" s="10"/>
      <c r="ML34" s="10"/>
      <c r="MM34" s="10"/>
      <c r="MN34" s="10"/>
      <c r="MO34" s="10"/>
      <c r="MP34" s="10"/>
      <c r="MQ34" s="10"/>
      <c r="MR34" s="10"/>
      <c r="MS34" s="10"/>
      <c r="MT34" s="10"/>
      <c r="MU34" s="10"/>
      <c r="MV34" s="10"/>
      <c r="MW34" s="10"/>
      <c r="MX34" s="10"/>
      <c r="MY34" s="10"/>
      <c r="MZ34" s="10"/>
      <c r="NA34" s="10"/>
      <c r="NB34" s="10"/>
      <c r="NC34" s="10"/>
      <c r="ND34" s="10"/>
      <c r="NE34" s="10"/>
      <c r="NF34" s="10"/>
      <c r="NG34" s="10"/>
      <c r="NH34" s="10"/>
      <c r="NI34" s="10"/>
      <c r="NJ34" s="10"/>
      <c r="NK34" s="10"/>
      <c r="NL34" s="10"/>
      <c r="NM34" s="10"/>
      <c r="NN34" s="10"/>
      <c r="NO34" s="10"/>
      <c r="NP34" s="10"/>
      <c r="NQ34" s="10"/>
      <c r="NR34" s="10"/>
      <c r="NS34" s="10"/>
      <c r="NT34" s="10"/>
      <c r="NU34" s="10"/>
      <c r="NV34" s="10"/>
      <c r="NW34" s="10"/>
      <c r="NX34" s="10"/>
      <c r="NY34" s="10"/>
      <c r="NZ34" s="10"/>
      <c r="OA34" s="10"/>
      <c r="OB34" s="10"/>
      <c r="OC34" s="10"/>
      <c r="OD34" s="10"/>
      <c r="OE34" s="10"/>
      <c r="OF34" s="10"/>
      <c r="OG34" s="10"/>
      <c r="OH34" s="10"/>
      <c r="OI34" s="10"/>
      <c r="OJ34" s="10"/>
      <c r="OK34" s="10"/>
      <c r="OL34" s="10"/>
      <c r="OM34" s="10"/>
      <c r="ON34" s="10"/>
      <c r="OO34" s="10"/>
      <c r="OP34" s="10"/>
      <c r="OQ34" s="10"/>
      <c r="OR34" s="10"/>
      <c r="OS34" s="10"/>
      <c r="OT34" s="10"/>
      <c r="OU34" s="10"/>
      <c r="OV34" s="10"/>
      <c r="OW34" s="10"/>
      <c r="OX34" s="10"/>
      <c r="OY34" s="10"/>
      <c r="OZ34" s="10"/>
      <c r="PA34" s="10"/>
      <c r="PB34" s="10"/>
      <c r="PC34" s="10"/>
      <c r="PD34" s="10"/>
      <c r="PE34" s="10"/>
      <c r="PF34" s="10"/>
      <c r="PG34" s="10"/>
      <c r="PH34" s="10"/>
      <c r="PI34" s="10"/>
      <c r="PJ34" s="10"/>
      <c r="PK34" s="10"/>
      <c r="PL34" s="10"/>
      <c r="PM34" s="10"/>
      <c r="PN34" s="10"/>
      <c r="PO34" s="10"/>
      <c r="PP34" s="10"/>
      <c r="PQ34" s="10"/>
      <c r="PR34" s="10"/>
      <c r="PS34" s="10"/>
      <c r="PT34" s="10"/>
      <c r="PU34" s="10"/>
      <c r="PV34" s="10"/>
      <c r="PW34" s="10"/>
      <c r="PX34" s="10"/>
      <c r="PY34" s="10"/>
      <c r="PZ34" s="10"/>
      <c r="QA34" s="10"/>
      <c r="QB34" s="10"/>
      <c r="QC34" s="10"/>
      <c r="QD34" s="10"/>
      <c r="QE34" s="10"/>
      <c r="QF34" s="10"/>
      <c r="QG34" s="10"/>
      <c r="QH34" s="10"/>
      <c r="QI34" s="10"/>
      <c r="QJ34" s="10"/>
      <c r="QK34" s="10"/>
      <c r="QL34" s="10"/>
      <c r="QM34" s="10"/>
      <c r="QN34" s="10"/>
      <c r="QO34" s="10"/>
      <c r="QP34" s="10"/>
      <c r="QQ34" s="10"/>
      <c r="QR34" s="10"/>
      <c r="QS34" s="10"/>
      <c r="QT34" s="10"/>
      <c r="QU34" s="10"/>
      <c r="QV34" s="10"/>
      <c r="QW34" s="10"/>
      <c r="QX34" s="10"/>
      <c r="QY34" s="10"/>
      <c r="QZ34" s="10"/>
      <c r="RA34" s="10"/>
      <c r="RB34" s="10"/>
      <c r="RC34" s="10"/>
      <c r="RD34" s="10"/>
      <c r="RE34" s="10"/>
      <c r="RF34" s="10"/>
      <c r="RG34" s="10"/>
      <c r="RH34" s="10"/>
      <c r="RI34" s="10"/>
      <c r="RJ34" s="10"/>
      <c r="RK34" s="10"/>
      <c r="RL34" s="10"/>
      <c r="RM34" s="10"/>
      <c r="RN34" s="10"/>
      <c r="RO34" s="10"/>
      <c r="RP34" s="10"/>
      <c r="RQ34" s="10"/>
      <c r="RR34" s="10"/>
      <c r="RS34" s="10"/>
      <c r="RT34" s="10"/>
      <c r="RU34" s="10"/>
      <c r="RV34" s="10"/>
      <c r="RW34" s="10"/>
      <c r="RX34" s="10"/>
      <c r="RY34" s="10"/>
      <c r="RZ34" s="10"/>
      <c r="SA34" s="10"/>
      <c r="SB34" s="10"/>
      <c r="SC34" s="10"/>
      <c r="SD34" s="10"/>
      <c r="SE34" s="10"/>
      <c r="SF34" s="10"/>
      <c r="SG34" s="10"/>
      <c r="SH34" s="10"/>
      <c r="SI34" s="10"/>
      <c r="SJ34" s="10"/>
      <c r="SK34" s="10"/>
      <c r="SL34" s="10"/>
      <c r="SM34" s="10"/>
      <c r="SN34" s="10"/>
      <c r="SO34" s="10"/>
      <c r="SP34" s="10"/>
      <c r="SQ34" s="10"/>
      <c r="SR34" s="10"/>
      <c r="SS34" s="10"/>
      <c r="ST34" s="10"/>
      <c r="SU34" s="10"/>
      <c r="SV34" s="10"/>
      <c r="SW34" s="10"/>
      <c r="SX34" s="10"/>
      <c r="SY34" s="10"/>
      <c r="SZ34" s="10"/>
      <c r="TA34" s="10"/>
      <c r="TB34" s="10"/>
      <c r="TC34" s="10"/>
      <c r="TD34" s="10"/>
      <c r="TE34" s="10"/>
      <c r="TF34" s="10"/>
      <c r="TG34" s="10"/>
      <c r="TH34" s="10"/>
      <c r="TI34" s="10"/>
      <c r="TJ34" s="10"/>
      <c r="TK34" s="10"/>
      <c r="TL34" s="10"/>
      <c r="TM34" s="10"/>
      <c r="TN34" s="10"/>
      <c r="TO34" s="10"/>
      <c r="TP34" s="10"/>
      <c r="TQ34" s="10"/>
      <c r="TR34" s="10"/>
      <c r="TS34" s="10"/>
      <c r="TT34" s="10"/>
      <c r="TU34" s="10"/>
      <c r="TV34" s="10"/>
      <c r="TW34" s="10"/>
      <c r="TX34" s="10"/>
      <c r="TY34" s="10"/>
      <c r="TZ34" s="10"/>
      <c r="UA34" s="10"/>
      <c r="UB34" s="10"/>
      <c r="UC34" s="10"/>
      <c r="UD34" s="10"/>
      <c r="UE34" s="10"/>
      <c r="UF34" s="10"/>
      <c r="UG34" s="10"/>
      <c r="UH34" s="10"/>
      <c r="UI34" s="10"/>
      <c r="UJ34" s="10"/>
      <c r="UK34" s="10"/>
      <c r="UL34" s="10"/>
      <c r="UM34" s="10"/>
      <c r="UN34" s="10"/>
      <c r="UO34" s="10"/>
      <c r="UP34" s="10"/>
      <c r="UQ34" s="10"/>
      <c r="UR34" s="10"/>
      <c r="US34" s="10"/>
      <c r="UT34" s="10"/>
      <c r="UU34" s="10"/>
      <c r="UV34" s="10"/>
      <c r="UW34" s="10"/>
      <c r="UX34" s="10"/>
      <c r="UY34" s="10"/>
      <c r="UZ34" s="10"/>
      <c r="VA34" s="10"/>
      <c r="VB34" s="10"/>
      <c r="VC34" s="10"/>
      <c r="VD34" s="10"/>
      <c r="VE34" s="10"/>
      <c r="VF34" s="10"/>
      <c r="VG34" s="10"/>
      <c r="VH34" s="10"/>
      <c r="VI34" s="10"/>
      <c r="VJ34" s="10"/>
      <c r="VK34" s="10"/>
      <c r="VL34" s="10"/>
      <c r="VM34" s="10"/>
      <c r="VN34" s="10"/>
      <c r="VO34" s="10"/>
      <c r="VP34" s="10"/>
      <c r="VQ34" s="10"/>
      <c r="VR34" s="10"/>
      <c r="VS34" s="10"/>
      <c r="VT34" s="10"/>
      <c r="VU34" s="10"/>
      <c r="VV34" s="10"/>
      <c r="VW34" s="10"/>
      <c r="VX34" s="10"/>
      <c r="VY34" s="10"/>
      <c r="VZ34" s="10"/>
      <c r="WA34" s="10"/>
      <c r="WB34" s="10"/>
      <c r="WC34" s="10"/>
      <c r="WD34" s="10"/>
      <c r="WE34" s="10"/>
      <c r="WF34" s="10"/>
      <c r="WG34" s="10"/>
      <c r="WH34" s="10"/>
      <c r="WI34" s="10"/>
      <c r="WJ34" s="10"/>
      <c r="WK34" s="10"/>
      <c r="WL34" s="10"/>
      <c r="WM34" s="10"/>
      <c r="WN34" s="10"/>
      <c r="WO34" s="10"/>
      <c r="WP34" s="10"/>
      <c r="WQ34" s="10"/>
      <c r="WR34" s="10"/>
      <c r="WS34" s="10"/>
      <c r="WT34" s="10"/>
      <c r="WU34" s="10"/>
      <c r="WV34" s="10"/>
      <c r="WW34" s="10"/>
      <c r="WX34" s="10"/>
      <c r="WY34" s="10"/>
      <c r="WZ34" s="10"/>
      <c r="XA34" s="10"/>
      <c r="XB34" s="10"/>
      <c r="XC34" s="10"/>
      <c r="XD34" s="10"/>
      <c r="XE34" s="10"/>
      <c r="XF34" s="10"/>
      <c r="XG34" s="10"/>
      <c r="XH34" s="10"/>
      <c r="XI34" s="10"/>
      <c r="XJ34" s="10"/>
      <c r="XK34" s="10"/>
      <c r="XL34" s="10"/>
      <c r="XM34" s="10"/>
      <c r="XN34" s="10"/>
      <c r="XO34" s="10"/>
      <c r="XP34" s="10"/>
      <c r="XQ34" s="10"/>
      <c r="XR34" s="10"/>
      <c r="XS34" s="10"/>
      <c r="XT34" s="10"/>
      <c r="XU34" s="10"/>
      <c r="XV34" s="10"/>
      <c r="XW34" s="10"/>
      <c r="XX34" s="10"/>
      <c r="XY34" s="10"/>
      <c r="XZ34" s="10"/>
      <c r="YA34" s="10"/>
      <c r="YB34" s="10"/>
      <c r="YC34" s="10"/>
      <c r="YD34" s="10"/>
      <c r="YE34" s="10"/>
      <c r="YF34" s="10"/>
      <c r="YG34" s="10"/>
      <c r="YH34" s="10"/>
      <c r="YI34" s="10"/>
      <c r="YJ34" s="10"/>
      <c r="YK34" s="10"/>
      <c r="YL34" s="10"/>
      <c r="YM34" s="10"/>
      <c r="YN34" s="10"/>
      <c r="YO34" s="10"/>
      <c r="YP34" s="10"/>
      <c r="YQ34" s="10"/>
      <c r="YR34" s="10"/>
      <c r="YS34" s="10"/>
      <c r="YT34" s="10"/>
      <c r="YU34" s="10"/>
      <c r="YV34" s="10"/>
      <c r="YW34" s="10"/>
      <c r="YX34" s="10"/>
      <c r="YY34" s="10"/>
      <c r="YZ34" s="10"/>
      <c r="ZA34" s="10"/>
      <c r="ZB34" s="10"/>
      <c r="ZC34" s="10"/>
      <c r="ZD34" s="10"/>
      <c r="ZE34" s="10"/>
      <c r="ZF34" s="10"/>
      <c r="ZG34" s="10"/>
      <c r="ZH34" s="10"/>
      <c r="ZI34" s="10"/>
      <c r="ZJ34" s="10"/>
      <c r="ZK34" s="10"/>
      <c r="ZL34" s="10"/>
      <c r="ZM34" s="10"/>
      <c r="ZN34" s="10"/>
      <c r="ZO34" s="10"/>
      <c r="ZP34" s="10"/>
      <c r="ZQ34" s="10"/>
      <c r="ZR34" s="10"/>
      <c r="ZS34" s="10"/>
      <c r="ZT34" s="10"/>
      <c r="ZU34" s="10"/>
      <c r="ZV34" s="10"/>
      <c r="ZW34" s="10"/>
      <c r="ZX34" s="10"/>
      <c r="ZY34" s="10"/>
      <c r="ZZ34" s="10"/>
      <c r="AAA34" s="10"/>
      <c r="AAB34" s="10"/>
      <c r="AAC34" s="10"/>
      <c r="AAD34" s="10"/>
      <c r="AAE34" s="10"/>
      <c r="AAF34" s="10"/>
      <c r="AAG34" s="10"/>
      <c r="AAH34" s="10"/>
      <c r="AAI34" s="10"/>
      <c r="AAJ34" s="10"/>
      <c r="AAK34" s="10"/>
      <c r="AAL34" s="10"/>
      <c r="AAM34" s="10"/>
      <c r="AAN34" s="10"/>
      <c r="AAO34" s="10"/>
      <c r="AAP34" s="10"/>
      <c r="AAQ34" s="10"/>
      <c r="AAR34" s="10"/>
      <c r="AAS34" s="10"/>
      <c r="AAT34" s="10"/>
      <c r="AAU34" s="10"/>
      <c r="AAV34" s="10"/>
      <c r="AAW34" s="10"/>
      <c r="AAX34" s="10"/>
      <c r="AAY34" s="10"/>
      <c r="AAZ34" s="10"/>
      <c r="ABA34" s="10"/>
      <c r="ABB34" s="10"/>
      <c r="ABC34" s="10"/>
      <c r="ABD34" s="10"/>
      <c r="ABE34" s="10"/>
      <c r="ABF34" s="10"/>
      <c r="ABG34" s="10"/>
      <c r="ABH34" s="10"/>
      <c r="ABI34" s="10"/>
      <c r="ABJ34" s="10"/>
      <c r="ABK34" s="10"/>
      <c r="ABL34" s="10"/>
      <c r="ABM34" s="10"/>
      <c r="ABN34" s="10"/>
      <c r="ABO34" s="10"/>
      <c r="ABP34" s="10"/>
      <c r="ABQ34" s="10"/>
      <c r="ABR34" s="10"/>
      <c r="ABS34" s="10"/>
      <c r="ABT34" s="10"/>
      <c r="ABU34" s="10"/>
      <c r="ABV34" s="10"/>
      <c r="ABW34" s="10"/>
      <c r="ABX34" s="10"/>
      <c r="ABY34" s="10"/>
      <c r="ABZ34" s="10"/>
      <c r="ACA34" s="10"/>
      <c r="ACB34" s="10"/>
      <c r="ACC34" s="10"/>
      <c r="ACD34" s="10"/>
      <c r="ACE34" s="10"/>
      <c r="ACF34" s="10"/>
      <c r="ACG34" s="10"/>
      <c r="ACH34" s="10"/>
      <c r="ACI34" s="10"/>
      <c r="ACJ34" s="10"/>
      <c r="ACK34" s="10"/>
      <c r="ACL34" s="10"/>
      <c r="ACM34" s="10"/>
      <c r="ACN34" s="10"/>
      <c r="ACO34" s="10"/>
      <c r="ACP34" s="10"/>
      <c r="ACQ34" s="10"/>
      <c r="ACR34" s="10"/>
      <c r="ACS34" s="10"/>
      <c r="ACT34" s="10"/>
      <c r="ACU34" s="10"/>
      <c r="ACV34" s="10"/>
      <c r="ACW34" s="10"/>
      <c r="ACX34" s="10"/>
      <c r="ACY34" s="10"/>
      <c r="ACZ34" s="10"/>
      <c r="ADA34" s="10"/>
      <c r="ADB34" s="10"/>
      <c r="ADC34" s="10"/>
      <c r="ADD34" s="10"/>
      <c r="ADE34" s="10"/>
      <c r="ADF34" s="10"/>
      <c r="ADG34" s="10"/>
      <c r="ADH34" s="10"/>
      <c r="ADI34" s="10"/>
      <c r="ADJ34" s="10"/>
      <c r="ADK34" s="10"/>
      <c r="ADL34" s="10"/>
      <c r="ADM34" s="10"/>
      <c r="ADN34" s="10"/>
      <c r="ADO34" s="10"/>
      <c r="ADP34" s="10"/>
      <c r="ADQ34" s="10"/>
      <c r="ADR34" s="10"/>
      <c r="ADS34" s="10"/>
      <c r="ADT34" s="10"/>
      <c r="ADU34" s="10"/>
      <c r="ADV34" s="10"/>
      <c r="ADW34" s="10"/>
      <c r="ADX34" s="10"/>
      <c r="ADY34" s="10"/>
      <c r="ADZ34" s="10"/>
      <c r="AEA34" s="10"/>
      <c r="AEB34" s="10"/>
      <c r="AEC34" s="10"/>
      <c r="AED34" s="10"/>
      <c r="AEE34" s="10"/>
      <c r="AEF34" s="10"/>
      <c r="AEG34" s="10"/>
      <c r="AEH34" s="10"/>
      <c r="AEI34" s="10"/>
      <c r="AEJ34" s="10"/>
      <c r="AEK34" s="10"/>
      <c r="AEL34" s="10"/>
      <c r="AEM34" s="10"/>
      <c r="AEN34" s="10"/>
      <c r="AEO34" s="10"/>
      <c r="AEP34" s="10"/>
      <c r="AEQ34" s="10"/>
      <c r="AER34" s="10"/>
      <c r="AES34" s="10"/>
      <c r="AET34" s="10"/>
      <c r="AEU34" s="10"/>
      <c r="AEV34" s="10"/>
      <c r="AEW34" s="10"/>
      <c r="AEX34" s="10"/>
      <c r="AEY34" s="10"/>
      <c r="AEZ34" s="10"/>
      <c r="AFA34" s="10"/>
      <c r="AFB34" s="10"/>
      <c r="AFC34" s="10"/>
      <c r="AFD34" s="10"/>
      <c r="AFE34" s="10"/>
      <c r="AFF34" s="10"/>
      <c r="AFG34" s="10"/>
      <c r="AFH34" s="10"/>
      <c r="AFI34" s="10"/>
      <c r="AFJ34" s="10"/>
      <c r="AFK34" s="10"/>
      <c r="AFL34" s="10"/>
      <c r="AFM34" s="10"/>
      <c r="AFN34" s="10"/>
      <c r="AFO34" s="10"/>
      <c r="AFP34" s="10"/>
      <c r="AFQ34" s="10"/>
      <c r="AFR34" s="10"/>
      <c r="AFS34" s="10"/>
      <c r="AFT34" s="10"/>
      <c r="AFU34" s="10"/>
      <c r="AFV34" s="10"/>
      <c r="AFW34" s="10"/>
      <c r="AFX34" s="10"/>
      <c r="AFY34" s="10"/>
      <c r="AFZ34" s="10"/>
      <c r="AGA34" s="10"/>
      <c r="AGB34" s="10"/>
      <c r="AGC34" s="10"/>
      <c r="AGD34" s="10"/>
      <c r="AGE34" s="10"/>
      <c r="AGF34" s="10"/>
      <c r="AGG34" s="10"/>
      <c r="AGH34" s="10"/>
      <c r="AGI34" s="10"/>
      <c r="AGJ34" s="10"/>
      <c r="AGK34" s="10"/>
      <c r="AGL34" s="10"/>
      <c r="AGM34" s="10"/>
      <c r="AGN34" s="10"/>
      <c r="AGO34" s="10"/>
      <c r="AGP34" s="10"/>
      <c r="AGQ34" s="10"/>
      <c r="AGR34" s="10"/>
      <c r="AGS34" s="10"/>
      <c r="AGT34" s="10"/>
      <c r="AGU34" s="10"/>
      <c r="AGV34" s="10"/>
      <c r="AGW34" s="10"/>
      <c r="AGX34" s="10"/>
      <c r="AGY34" s="10"/>
      <c r="AGZ34" s="10"/>
      <c r="AHA34" s="10"/>
      <c r="AHB34" s="10"/>
      <c r="AHC34" s="10"/>
      <c r="AHD34" s="10"/>
      <c r="AHE34" s="10"/>
      <c r="AHF34" s="10"/>
      <c r="AHG34" s="10"/>
      <c r="AHH34" s="10"/>
      <c r="AHI34" s="10"/>
      <c r="AHJ34" s="10"/>
      <c r="AHK34" s="10"/>
      <c r="AHL34" s="10"/>
      <c r="AHM34" s="10"/>
      <c r="AHN34" s="10"/>
      <c r="AHO34" s="10"/>
      <c r="AHP34" s="10"/>
      <c r="AHQ34" s="10"/>
      <c r="AHR34" s="10"/>
      <c r="AHS34" s="10"/>
      <c r="AHT34" s="10"/>
      <c r="AHU34" s="10"/>
      <c r="AHV34" s="10"/>
      <c r="AHW34" s="10"/>
      <c r="AHX34" s="10"/>
      <c r="AHY34" s="10"/>
      <c r="AHZ34" s="10"/>
      <c r="AIA34" s="10"/>
      <c r="AIB34" s="10"/>
      <c r="AIC34" s="10"/>
      <c r="AID34" s="10"/>
      <c r="AIE34" s="10"/>
      <c r="AIF34" s="10"/>
      <c r="AIG34" s="10"/>
      <c r="AIH34" s="10"/>
      <c r="AII34" s="10"/>
      <c r="AIJ34" s="10"/>
      <c r="AIK34" s="10"/>
      <c r="AIL34" s="10"/>
      <c r="AIM34" s="10"/>
      <c r="AIN34" s="10"/>
      <c r="AIO34" s="10"/>
      <c r="AIP34" s="10"/>
      <c r="AIQ34" s="10"/>
      <c r="AIR34" s="10"/>
      <c r="AIS34" s="10"/>
      <c r="AIT34" s="10"/>
      <c r="AIU34" s="10"/>
      <c r="AIV34" s="10"/>
      <c r="AIW34" s="10"/>
      <c r="AIX34" s="10"/>
      <c r="AIY34" s="10"/>
      <c r="AIZ34" s="10"/>
      <c r="AJA34" s="10"/>
      <c r="AJB34" s="10"/>
      <c r="AJC34" s="10"/>
      <c r="AJD34" s="10"/>
      <c r="AJE34" s="10"/>
      <c r="AJF34" s="10"/>
      <c r="AJG34" s="10"/>
      <c r="AJH34" s="10"/>
      <c r="AJI34" s="10"/>
      <c r="AJJ34" s="10"/>
      <c r="AJK34" s="10"/>
      <c r="AJL34" s="10"/>
      <c r="AJM34" s="10"/>
      <c r="AJN34" s="10"/>
      <c r="AJO34" s="10"/>
      <c r="AJP34" s="10"/>
      <c r="AJQ34" s="10"/>
      <c r="AJR34" s="10"/>
      <c r="AJS34" s="10"/>
      <c r="AJT34" s="10"/>
      <c r="AJU34" s="10"/>
      <c r="AJV34" s="10"/>
      <c r="AJW34" s="10"/>
      <c r="AJX34" s="10"/>
      <c r="AJY34" s="10"/>
      <c r="AJZ34" s="10"/>
      <c r="AKA34" s="10"/>
      <c r="AKB34" s="10"/>
      <c r="AKC34" s="10"/>
      <c r="AKD34" s="10"/>
      <c r="AKE34" s="10"/>
      <c r="AKF34" s="10"/>
      <c r="AKG34" s="10"/>
      <c r="AKH34" s="10"/>
      <c r="AKI34" s="10"/>
      <c r="AKJ34" s="10"/>
      <c r="AKK34" s="10"/>
      <c r="AKL34" s="10"/>
      <c r="AKM34" s="10"/>
      <c r="AKN34" s="10"/>
      <c r="AKO34" s="10"/>
      <c r="AKP34" s="10"/>
      <c r="AKQ34" s="10"/>
      <c r="AKR34" s="10"/>
      <c r="AKS34" s="10"/>
      <c r="AKT34" s="10"/>
      <c r="AKU34" s="10"/>
      <c r="AKV34" s="10"/>
      <c r="AKW34" s="10"/>
      <c r="AKX34" s="10"/>
      <c r="AKY34" s="10"/>
      <c r="AKZ34" s="10"/>
      <c r="ALA34" s="10"/>
      <c r="ALB34" s="10"/>
      <c r="ALC34" s="10"/>
      <c r="ALD34" s="10"/>
      <c r="ALE34" s="10"/>
      <c r="ALF34" s="10"/>
      <c r="ALG34" s="10"/>
      <c r="ALH34" s="10"/>
      <c r="ALI34" s="10"/>
      <c r="ALJ34" s="10"/>
      <c r="ALK34" s="10"/>
      <c r="ALL34" s="10"/>
      <c r="ALM34" s="10"/>
      <c r="ALN34" s="10"/>
      <c r="ALO34" s="10"/>
      <c r="ALP34" s="10"/>
      <c r="ALQ34" s="10"/>
      <c r="ALR34" s="10"/>
      <c r="ALS34" s="10"/>
      <c r="ALT34" s="10"/>
      <c r="ALU34" s="10"/>
      <c r="ALV34" s="10"/>
      <c r="ALW34" s="10"/>
      <c r="ALX34" s="10"/>
      <c r="ALY34" s="10"/>
      <c r="ALZ34" s="10"/>
      <c r="AMA34" s="10"/>
      <c r="AMB34" s="10"/>
      <c r="AMC34" s="10"/>
      <c r="AMD34" s="10"/>
      <c r="AME34" s="10"/>
      <c r="AMF34" s="10"/>
      <c r="AMG34" s="10"/>
      <c r="AMH34" s="10"/>
      <c r="AMI34" s="10"/>
      <c r="AMJ34" s="10"/>
      <c r="AMK34" s="10"/>
      <c r="AML34" s="10"/>
      <c r="AMM34" s="10"/>
      <c r="AMN34" s="10"/>
      <c r="AMO34" s="10"/>
      <c r="AMP34" s="10"/>
      <c r="AMQ34" s="10"/>
      <c r="AMR34" s="10"/>
      <c r="AMS34" s="10"/>
      <c r="AMT34" s="10"/>
      <c r="AMU34" s="10"/>
      <c r="AMV34" s="10"/>
      <c r="AMW34" s="10"/>
      <c r="AMX34" s="10"/>
      <c r="AMY34" s="10"/>
      <c r="AMZ34" s="10"/>
      <c r="ANA34" s="10"/>
      <c r="ANB34" s="10"/>
      <c r="ANC34" s="10"/>
      <c r="AND34" s="10"/>
      <c r="ANE34" s="10"/>
      <c r="ANF34" s="10"/>
      <c r="ANG34" s="10"/>
      <c r="ANH34" s="10"/>
      <c r="ANI34" s="10"/>
      <c r="ANJ34" s="10"/>
      <c r="ANK34" s="10"/>
      <c r="ANL34" s="10"/>
      <c r="ANM34" s="10"/>
      <c r="ANN34" s="10"/>
      <c r="ANO34" s="10"/>
      <c r="ANP34" s="10"/>
      <c r="ANQ34" s="10"/>
      <c r="ANR34" s="10"/>
      <c r="ANS34" s="10"/>
      <c r="ANT34" s="10"/>
      <c r="ANU34" s="10"/>
      <c r="ANV34" s="10"/>
      <c r="ANW34" s="10"/>
      <c r="ANX34" s="10"/>
      <c r="ANY34" s="10"/>
      <c r="ANZ34" s="10"/>
      <c r="AOA34" s="10"/>
      <c r="AOB34" s="10"/>
      <c r="AOC34" s="10"/>
      <c r="AOD34" s="10"/>
      <c r="AOE34" s="10"/>
      <c r="AOF34" s="10"/>
      <c r="AOG34" s="10"/>
      <c r="AOH34" s="10"/>
      <c r="AOI34" s="10"/>
      <c r="AOJ34" s="10"/>
      <c r="AOK34" s="10"/>
      <c r="AOL34" s="10"/>
      <c r="AOM34" s="10"/>
      <c r="AON34" s="10"/>
      <c r="AOO34" s="10"/>
      <c r="AOP34" s="10"/>
      <c r="AOQ34" s="10"/>
      <c r="AOR34" s="10"/>
      <c r="AOS34" s="10"/>
      <c r="AOT34" s="10"/>
      <c r="AOU34" s="10"/>
      <c r="AOV34" s="10"/>
      <c r="AOW34" s="10"/>
      <c r="AOX34" s="10"/>
      <c r="AOY34" s="10"/>
      <c r="AOZ34" s="10"/>
      <c r="APA34" s="10"/>
      <c r="APB34" s="10"/>
      <c r="APC34" s="10"/>
      <c r="APD34" s="10"/>
      <c r="APE34" s="10"/>
      <c r="APF34" s="10"/>
      <c r="APG34" s="10"/>
      <c r="APH34" s="10"/>
      <c r="API34" s="10"/>
      <c r="APJ34" s="10"/>
      <c r="APK34" s="10"/>
      <c r="APL34" s="10"/>
      <c r="APM34" s="10"/>
      <c r="APN34" s="10"/>
      <c r="APO34" s="10"/>
      <c r="APP34" s="10"/>
      <c r="APQ34" s="10"/>
      <c r="APR34" s="10"/>
      <c r="APS34" s="10"/>
      <c r="APT34" s="10"/>
      <c r="APU34" s="10"/>
      <c r="APV34" s="10"/>
      <c r="APW34" s="10"/>
      <c r="APX34" s="10"/>
      <c r="APY34" s="10"/>
      <c r="APZ34" s="10"/>
      <c r="AQA34" s="10"/>
      <c r="AQB34" s="10"/>
      <c r="AQC34" s="10"/>
      <c r="AQD34" s="10"/>
      <c r="AQE34" s="10"/>
      <c r="AQF34" s="10"/>
      <c r="AQG34" s="10"/>
      <c r="AQH34" s="10"/>
      <c r="AQI34" s="10"/>
      <c r="AQJ34" s="10"/>
      <c r="AQK34" s="10"/>
      <c r="AQL34" s="10"/>
      <c r="AQM34" s="10"/>
      <c r="AQN34" s="10"/>
      <c r="AQO34" s="10"/>
      <c r="AQP34" s="10"/>
      <c r="AQQ34" s="10"/>
      <c r="AQR34" s="10"/>
      <c r="AQS34" s="10"/>
      <c r="AQT34" s="10"/>
      <c r="AQU34" s="10"/>
      <c r="AQV34" s="10"/>
      <c r="AQW34" s="10"/>
      <c r="AQX34" s="10"/>
      <c r="AQY34" s="10"/>
      <c r="AQZ34" s="10"/>
      <c r="ARA34" s="10"/>
      <c r="ARB34" s="10"/>
      <c r="ARC34" s="10"/>
      <c r="ARD34" s="10"/>
      <c r="ARE34" s="10"/>
      <c r="ARF34" s="10"/>
      <c r="ARG34" s="10"/>
      <c r="ARH34" s="10"/>
      <c r="ARI34" s="10"/>
      <c r="ARJ34" s="10"/>
      <c r="ARK34" s="10"/>
      <c r="ARL34" s="10"/>
      <c r="ARM34" s="10"/>
      <c r="ARN34" s="10"/>
      <c r="ARO34" s="10"/>
      <c r="ARP34" s="10"/>
      <c r="ARQ34" s="10"/>
      <c r="ARR34" s="10"/>
      <c r="ARS34" s="10"/>
      <c r="ART34" s="10"/>
      <c r="ARU34" s="10"/>
      <c r="ARV34" s="10"/>
      <c r="ARW34" s="10"/>
      <c r="ARX34" s="10"/>
      <c r="ARY34" s="10"/>
      <c r="ARZ34" s="10"/>
      <c r="ASA34" s="10"/>
      <c r="ASB34" s="10"/>
      <c r="ASC34" s="10"/>
      <c r="ASD34" s="10"/>
      <c r="ASE34" s="10"/>
      <c r="ASF34" s="10"/>
      <c r="ASG34" s="10"/>
      <c r="ASH34" s="10"/>
      <c r="ASI34" s="10"/>
      <c r="ASJ34" s="10"/>
      <c r="ASK34" s="10"/>
      <c r="ASL34" s="10"/>
      <c r="ASM34" s="10"/>
      <c r="ASN34" s="10"/>
      <c r="ASO34" s="10"/>
      <c r="ASP34" s="10"/>
      <c r="ASQ34" s="10"/>
      <c r="ASR34" s="10"/>
      <c r="ASS34" s="10"/>
      <c r="AST34" s="10"/>
      <c r="ASU34" s="10"/>
      <c r="ASV34" s="10"/>
      <c r="ASW34" s="10"/>
      <c r="ASX34" s="10"/>
      <c r="ASY34" s="10"/>
      <c r="ASZ34" s="10"/>
      <c r="ATA34" s="10"/>
      <c r="ATB34" s="10"/>
      <c r="ATC34" s="10"/>
      <c r="ATD34" s="10"/>
      <c r="ATE34" s="10"/>
      <c r="ATF34" s="10"/>
      <c r="ATG34" s="10"/>
      <c r="ATH34" s="10"/>
      <c r="ATI34" s="10"/>
      <c r="ATJ34" s="10"/>
      <c r="ATK34" s="10"/>
      <c r="ATL34" s="10"/>
      <c r="ATM34" s="10"/>
      <c r="ATN34" s="10"/>
      <c r="ATO34" s="10"/>
      <c r="ATP34" s="10"/>
      <c r="ATQ34" s="10"/>
      <c r="ATR34" s="10"/>
      <c r="ATS34" s="10"/>
      <c r="ATT34" s="10"/>
      <c r="ATU34" s="10"/>
      <c r="ATV34" s="10"/>
      <c r="ATW34" s="10"/>
      <c r="ATX34" s="10"/>
      <c r="ATY34" s="10"/>
      <c r="ATZ34" s="10"/>
      <c r="AUA34" s="10"/>
      <c r="AUB34" s="10"/>
      <c r="AUC34" s="10"/>
      <c r="AUD34" s="10"/>
      <c r="AUE34" s="10"/>
      <c r="AUF34" s="10"/>
      <c r="AUG34" s="10"/>
      <c r="AUH34" s="10"/>
      <c r="AUI34" s="10"/>
      <c r="AUJ34" s="10"/>
      <c r="AUK34" s="10"/>
      <c r="AUL34" s="10"/>
      <c r="AUM34" s="10"/>
      <c r="AUN34" s="10"/>
      <c r="AUO34" s="10"/>
      <c r="AUP34" s="10"/>
      <c r="AUQ34" s="10"/>
      <c r="AUR34" s="10"/>
      <c r="AUS34" s="10"/>
      <c r="AUT34" s="10"/>
      <c r="AUU34" s="10"/>
      <c r="AUV34" s="10"/>
      <c r="AUW34" s="10"/>
      <c r="AUX34" s="10"/>
      <c r="AUY34" s="10"/>
      <c r="AUZ34" s="10"/>
      <c r="AVA34" s="10"/>
      <c r="AVB34" s="10"/>
      <c r="AVC34" s="10"/>
      <c r="AVD34" s="10"/>
      <c r="AVE34" s="10"/>
      <c r="AVF34" s="10"/>
      <c r="AVG34" s="10"/>
      <c r="AVH34" s="10"/>
      <c r="AVI34" s="10"/>
      <c r="AVJ34" s="10"/>
      <c r="AVK34" s="10"/>
      <c r="AVL34" s="10"/>
      <c r="AVM34" s="10"/>
      <c r="AVN34" s="10"/>
      <c r="AVO34" s="10"/>
      <c r="AVP34" s="10"/>
      <c r="AVQ34" s="10"/>
      <c r="AVR34" s="10"/>
      <c r="AVS34" s="10"/>
      <c r="AVT34" s="10"/>
      <c r="AVU34" s="10"/>
      <c r="AVV34" s="10"/>
      <c r="AVW34" s="10"/>
      <c r="AVX34" s="10"/>
      <c r="AVY34" s="10"/>
      <c r="AVZ34" s="10"/>
      <c r="AWA34" s="10"/>
      <c r="AWB34" s="10"/>
      <c r="AWC34" s="10"/>
      <c r="AWD34" s="10"/>
      <c r="AWE34" s="10"/>
      <c r="AWF34" s="10"/>
      <c r="AWG34" s="10"/>
      <c r="AWH34" s="10"/>
      <c r="AWI34" s="10"/>
      <c r="AWJ34" s="10"/>
      <c r="AWK34" s="10"/>
      <c r="AWL34" s="10"/>
      <c r="AWM34" s="10"/>
      <c r="AWN34" s="10"/>
      <c r="AWO34" s="10"/>
      <c r="AWP34" s="10"/>
      <c r="AWQ34" s="10"/>
      <c r="AWR34" s="10"/>
      <c r="AWS34" s="10"/>
      <c r="AWT34" s="10"/>
      <c r="AWU34" s="10"/>
      <c r="AWV34" s="10"/>
      <c r="AWW34" s="10"/>
      <c r="AWX34" s="10"/>
      <c r="AWY34" s="10"/>
      <c r="AWZ34" s="10"/>
      <c r="AXA34" s="10"/>
      <c r="AXB34" s="10"/>
      <c r="AXC34" s="10"/>
      <c r="AXD34" s="10"/>
      <c r="AXE34" s="10"/>
      <c r="AXF34" s="10"/>
      <c r="AXG34" s="10"/>
      <c r="AXH34" s="10"/>
      <c r="AXI34" s="10"/>
      <c r="AXJ34" s="10"/>
      <c r="AXK34" s="10"/>
      <c r="AXL34" s="10"/>
      <c r="AXM34" s="10"/>
      <c r="AXN34" s="10"/>
      <c r="AXO34" s="10"/>
      <c r="AXP34" s="10"/>
      <c r="AXQ34" s="10"/>
      <c r="AXR34" s="10"/>
      <c r="AXS34" s="10"/>
      <c r="AXT34" s="10"/>
      <c r="AXU34" s="10"/>
      <c r="AXV34" s="10"/>
      <c r="AXW34" s="10"/>
      <c r="AXX34" s="10"/>
      <c r="AXY34" s="10"/>
      <c r="AXZ34" s="10"/>
      <c r="AYA34" s="10"/>
      <c r="AYB34" s="10"/>
      <c r="AYC34" s="10"/>
      <c r="AYD34" s="10"/>
      <c r="AYE34" s="10"/>
      <c r="AYF34" s="10"/>
      <c r="AYG34" s="10"/>
      <c r="AYH34" s="10"/>
      <c r="AYI34" s="10"/>
      <c r="AYJ34" s="10"/>
      <c r="AYK34" s="10"/>
      <c r="AYL34" s="10"/>
      <c r="AYM34" s="10"/>
      <c r="AYN34" s="10"/>
      <c r="AYO34" s="10"/>
      <c r="AYP34" s="10"/>
      <c r="AYQ34" s="10"/>
      <c r="AYR34" s="10"/>
      <c r="AYS34" s="10"/>
      <c r="AYT34" s="10"/>
      <c r="AYU34" s="10"/>
      <c r="AYV34" s="10"/>
      <c r="AYW34" s="10"/>
      <c r="AYX34" s="10"/>
      <c r="AYY34" s="10"/>
      <c r="AYZ34" s="10"/>
      <c r="AZA34" s="10"/>
      <c r="AZB34" s="10"/>
      <c r="AZC34" s="10"/>
      <c r="AZD34" s="10"/>
      <c r="AZE34" s="10"/>
      <c r="AZF34" s="10"/>
      <c r="AZG34" s="10"/>
      <c r="AZH34" s="10"/>
      <c r="AZI34" s="10"/>
      <c r="AZJ34" s="10"/>
      <c r="AZK34" s="10"/>
      <c r="AZL34" s="10"/>
      <c r="AZM34" s="10"/>
      <c r="AZN34" s="10"/>
      <c r="AZO34" s="10"/>
      <c r="AZP34" s="10"/>
      <c r="AZQ34" s="10"/>
      <c r="AZR34" s="10"/>
      <c r="AZS34" s="10"/>
      <c r="AZT34" s="10"/>
      <c r="AZU34" s="10"/>
      <c r="AZV34" s="10"/>
      <c r="AZW34" s="10"/>
      <c r="AZX34" s="10"/>
      <c r="AZY34" s="10"/>
      <c r="AZZ34" s="10"/>
      <c r="BAA34" s="10"/>
      <c r="BAB34" s="10"/>
      <c r="BAC34" s="10"/>
      <c r="BAD34" s="10"/>
      <c r="BAE34" s="10"/>
      <c r="BAF34" s="10"/>
      <c r="BAG34" s="10"/>
      <c r="BAH34" s="10"/>
      <c r="BAI34" s="10"/>
      <c r="BAJ34" s="10"/>
      <c r="BAK34" s="10"/>
      <c r="BAL34" s="10"/>
      <c r="BAM34" s="10"/>
      <c r="BAN34" s="10"/>
      <c r="BAO34" s="10"/>
      <c r="BAP34" s="10"/>
      <c r="BAQ34" s="10"/>
      <c r="BAR34" s="10"/>
      <c r="BAS34" s="10"/>
      <c r="BAT34" s="10"/>
      <c r="BAU34" s="10"/>
      <c r="BAV34" s="10"/>
      <c r="BAW34" s="10"/>
      <c r="BAX34" s="10"/>
      <c r="BAY34" s="10"/>
      <c r="BAZ34" s="10"/>
      <c r="BBA34" s="10"/>
      <c r="BBB34" s="10"/>
      <c r="BBC34" s="10"/>
      <c r="BBD34" s="10"/>
      <c r="BBE34" s="10"/>
      <c r="BBF34" s="10"/>
      <c r="BBG34" s="10"/>
      <c r="BBH34" s="10"/>
      <c r="BBI34" s="10"/>
      <c r="BBJ34" s="10"/>
      <c r="BBK34" s="10"/>
      <c r="BBL34" s="10"/>
      <c r="BBM34" s="10"/>
      <c r="BBN34" s="10"/>
      <c r="BBO34" s="10"/>
      <c r="BBP34" s="10"/>
      <c r="BBQ34" s="10"/>
      <c r="BBR34" s="10"/>
      <c r="BBS34" s="10"/>
      <c r="BBT34" s="10"/>
      <c r="BBU34" s="10"/>
      <c r="BBV34" s="10"/>
      <c r="BBW34" s="10"/>
      <c r="BBX34" s="10"/>
      <c r="BBY34" s="10"/>
      <c r="BBZ34" s="10"/>
      <c r="BCA34" s="10"/>
      <c r="BCB34" s="10"/>
      <c r="BCC34" s="10"/>
      <c r="BCD34" s="10"/>
      <c r="BCE34" s="10"/>
      <c r="BCF34" s="10"/>
      <c r="BCG34" s="10"/>
      <c r="BCH34" s="10"/>
      <c r="BCI34" s="10"/>
      <c r="BCJ34" s="10"/>
      <c r="BCK34" s="10"/>
      <c r="BCL34" s="10"/>
      <c r="BCM34" s="10"/>
      <c r="BCN34" s="10"/>
      <c r="BCO34" s="10"/>
      <c r="BCP34" s="10"/>
      <c r="BCQ34" s="10"/>
      <c r="BCR34" s="10"/>
      <c r="BCS34" s="10"/>
      <c r="BCT34" s="10"/>
      <c r="BCU34" s="10"/>
      <c r="BCV34" s="10"/>
      <c r="BCW34" s="10"/>
      <c r="BCX34" s="10"/>
      <c r="BCY34" s="10"/>
      <c r="BCZ34" s="10"/>
      <c r="BDA34" s="10"/>
      <c r="BDB34" s="10"/>
      <c r="BDC34" s="10"/>
      <c r="BDD34" s="10"/>
      <c r="BDE34" s="10"/>
      <c r="BDF34" s="10"/>
      <c r="BDG34" s="10"/>
      <c r="BDH34" s="10"/>
      <c r="BDI34" s="10"/>
      <c r="BDJ34" s="10"/>
      <c r="BDK34" s="10"/>
      <c r="BDL34" s="10"/>
      <c r="BDM34" s="10"/>
      <c r="BDN34" s="10"/>
      <c r="BDO34" s="10"/>
      <c r="BDP34" s="10"/>
      <c r="BDQ34" s="10"/>
      <c r="BDR34" s="10"/>
      <c r="BDS34" s="10"/>
      <c r="BDT34" s="10"/>
      <c r="BDU34" s="10"/>
      <c r="BDV34" s="10"/>
      <c r="BDW34" s="10"/>
      <c r="BDX34" s="10"/>
      <c r="BDY34" s="10"/>
      <c r="BDZ34" s="10"/>
      <c r="BEA34" s="10"/>
      <c r="BEB34" s="10"/>
      <c r="BEC34" s="10"/>
      <c r="BED34" s="10"/>
      <c r="BEE34" s="10"/>
      <c r="BEF34" s="10"/>
      <c r="BEG34" s="10"/>
      <c r="BEH34" s="10"/>
      <c r="BEI34" s="10"/>
      <c r="BEJ34" s="10"/>
      <c r="BEK34" s="10"/>
      <c r="BEL34" s="10"/>
      <c r="BEM34" s="10"/>
      <c r="BEN34" s="10"/>
      <c r="BEO34" s="10"/>
      <c r="BEP34" s="10"/>
      <c r="BEQ34" s="10"/>
      <c r="BER34" s="10"/>
      <c r="BES34" s="10"/>
      <c r="BET34" s="10"/>
      <c r="BEU34" s="10"/>
      <c r="BEV34" s="10"/>
      <c r="BEW34" s="10"/>
      <c r="BEX34" s="10"/>
      <c r="BEY34" s="10"/>
      <c r="BEZ34" s="10"/>
      <c r="BFA34" s="10"/>
      <c r="BFB34" s="10"/>
      <c r="BFC34" s="10"/>
      <c r="BFD34" s="10"/>
      <c r="BFE34" s="10"/>
      <c r="BFF34" s="10"/>
      <c r="BFG34" s="10"/>
      <c r="BFH34" s="10"/>
      <c r="BFI34" s="10"/>
      <c r="BFJ34" s="10"/>
      <c r="BFK34" s="10"/>
      <c r="BFL34" s="10"/>
      <c r="BFM34" s="10"/>
      <c r="BFN34" s="10"/>
      <c r="BFO34" s="10"/>
      <c r="BFP34" s="10"/>
      <c r="BFQ34" s="10"/>
      <c r="BFR34" s="10"/>
      <c r="BFS34" s="10"/>
      <c r="BFT34" s="10"/>
      <c r="BFU34" s="10"/>
      <c r="BFV34" s="10"/>
      <c r="BFW34" s="10"/>
      <c r="BFX34" s="10"/>
      <c r="BFY34" s="10"/>
      <c r="BFZ34" s="10"/>
      <c r="BGA34" s="10"/>
      <c r="BGB34" s="10"/>
      <c r="BGC34" s="10"/>
      <c r="BGD34" s="10"/>
      <c r="BGE34" s="10"/>
      <c r="BGF34" s="10"/>
      <c r="BGG34" s="10"/>
      <c r="BGH34" s="10"/>
      <c r="BGI34" s="10"/>
      <c r="BGJ34" s="10"/>
      <c r="BGK34" s="10"/>
      <c r="BGL34" s="10"/>
      <c r="BGM34" s="10"/>
      <c r="BGN34" s="10"/>
      <c r="BGO34" s="10"/>
      <c r="BGP34" s="10"/>
      <c r="BGQ34" s="10"/>
      <c r="BGR34" s="10"/>
      <c r="BGS34" s="10"/>
      <c r="BGT34" s="10"/>
      <c r="BGU34" s="10"/>
      <c r="BGV34" s="10"/>
      <c r="BGW34" s="10"/>
      <c r="BGX34" s="10"/>
      <c r="BGY34" s="10"/>
      <c r="BGZ34" s="10"/>
      <c r="BHA34" s="10"/>
      <c r="BHB34" s="10"/>
      <c r="BHC34" s="10"/>
      <c r="BHD34" s="10"/>
      <c r="BHE34" s="10"/>
      <c r="BHF34" s="10"/>
      <c r="BHG34" s="10"/>
      <c r="BHH34" s="10"/>
      <c r="BHI34" s="10"/>
      <c r="BHJ34" s="10"/>
      <c r="BHK34" s="10"/>
      <c r="BHL34" s="10"/>
      <c r="BHM34" s="10"/>
      <c r="BHN34" s="10"/>
      <c r="BHO34" s="10"/>
      <c r="BHP34" s="10"/>
      <c r="BHQ34" s="10"/>
      <c r="BHR34" s="10"/>
      <c r="BHS34" s="10"/>
      <c r="BHT34" s="10"/>
      <c r="BHU34" s="10"/>
      <c r="BHV34" s="10"/>
      <c r="BHW34" s="10"/>
      <c r="BHX34" s="10"/>
      <c r="BHY34" s="10"/>
      <c r="BHZ34" s="10"/>
      <c r="BIA34" s="10"/>
      <c r="BIB34" s="10"/>
      <c r="BIC34" s="10"/>
      <c r="BID34" s="10"/>
      <c r="BIE34" s="10"/>
      <c r="BIF34" s="10"/>
      <c r="BIG34" s="10"/>
      <c r="BIH34" s="10"/>
      <c r="BII34" s="10"/>
      <c r="BIJ34" s="10"/>
      <c r="BIK34" s="10"/>
      <c r="BIL34" s="10"/>
      <c r="BIM34" s="10"/>
      <c r="BIN34" s="10"/>
      <c r="BIO34" s="10"/>
      <c r="BIP34" s="10"/>
      <c r="BIQ34" s="10"/>
      <c r="BIR34" s="10"/>
      <c r="BIS34" s="10"/>
      <c r="BIT34" s="10"/>
      <c r="BIU34" s="10"/>
      <c r="BIV34" s="10"/>
      <c r="BIW34" s="10"/>
      <c r="BIX34" s="10"/>
      <c r="BIY34" s="10"/>
      <c r="BIZ34" s="10"/>
      <c r="BJA34" s="10"/>
      <c r="BJB34" s="10"/>
      <c r="BJC34" s="10"/>
      <c r="BJD34" s="10"/>
      <c r="BJE34" s="10"/>
      <c r="BJF34" s="10"/>
      <c r="BJG34" s="10"/>
      <c r="BJH34" s="10"/>
      <c r="BJI34" s="10"/>
      <c r="BJJ34" s="10"/>
      <c r="BJK34" s="10"/>
      <c r="BJL34" s="10"/>
      <c r="BJM34" s="10"/>
      <c r="BJN34" s="10"/>
      <c r="BJO34" s="10"/>
      <c r="BJP34" s="10"/>
      <c r="BJQ34" s="10"/>
      <c r="BJR34" s="10"/>
      <c r="BJS34" s="10"/>
      <c r="BJT34" s="10"/>
      <c r="BJU34" s="10"/>
      <c r="BJV34" s="10"/>
      <c r="BJW34" s="10"/>
      <c r="BJX34" s="10"/>
      <c r="BJY34" s="10"/>
      <c r="BJZ34" s="10"/>
      <c r="BKA34" s="10"/>
      <c r="BKB34" s="10"/>
      <c r="BKC34" s="10"/>
      <c r="BKD34" s="10"/>
      <c r="BKE34" s="10"/>
      <c r="BKF34" s="10"/>
      <c r="BKG34" s="10"/>
      <c r="BKH34" s="10"/>
      <c r="BKI34" s="10"/>
      <c r="BKJ34" s="10"/>
      <c r="BKK34" s="10"/>
      <c r="BKL34" s="10"/>
      <c r="BKM34" s="10"/>
      <c r="BKN34" s="10"/>
      <c r="BKO34" s="10"/>
      <c r="BKP34" s="10"/>
      <c r="BKQ34" s="10"/>
      <c r="BKR34" s="10"/>
      <c r="BKS34" s="10"/>
      <c r="BKT34" s="10"/>
      <c r="BKU34" s="10"/>
      <c r="BKV34" s="10"/>
      <c r="BKW34" s="10"/>
      <c r="BKX34" s="10"/>
      <c r="BKY34" s="10"/>
      <c r="BKZ34" s="10"/>
      <c r="BLA34" s="10"/>
      <c r="BLB34" s="10"/>
      <c r="BLC34" s="10"/>
      <c r="BLD34" s="10"/>
      <c r="BLE34" s="10"/>
      <c r="BLF34" s="10"/>
      <c r="BLG34" s="10"/>
      <c r="BLH34" s="10"/>
      <c r="BLI34" s="10"/>
      <c r="BLJ34" s="10"/>
      <c r="BLK34" s="10"/>
      <c r="BLL34" s="10"/>
      <c r="BLM34" s="10"/>
      <c r="BLN34" s="10"/>
      <c r="BLO34" s="10"/>
      <c r="BLP34" s="10"/>
      <c r="BLQ34" s="10"/>
      <c r="BLR34" s="10"/>
      <c r="BLS34" s="10"/>
      <c r="BLT34" s="10"/>
      <c r="BLU34" s="10"/>
      <c r="BLV34" s="10"/>
      <c r="BLW34" s="10"/>
      <c r="BLX34" s="10"/>
      <c r="BLY34" s="10"/>
      <c r="BLZ34" s="10"/>
      <c r="BMA34" s="10"/>
      <c r="BMB34" s="10"/>
      <c r="BMC34" s="10"/>
      <c r="BMD34" s="10"/>
      <c r="BME34" s="10"/>
      <c r="BMF34" s="10"/>
      <c r="BMG34" s="10"/>
      <c r="BMH34" s="10"/>
      <c r="BMI34" s="10"/>
      <c r="BMJ34" s="10"/>
      <c r="BMK34" s="10"/>
      <c r="BML34" s="10"/>
      <c r="BMM34" s="10"/>
      <c r="BMN34" s="10"/>
      <c r="BMO34" s="10"/>
      <c r="BMP34" s="10"/>
      <c r="BMQ34" s="10"/>
      <c r="BMR34" s="10"/>
      <c r="BMS34" s="10"/>
      <c r="BMT34" s="10"/>
      <c r="BMU34" s="10"/>
      <c r="BMV34" s="10"/>
      <c r="BMW34" s="10"/>
      <c r="BMX34" s="10"/>
      <c r="BMY34" s="10"/>
      <c r="BMZ34" s="10"/>
      <c r="BNA34" s="10"/>
      <c r="BNB34" s="10"/>
      <c r="BNC34" s="10"/>
      <c r="BND34" s="10"/>
      <c r="BNE34" s="10"/>
      <c r="BNF34" s="10"/>
      <c r="BNG34" s="10"/>
      <c r="BNH34" s="10"/>
      <c r="BNI34" s="10"/>
      <c r="BNJ34" s="10"/>
      <c r="BNK34" s="10"/>
      <c r="BNL34" s="10"/>
      <c r="BNM34" s="10"/>
      <c r="BNN34" s="10"/>
      <c r="BNO34" s="10"/>
      <c r="BNP34" s="10"/>
      <c r="BNQ34" s="10"/>
      <c r="BNR34" s="10"/>
      <c r="BNS34" s="10"/>
      <c r="BNT34" s="10"/>
      <c r="BNU34" s="10"/>
      <c r="BNV34" s="10"/>
      <c r="BNW34" s="10"/>
      <c r="BNX34" s="10"/>
      <c r="BNY34" s="10"/>
      <c r="BNZ34" s="10"/>
      <c r="BOA34" s="10"/>
      <c r="BOB34" s="10"/>
      <c r="BOC34" s="10"/>
      <c r="BOD34" s="10"/>
      <c r="BOE34" s="10"/>
      <c r="BOF34" s="10"/>
      <c r="BOG34" s="10"/>
      <c r="BOH34" s="10"/>
      <c r="BOI34" s="10"/>
      <c r="BOJ34" s="10"/>
      <c r="BOK34" s="10"/>
      <c r="BOL34" s="10"/>
      <c r="BOM34" s="10"/>
      <c r="BON34" s="10"/>
      <c r="BOO34" s="10"/>
      <c r="BOP34" s="10"/>
      <c r="BOQ34" s="10"/>
      <c r="BOR34" s="10"/>
      <c r="BOS34" s="10"/>
      <c r="BOT34" s="10"/>
      <c r="BOU34" s="10"/>
      <c r="BOV34" s="10"/>
      <c r="BOW34" s="10"/>
      <c r="BOX34" s="10"/>
      <c r="BOY34" s="10"/>
      <c r="BOZ34" s="10"/>
      <c r="BPA34" s="10"/>
      <c r="BPB34" s="10"/>
      <c r="BPC34" s="10"/>
      <c r="BPD34" s="10"/>
      <c r="BPE34" s="10"/>
      <c r="BPF34" s="10"/>
      <c r="BPG34" s="10"/>
      <c r="BPH34" s="10"/>
      <c r="BPI34" s="10"/>
      <c r="BPJ34" s="10"/>
      <c r="BPK34" s="10"/>
      <c r="BPL34" s="10"/>
      <c r="BPM34" s="10"/>
      <c r="BPN34" s="10"/>
      <c r="BPO34" s="10"/>
      <c r="BPP34" s="10"/>
      <c r="BPQ34" s="10"/>
      <c r="BPR34" s="10"/>
      <c r="BPS34" s="10"/>
      <c r="BPT34" s="10"/>
      <c r="BPU34" s="10"/>
      <c r="BPV34" s="10"/>
      <c r="BPW34" s="10"/>
      <c r="BPX34" s="10"/>
      <c r="BPY34" s="10"/>
      <c r="BPZ34" s="10"/>
      <c r="BQA34" s="10"/>
      <c r="BQB34" s="10"/>
      <c r="BQC34" s="10"/>
      <c r="BQD34" s="10"/>
      <c r="BQE34" s="10"/>
      <c r="BQF34" s="10"/>
      <c r="BQG34" s="10"/>
      <c r="BQH34" s="10"/>
      <c r="BQI34" s="10"/>
      <c r="BQJ34" s="10"/>
      <c r="BQK34" s="10"/>
      <c r="BQL34" s="10"/>
      <c r="BQM34" s="10"/>
      <c r="BQN34" s="10"/>
      <c r="BQO34" s="10"/>
      <c r="BQP34" s="10"/>
      <c r="BQQ34" s="10"/>
      <c r="BQR34" s="10"/>
      <c r="BQS34" s="10"/>
      <c r="BQT34" s="10"/>
      <c r="BQU34" s="10"/>
      <c r="BQV34" s="10"/>
      <c r="BQW34" s="10"/>
      <c r="BQX34" s="10"/>
      <c r="BQY34" s="10"/>
      <c r="BQZ34" s="10"/>
      <c r="BRA34" s="10"/>
      <c r="BRB34" s="10"/>
      <c r="BRC34" s="10"/>
      <c r="BRD34" s="10"/>
      <c r="BRE34" s="10"/>
      <c r="BRF34" s="10"/>
      <c r="BRG34" s="10"/>
      <c r="BRH34" s="10"/>
      <c r="BRI34" s="10"/>
      <c r="BRJ34" s="10"/>
      <c r="BRK34" s="10"/>
      <c r="BRL34" s="10"/>
      <c r="BRM34" s="10"/>
      <c r="BRN34" s="10"/>
      <c r="BRO34" s="10"/>
      <c r="BRP34" s="10"/>
      <c r="BRQ34" s="10"/>
      <c r="BRR34" s="10"/>
      <c r="BRS34" s="10"/>
      <c r="BRT34" s="10"/>
      <c r="BRU34" s="10"/>
      <c r="BRV34" s="10"/>
      <c r="BRW34" s="10"/>
      <c r="BRX34" s="10"/>
      <c r="BRY34" s="10"/>
      <c r="BRZ34" s="10"/>
      <c r="BSA34" s="10"/>
      <c r="BSB34" s="10"/>
      <c r="BSC34" s="10"/>
      <c r="BSD34" s="10"/>
      <c r="BSE34" s="10"/>
      <c r="BSF34" s="10"/>
      <c r="BSG34" s="10"/>
      <c r="BSH34" s="10"/>
      <c r="BSI34" s="10"/>
      <c r="BSJ34" s="10"/>
      <c r="BSK34" s="10"/>
      <c r="BSL34" s="10"/>
      <c r="BSM34" s="10"/>
      <c r="BSN34" s="10"/>
      <c r="BSO34" s="10"/>
      <c r="BSP34" s="10"/>
      <c r="BSQ34" s="10"/>
      <c r="BSR34" s="10"/>
      <c r="BSS34" s="10"/>
      <c r="BST34" s="10"/>
      <c r="BSU34" s="10"/>
      <c r="BSV34" s="10"/>
      <c r="BSW34" s="10"/>
      <c r="BSX34" s="10"/>
      <c r="BSY34" s="10"/>
      <c r="BSZ34" s="10"/>
      <c r="BTA34" s="10"/>
      <c r="BTB34" s="10"/>
      <c r="BTC34" s="10"/>
      <c r="BTD34" s="10"/>
      <c r="BTE34" s="10"/>
      <c r="BTF34" s="10"/>
      <c r="BTG34" s="10"/>
      <c r="BTH34" s="10"/>
      <c r="BTI34" s="10"/>
      <c r="BTJ34" s="10"/>
      <c r="BTK34" s="10"/>
      <c r="BTL34" s="10"/>
      <c r="BTM34" s="10"/>
      <c r="BTN34" s="10"/>
      <c r="BTO34" s="10"/>
      <c r="BTP34" s="10"/>
      <c r="BTQ34" s="10"/>
      <c r="BTR34" s="10"/>
      <c r="BTS34" s="10"/>
      <c r="BTT34" s="10"/>
      <c r="BTU34" s="10"/>
      <c r="BTV34" s="10"/>
      <c r="BTW34" s="10"/>
      <c r="BTX34" s="10"/>
      <c r="BTY34" s="10"/>
      <c r="BTZ34" s="10"/>
      <c r="BUA34" s="10"/>
      <c r="BUB34" s="10"/>
      <c r="BUC34" s="10"/>
      <c r="BUD34" s="10"/>
      <c r="BUE34" s="10"/>
      <c r="BUF34" s="10"/>
      <c r="BUG34" s="10"/>
      <c r="BUH34" s="10"/>
      <c r="BUI34" s="10"/>
      <c r="BUJ34" s="10"/>
      <c r="BUK34" s="10"/>
      <c r="BUL34" s="10"/>
      <c r="BUM34" s="10"/>
      <c r="BUN34" s="10"/>
      <c r="BUO34" s="10"/>
      <c r="BUP34" s="10"/>
      <c r="BUQ34" s="10"/>
      <c r="BUR34" s="10"/>
      <c r="BUS34" s="10"/>
      <c r="BUT34" s="10"/>
      <c r="BUU34" s="10"/>
      <c r="BUV34" s="10"/>
      <c r="BUW34" s="10"/>
      <c r="BUX34" s="10"/>
      <c r="BUY34" s="10"/>
      <c r="BUZ34" s="10"/>
      <c r="BVA34" s="10"/>
      <c r="BVB34" s="10"/>
      <c r="BVC34" s="10"/>
      <c r="BVD34" s="10"/>
      <c r="BVE34" s="10"/>
      <c r="BVF34" s="10"/>
      <c r="BVG34" s="10"/>
      <c r="BVH34" s="10"/>
      <c r="BVI34" s="10"/>
      <c r="BVJ34" s="10"/>
      <c r="BVK34" s="10"/>
      <c r="BVL34" s="10"/>
      <c r="BVM34" s="10"/>
      <c r="BVN34" s="10"/>
      <c r="BVO34" s="10"/>
      <c r="BVP34" s="10"/>
      <c r="BVQ34" s="10"/>
      <c r="BVR34" s="10"/>
      <c r="BVS34" s="10"/>
      <c r="BVT34" s="10"/>
      <c r="BVU34" s="10"/>
      <c r="BVV34" s="10"/>
      <c r="BVW34" s="10"/>
      <c r="BVX34" s="10"/>
      <c r="BVY34" s="10"/>
      <c r="BVZ34" s="10"/>
      <c r="BWA34" s="10"/>
      <c r="BWB34" s="10"/>
      <c r="BWC34" s="10"/>
      <c r="BWD34" s="10"/>
      <c r="BWE34" s="10"/>
      <c r="BWF34" s="10"/>
      <c r="BWG34" s="10"/>
      <c r="BWH34" s="10"/>
      <c r="BWI34" s="10"/>
      <c r="BWJ34" s="10"/>
      <c r="BWK34" s="10"/>
      <c r="BWL34" s="10"/>
      <c r="BWM34" s="10"/>
      <c r="BWN34" s="10"/>
      <c r="BWO34" s="10"/>
      <c r="BWP34" s="10"/>
      <c r="BWQ34" s="10"/>
      <c r="BWR34" s="10"/>
      <c r="BWS34" s="10"/>
      <c r="BWT34" s="10"/>
      <c r="BWU34" s="10"/>
      <c r="BWV34" s="10"/>
      <c r="BWW34" s="10"/>
      <c r="BWX34" s="10"/>
      <c r="BWY34" s="10"/>
      <c r="BWZ34" s="10"/>
      <c r="BXA34" s="10"/>
      <c r="BXB34" s="10"/>
      <c r="BXC34" s="10"/>
      <c r="BXD34" s="10"/>
      <c r="BXE34" s="10"/>
      <c r="BXF34" s="10"/>
      <c r="BXG34" s="10"/>
      <c r="BXH34" s="10"/>
      <c r="BXI34" s="10"/>
      <c r="BXJ34" s="10"/>
      <c r="BXK34" s="10"/>
      <c r="BXL34" s="10"/>
      <c r="BXM34" s="10"/>
      <c r="BXN34" s="10"/>
      <c r="BXO34" s="10"/>
      <c r="BXP34" s="10"/>
      <c r="BXQ34" s="10"/>
      <c r="BXR34" s="10"/>
      <c r="BXS34" s="10"/>
      <c r="BXT34" s="10"/>
      <c r="BXU34" s="10"/>
      <c r="BXV34" s="10"/>
      <c r="BXW34" s="10"/>
      <c r="BXX34" s="10"/>
      <c r="BXY34" s="10"/>
      <c r="BXZ34" s="10"/>
      <c r="BYA34" s="10"/>
      <c r="BYB34" s="10"/>
      <c r="BYC34" s="10"/>
      <c r="BYD34" s="10"/>
      <c r="BYE34" s="10"/>
      <c r="BYF34" s="10"/>
      <c r="BYG34" s="10"/>
      <c r="BYH34" s="10"/>
      <c r="BYI34" s="10"/>
      <c r="BYJ34" s="10"/>
      <c r="BYK34" s="10"/>
      <c r="BYL34" s="10"/>
      <c r="BYM34" s="10"/>
      <c r="BYN34" s="10"/>
      <c r="BYO34" s="10"/>
      <c r="BYP34" s="10"/>
      <c r="BYQ34" s="10"/>
      <c r="BYR34" s="10"/>
      <c r="BYS34" s="10"/>
      <c r="BYT34" s="10"/>
      <c r="BYU34" s="10"/>
      <c r="BYV34" s="10"/>
      <c r="BYW34" s="10"/>
      <c r="BYX34" s="10"/>
      <c r="BYY34" s="10"/>
      <c r="BYZ34" s="10"/>
      <c r="BZA34" s="10"/>
      <c r="BZB34" s="10"/>
      <c r="BZC34" s="10"/>
      <c r="BZD34" s="10"/>
      <c r="BZE34" s="10"/>
      <c r="BZF34" s="10"/>
      <c r="BZG34" s="10"/>
      <c r="BZH34" s="10"/>
      <c r="BZI34" s="10"/>
      <c r="BZJ34" s="10"/>
      <c r="BZK34" s="10"/>
      <c r="BZL34" s="10"/>
      <c r="BZM34" s="10"/>
      <c r="BZN34" s="10"/>
      <c r="BZO34" s="10"/>
      <c r="BZP34" s="10"/>
      <c r="BZQ34" s="10"/>
      <c r="BZR34" s="10"/>
      <c r="BZS34" s="10"/>
      <c r="BZT34" s="10"/>
      <c r="BZU34" s="10"/>
      <c r="BZV34" s="10"/>
      <c r="BZW34" s="10"/>
      <c r="BZX34" s="10"/>
      <c r="BZY34" s="10"/>
      <c r="BZZ34" s="10"/>
      <c r="CAA34" s="10"/>
      <c r="CAB34" s="10"/>
      <c r="CAC34" s="10"/>
      <c r="CAD34" s="10"/>
      <c r="CAE34" s="10"/>
      <c r="CAF34" s="10"/>
      <c r="CAG34" s="10"/>
      <c r="CAH34" s="10"/>
      <c r="CAI34" s="10"/>
      <c r="CAJ34" s="10"/>
      <c r="CAK34" s="10"/>
      <c r="CAL34" s="10"/>
      <c r="CAM34" s="10"/>
      <c r="CAN34" s="10"/>
      <c r="CAO34" s="10"/>
      <c r="CAP34" s="10"/>
      <c r="CAQ34" s="10"/>
      <c r="CAR34" s="10"/>
      <c r="CAS34" s="10"/>
      <c r="CAT34" s="10"/>
      <c r="CAU34" s="10"/>
      <c r="CAV34" s="10"/>
      <c r="CAW34" s="10"/>
      <c r="CAX34" s="10"/>
      <c r="CAY34" s="10"/>
      <c r="CAZ34" s="10"/>
      <c r="CBA34" s="10"/>
      <c r="CBB34" s="10"/>
      <c r="CBC34" s="10"/>
      <c r="CBD34" s="10"/>
      <c r="CBE34" s="10"/>
      <c r="CBF34" s="10"/>
      <c r="CBG34" s="10"/>
      <c r="CBH34" s="10"/>
      <c r="CBI34" s="10"/>
      <c r="CBJ34" s="10"/>
      <c r="CBK34" s="10"/>
      <c r="CBL34" s="10"/>
      <c r="CBM34" s="10"/>
      <c r="CBN34" s="10"/>
      <c r="CBO34" s="10"/>
      <c r="CBP34" s="10"/>
      <c r="CBQ34" s="10"/>
      <c r="CBR34" s="10"/>
      <c r="CBS34" s="10"/>
      <c r="CBT34" s="10"/>
      <c r="CBU34" s="10"/>
      <c r="CBV34" s="10"/>
      <c r="CBW34" s="10"/>
      <c r="CBX34" s="10"/>
      <c r="CBY34" s="10"/>
      <c r="CBZ34" s="10"/>
      <c r="CCA34" s="10"/>
      <c r="CCB34" s="10"/>
      <c r="CCC34" s="10"/>
      <c r="CCD34" s="10"/>
      <c r="CCE34" s="10"/>
      <c r="CCF34" s="10"/>
      <c r="CCG34" s="10"/>
      <c r="CCH34" s="10"/>
      <c r="CCI34" s="10"/>
      <c r="CCJ34" s="10"/>
      <c r="CCK34" s="10"/>
      <c r="CCL34" s="10"/>
      <c r="CCM34" s="10"/>
      <c r="CCN34" s="10"/>
      <c r="CCO34" s="10"/>
      <c r="CCP34" s="10"/>
      <c r="CCQ34" s="10"/>
      <c r="CCR34" s="10"/>
      <c r="CCS34" s="10"/>
      <c r="CCT34" s="10"/>
      <c r="CCU34" s="10"/>
      <c r="CCV34" s="10"/>
      <c r="CCW34" s="10"/>
      <c r="CCX34" s="10"/>
      <c r="CCY34" s="10"/>
      <c r="CCZ34" s="10"/>
      <c r="CDA34" s="10"/>
      <c r="CDB34" s="10"/>
      <c r="CDC34" s="10"/>
      <c r="CDD34" s="10"/>
      <c r="CDE34" s="10"/>
      <c r="CDF34" s="10"/>
      <c r="CDG34" s="10"/>
      <c r="CDH34" s="10"/>
      <c r="CDI34" s="10"/>
      <c r="CDJ34" s="10"/>
      <c r="CDK34" s="10"/>
      <c r="CDL34" s="10"/>
      <c r="CDM34" s="10"/>
      <c r="CDN34" s="10"/>
      <c r="CDO34" s="10"/>
      <c r="CDP34" s="10"/>
      <c r="CDQ34" s="10"/>
      <c r="CDR34" s="10"/>
      <c r="CDS34" s="10"/>
      <c r="CDT34" s="10"/>
      <c r="CDU34" s="10"/>
      <c r="CDV34" s="10"/>
      <c r="CDW34" s="10"/>
      <c r="CDX34" s="10"/>
      <c r="CDY34" s="10"/>
      <c r="CDZ34" s="10"/>
      <c r="CEA34" s="10"/>
      <c r="CEB34" s="10"/>
      <c r="CEC34" s="10"/>
      <c r="CED34" s="10"/>
      <c r="CEE34" s="10"/>
      <c r="CEF34" s="10"/>
      <c r="CEG34" s="10"/>
      <c r="CEH34" s="10"/>
      <c r="CEI34" s="10"/>
      <c r="CEJ34" s="10"/>
      <c r="CEK34" s="10"/>
      <c r="CEL34" s="10"/>
      <c r="CEM34" s="10"/>
      <c r="CEN34" s="10"/>
      <c r="CEO34" s="10"/>
      <c r="CEP34" s="10"/>
      <c r="CEQ34" s="10"/>
      <c r="CER34" s="10"/>
      <c r="CES34" s="10"/>
      <c r="CET34" s="10"/>
      <c r="CEU34" s="10"/>
      <c r="CEV34" s="10"/>
      <c r="CEW34" s="10"/>
      <c r="CEX34" s="10"/>
      <c r="CEY34" s="10"/>
      <c r="CEZ34" s="10"/>
      <c r="CFA34" s="10"/>
      <c r="CFB34" s="10"/>
      <c r="CFC34" s="10"/>
      <c r="CFD34" s="10"/>
      <c r="CFE34" s="10"/>
      <c r="CFF34" s="10"/>
      <c r="CFG34" s="10"/>
      <c r="CFH34" s="10"/>
      <c r="CFI34" s="10"/>
      <c r="CFJ34" s="10"/>
      <c r="CFK34" s="10"/>
      <c r="CFL34" s="10"/>
      <c r="CFM34" s="10"/>
      <c r="CFN34" s="10"/>
      <c r="CFO34" s="10"/>
      <c r="CFP34" s="10"/>
      <c r="CFQ34" s="10"/>
      <c r="CFR34" s="10"/>
      <c r="CFS34" s="10"/>
      <c r="CFT34" s="10"/>
      <c r="CFU34" s="10"/>
      <c r="CFV34" s="10"/>
      <c r="CFW34" s="10"/>
      <c r="CFX34" s="10"/>
      <c r="CFY34" s="10"/>
      <c r="CFZ34" s="10"/>
      <c r="CGA34" s="10"/>
      <c r="CGB34" s="10"/>
      <c r="CGC34" s="10"/>
      <c r="CGD34" s="10"/>
      <c r="CGE34" s="10"/>
      <c r="CGF34" s="10"/>
      <c r="CGG34" s="10"/>
      <c r="CGH34" s="10"/>
      <c r="CGI34" s="10"/>
      <c r="CGJ34" s="10"/>
      <c r="CGK34" s="10"/>
      <c r="CGL34" s="10"/>
      <c r="CGM34" s="10"/>
      <c r="CGN34" s="10"/>
      <c r="CGO34" s="10"/>
      <c r="CGP34" s="10"/>
      <c r="CGQ34" s="10"/>
      <c r="CGR34" s="10"/>
      <c r="CGS34" s="10"/>
      <c r="CGT34" s="10"/>
      <c r="CGU34" s="10"/>
      <c r="CGV34" s="10"/>
      <c r="CGW34" s="10"/>
      <c r="CGX34" s="10"/>
      <c r="CGY34" s="10"/>
      <c r="CGZ34" s="10"/>
      <c r="CHA34" s="10"/>
      <c r="CHB34" s="10"/>
      <c r="CHC34" s="10"/>
      <c r="CHD34" s="10"/>
      <c r="CHE34" s="10"/>
      <c r="CHF34" s="10"/>
      <c r="CHG34" s="10"/>
      <c r="CHH34" s="10"/>
      <c r="CHI34" s="10"/>
      <c r="CHJ34" s="10"/>
      <c r="CHK34" s="10"/>
      <c r="CHL34" s="10"/>
      <c r="CHM34" s="10"/>
      <c r="CHN34" s="10"/>
      <c r="CHO34" s="10"/>
      <c r="CHP34" s="10"/>
      <c r="CHQ34" s="10"/>
      <c r="CHR34" s="10"/>
      <c r="CHS34" s="10"/>
      <c r="CHT34" s="10"/>
      <c r="CHU34" s="10"/>
      <c r="CHV34" s="10"/>
      <c r="CHW34" s="10"/>
      <c r="CHX34" s="10"/>
      <c r="CHY34" s="10"/>
      <c r="CHZ34" s="10"/>
      <c r="CIA34" s="10"/>
      <c r="CIB34" s="10"/>
      <c r="CIC34" s="10"/>
      <c r="CID34" s="10"/>
      <c r="CIE34" s="10"/>
      <c r="CIF34" s="10"/>
      <c r="CIG34" s="10"/>
      <c r="CIH34" s="10"/>
      <c r="CII34" s="10"/>
      <c r="CIJ34" s="10"/>
      <c r="CIK34" s="10"/>
      <c r="CIL34" s="10"/>
      <c r="CIM34" s="10"/>
      <c r="CIN34" s="10"/>
      <c r="CIO34" s="10"/>
      <c r="CIP34" s="10"/>
      <c r="CIQ34" s="10"/>
      <c r="CIR34" s="10"/>
      <c r="CIS34" s="10"/>
      <c r="CIT34" s="10"/>
      <c r="CIU34" s="10"/>
      <c r="CIV34" s="10"/>
      <c r="CIW34" s="10"/>
      <c r="CIX34" s="10"/>
      <c r="CIY34" s="10"/>
      <c r="CIZ34" s="10"/>
      <c r="CJA34" s="10"/>
      <c r="CJB34" s="10"/>
      <c r="CJC34" s="10"/>
      <c r="CJD34" s="10"/>
      <c r="CJE34" s="10"/>
      <c r="CJF34" s="10"/>
      <c r="CJG34" s="10"/>
      <c r="CJH34" s="10"/>
      <c r="CJI34" s="10"/>
      <c r="CJJ34" s="10"/>
      <c r="CJK34" s="10"/>
      <c r="CJL34" s="10"/>
      <c r="CJM34" s="10"/>
      <c r="CJN34" s="10"/>
      <c r="CJO34" s="10"/>
      <c r="CJP34" s="10"/>
      <c r="CJQ34" s="10"/>
      <c r="CJR34" s="10"/>
      <c r="CJS34" s="10"/>
      <c r="CJT34" s="10"/>
      <c r="CJU34" s="10"/>
      <c r="CJV34" s="10"/>
      <c r="CJW34" s="10"/>
      <c r="CJX34" s="10"/>
      <c r="CJY34" s="10"/>
      <c r="CJZ34" s="10"/>
      <c r="CKA34" s="10"/>
      <c r="CKB34" s="10"/>
      <c r="CKC34" s="10"/>
      <c r="CKD34" s="10"/>
      <c r="CKE34" s="10"/>
      <c r="CKF34" s="10"/>
      <c r="CKG34" s="10"/>
      <c r="CKH34" s="10"/>
      <c r="CKI34" s="10"/>
      <c r="CKJ34" s="10"/>
      <c r="CKK34" s="10"/>
      <c r="CKL34" s="10"/>
      <c r="CKM34" s="10"/>
      <c r="CKN34" s="10"/>
      <c r="CKO34" s="10"/>
      <c r="CKP34" s="10"/>
      <c r="CKQ34" s="10"/>
      <c r="CKR34" s="10"/>
      <c r="CKS34" s="10"/>
      <c r="CKT34" s="10"/>
      <c r="CKU34" s="10"/>
      <c r="CKV34" s="10"/>
      <c r="CKW34" s="10"/>
      <c r="CKX34" s="10"/>
      <c r="CKY34" s="10"/>
      <c r="CKZ34" s="10"/>
      <c r="CLA34" s="10"/>
      <c r="CLB34" s="10"/>
      <c r="CLC34" s="10"/>
      <c r="CLD34" s="10"/>
      <c r="CLE34" s="10"/>
      <c r="CLF34" s="10"/>
      <c r="CLG34" s="10"/>
      <c r="CLH34" s="10"/>
      <c r="CLI34" s="10"/>
      <c r="CLJ34" s="10"/>
      <c r="CLK34" s="10"/>
      <c r="CLL34" s="10"/>
      <c r="CLM34" s="10"/>
      <c r="CLN34" s="10"/>
      <c r="CLO34" s="10"/>
      <c r="CLP34" s="10"/>
      <c r="CLQ34" s="10"/>
      <c r="CLR34" s="10"/>
      <c r="CLS34" s="10"/>
      <c r="CLT34" s="10"/>
      <c r="CLU34" s="10"/>
      <c r="CLV34" s="10"/>
      <c r="CLW34" s="10"/>
      <c r="CLX34" s="10"/>
      <c r="CLY34" s="10"/>
      <c r="CLZ34" s="10"/>
      <c r="CMA34" s="10"/>
      <c r="CMB34" s="10"/>
      <c r="CMC34" s="10"/>
      <c r="CMD34" s="10"/>
      <c r="CME34" s="10"/>
      <c r="CMF34" s="10"/>
      <c r="CMG34" s="10"/>
      <c r="CMH34" s="10"/>
      <c r="CMI34" s="10"/>
      <c r="CMJ34" s="10"/>
      <c r="CMK34" s="10"/>
      <c r="CML34" s="10"/>
      <c r="CMM34" s="10"/>
      <c r="CMN34" s="10"/>
      <c r="CMO34" s="10"/>
      <c r="CMP34" s="10"/>
      <c r="CMQ34" s="10"/>
      <c r="CMR34" s="10"/>
      <c r="CMS34" s="10"/>
      <c r="CMT34" s="10"/>
      <c r="CMU34" s="10"/>
      <c r="CMV34" s="10"/>
      <c r="CMW34" s="10"/>
      <c r="CMX34" s="10"/>
      <c r="CMY34" s="10"/>
      <c r="CMZ34" s="10"/>
      <c r="CNA34" s="10"/>
      <c r="CNB34" s="10"/>
      <c r="CNC34" s="10"/>
      <c r="CND34" s="10"/>
      <c r="CNE34" s="10"/>
      <c r="CNF34" s="10"/>
      <c r="CNG34" s="10"/>
      <c r="CNH34" s="10"/>
      <c r="CNI34" s="10"/>
      <c r="CNJ34" s="10"/>
      <c r="CNK34" s="10"/>
      <c r="CNL34" s="10"/>
      <c r="CNM34" s="10"/>
      <c r="CNN34" s="10"/>
      <c r="CNO34" s="10"/>
      <c r="CNP34" s="10"/>
      <c r="CNQ34" s="10"/>
      <c r="CNR34" s="10"/>
      <c r="CNS34" s="10"/>
      <c r="CNT34" s="10"/>
      <c r="CNU34" s="10"/>
      <c r="CNV34" s="10"/>
      <c r="CNW34" s="10"/>
      <c r="CNX34" s="10"/>
      <c r="CNY34" s="10"/>
      <c r="CNZ34" s="10"/>
      <c r="COA34" s="10"/>
      <c r="COB34" s="10"/>
      <c r="COC34" s="10"/>
      <c r="COD34" s="10"/>
      <c r="COE34" s="10"/>
      <c r="COF34" s="10"/>
      <c r="COG34" s="10"/>
      <c r="COH34" s="10"/>
      <c r="COI34" s="10"/>
      <c r="COJ34" s="10"/>
      <c r="COK34" s="10"/>
      <c r="COL34" s="10"/>
      <c r="COM34" s="10"/>
      <c r="CON34" s="10"/>
      <c r="COO34" s="10"/>
      <c r="COP34" s="10"/>
      <c r="COQ34" s="10"/>
      <c r="COR34" s="10"/>
      <c r="COS34" s="10"/>
      <c r="COT34" s="10"/>
      <c r="COU34" s="10"/>
      <c r="COV34" s="10"/>
      <c r="COW34" s="10"/>
      <c r="COX34" s="10"/>
      <c r="COY34" s="10"/>
      <c r="COZ34" s="10"/>
      <c r="CPA34" s="10"/>
      <c r="CPB34" s="10"/>
      <c r="CPC34" s="10"/>
      <c r="CPD34" s="10"/>
      <c r="CPE34" s="10"/>
      <c r="CPF34" s="10"/>
      <c r="CPG34" s="10"/>
      <c r="CPH34" s="10"/>
      <c r="CPI34" s="10"/>
      <c r="CPJ34" s="10"/>
      <c r="CPK34" s="10"/>
      <c r="CPL34" s="10"/>
      <c r="CPM34" s="10"/>
      <c r="CPN34" s="10"/>
      <c r="CPO34" s="10"/>
      <c r="CPP34" s="10"/>
      <c r="CPQ34" s="10"/>
      <c r="CPR34" s="10"/>
      <c r="CPS34" s="10"/>
      <c r="CPT34" s="10"/>
      <c r="CPU34" s="10"/>
      <c r="CPV34" s="10"/>
      <c r="CPW34" s="10"/>
      <c r="CPX34" s="10"/>
      <c r="CPY34" s="10"/>
      <c r="CPZ34" s="10"/>
      <c r="CQA34" s="10"/>
      <c r="CQB34" s="10"/>
      <c r="CQC34" s="10"/>
      <c r="CQD34" s="10"/>
      <c r="CQE34" s="10"/>
      <c r="CQF34" s="10"/>
      <c r="CQG34" s="10"/>
      <c r="CQH34" s="10"/>
      <c r="CQI34" s="10"/>
      <c r="CQJ34" s="10"/>
      <c r="CQK34" s="10"/>
      <c r="CQL34" s="10"/>
      <c r="CQM34" s="10"/>
      <c r="CQN34" s="10"/>
      <c r="CQO34" s="10"/>
      <c r="CQP34" s="10"/>
      <c r="CQQ34" s="10"/>
      <c r="CQR34" s="10"/>
      <c r="CQS34" s="10"/>
      <c r="CQT34" s="10"/>
      <c r="CQU34" s="10"/>
      <c r="CQV34" s="10"/>
      <c r="CQW34" s="10"/>
      <c r="CQX34" s="10"/>
      <c r="CQY34" s="10"/>
      <c r="CQZ34" s="10"/>
      <c r="CRA34" s="10"/>
      <c r="CRB34" s="10"/>
      <c r="CRC34" s="10"/>
      <c r="CRD34" s="10"/>
      <c r="CRE34" s="10"/>
      <c r="CRF34" s="10"/>
      <c r="CRG34" s="10"/>
      <c r="CRH34" s="10"/>
      <c r="CRI34" s="10"/>
      <c r="CRJ34" s="10"/>
      <c r="CRK34" s="10"/>
      <c r="CRL34" s="10"/>
      <c r="CRM34" s="10"/>
      <c r="CRN34" s="10"/>
      <c r="CRO34" s="10"/>
      <c r="CRP34" s="10"/>
      <c r="CRQ34" s="10"/>
      <c r="CRR34" s="10"/>
      <c r="CRS34" s="10"/>
      <c r="CRT34" s="10"/>
      <c r="CRU34" s="10"/>
      <c r="CRV34" s="10"/>
      <c r="CRW34" s="10"/>
      <c r="CRX34" s="10"/>
      <c r="CRY34" s="10"/>
      <c r="CRZ34" s="10"/>
      <c r="CSA34" s="10"/>
      <c r="CSB34" s="10"/>
      <c r="CSC34" s="10"/>
      <c r="CSD34" s="10"/>
      <c r="CSE34" s="10"/>
      <c r="CSF34" s="10"/>
      <c r="CSG34" s="10"/>
      <c r="CSH34" s="10"/>
      <c r="CSI34" s="10"/>
      <c r="CSJ34" s="10"/>
      <c r="CSK34" s="10"/>
      <c r="CSL34" s="10"/>
      <c r="CSM34" s="10"/>
      <c r="CSN34" s="10"/>
      <c r="CSO34" s="10"/>
      <c r="CSP34" s="10"/>
      <c r="CSQ34" s="10"/>
      <c r="CSR34" s="10"/>
      <c r="CSS34" s="10"/>
      <c r="CST34" s="10"/>
      <c r="CSU34" s="10"/>
      <c r="CSV34" s="10"/>
      <c r="CSW34" s="10"/>
      <c r="CSX34" s="10"/>
      <c r="CSY34" s="10"/>
      <c r="CSZ34" s="10"/>
      <c r="CTA34" s="10"/>
      <c r="CTB34" s="10"/>
      <c r="CTC34" s="10"/>
      <c r="CTD34" s="10"/>
      <c r="CTE34" s="10"/>
      <c r="CTF34" s="10"/>
      <c r="CTG34" s="10"/>
      <c r="CTH34" s="10"/>
      <c r="CTI34" s="10"/>
      <c r="CTJ34" s="10"/>
      <c r="CTK34" s="10"/>
      <c r="CTL34" s="10"/>
      <c r="CTM34" s="10"/>
      <c r="CTN34" s="10"/>
      <c r="CTO34" s="10"/>
      <c r="CTP34" s="10"/>
      <c r="CTQ34" s="10"/>
      <c r="CTR34" s="10"/>
      <c r="CTS34" s="10"/>
      <c r="CTT34" s="10"/>
      <c r="CTU34" s="10"/>
      <c r="CTV34" s="10"/>
      <c r="CTW34" s="10"/>
      <c r="CTX34" s="10"/>
      <c r="CTY34" s="10"/>
      <c r="CTZ34" s="10"/>
      <c r="CUA34" s="10"/>
      <c r="CUB34" s="10"/>
      <c r="CUC34" s="10"/>
      <c r="CUD34" s="10"/>
      <c r="CUE34" s="10"/>
      <c r="CUF34" s="10"/>
      <c r="CUG34" s="10"/>
      <c r="CUH34" s="10"/>
      <c r="CUI34" s="10"/>
      <c r="CUJ34" s="10"/>
      <c r="CUK34" s="10"/>
      <c r="CUL34" s="10"/>
      <c r="CUM34" s="10"/>
      <c r="CUN34" s="10"/>
      <c r="CUO34" s="10"/>
      <c r="CUP34" s="10"/>
      <c r="CUQ34" s="10"/>
      <c r="CUR34" s="10"/>
      <c r="CUS34" s="10"/>
      <c r="CUT34" s="10"/>
      <c r="CUU34" s="10"/>
      <c r="CUV34" s="10"/>
      <c r="CUW34" s="10"/>
      <c r="CUX34" s="10"/>
      <c r="CUY34" s="10"/>
      <c r="CUZ34" s="10"/>
      <c r="CVA34" s="10"/>
      <c r="CVB34" s="10"/>
      <c r="CVC34" s="10"/>
      <c r="CVD34" s="10"/>
      <c r="CVE34" s="10"/>
      <c r="CVF34" s="10"/>
      <c r="CVG34" s="10"/>
      <c r="CVH34" s="10"/>
      <c r="CVI34" s="10"/>
      <c r="CVJ34" s="10"/>
      <c r="CVK34" s="10"/>
      <c r="CVL34" s="10"/>
      <c r="CVM34" s="10"/>
      <c r="CVN34" s="10"/>
      <c r="CVO34" s="10"/>
      <c r="CVP34" s="10"/>
      <c r="CVQ34" s="10"/>
      <c r="CVR34" s="10"/>
      <c r="CVS34" s="10"/>
      <c r="CVT34" s="10"/>
      <c r="CVU34" s="10"/>
      <c r="CVV34" s="10"/>
      <c r="CVW34" s="10"/>
      <c r="CVX34" s="10"/>
      <c r="CVY34" s="10"/>
      <c r="CVZ34" s="10"/>
      <c r="CWA34" s="10"/>
      <c r="CWB34" s="10"/>
      <c r="CWC34" s="10"/>
      <c r="CWD34" s="10"/>
      <c r="CWE34" s="10"/>
      <c r="CWF34" s="10"/>
      <c r="CWG34" s="10"/>
      <c r="CWH34" s="10"/>
      <c r="CWI34" s="10"/>
      <c r="CWJ34" s="10"/>
      <c r="CWK34" s="10"/>
      <c r="CWL34" s="10"/>
      <c r="CWM34" s="10"/>
      <c r="CWN34" s="10"/>
      <c r="CWO34" s="10"/>
      <c r="CWP34" s="10"/>
      <c r="CWQ34" s="10"/>
      <c r="CWR34" s="10"/>
      <c r="CWS34" s="10"/>
      <c r="CWT34" s="10"/>
      <c r="CWU34" s="10"/>
      <c r="CWV34" s="10"/>
      <c r="CWW34" s="10"/>
      <c r="CWX34" s="10"/>
      <c r="CWY34" s="10"/>
      <c r="CWZ34" s="10"/>
      <c r="CXA34" s="10"/>
      <c r="CXB34" s="10"/>
      <c r="CXC34" s="10"/>
      <c r="CXD34" s="10"/>
      <c r="CXE34" s="10"/>
      <c r="CXF34" s="10"/>
      <c r="CXG34" s="10"/>
      <c r="CXH34" s="10"/>
      <c r="CXI34" s="10"/>
      <c r="CXJ34" s="10"/>
      <c r="CXK34" s="10"/>
      <c r="CXL34" s="10"/>
      <c r="CXM34" s="10"/>
      <c r="CXN34" s="10"/>
      <c r="CXO34" s="10"/>
      <c r="CXP34" s="10"/>
      <c r="CXQ34" s="10"/>
      <c r="CXR34" s="10"/>
      <c r="CXS34" s="10"/>
      <c r="CXT34" s="10"/>
      <c r="CXU34" s="10"/>
      <c r="CXV34" s="10"/>
      <c r="CXW34" s="10"/>
      <c r="CXX34" s="10"/>
      <c r="CXY34" s="10"/>
      <c r="CXZ34" s="10"/>
      <c r="CYA34" s="10"/>
      <c r="CYB34" s="10"/>
      <c r="CYC34" s="10"/>
      <c r="CYD34" s="10"/>
      <c r="CYE34" s="10"/>
      <c r="CYF34" s="10"/>
      <c r="CYG34" s="10"/>
      <c r="CYH34" s="10"/>
      <c r="CYI34" s="10"/>
      <c r="CYJ34" s="10"/>
      <c r="CYK34" s="10"/>
      <c r="CYL34" s="10"/>
      <c r="CYM34" s="10"/>
      <c r="CYN34" s="10"/>
      <c r="CYO34" s="10"/>
      <c r="CYP34" s="10"/>
      <c r="CYQ34" s="10"/>
      <c r="CYR34" s="10"/>
      <c r="CYS34" s="10"/>
      <c r="CYT34" s="10"/>
      <c r="CYU34" s="10"/>
      <c r="CYV34" s="10"/>
      <c r="CYW34" s="10"/>
      <c r="CYX34" s="10"/>
      <c r="CYY34" s="10"/>
      <c r="CYZ34" s="10"/>
      <c r="CZA34" s="10"/>
      <c r="CZB34" s="10"/>
      <c r="CZC34" s="10"/>
      <c r="CZD34" s="10"/>
      <c r="CZE34" s="10"/>
      <c r="CZF34" s="10"/>
      <c r="CZG34" s="10"/>
      <c r="CZH34" s="10"/>
      <c r="CZI34" s="10"/>
      <c r="CZJ34" s="10"/>
      <c r="CZK34" s="10"/>
      <c r="CZL34" s="10"/>
      <c r="CZM34" s="10"/>
      <c r="CZN34" s="10"/>
      <c r="CZO34" s="10"/>
      <c r="CZP34" s="10"/>
      <c r="CZQ34" s="10"/>
      <c r="CZR34" s="10"/>
      <c r="CZS34" s="10"/>
      <c r="CZT34" s="10"/>
      <c r="CZU34" s="10"/>
      <c r="CZV34" s="10"/>
      <c r="CZW34" s="10"/>
      <c r="CZX34" s="10"/>
      <c r="CZY34" s="10"/>
      <c r="CZZ34" s="10"/>
      <c r="DAA34" s="10"/>
      <c r="DAB34" s="10"/>
      <c r="DAC34" s="10"/>
      <c r="DAD34" s="10"/>
      <c r="DAE34" s="10"/>
      <c r="DAF34" s="10"/>
      <c r="DAG34" s="10"/>
      <c r="DAH34" s="10"/>
      <c r="DAI34" s="10"/>
      <c r="DAJ34" s="10"/>
      <c r="DAK34" s="10"/>
      <c r="DAL34" s="10"/>
      <c r="DAM34" s="10"/>
      <c r="DAN34" s="10"/>
      <c r="DAO34" s="10"/>
      <c r="DAP34" s="10"/>
      <c r="DAQ34" s="10"/>
      <c r="DAR34" s="10"/>
      <c r="DAS34" s="10"/>
      <c r="DAT34" s="10"/>
      <c r="DAU34" s="10"/>
      <c r="DAV34" s="10"/>
      <c r="DAW34" s="10"/>
      <c r="DAX34" s="10"/>
      <c r="DAY34" s="10"/>
      <c r="DAZ34" s="10"/>
      <c r="DBA34" s="10"/>
      <c r="DBB34" s="10"/>
      <c r="DBC34" s="10"/>
      <c r="DBD34" s="10"/>
      <c r="DBE34" s="10"/>
      <c r="DBF34" s="10"/>
      <c r="DBG34" s="10"/>
      <c r="DBH34" s="10"/>
      <c r="DBI34" s="10"/>
      <c r="DBJ34" s="10"/>
      <c r="DBK34" s="10"/>
      <c r="DBL34" s="10"/>
      <c r="DBM34" s="10"/>
      <c r="DBN34" s="10"/>
      <c r="DBO34" s="10"/>
      <c r="DBP34" s="10"/>
      <c r="DBQ34" s="10"/>
      <c r="DBR34" s="10"/>
      <c r="DBS34" s="10"/>
      <c r="DBT34" s="10"/>
      <c r="DBU34" s="10"/>
      <c r="DBV34" s="10"/>
      <c r="DBW34" s="10"/>
      <c r="DBX34" s="10"/>
      <c r="DBY34" s="10"/>
      <c r="DBZ34" s="10"/>
      <c r="DCA34" s="10"/>
      <c r="DCB34" s="10"/>
      <c r="DCC34" s="10"/>
      <c r="DCD34" s="10"/>
      <c r="DCE34" s="10"/>
      <c r="DCF34" s="10"/>
      <c r="DCG34" s="10"/>
      <c r="DCH34" s="10"/>
      <c r="DCI34" s="10"/>
      <c r="DCJ34" s="10"/>
      <c r="DCK34" s="10"/>
      <c r="DCL34" s="10"/>
      <c r="DCM34" s="10"/>
      <c r="DCN34" s="10"/>
      <c r="DCO34" s="10"/>
      <c r="DCP34" s="10"/>
      <c r="DCQ34" s="10"/>
      <c r="DCR34" s="10"/>
      <c r="DCS34" s="10"/>
      <c r="DCT34" s="10"/>
      <c r="DCU34" s="10"/>
      <c r="DCV34" s="10"/>
      <c r="DCW34" s="10"/>
      <c r="DCX34" s="10"/>
      <c r="DCY34" s="10"/>
      <c r="DCZ34" s="10"/>
      <c r="DDA34" s="10"/>
      <c r="DDB34" s="10"/>
      <c r="DDC34" s="10"/>
      <c r="DDD34" s="10"/>
      <c r="DDE34" s="10"/>
      <c r="DDF34" s="10"/>
      <c r="DDG34" s="10"/>
      <c r="DDH34" s="10"/>
      <c r="DDI34" s="10"/>
      <c r="DDJ34" s="10"/>
      <c r="DDK34" s="10"/>
      <c r="DDL34" s="10"/>
      <c r="DDM34" s="10"/>
      <c r="DDN34" s="10"/>
      <c r="DDO34" s="10"/>
      <c r="DDP34" s="10"/>
      <c r="DDQ34" s="10"/>
      <c r="DDR34" s="10"/>
      <c r="DDS34" s="10"/>
      <c r="DDT34" s="10"/>
      <c r="DDU34" s="10"/>
      <c r="DDV34" s="10"/>
      <c r="DDW34" s="10"/>
      <c r="DDX34" s="10"/>
      <c r="DDY34" s="10"/>
      <c r="DDZ34" s="10"/>
      <c r="DEA34" s="10"/>
      <c r="DEB34" s="10"/>
      <c r="DEC34" s="10"/>
      <c r="DED34" s="10"/>
      <c r="DEE34" s="10"/>
      <c r="DEF34" s="10"/>
      <c r="DEG34" s="10"/>
      <c r="DEH34" s="10"/>
      <c r="DEI34" s="10"/>
      <c r="DEJ34" s="10"/>
      <c r="DEK34" s="10"/>
      <c r="DEL34" s="10"/>
      <c r="DEM34" s="10"/>
      <c r="DEN34" s="10"/>
      <c r="DEO34" s="10"/>
      <c r="DEP34" s="10"/>
      <c r="DEQ34" s="10"/>
      <c r="DER34" s="10"/>
      <c r="DES34" s="10"/>
      <c r="DET34" s="10"/>
      <c r="DEU34" s="10"/>
      <c r="DEV34" s="10"/>
      <c r="DEW34" s="10"/>
      <c r="DEX34" s="10"/>
      <c r="DEY34" s="10"/>
      <c r="DEZ34" s="10"/>
      <c r="DFA34" s="10"/>
      <c r="DFB34" s="10"/>
      <c r="DFC34" s="10"/>
      <c r="DFD34" s="10"/>
      <c r="DFE34" s="10"/>
      <c r="DFF34" s="10"/>
      <c r="DFG34" s="10"/>
      <c r="DFH34" s="10"/>
      <c r="DFI34" s="10"/>
      <c r="DFJ34" s="10"/>
      <c r="DFK34" s="10"/>
      <c r="DFL34" s="10"/>
      <c r="DFM34" s="10"/>
      <c r="DFN34" s="10"/>
      <c r="DFO34" s="10"/>
      <c r="DFP34" s="10"/>
      <c r="DFQ34" s="10"/>
      <c r="DFR34" s="10"/>
      <c r="DFS34" s="10"/>
      <c r="DFT34" s="10"/>
      <c r="DFU34" s="10"/>
      <c r="DFV34" s="10"/>
      <c r="DFW34" s="10"/>
      <c r="DFX34" s="10"/>
      <c r="DFY34" s="10"/>
      <c r="DFZ34" s="10"/>
      <c r="DGA34" s="10"/>
      <c r="DGB34" s="10"/>
      <c r="DGC34" s="10"/>
      <c r="DGD34" s="10"/>
      <c r="DGE34" s="10"/>
      <c r="DGF34" s="10"/>
      <c r="DGG34" s="10"/>
      <c r="DGH34" s="10"/>
      <c r="DGI34" s="10"/>
      <c r="DGJ34" s="10"/>
      <c r="DGK34" s="10"/>
      <c r="DGL34" s="10"/>
      <c r="DGM34" s="10"/>
      <c r="DGN34" s="10"/>
      <c r="DGO34" s="10"/>
      <c r="DGP34" s="10"/>
      <c r="DGQ34" s="10"/>
      <c r="DGR34" s="10"/>
      <c r="DGS34" s="10"/>
      <c r="DGT34" s="10"/>
      <c r="DGU34" s="10"/>
      <c r="DGV34" s="10"/>
      <c r="DGW34" s="10"/>
      <c r="DGX34" s="10"/>
      <c r="DGY34" s="10"/>
      <c r="DGZ34" s="10"/>
      <c r="DHA34" s="10"/>
      <c r="DHB34" s="10"/>
      <c r="DHC34" s="10"/>
      <c r="DHD34" s="10"/>
      <c r="DHE34" s="10"/>
      <c r="DHF34" s="10"/>
      <c r="DHG34" s="10"/>
      <c r="DHH34" s="10"/>
      <c r="DHI34" s="10"/>
      <c r="DHJ34" s="10"/>
      <c r="DHK34" s="10"/>
      <c r="DHL34" s="10"/>
      <c r="DHM34" s="10"/>
      <c r="DHN34" s="10"/>
      <c r="DHO34" s="10"/>
      <c r="DHP34" s="10"/>
      <c r="DHQ34" s="10"/>
      <c r="DHR34" s="10"/>
      <c r="DHS34" s="10"/>
      <c r="DHT34" s="10"/>
      <c r="DHU34" s="10"/>
      <c r="DHV34" s="10"/>
      <c r="DHW34" s="10"/>
      <c r="DHX34" s="10"/>
      <c r="DHY34" s="10"/>
      <c r="DHZ34" s="10"/>
      <c r="DIA34" s="10"/>
      <c r="DIB34" s="10"/>
      <c r="DIC34" s="10"/>
      <c r="DID34" s="10"/>
      <c r="DIE34" s="10"/>
      <c r="DIF34" s="10"/>
      <c r="DIG34" s="10"/>
      <c r="DIH34" s="10"/>
      <c r="DII34" s="10"/>
      <c r="DIJ34" s="10"/>
      <c r="DIK34" s="10"/>
      <c r="DIL34" s="10"/>
      <c r="DIM34" s="10"/>
      <c r="DIN34" s="10"/>
      <c r="DIO34" s="10"/>
      <c r="DIP34" s="10"/>
      <c r="DIQ34" s="10"/>
      <c r="DIR34" s="10"/>
      <c r="DIS34" s="10"/>
      <c r="DIT34" s="10"/>
      <c r="DIU34" s="10"/>
      <c r="DIV34" s="10"/>
      <c r="DIW34" s="10"/>
      <c r="DIX34" s="10"/>
      <c r="DIY34" s="10"/>
      <c r="DIZ34" s="10"/>
      <c r="DJA34" s="10"/>
      <c r="DJB34" s="10"/>
      <c r="DJC34" s="10"/>
      <c r="DJD34" s="10"/>
      <c r="DJE34" s="10"/>
      <c r="DJF34" s="10"/>
      <c r="DJG34" s="10"/>
      <c r="DJH34" s="10"/>
      <c r="DJI34" s="10"/>
      <c r="DJJ34" s="10"/>
      <c r="DJK34" s="10"/>
      <c r="DJL34" s="10"/>
      <c r="DJM34" s="10"/>
      <c r="DJN34" s="10"/>
      <c r="DJO34" s="10"/>
      <c r="DJP34" s="10"/>
      <c r="DJQ34" s="10"/>
      <c r="DJR34" s="10"/>
      <c r="DJS34" s="10"/>
      <c r="DJT34" s="10"/>
      <c r="DJU34" s="10"/>
      <c r="DJV34" s="10"/>
      <c r="DJW34" s="10"/>
      <c r="DJX34" s="10"/>
      <c r="DJY34" s="10"/>
      <c r="DJZ34" s="10"/>
      <c r="DKA34" s="10"/>
      <c r="DKB34" s="10"/>
      <c r="DKC34" s="10"/>
      <c r="DKD34" s="10"/>
      <c r="DKE34" s="10"/>
      <c r="DKF34" s="10"/>
      <c r="DKG34" s="10"/>
      <c r="DKH34" s="10"/>
      <c r="DKI34" s="10"/>
      <c r="DKJ34" s="10"/>
      <c r="DKK34" s="10"/>
      <c r="DKL34" s="10"/>
      <c r="DKM34" s="10"/>
      <c r="DKN34" s="10"/>
      <c r="DKO34" s="10"/>
      <c r="DKP34" s="10"/>
      <c r="DKQ34" s="10"/>
      <c r="DKR34" s="10"/>
      <c r="DKS34" s="10"/>
      <c r="DKT34" s="10"/>
      <c r="DKU34" s="10"/>
      <c r="DKV34" s="10"/>
      <c r="DKW34" s="10"/>
      <c r="DKX34" s="10"/>
      <c r="DKY34" s="10"/>
      <c r="DKZ34" s="10"/>
      <c r="DLA34" s="10"/>
      <c r="DLB34" s="10"/>
      <c r="DLC34" s="10"/>
      <c r="DLD34" s="10"/>
      <c r="DLE34" s="10"/>
      <c r="DLF34" s="10"/>
      <c r="DLG34" s="10"/>
      <c r="DLH34" s="10"/>
      <c r="DLI34" s="10"/>
      <c r="DLJ34" s="10"/>
      <c r="DLK34" s="10"/>
      <c r="DLL34" s="10"/>
      <c r="DLM34" s="10"/>
      <c r="DLN34" s="10"/>
      <c r="DLO34" s="10"/>
      <c r="DLP34" s="10"/>
      <c r="DLQ34" s="10"/>
      <c r="DLR34" s="10"/>
      <c r="DLS34" s="10"/>
      <c r="DLT34" s="10"/>
      <c r="DLU34" s="10"/>
      <c r="DLV34" s="10"/>
      <c r="DLW34" s="10"/>
      <c r="DLX34" s="10"/>
      <c r="DLY34" s="10"/>
      <c r="DLZ34" s="10"/>
      <c r="DMA34" s="10"/>
      <c r="DMB34" s="10"/>
      <c r="DMC34" s="10"/>
      <c r="DMD34" s="10"/>
      <c r="DME34" s="10"/>
      <c r="DMF34" s="10"/>
      <c r="DMG34" s="10"/>
      <c r="DMH34" s="10"/>
      <c r="DMI34" s="10"/>
      <c r="DMJ34" s="10"/>
      <c r="DMK34" s="10"/>
      <c r="DML34" s="10"/>
      <c r="DMM34" s="10"/>
      <c r="DMN34" s="10"/>
      <c r="DMO34" s="10"/>
      <c r="DMP34" s="10"/>
      <c r="DMQ34" s="10"/>
      <c r="DMR34" s="10"/>
      <c r="DMS34" s="10"/>
      <c r="DMT34" s="10"/>
      <c r="DMU34" s="10"/>
      <c r="DMV34" s="10"/>
      <c r="DMW34" s="10"/>
      <c r="DMX34" s="10"/>
      <c r="DMY34" s="10"/>
      <c r="DMZ34" s="10"/>
      <c r="DNA34" s="10"/>
      <c r="DNB34" s="10"/>
      <c r="DNC34" s="10"/>
      <c r="DND34" s="10"/>
      <c r="DNE34" s="10"/>
      <c r="DNF34" s="10"/>
      <c r="DNG34" s="10"/>
      <c r="DNH34" s="10"/>
      <c r="DNI34" s="10"/>
      <c r="DNJ34" s="10"/>
      <c r="DNK34" s="10"/>
      <c r="DNL34" s="10"/>
      <c r="DNM34" s="10"/>
      <c r="DNN34" s="10"/>
      <c r="DNO34" s="10"/>
      <c r="DNP34" s="10"/>
      <c r="DNQ34" s="10"/>
      <c r="DNR34" s="10"/>
      <c r="DNS34" s="10"/>
      <c r="DNT34" s="10"/>
      <c r="DNU34" s="10"/>
      <c r="DNV34" s="10"/>
      <c r="DNW34" s="10"/>
      <c r="DNX34" s="10"/>
      <c r="DNY34" s="10"/>
      <c r="DNZ34" s="10"/>
      <c r="DOA34" s="10"/>
      <c r="DOB34" s="10"/>
      <c r="DOC34" s="10"/>
      <c r="DOD34" s="10"/>
      <c r="DOE34" s="10"/>
      <c r="DOF34" s="10"/>
      <c r="DOG34" s="10"/>
      <c r="DOH34" s="10"/>
      <c r="DOI34" s="10"/>
      <c r="DOJ34" s="10"/>
      <c r="DOK34" s="10"/>
      <c r="DOL34" s="10"/>
      <c r="DOM34" s="10"/>
      <c r="DON34" s="10"/>
      <c r="DOO34" s="10"/>
      <c r="DOP34" s="10"/>
      <c r="DOQ34" s="10"/>
      <c r="DOR34" s="10"/>
      <c r="DOS34" s="10"/>
      <c r="DOT34" s="10"/>
      <c r="DOU34" s="10"/>
      <c r="DOV34" s="10"/>
      <c r="DOW34" s="10"/>
      <c r="DOX34" s="10"/>
      <c r="DOY34" s="10"/>
      <c r="DOZ34" s="10"/>
      <c r="DPA34" s="10"/>
      <c r="DPB34" s="10"/>
      <c r="DPC34" s="10"/>
      <c r="DPD34" s="10"/>
      <c r="DPE34" s="10"/>
      <c r="DPF34" s="10"/>
      <c r="DPG34" s="10"/>
      <c r="DPH34" s="10"/>
      <c r="DPI34" s="10"/>
      <c r="DPJ34" s="10"/>
      <c r="DPK34" s="10"/>
      <c r="DPL34" s="10"/>
      <c r="DPM34" s="10"/>
      <c r="DPN34" s="10"/>
      <c r="DPO34" s="10"/>
      <c r="DPP34" s="10"/>
      <c r="DPQ34" s="10"/>
      <c r="DPR34" s="10"/>
      <c r="DPS34" s="10"/>
      <c r="DPT34" s="10"/>
      <c r="DPU34" s="10"/>
      <c r="DPV34" s="10"/>
      <c r="DPW34" s="10"/>
      <c r="DPX34" s="10"/>
      <c r="DPY34" s="10"/>
      <c r="DPZ34" s="10"/>
      <c r="DQA34" s="10"/>
      <c r="DQB34" s="10"/>
      <c r="DQC34" s="10"/>
      <c r="DQD34" s="10"/>
      <c r="DQE34" s="10"/>
      <c r="DQF34" s="10"/>
      <c r="DQG34" s="10"/>
      <c r="DQH34" s="10"/>
      <c r="DQI34" s="10"/>
      <c r="DQJ34" s="10"/>
      <c r="DQK34" s="10"/>
      <c r="DQL34" s="10"/>
      <c r="DQM34" s="10"/>
      <c r="DQN34" s="10"/>
      <c r="DQO34" s="10"/>
      <c r="DQP34" s="10"/>
      <c r="DQQ34" s="10"/>
      <c r="DQR34" s="10"/>
      <c r="DQS34" s="10"/>
      <c r="DQT34" s="10"/>
      <c r="DQU34" s="10"/>
      <c r="DQV34" s="10"/>
      <c r="DQW34" s="10"/>
      <c r="DQX34" s="10"/>
      <c r="DQY34" s="10"/>
      <c r="DQZ34" s="10"/>
      <c r="DRA34" s="10"/>
      <c r="DRB34" s="10"/>
      <c r="DRC34" s="10"/>
      <c r="DRD34" s="10"/>
      <c r="DRE34" s="10"/>
      <c r="DRF34" s="10"/>
      <c r="DRG34" s="10"/>
      <c r="DRH34" s="10"/>
      <c r="DRI34" s="10"/>
      <c r="DRJ34" s="10"/>
      <c r="DRK34" s="10"/>
      <c r="DRL34" s="10"/>
      <c r="DRM34" s="10"/>
      <c r="DRN34" s="10"/>
      <c r="DRO34" s="10"/>
      <c r="DRP34" s="10"/>
      <c r="DRQ34" s="10"/>
      <c r="DRR34" s="10"/>
      <c r="DRS34" s="10"/>
      <c r="DRT34" s="10"/>
      <c r="DRU34" s="10"/>
      <c r="DRV34" s="10"/>
      <c r="DRW34" s="10"/>
      <c r="DRX34" s="10"/>
      <c r="DRY34" s="10"/>
      <c r="DRZ34" s="10"/>
      <c r="DSA34" s="10"/>
      <c r="DSB34" s="10"/>
      <c r="DSC34" s="10"/>
      <c r="DSD34" s="10"/>
      <c r="DSE34" s="10"/>
      <c r="DSF34" s="10"/>
      <c r="DSG34" s="10"/>
      <c r="DSH34" s="10"/>
      <c r="DSI34" s="10"/>
      <c r="DSJ34" s="10"/>
      <c r="DSK34" s="10"/>
      <c r="DSL34" s="10"/>
      <c r="DSM34" s="10"/>
      <c r="DSN34" s="10"/>
      <c r="DSO34" s="10"/>
      <c r="DSP34" s="10"/>
      <c r="DSQ34" s="10"/>
      <c r="DSR34" s="10"/>
      <c r="DSS34" s="10"/>
      <c r="DST34" s="10"/>
      <c r="DSU34" s="10"/>
      <c r="DSV34" s="10"/>
      <c r="DSW34" s="10"/>
      <c r="DSX34" s="10"/>
      <c r="DSY34" s="10"/>
      <c r="DSZ34" s="10"/>
      <c r="DTA34" s="10"/>
      <c r="DTB34" s="10"/>
      <c r="DTC34" s="10"/>
      <c r="DTD34" s="10"/>
      <c r="DTE34" s="10"/>
      <c r="DTF34" s="10"/>
      <c r="DTG34" s="10"/>
      <c r="DTH34" s="10"/>
      <c r="DTI34" s="10"/>
      <c r="DTJ34" s="10"/>
      <c r="DTK34" s="10"/>
      <c r="DTL34" s="10"/>
      <c r="DTM34" s="10"/>
      <c r="DTN34" s="10"/>
      <c r="DTO34" s="10"/>
      <c r="DTP34" s="10"/>
      <c r="DTQ34" s="10"/>
      <c r="DTR34" s="10"/>
      <c r="DTS34" s="10"/>
      <c r="DTT34" s="10"/>
      <c r="DTU34" s="10"/>
      <c r="DTV34" s="10"/>
      <c r="DTW34" s="10"/>
      <c r="DTX34" s="10"/>
      <c r="DTY34" s="10"/>
      <c r="DTZ34" s="10"/>
      <c r="DUA34" s="10"/>
      <c r="DUB34" s="10"/>
      <c r="DUC34" s="10"/>
      <c r="DUD34" s="10"/>
      <c r="DUE34" s="10"/>
      <c r="DUF34" s="10"/>
      <c r="DUG34" s="10"/>
      <c r="DUH34" s="10"/>
      <c r="DUI34" s="10"/>
      <c r="DUJ34" s="10"/>
      <c r="DUK34" s="10"/>
      <c r="DUL34" s="10"/>
      <c r="DUM34" s="10"/>
      <c r="DUN34" s="10"/>
      <c r="DUO34" s="10"/>
      <c r="DUP34" s="10"/>
      <c r="DUQ34" s="10"/>
      <c r="DUR34" s="10"/>
      <c r="DUS34" s="10"/>
      <c r="DUT34" s="10"/>
      <c r="DUU34" s="10"/>
      <c r="DUV34" s="10"/>
      <c r="DUW34" s="10"/>
      <c r="DUX34" s="10"/>
      <c r="DUY34" s="10"/>
      <c r="DUZ34" s="10"/>
      <c r="DVA34" s="10"/>
      <c r="DVB34" s="10"/>
      <c r="DVC34" s="10"/>
      <c r="DVD34" s="10"/>
      <c r="DVE34" s="10"/>
      <c r="DVF34" s="10"/>
      <c r="DVG34" s="10"/>
      <c r="DVH34" s="10"/>
      <c r="DVI34" s="10"/>
      <c r="DVJ34" s="10"/>
      <c r="DVK34" s="10"/>
      <c r="DVL34" s="10"/>
      <c r="DVM34" s="10"/>
      <c r="DVN34" s="10"/>
      <c r="DVO34" s="10"/>
      <c r="DVP34" s="10"/>
      <c r="DVQ34" s="10"/>
      <c r="DVR34" s="10"/>
      <c r="DVS34" s="10"/>
      <c r="DVT34" s="10"/>
      <c r="DVU34" s="10"/>
      <c r="DVV34" s="10"/>
      <c r="DVW34" s="10"/>
      <c r="DVX34" s="10"/>
      <c r="DVY34" s="10"/>
      <c r="DVZ34" s="10"/>
      <c r="DWA34" s="10"/>
      <c r="DWB34" s="10"/>
      <c r="DWC34" s="10"/>
      <c r="DWD34" s="10"/>
      <c r="DWE34" s="10"/>
      <c r="DWF34" s="10"/>
      <c r="DWG34" s="10"/>
      <c r="DWH34" s="10"/>
      <c r="DWI34" s="10"/>
      <c r="DWJ34" s="10"/>
      <c r="DWK34" s="10"/>
      <c r="DWL34" s="10"/>
      <c r="DWM34" s="10"/>
      <c r="DWN34" s="10"/>
      <c r="DWO34" s="10"/>
      <c r="DWP34" s="10"/>
      <c r="DWQ34" s="10"/>
      <c r="DWR34" s="10"/>
      <c r="DWS34" s="10"/>
      <c r="DWT34" s="10"/>
      <c r="DWU34" s="10"/>
      <c r="DWV34" s="10"/>
      <c r="DWW34" s="10"/>
      <c r="DWX34" s="10"/>
      <c r="DWY34" s="10"/>
      <c r="DWZ34" s="10"/>
      <c r="DXA34" s="10"/>
      <c r="DXB34" s="10"/>
      <c r="DXC34" s="10"/>
      <c r="DXD34" s="10"/>
      <c r="DXE34" s="10"/>
      <c r="DXF34" s="10"/>
      <c r="DXG34" s="10"/>
      <c r="DXH34" s="10"/>
      <c r="DXI34" s="10"/>
      <c r="DXJ34" s="10"/>
      <c r="DXK34" s="10"/>
      <c r="DXL34" s="10"/>
      <c r="DXM34" s="10"/>
      <c r="DXN34" s="10"/>
      <c r="DXO34" s="10"/>
      <c r="DXP34" s="10"/>
      <c r="DXQ34" s="10"/>
      <c r="DXR34" s="10"/>
      <c r="DXS34" s="10"/>
      <c r="DXT34" s="10"/>
      <c r="DXU34" s="10"/>
      <c r="DXV34" s="10"/>
      <c r="DXW34" s="10"/>
      <c r="DXX34" s="10"/>
      <c r="DXY34" s="10"/>
      <c r="DXZ34" s="10"/>
      <c r="DYA34" s="10"/>
      <c r="DYB34" s="10"/>
      <c r="DYC34" s="10"/>
      <c r="DYD34" s="10"/>
      <c r="DYE34" s="10"/>
      <c r="DYF34" s="10"/>
      <c r="DYG34" s="10"/>
      <c r="DYH34" s="10"/>
      <c r="DYI34" s="10"/>
      <c r="DYJ34" s="10"/>
      <c r="DYK34" s="10"/>
      <c r="DYL34" s="10"/>
      <c r="DYM34" s="10"/>
      <c r="DYN34" s="10"/>
      <c r="DYO34" s="10"/>
      <c r="DYP34" s="10"/>
      <c r="DYQ34" s="10"/>
      <c r="DYR34" s="10"/>
      <c r="DYS34" s="10"/>
      <c r="DYT34" s="10"/>
      <c r="DYU34" s="10"/>
      <c r="DYV34" s="10"/>
      <c r="DYW34" s="10"/>
      <c r="DYX34" s="10"/>
      <c r="DYY34" s="10"/>
      <c r="DYZ34" s="10"/>
      <c r="DZA34" s="10"/>
      <c r="DZB34" s="10"/>
      <c r="DZC34" s="10"/>
      <c r="DZD34" s="10"/>
      <c r="DZE34" s="10"/>
      <c r="DZF34" s="10"/>
      <c r="DZG34" s="10"/>
      <c r="DZH34" s="10"/>
      <c r="DZI34" s="10"/>
      <c r="DZJ34" s="10"/>
      <c r="DZK34" s="10"/>
      <c r="DZL34" s="10"/>
      <c r="DZM34" s="10"/>
      <c r="DZN34" s="10"/>
      <c r="DZO34" s="10"/>
      <c r="DZP34" s="10"/>
      <c r="DZQ34" s="10"/>
      <c r="DZR34" s="10"/>
      <c r="DZS34" s="10"/>
      <c r="DZT34" s="10"/>
      <c r="DZU34" s="10"/>
      <c r="DZV34" s="10"/>
      <c r="DZW34" s="10"/>
      <c r="DZX34" s="10"/>
      <c r="DZY34" s="10"/>
      <c r="DZZ34" s="10"/>
      <c r="EAA34" s="10"/>
      <c r="EAB34" s="10"/>
      <c r="EAC34" s="10"/>
      <c r="EAD34" s="10"/>
      <c r="EAE34" s="10"/>
      <c r="EAF34" s="10"/>
      <c r="EAG34" s="10"/>
      <c r="EAH34" s="10"/>
      <c r="EAI34" s="10"/>
      <c r="EAJ34" s="10"/>
      <c r="EAK34" s="10"/>
      <c r="EAL34" s="10"/>
      <c r="EAM34" s="10"/>
      <c r="EAN34" s="10"/>
      <c r="EAO34" s="10"/>
      <c r="EAP34" s="10"/>
      <c r="EAQ34" s="10"/>
      <c r="EAR34" s="10"/>
      <c r="EAS34" s="10"/>
      <c r="EAT34" s="10"/>
      <c r="EAU34" s="10"/>
      <c r="EAV34" s="10"/>
      <c r="EAW34" s="10"/>
      <c r="EAX34" s="10"/>
      <c r="EAY34" s="10"/>
      <c r="EAZ34" s="10"/>
      <c r="EBA34" s="10"/>
      <c r="EBB34" s="10"/>
      <c r="EBC34" s="10"/>
      <c r="EBD34" s="10"/>
      <c r="EBE34" s="10"/>
      <c r="EBF34" s="10"/>
      <c r="EBG34" s="10"/>
      <c r="EBH34" s="10"/>
      <c r="EBI34" s="10"/>
      <c r="EBJ34" s="10"/>
      <c r="EBK34" s="10"/>
      <c r="EBL34" s="10"/>
      <c r="EBM34" s="10"/>
      <c r="EBN34" s="10"/>
      <c r="EBO34" s="10"/>
      <c r="EBP34" s="10"/>
      <c r="EBQ34" s="10"/>
      <c r="EBR34" s="10"/>
      <c r="EBS34" s="10"/>
      <c r="EBT34" s="10"/>
      <c r="EBU34" s="10"/>
      <c r="EBV34" s="10"/>
      <c r="EBW34" s="10"/>
      <c r="EBX34" s="10"/>
      <c r="EBY34" s="10"/>
      <c r="EBZ34" s="10"/>
      <c r="ECA34" s="10"/>
      <c r="ECB34" s="10"/>
      <c r="ECC34" s="10"/>
      <c r="ECD34" s="10"/>
      <c r="ECE34" s="10"/>
      <c r="ECF34" s="10"/>
      <c r="ECG34" s="10"/>
      <c r="ECH34" s="10"/>
      <c r="ECI34" s="10"/>
      <c r="ECJ34" s="10"/>
      <c r="ECK34" s="10"/>
      <c r="ECL34" s="10"/>
      <c r="ECM34" s="10"/>
      <c r="ECN34" s="10"/>
      <c r="ECO34" s="10"/>
      <c r="ECP34" s="10"/>
      <c r="ECQ34" s="10"/>
      <c r="ECR34" s="10"/>
      <c r="ECS34" s="10"/>
      <c r="ECT34" s="10"/>
      <c r="ECU34" s="10"/>
      <c r="ECV34" s="10"/>
      <c r="ECW34" s="10"/>
      <c r="ECX34" s="10"/>
      <c r="ECY34" s="10"/>
      <c r="ECZ34" s="10"/>
      <c r="EDA34" s="10"/>
      <c r="EDB34" s="10"/>
      <c r="EDC34" s="10"/>
      <c r="EDD34" s="10"/>
      <c r="EDE34" s="10"/>
      <c r="EDF34" s="10"/>
      <c r="EDG34" s="10"/>
      <c r="EDH34" s="10"/>
      <c r="EDI34" s="10"/>
      <c r="EDJ34" s="10"/>
      <c r="EDK34" s="10"/>
      <c r="EDL34" s="10"/>
      <c r="EDM34" s="10"/>
      <c r="EDN34" s="10"/>
      <c r="EDO34" s="10"/>
      <c r="EDP34" s="10"/>
      <c r="EDQ34" s="10"/>
      <c r="EDR34" s="10"/>
      <c r="EDS34" s="10"/>
      <c r="EDT34" s="10"/>
      <c r="EDU34" s="10"/>
      <c r="EDV34" s="10"/>
      <c r="EDW34" s="10"/>
      <c r="EDX34" s="10"/>
      <c r="EDY34" s="10"/>
      <c r="EDZ34" s="10"/>
      <c r="EEA34" s="10"/>
      <c r="EEB34" s="10"/>
      <c r="EEC34" s="10"/>
      <c r="EED34" s="10"/>
      <c r="EEE34" s="10"/>
      <c r="EEF34" s="10"/>
      <c r="EEG34" s="10"/>
      <c r="EEH34" s="10"/>
      <c r="EEI34" s="10"/>
      <c r="EEJ34" s="10"/>
      <c r="EEK34" s="10"/>
      <c r="EEL34" s="10"/>
      <c r="EEM34" s="10"/>
      <c r="EEN34" s="10"/>
      <c r="EEO34" s="10"/>
      <c r="EEP34" s="10"/>
      <c r="EEQ34" s="10"/>
      <c r="EER34" s="10"/>
      <c r="EES34" s="10"/>
      <c r="EET34" s="10"/>
      <c r="EEU34" s="10"/>
      <c r="EEV34" s="10"/>
      <c r="EEW34" s="10"/>
      <c r="EEX34" s="10"/>
      <c r="EEY34" s="10"/>
      <c r="EEZ34" s="10"/>
      <c r="EFA34" s="10"/>
      <c r="EFB34" s="10"/>
      <c r="EFC34" s="10"/>
      <c r="EFD34" s="10"/>
      <c r="EFE34" s="10"/>
      <c r="EFF34" s="10"/>
      <c r="EFG34" s="10"/>
      <c r="EFH34" s="10"/>
      <c r="EFI34" s="10"/>
      <c r="EFJ34" s="10"/>
      <c r="EFK34" s="10"/>
      <c r="EFL34" s="10"/>
      <c r="EFM34" s="10"/>
      <c r="EFN34" s="10"/>
      <c r="EFO34" s="10"/>
      <c r="EFP34" s="10"/>
      <c r="EFQ34" s="10"/>
      <c r="EFR34" s="10"/>
      <c r="EFS34" s="10"/>
      <c r="EFT34" s="10"/>
      <c r="EFU34" s="10"/>
      <c r="EFV34" s="10"/>
      <c r="EFW34" s="10"/>
      <c r="EFX34" s="10"/>
      <c r="EFY34" s="10"/>
      <c r="EFZ34" s="10"/>
      <c r="EGA34" s="10"/>
      <c r="EGB34" s="10"/>
      <c r="EGC34" s="10"/>
      <c r="EGD34" s="10"/>
      <c r="EGE34" s="10"/>
      <c r="EGF34" s="10"/>
      <c r="EGG34" s="10"/>
      <c r="EGH34" s="10"/>
      <c r="EGI34" s="10"/>
      <c r="EGJ34" s="10"/>
      <c r="EGK34" s="10"/>
      <c r="EGL34" s="10"/>
      <c r="EGM34" s="10"/>
      <c r="EGN34" s="10"/>
      <c r="EGO34" s="10"/>
      <c r="EGP34" s="10"/>
      <c r="EGQ34" s="10"/>
      <c r="EGR34" s="10"/>
      <c r="EGS34" s="10"/>
      <c r="EGT34" s="10"/>
      <c r="EGU34" s="10"/>
      <c r="EGV34" s="10"/>
      <c r="EGW34" s="10"/>
      <c r="EGX34" s="10"/>
      <c r="EGY34" s="10"/>
      <c r="EGZ34" s="10"/>
      <c r="EHA34" s="10"/>
      <c r="EHB34" s="10"/>
      <c r="EHC34" s="10"/>
      <c r="EHD34" s="10"/>
      <c r="EHE34" s="10"/>
      <c r="EHF34" s="10"/>
      <c r="EHG34" s="10"/>
      <c r="EHH34" s="10"/>
      <c r="EHI34" s="10"/>
      <c r="EHJ34" s="10"/>
      <c r="EHK34" s="10"/>
      <c r="EHL34" s="10"/>
      <c r="EHM34" s="10"/>
      <c r="EHN34" s="10"/>
      <c r="EHO34" s="10"/>
      <c r="EHP34" s="10"/>
      <c r="EHQ34" s="10"/>
      <c r="EHR34" s="10"/>
      <c r="EHS34" s="10"/>
      <c r="EHT34" s="10"/>
      <c r="EHU34" s="10"/>
      <c r="EHV34" s="10"/>
      <c r="EHW34" s="10"/>
      <c r="EHX34" s="10"/>
      <c r="EHY34" s="10"/>
      <c r="EHZ34" s="10"/>
      <c r="EIA34" s="10"/>
      <c r="EIB34" s="10"/>
      <c r="EIC34" s="10"/>
      <c r="EID34" s="10"/>
      <c r="EIE34" s="10"/>
      <c r="EIF34" s="10"/>
      <c r="EIG34" s="10"/>
      <c r="EIH34" s="10"/>
      <c r="EII34" s="10"/>
      <c r="EIJ34" s="10"/>
      <c r="EIK34" s="10"/>
      <c r="EIL34" s="10"/>
      <c r="EIM34" s="10"/>
      <c r="EIN34" s="10"/>
      <c r="EIO34" s="10"/>
      <c r="EIP34" s="10"/>
      <c r="EIQ34" s="10"/>
      <c r="EIR34" s="10"/>
      <c r="EIS34" s="10"/>
      <c r="EIT34" s="10"/>
      <c r="EIU34" s="10"/>
      <c r="EIV34" s="10"/>
      <c r="EIW34" s="10"/>
      <c r="EIX34" s="10"/>
      <c r="EIY34" s="10"/>
      <c r="EIZ34" s="10"/>
      <c r="EJA34" s="10"/>
      <c r="EJB34" s="10"/>
      <c r="EJC34" s="10"/>
      <c r="EJD34" s="10"/>
      <c r="EJE34" s="10"/>
      <c r="EJF34" s="10"/>
      <c r="EJG34" s="10"/>
      <c r="EJH34" s="10"/>
      <c r="EJI34" s="10"/>
      <c r="EJJ34" s="10"/>
      <c r="EJK34" s="10"/>
      <c r="EJL34" s="10"/>
      <c r="EJM34" s="10"/>
      <c r="EJN34" s="10"/>
      <c r="EJO34" s="10"/>
      <c r="EJP34" s="10"/>
      <c r="EJQ34" s="10"/>
      <c r="EJR34" s="10"/>
      <c r="EJS34" s="10"/>
      <c r="EJT34" s="10"/>
      <c r="EJU34" s="10"/>
      <c r="EJV34" s="10"/>
      <c r="EJW34" s="10"/>
      <c r="EJX34" s="10"/>
      <c r="EJY34" s="10"/>
      <c r="EJZ34" s="10"/>
      <c r="EKA34" s="10"/>
      <c r="EKB34" s="10"/>
      <c r="EKC34" s="10"/>
      <c r="EKD34" s="10"/>
      <c r="EKE34" s="10"/>
      <c r="EKF34" s="10"/>
      <c r="EKG34" s="10"/>
      <c r="EKH34" s="10"/>
      <c r="EKI34" s="10"/>
      <c r="EKJ34" s="10"/>
      <c r="EKK34" s="10"/>
      <c r="EKL34" s="10"/>
      <c r="EKM34" s="10"/>
      <c r="EKN34" s="10"/>
      <c r="EKO34" s="10"/>
      <c r="EKP34" s="10"/>
      <c r="EKQ34" s="10"/>
      <c r="EKR34" s="10"/>
      <c r="EKS34" s="10"/>
      <c r="EKT34" s="10"/>
      <c r="EKU34" s="10"/>
      <c r="EKV34" s="10"/>
      <c r="EKW34" s="10"/>
      <c r="EKX34" s="10"/>
      <c r="EKY34" s="10"/>
      <c r="EKZ34" s="10"/>
      <c r="ELA34" s="10"/>
      <c r="ELB34" s="10"/>
      <c r="ELC34" s="10"/>
      <c r="ELD34" s="10"/>
      <c r="ELE34" s="10"/>
      <c r="ELF34" s="10"/>
      <c r="ELG34" s="10"/>
      <c r="ELH34" s="10"/>
      <c r="ELI34" s="10"/>
      <c r="ELJ34" s="10"/>
      <c r="ELK34" s="10"/>
      <c r="ELL34" s="10"/>
      <c r="ELM34" s="10"/>
      <c r="ELN34" s="10"/>
      <c r="ELO34" s="10"/>
      <c r="ELP34" s="10"/>
      <c r="ELQ34" s="10"/>
      <c r="ELR34" s="10"/>
      <c r="ELS34" s="10"/>
      <c r="ELT34" s="10"/>
      <c r="ELU34" s="10"/>
      <c r="ELV34" s="10"/>
      <c r="ELW34" s="10"/>
      <c r="ELX34" s="10"/>
      <c r="ELY34" s="10"/>
      <c r="ELZ34" s="10"/>
      <c r="EMA34" s="10"/>
      <c r="EMB34" s="10"/>
      <c r="EMC34" s="10"/>
      <c r="EMD34" s="10"/>
      <c r="EME34" s="10"/>
      <c r="EMF34" s="10"/>
      <c r="EMG34" s="10"/>
      <c r="EMH34" s="10"/>
      <c r="EMI34" s="10"/>
      <c r="EMJ34" s="10"/>
      <c r="EMK34" s="10"/>
      <c r="EML34" s="10"/>
      <c r="EMM34" s="10"/>
      <c r="EMN34" s="10"/>
      <c r="EMO34" s="10"/>
      <c r="EMP34" s="10"/>
      <c r="EMQ34" s="10"/>
      <c r="EMR34" s="10"/>
      <c r="EMS34" s="10"/>
      <c r="EMT34" s="10"/>
      <c r="EMU34" s="10"/>
      <c r="EMV34" s="10"/>
      <c r="EMW34" s="10"/>
      <c r="EMX34" s="10"/>
      <c r="EMY34" s="10"/>
      <c r="EMZ34" s="10"/>
      <c r="ENA34" s="10"/>
      <c r="ENB34" s="10"/>
      <c r="ENC34" s="10"/>
      <c r="END34" s="10"/>
      <c r="ENE34" s="10"/>
      <c r="ENF34" s="10"/>
      <c r="ENG34" s="10"/>
      <c r="ENH34" s="10"/>
      <c r="ENI34" s="10"/>
      <c r="ENJ34" s="10"/>
      <c r="ENK34" s="10"/>
      <c r="ENL34" s="10"/>
      <c r="ENM34" s="10"/>
      <c r="ENN34" s="10"/>
      <c r="ENO34" s="10"/>
      <c r="ENP34" s="10"/>
      <c r="ENQ34" s="10"/>
      <c r="ENR34" s="10"/>
      <c r="ENS34" s="10"/>
      <c r="ENT34" s="10"/>
      <c r="ENU34" s="10"/>
      <c r="ENV34" s="10"/>
      <c r="ENW34" s="10"/>
      <c r="ENX34" s="10"/>
      <c r="ENY34" s="10"/>
      <c r="ENZ34" s="10"/>
      <c r="EOA34" s="10"/>
      <c r="EOB34" s="10"/>
      <c r="EOC34" s="10"/>
      <c r="EOD34" s="10"/>
      <c r="EOE34" s="10"/>
      <c r="EOF34" s="10"/>
      <c r="EOG34" s="10"/>
      <c r="EOH34" s="10"/>
      <c r="EOI34" s="10"/>
      <c r="EOJ34" s="10"/>
      <c r="EOK34" s="10"/>
      <c r="EOL34" s="10"/>
      <c r="EOM34" s="10"/>
      <c r="EON34" s="10"/>
      <c r="EOO34" s="10"/>
      <c r="EOP34" s="10"/>
      <c r="EOQ34" s="10"/>
      <c r="EOR34" s="10"/>
      <c r="EOS34" s="10"/>
      <c r="EOT34" s="10"/>
      <c r="EOU34" s="10"/>
      <c r="EOV34" s="10"/>
      <c r="EOW34" s="10"/>
      <c r="EOX34" s="10"/>
      <c r="EOY34" s="10"/>
      <c r="EOZ34" s="10"/>
      <c r="EPA34" s="10"/>
      <c r="EPB34" s="10"/>
      <c r="EPC34" s="10"/>
      <c r="EPD34" s="10"/>
      <c r="EPE34" s="10"/>
      <c r="EPF34" s="10"/>
      <c r="EPG34" s="10"/>
      <c r="EPH34" s="10"/>
      <c r="EPI34" s="10"/>
      <c r="EPJ34" s="10"/>
      <c r="EPK34" s="10"/>
      <c r="EPL34" s="10"/>
      <c r="EPM34" s="10"/>
      <c r="EPN34" s="10"/>
      <c r="EPO34" s="10"/>
      <c r="EPP34" s="10"/>
      <c r="EPQ34" s="10"/>
      <c r="EPR34" s="10"/>
      <c r="EPS34" s="10"/>
      <c r="EPT34" s="10"/>
      <c r="EPU34" s="10"/>
      <c r="EPV34" s="10"/>
      <c r="EPW34" s="10"/>
      <c r="EPX34" s="10"/>
      <c r="EPY34" s="10"/>
      <c r="EPZ34" s="10"/>
      <c r="EQA34" s="10"/>
      <c r="EQB34" s="10"/>
      <c r="EQC34" s="10"/>
      <c r="EQD34" s="10"/>
      <c r="EQE34" s="10"/>
      <c r="EQF34" s="10"/>
      <c r="EQG34" s="10"/>
      <c r="EQH34" s="10"/>
      <c r="EQI34" s="10"/>
      <c r="EQJ34" s="10"/>
      <c r="EQK34" s="10"/>
      <c r="EQL34" s="10"/>
      <c r="EQM34" s="10"/>
      <c r="EQN34" s="10"/>
      <c r="EQO34" s="10"/>
      <c r="EQP34" s="10"/>
      <c r="EQQ34" s="10"/>
      <c r="EQR34" s="10"/>
      <c r="EQS34" s="10"/>
      <c r="EQT34" s="10"/>
      <c r="EQU34" s="10"/>
      <c r="EQV34" s="10"/>
      <c r="EQW34" s="10"/>
      <c r="EQX34" s="10"/>
      <c r="EQY34" s="10"/>
      <c r="EQZ34" s="10"/>
      <c r="ERA34" s="10"/>
      <c r="ERB34" s="10"/>
      <c r="ERC34" s="10"/>
      <c r="ERD34" s="10"/>
      <c r="ERE34" s="10"/>
      <c r="ERF34" s="10"/>
      <c r="ERG34" s="10"/>
      <c r="ERH34" s="10"/>
      <c r="ERI34" s="10"/>
      <c r="ERJ34" s="10"/>
      <c r="ERK34" s="10"/>
      <c r="ERL34" s="10"/>
      <c r="ERM34" s="10"/>
      <c r="ERN34" s="10"/>
      <c r="ERO34" s="10"/>
      <c r="ERP34" s="10"/>
      <c r="ERQ34" s="10"/>
      <c r="ERR34" s="10"/>
      <c r="ERS34" s="10"/>
      <c r="ERT34" s="10"/>
      <c r="ERU34" s="10"/>
      <c r="ERV34" s="10"/>
      <c r="ERW34" s="10"/>
      <c r="ERX34" s="10"/>
      <c r="ERY34" s="10"/>
      <c r="ERZ34" s="10"/>
      <c r="ESA34" s="10"/>
      <c r="ESB34" s="10"/>
      <c r="ESC34" s="10"/>
      <c r="ESD34" s="10"/>
      <c r="ESE34" s="10"/>
      <c r="ESF34" s="10"/>
      <c r="ESG34" s="10"/>
      <c r="ESH34" s="10"/>
      <c r="ESI34" s="10"/>
      <c r="ESJ34" s="10"/>
      <c r="ESK34" s="10"/>
      <c r="ESL34" s="10"/>
      <c r="ESM34" s="10"/>
      <c r="ESN34" s="10"/>
      <c r="ESO34" s="10"/>
      <c r="ESP34" s="10"/>
      <c r="ESQ34" s="10"/>
      <c r="ESR34" s="10"/>
      <c r="ESS34" s="10"/>
      <c r="EST34" s="10"/>
      <c r="ESU34" s="10"/>
      <c r="ESV34" s="10"/>
      <c r="ESW34" s="10"/>
      <c r="ESX34" s="10"/>
      <c r="ESY34" s="10"/>
      <c r="ESZ34" s="10"/>
      <c r="ETA34" s="10"/>
      <c r="ETB34" s="10"/>
      <c r="ETC34" s="10"/>
      <c r="ETD34" s="10"/>
      <c r="ETE34" s="10"/>
      <c r="ETF34" s="10"/>
      <c r="ETG34" s="10"/>
      <c r="ETH34" s="10"/>
      <c r="ETI34" s="10"/>
      <c r="ETJ34" s="10"/>
      <c r="ETK34" s="10"/>
      <c r="ETL34" s="10"/>
      <c r="ETM34" s="10"/>
      <c r="ETN34" s="10"/>
      <c r="ETO34" s="10"/>
      <c r="ETP34" s="10"/>
      <c r="ETQ34" s="10"/>
      <c r="ETR34" s="10"/>
      <c r="ETS34" s="10"/>
      <c r="ETT34" s="10"/>
      <c r="ETU34" s="10"/>
      <c r="ETV34" s="10"/>
      <c r="ETW34" s="10"/>
      <c r="ETX34" s="10"/>
      <c r="ETY34" s="10"/>
      <c r="ETZ34" s="10"/>
      <c r="EUA34" s="10"/>
      <c r="EUB34" s="10"/>
      <c r="EUC34" s="10"/>
      <c r="EUD34" s="10"/>
      <c r="EUE34" s="10"/>
      <c r="EUF34" s="10"/>
      <c r="EUG34" s="10"/>
      <c r="EUH34" s="10"/>
      <c r="EUI34" s="10"/>
      <c r="EUJ34" s="10"/>
      <c r="EUK34" s="10"/>
      <c r="EUL34" s="10"/>
      <c r="EUM34" s="10"/>
      <c r="EUN34" s="10"/>
      <c r="EUO34" s="10"/>
      <c r="EUP34" s="10"/>
      <c r="EUQ34" s="10"/>
      <c r="EUR34" s="10"/>
      <c r="EUS34" s="10"/>
      <c r="EUT34" s="10"/>
      <c r="EUU34" s="10"/>
      <c r="EUV34" s="10"/>
      <c r="EUW34" s="10"/>
      <c r="EUX34" s="10"/>
      <c r="EUY34" s="10"/>
      <c r="EUZ34" s="10"/>
      <c r="EVA34" s="10"/>
      <c r="EVB34" s="10"/>
      <c r="EVC34" s="10"/>
      <c r="EVD34" s="10"/>
      <c r="EVE34" s="10"/>
      <c r="EVF34" s="10"/>
      <c r="EVG34" s="10"/>
      <c r="EVH34" s="10"/>
      <c r="EVI34" s="10"/>
      <c r="EVJ34" s="10"/>
      <c r="EVK34" s="10"/>
      <c r="EVL34" s="10"/>
      <c r="EVM34" s="10"/>
      <c r="EVN34" s="10"/>
      <c r="EVO34" s="10"/>
      <c r="EVP34" s="10"/>
      <c r="EVQ34" s="10"/>
      <c r="EVR34" s="10"/>
      <c r="EVS34" s="10"/>
      <c r="EVT34" s="10"/>
      <c r="EVU34" s="10"/>
      <c r="EVV34" s="10"/>
      <c r="EVW34" s="10"/>
      <c r="EVX34" s="10"/>
      <c r="EVY34" s="10"/>
      <c r="EVZ34" s="10"/>
      <c r="EWA34" s="10"/>
      <c r="EWB34" s="10"/>
      <c r="EWC34" s="10"/>
      <c r="EWD34" s="10"/>
      <c r="EWE34" s="10"/>
      <c r="EWF34" s="10"/>
      <c r="EWG34" s="10"/>
      <c r="EWH34" s="10"/>
      <c r="EWI34" s="10"/>
      <c r="EWJ34" s="10"/>
      <c r="EWK34" s="10"/>
      <c r="EWL34" s="10"/>
      <c r="EWM34" s="10"/>
      <c r="EWN34" s="10"/>
      <c r="EWO34" s="10"/>
      <c r="EWP34" s="10"/>
      <c r="EWQ34" s="10"/>
      <c r="EWR34" s="10"/>
      <c r="EWS34" s="10"/>
      <c r="EWT34" s="10"/>
      <c r="EWU34" s="10"/>
      <c r="EWV34" s="10"/>
      <c r="EWW34" s="10"/>
      <c r="EWX34" s="10"/>
      <c r="EWY34" s="10"/>
      <c r="EWZ34" s="10"/>
      <c r="EXA34" s="10"/>
      <c r="EXB34" s="10"/>
      <c r="EXC34" s="10"/>
      <c r="EXD34" s="10"/>
      <c r="EXE34" s="10"/>
      <c r="EXF34" s="10"/>
      <c r="EXG34" s="10"/>
      <c r="EXH34" s="10"/>
      <c r="EXI34" s="10"/>
      <c r="EXJ34" s="10"/>
      <c r="EXK34" s="10"/>
      <c r="EXL34" s="10"/>
      <c r="EXM34" s="10"/>
      <c r="EXN34" s="10"/>
      <c r="EXO34" s="10"/>
      <c r="EXP34" s="10"/>
      <c r="EXQ34" s="10"/>
      <c r="EXR34" s="10"/>
      <c r="EXS34" s="10"/>
      <c r="EXT34" s="10"/>
      <c r="EXU34" s="10"/>
      <c r="EXV34" s="10"/>
      <c r="EXW34" s="10"/>
      <c r="EXX34" s="10"/>
      <c r="EXY34" s="10"/>
      <c r="EXZ34" s="10"/>
      <c r="EYA34" s="10"/>
      <c r="EYB34" s="10"/>
      <c r="EYC34" s="10"/>
      <c r="EYD34" s="10"/>
      <c r="EYE34" s="10"/>
      <c r="EYF34" s="10"/>
      <c r="EYG34" s="10"/>
      <c r="EYH34" s="10"/>
      <c r="EYI34" s="10"/>
      <c r="EYJ34" s="10"/>
      <c r="EYK34" s="10"/>
      <c r="EYL34" s="10"/>
      <c r="EYM34" s="10"/>
      <c r="EYN34" s="10"/>
      <c r="EYO34" s="10"/>
      <c r="EYP34" s="10"/>
      <c r="EYQ34" s="10"/>
      <c r="EYR34" s="10"/>
      <c r="EYS34" s="10"/>
      <c r="EYT34" s="10"/>
      <c r="EYU34" s="10"/>
      <c r="EYV34" s="10"/>
      <c r="EYW34" s="10"/>
      <c r="EYX34" s="10"/>
      <c r="EYY34" s="10"/>
      <c r="EYZ34" s="10"/>
      <c r="EZA34" s="10"/>
      <c r="EZB34" s="10"/>
      <c r="EZC34" s="10"/>
      <c r="EZD34" s="10"/>
      <c r="EZE34" s="10"/>
      <c r="EZF34" s="10"/>
      <c r="EZG34" s="10"/>
      <c r="EZH34" s="10"/>
      <c r="EZI34" s="10"/>
      <c r="EZJ34" s="10"/>
      <c r="EZK34" s="10"/>
      <c r="EZL34" s="10"/>
      <c r="EZM34" s="10"/>
      <c r="EZN34" s="10"/>
      <c r="EZO34" s="10"/>
      <c r="EZP34" s="10"/>
      <c r="EZQ34" s="10"/>
      <c r="EZR34" s="10"/>
      <c r="EZS34" s="10"/>
      <c r="EZT34" s="10"/>
      <c r="EZU34" s="10"/>
      <c r="EZV34" s="10"/>
      <c r="EZW34" s="10"/>
      <c r="EZX34" s="10"/>
      <c r="EZY34" s="10"/>
      <c r="EZZ34" s="10"/>
      <c r="FAA34" s="10"/>
      <c r="FAB34" s="10"/>
      <c r="FAC34" s="10"/>
      <c r="FAD34" s="10"/>
      <c r="FAE34" s="10"/>
      <c r="FAF34" s="10"/>
      <c r="FAG34" s="10"/>
      <c r="FAH34" s="10"/>
      <c r="FAI34" s="10"/>
      <c r="FAJ34" s="10"/>
      <c r="FAK34" s="10"/>
      <c r="FAL34" s="10"/>
      <c r="FAM34" s="10"/>
      <c r="FAN34" s="10"/>
      <c r="FAO34" s="10"/>
      <c r="FAP34" s="10"/>
      <c r="FAQ34" s="10"/>
      <c r="FAR34" s="10"/>
      <c r="FAS34" s="10"/>
      <c r="FAT34" s="10"/>
      <c r="FAU34" s="10"/>
      <c r="FAV34" s="10"/>
      <c r="FAW34" s="10"/>
      <c r="FAX34" s="10"/>
      <c r="FAY34" s="10"/>
      <c r="FAZ34" s="10"/>
      <c r="FBA34" s="10"/>
      <c r="FBB34" s="10"/>
      <c r="FBC34" s="10"/>
      <c r="FBD34" s="10"/>
      <c r="FBE34" s="10"/>
      <c r="FBF34" s="10"/>
      <c r="FBG34" s="10"/>
      <c r="FBH34" s="10"/>
      <c r="FBI34" s="10"/>
      <c r="FBJ34" s="10"/>
      <c r="FBK34" s="10"/>
      <c r="FBL34" s="10"/>
      <c r="FBM34" s="10"/>
      <c r="FBN34" s="10"/>
      <c r="FBO34" s="10"/>
      <c r="FBP34" s="10"/>
      <c r="FBQ34" s="10"/>
      <c r="FBR34" s="10"/>
      <c r="FBS34" s="10"/>
      <c r="FBT34" s="10"/>
      <c r="FBU34" s="10"/>
      <c r="FBV34" s="10"/>
      <c r="FBW34" s="10"/>
      <c r="FBX34" s="10"/>
      <c r="FBY34" s="10"/>
      <c r="FBZ34" s="10"/>
      <c r="FCA34" s="10"/>
      <c r="FCB34" s="10"/>
      <c r="FCC34" s="10"/>
      <c r="FCD34" s="10"/>
      <c r="FCE34" s="10"/>
      <c r="FCF34" s="10"/>
      <c r="FCG34" s="10"/>
      <c r="FCH34" s="10"/>
      <c r="FCI34" s="10"/>
      <c r="FCJ34" s="10"/>
      <c r="FCK34" s="10"/>
      <c r="FCL34" s="10"/>
      <c r="FCM34" s="10"/>
      <c r="FCN34" s="10"/>
      <c r="FCO34" s="10"/>
      <c r="FCP34" s="10"/>
      <c r="FCQ34" s="10"/>
      <c r="FCR34" s="10"/>
      <c r="FCS34" s="10"/>
      <c r="FCT34" s="10"/>
      <c r="FCU34" s="10"/>
      <c r="FCV34" s="10"/>
      <c r="FCW34" s="10"/>
      <c r="FCX34" s="10"/>
      <c r="FCY34" s="10"/>
      <c r="FCZ34" s="10"/>
      <c r="FDA34" s="10"/>
      <c r="FDB34" s="10"/>
      <c r="FDC34" s="10"/>
      <c r="FDD34" s="10"/>
      <c r="FDE34" s="10"/>
      <c r="FDF34" s="10"/>
      <c r="FDG34" s="10"/>
      <c r="FDH34" s="10"/>
      <c r="FDI34" s="10"/>
      <c r="FDJ34" s="10"/>
      <c r="FDK34" s="10"/>
      <c r="FDL34" s="10"/>
      <c r="FDM34" s="10"/>
      <c r="FDN34" s="10"/>
      <c r="FDO34" s="10"/>
      <c r="FDP34" s="10"/>
      <c r="FDQ34" s="10"/>
      <c r="FDR34" s="10"/>
      <c r="FDS34" s="10"/>
      <c r="FDT34" s="10"/>
      <c r="FDU34" s="10"/>
      <c r="FDV34" s="10"/>
      <c r="FDW34" s="10"/>
      <c r="FDX34" s="10"/>
      <c r="FDY34" s="10"/>
      <c r="FDZ34" s="10"/>
      <c r="FEA34" s="10"/>
      <c r="FEB34" s="10"/>
      <c r="FEC34" s="10"/>
      <c r="FED34" s="10"/>
      <c r="FEE34" s="10"/>
      <c r="FEF34" s="10"/>
      <c r="FEG34" s="10"/>
      <c r="FEH34" s="10"/>
      <c r="FEI34" s="10"/>
      <c r="FEJ34" s="10"/>
      <c r="FEK34" s="10"/>
      <c r="FEL34" s="10"/>
      <c r="FEM34" s="10"/>
      <c r="FEN34" s="10"/>
      <c r="FEO34" s="10"/>
      <c r="FEP34" s="10"/>
      <c r="FEQ34" s="10"/>
      <c r="FER34" s="10"/>
      <c r="FES34" s="10"/>
      <c r="FET34" s="10"/>
      <c r="FEU34" s="10"/>
      <c r="FEV34" s="10"/>
      <c r="FEW34" s="10"/>
      <c r="FEX34" s="10"/>
      <c r="FEY34" s="10"/>
      <c r="FEZ34" s="10"/>
      <c r="FFA34" s="10"/>
      <c r="FFB34" s="10"/>
      <c r="FFC34" s="10"/>
      <c r="FFD34" s="10"/>
      <c r="FFE34" s="10"/>
      <c r="FFF34" s="10"/>
      <c r="FFG34" s="10"/>
      <c r="FFH34" s="10"/>
      <c r="FFI34" s="10"/>
      <c r="FFJ34" s="10"/>
      <c r="FFK34" s="10"/>
      <c r="FFL34" s="10"/>
      <c r="FFM34" s="10"/>
      <c r="FFN34" s="10"/>
      <c r="FFO34" s="10"/>
      <c r="FFP34" s="10"/>
      <c r="FFQ34" s="10"/>
      <c r="FFR34" s="10"/>
      <c r="FFS34" s="10"/>
      <c r="FFT34" s="10"/>
      <c r="FFU34" s="10"/>
      <c r="FFV34" s="10"/>
      <c r="FFW34" s="10"/>
      <c r="FFX34" s="10"/>
      <c r="FFY34" s="10"/>
      <c r="FFZ34" s="10"/>
      <c r="FGA34" s="10"/>
      <c r="FGB34" s="10"/>
      <c r="FGC34" s="10"/>
      <c r="FGD34" s="10"/>
      <c r="FGE34" s="10"/>
      <c r="FGF34" s="10"/>
      <c r="FGG34" s="10"/>
      <c r="FGH34" s="10"/>
      <c r="FGI34" s="10"/>
      <c r="FGJ34" s="10"/>
      <c r="FGK34" s="10"/>
      <c r="FGL34" s="10"/>
      <c r="FGM34" s="10"/>
      <c r="FGN34" s="10"/>
      <c r="FGO34" s="10"/>
      <c r="FGP34" s="10"/>
      <c r="FGQ34" s="10"/>
      <c r="FGR34" s="10"/>
      <c r="FGS34" s="10"/>
      <c r="FGT34" s="10"/>
      <c r="FGU34" s="10"/>
      <c r="FGV34" s="10"/>
      <c r="FGW34" s="10"/>
      <c r="FGX34" s="10"/>
      <c r="FGY34" s="10"/>
      <c r="FGZ34" s="10"/>
      <c r="FHA34" s="10"/>
      <c r="FHB34" s="10"/>
      <c r="FHC34" s="10"/>
      <c r="FHD34" s="10"/>
      <c r="FHE34" s="10"/>
      <c r="FHF34" s="10"/>
      <c r="FHG34" s="10"/>
      <c r="FHH34" s="10"/>
      <c r="FHI34" s="10"/>
      <c r="FHJ34" s="10"/>
      <c r="FHK34" s="10"/>
      <c r="FHL34" s="10"/>
      <c r="FHM34" s="10"/>
      <c r="FHN34" s="10"/>
      <c r="FHO34" s="10"/>
      <c r="FHP34" s="10"/>
      <c r="FHQ34" s="10"/>
      <c r="FHR34" s="10"/>
      <c r="FHS34" s="10"/>
      <c r="FHT34" s="10"/>
      <c r="FHU34" s="10"/>
      <c r="FHV34" s="10"/>
      <c r="FHW34" s="10"/>
      <c r="FHX34" s="10"/>
      <c r="FHY34" s="10"/>
      <c r="FHZ34" s="10"/>
      <c r="FIA34" s="10"/>
      <c r="FIB34" s="10"/>
      <c r="FIC34" s="10"/>
      <c r="FID34" s="10"/>
      <c r="FIE34" s="10"/>
      <c r="FIF34" s="10"/>
      <c r="FIG34" s="10"/>
      <c r="FIH34" s="10"/>
      <c r="FII34" s="10"/>
      <c r="FIJ34" s="10"/>
      <c r="FIK34" s="10"/>
      <c r="FIL34" s="10"/>
      <c r="FIM34" s="10"/>
      <c r="FIN34" s="10"/>
      <c r="FIO34" s="10"/>
      <c r="FIP34" s="10"/>
      <c r="FIQ34" s="10"/>
      <c r="FIR34" s="10"/>
      <c r="FIS34" s="10"/>
      <c r="FIT34" s="10"/>
      <c r="FIU34" s="10"/>
      <c r="FIV34" s="10"/>
      <c r="FIW34" s="10"/>
      <c r="FIX34" s="10"/>
      <c r="FIY34" s="10"/>
      <c r="FIZ34" s="10"/>
      <c r="FJA34" s="10"/>
      <c r="FJB34" s="10"/>
      <c r="FJC34" s="10"/>
      <c r="FJD34" s="10"/>
      <c r="FJE34" s="10"/>
      <c r="FJF34" s="10"/>
      <c r="FJG34" s="10"/>
      <c r="FJH34" s="10"/>
      <c r="FJI34" s="10"/>
      <c r="FJJ34" s="10"/>
      <c r="FJK34" s="10"/>
      <c r="FJL34" s="10"/>
      <c r="FJM34" s="10"/>
      <c r="FJN34" s="10"/>
      <c r="FJO34" s="10"/>
      <c r="FJP34" s="10"/>
      <c r="FJQ34" s="10"/>
      <c r="FJR34" s="10"/>
      <c r="FJS34" s="10"/>
      <c r="FJT34" s="10"/>
      <c r="FJU34" s="10"/>
      <c r="FJV34" s="10"/>
      <c r="FJW34" s="10"/>
      <c r="FJX34" s="10"/>
      <c r="FJY34" s="10"/>
      <c r="FJZ34" s="10"/>
      <c r="FKA34" s="10"/>
      <c r="FKB34" s="10"/>
      <c r="FKC34" s="10"/>
      <c r="FKD34" s="10"/>
      <c r="FKE34" s="10"/>
      <c r="FKF34" s="10"/>
      <c r="FKG34" s="10"/>
      <c r="FKH34" s="10"/>
      <c r="FKI34" s="10"/>
      <c r="FKJ34" s="10"/>
      <c r="FKK34" s="10"/>
      <c r="FKL34" s="10"/>
      <c r="FKM34" s="10"/>
      <c r="FKN34" s="10"/>
      <c r="FKO34" s="10"/>
      <c r="FKP34" s="10"/>
      <c r="FKQ34" s="10"/>
      <c r="FKR34" s="10"/>
      <c r="FKS34" s="10"/>
      <c r="FKT34" s="10"/>
      <c r="FKU34" s="10"/>
      <c r="FKV34" s="10"/>
      <c r="FKW34" s="10"/>
      <c r="FKX34" s="10"/>
      <c r="FKY34" s="10"/>
      <c r="FKZ34" s="10"/>
      <c r="FLA34" s="10"/>
      <c r="FLB34" s="10"/>
      <c r="FLC34" s="10"/>
      <c r="FLD34" s="10"/>
      <c r="FLE34" s="10"/>
      <c r="FLF34" s="10"/>
      <c r="FLG34" s="10"/>
      <c r="FLH34" s="10"/>
      <c r="FLI34" s="10"/>
      <c r="FLJ34" s="10"/>
      <c r="FLK34" s="10"/>
      <c r="FLL34" s="10"/>
      <c r="FLM34" s="10"/>
      <c r="FLN34" s="10"/>
      <c r="FLO34" s="10"/>
      <c r="FLP34" s="10"/>
      <c r="FLQ34" s="10"/>
      <c r="FLR34" s="10"/>
      <c r="FLS34" s="10"/>
      <c r="FLT34" s="10"/>
      <c r="FLU34" s="10"/>
      <c r="FLV34" s="10"/>
      <c r="FLW34" s="10"/>
      <c r="FLX34" s="10"/>
      <c r="FLY34" s="10"/>
      <c r="FLZ34" s="10"/>
      <c r="FMA34" s="10"/>
      <c r="FMB34" s="10"/>
      <c r="FMC34" s="10"/>
      <c r="FMD34" s="10"/>
      <c r="FME34" s="10"/>
      <c r="FMF34" s="10"/>
      <c r="FMG34" s="10"/>
      <c r="FMH34" s="10"/>
      <c r="FMI34" s="10"/>
      <c r="FMJ34" s="10"/>
      <c r="FMK34" s="10"/>
      <c r="FML34" s="10"/>
      <c r="FMM34" s="10"/>
      <c r="FMN34" s="10"/>
      <c r="FMO34" s="10"/>
      <c r="FMP34" s="10"/>
      <c r="FMQ34" s="10"/>
      <c r="FMR34" s="10"/>
      <c r="FMS34" s="10"/>
      <c r="FMT34" s="10"/>
      <c r="FMU34" s="10"/>
      <c r="FMV34" s="10"/>
      <c r="FMW34" s="10"/>
      <c r="FMX34" s="10"/>
      <c r="FMY34" s="10"/>
      <c r="FMZ34" s="10"/>
      <c r="FNA34" s="10"/>
      <c r="FNB34" s="10"/>
      <c r="FNC34" s="10"/>
      <c r="FND34" s="10"/>
      <c r="FNE34" s="10"/>
      <c r="FNF34" s="10"/>
      <c r="FNG34" s="10"/>
      <c r="FNH34" s="10"/>
      <c r="FNI34" s="10"/>
      <c r="FNJ34" s="10"/>
      <c r="FNK34" s="10"/>
      <c r="FNL34" s="10"/>
      <c r="FNM34" s="10"/>
      <c r="FNN34" s="10"/>
      <c r="FNO34" s="10"/>
      <c r="FNP34" s="10"/>
      <c r="FNQ34" s="10"/>
      <c r="FNR34" s="10"/>
      <c r="FNS34" s="10"/>
      <c r="FNT34" s="10"/>
      <c r="FNU34" s="10"/>
      <c r="FNV34" s="10"/>
      <c r="FNW34" s="10"/>
      <c r="FNX34" s="10"/>
      <c r="FNY34" s="10"/>
      <c r="FNZ34" s="10"/>
      <c r="FOA34" s="10"/>
      <c r="FOB34" s="10"/>
      <c r="FOC34" s="10"/>
      <c r="FOD34" s="10"/>
      <c r="FOE34" s="10"/>
      <c r="FOF34" s="10"/>
      <c r="FOG34" s="10"/>
      <c r="FOH34" s="10"/>
      <c r="FOI34" s="10"/>
      <c r="FOJ34" s="10"/>
      <c r="FOK34" s="10"/>
      <c r="FOL34" s="10"/>
      <c r="FOM34" s="10"/>
      <c r="FON34" s="10"/>
      <c r="FOO34" s="10"/>
      <c r="FOP34" s="10"/>
      <c r="FOQ34" s="10"/>
      <c r="FOR34" s="10"/>
      <c r="FOS34" s="10"/>
      <c r="FOT34" s="10"/>
      <c r="FOU34" s="10"/>
      <c r="FOV34" s="10"/>
      <c r="FOW34" s="10"/>
      <c r="FOX34" s="10"/>
      <c r="FOY34" s="10"/>
      <c r="FOZ34" s="10"/>
      <c r="FPA34" s="10"/>
      <c r="FPB34" s="10"/>
      <c r="FPC34" s="10"/>
      <c r="FPD34" s="10"/>
      <c r="FPE34" s="10"/>
      <c r="FPF34" s="10"/>
      <c r="FPG34" s="10"/>
      <c r="FPH34" s="10"/>
      <c r="FPI34" s="10"/>
      <c r="FPJ34" s="10"/>
      <c r="FPK34" s="10"/>
      <c r="FPL34" s="10"/>
      <c r="FPM34" s="10"/>
      <c r="FPN34" s="10"/>
      <c r="FPO34" s="10"/>
      <c r="FPP34" s="10"/>
      <c r="FPQ34" s="10"/>
      <c r="FPR34" s="10"/>
      <c r="FPS34" s="10"/>
      <c r="FPT34" s="10"/>
      <c r="FPU34" s="10"/>
      <c r="FPV34" s="10"/>
      <c r="FPW34" s="10"/>
      <c r="FPX34" s="10"/>
      <c r="FPY34" s="10"/>
      <c r="FPZ34" s="10"/>
      <c r="FQA34" s="10"/>
      <c r="FQB34" s="10"/>
      <c r="FQC34" s="10"/>
      <c r="FQD34" s="10"/>
      <c r="FQE34" s="10"/>
      <c r="FQF34" s="10"/>
      <c r="FQG34" s="10"/>
      <c r="FQH34" s="10"/>
      <c r="FQI34" s="10"/>
      <c r="FQJ34" s="10"/>
      <c r="FQK34" s="10"/>
      <c r="FQL34" s="10"/>
      <c r="FQM34" s="10"/>
      <c r="FQN34" s="10"/>
      <c r="FQO34" s="10"/>
      <c r="FQP34" s="10"/>
      <c r="FQQ34" s="10"/>
      <c r="FQR34" s="10"/>
      <c r="FQS34" s="10"/>
      <c r="FQT34" s="10"/>
      <c r="FQU34" s="10"/>
      <c r="FQV34" s="10"/>
      <c r="FQW34" s="10"/>
      <c r="FQX34" s="10"/>
      <c r="FQY34" s="10"/>
      <c r="FQZ34" s="10"/>
      <c r="FRA34" s="10"/>
      <c r="FRB34" s="10"/>
      <c r="FRC34" s="10"/>
      <c r="FRD34" s="10"/>
      <c r="FRE34" s="10"/>
      <c r="FRF34" s="10"/>
      <c r="FRG34" s="10"/>
      <c r="FRH34" s="10"/>
      <c r="FRI34" s="10"/>
      <c r="FRJ34" s="10"/>
      <c r="FRK34" s="10"/>
      <c r="FRL34" s="10"/>
      <c r="FRM34" s="10"/>
      <c r="FRN34" s="10"/>
      <c r="FRO34" s="10"/>
      <c r="FRP34" s="10"/>
      <c r="FRQ34" s="10"/>
      <c r="FRR34" s="10"/>
      <c r="FRS34" s="10"/>
      <c r="FRT34" s="10"/>
      <c r="FRU34" s="10"/>
      <c r="FRV34" s="10"/>
      <c r="FRW34" s="10"/>
      <c r="FRX34" s="10"/>
      <c r="FRY34" s="10"/>
      <c r="FRZ34" s="10"/>
      <c r="FSA34" s="10"/>
      <c r="FSB34" s="10"/>
      <c r="FSC34" s="10"/>
      <c r="FSD34" s="10"/>
      <c r="FSE34" s="10"/>
      <c r="FSF34" s="10"/>
      <c r="FSG34" s="10"/>
      <c r="FSH34" s="10"/>
      <c r="FSI34" s="10"/>
      <c r="FSJ34" s="10"/>
      <c r="FSK34" s="10"/>
      <c r="FSL34" s="10"/>
      <c r="FSM34" s="10"/>
      <c r="FSN34" s="10"/>
      <c r="FSO34" s="10"/>
      <c r="FSP34" s="10"/>
      <c r="FSQ34" s="10"/>
      <c r="FSR34" s="10"/>
      <c r="FSS34" s="10"/>
      <c r="FST34" s="10"/>
      <c r="FSU34" s="10"/>
      <c r="FSV34" s="10"/>
      <c r="FSW34" s="10"/>
      <c r="FSX34" s="10"/>
      <c r="FSY34" s="10"/>
      <c r="FSZ34" s="10"/>
      <c r="FTA34" s="10"/>
      <c r="FTB34" s="10"/>
      <c r="FTC34" s="10"/>
      <c r="FTD34" s="10"/>
      <c r="FTE34" s="10"/>
      <c r="FTF34" s="10"/>
      <c r="FTG34" s="10"/>
      <c r="FTH34" s="10"/>
      <c r="FTI34" s="10"/>
      <c r="FTJ34" s="10"/>
      <c r="FTK34" s="10"/>
      <c r="FTL34" s="10"/>
      <c r="FTM34" s="10"/>
      <c r="FTN34" s="10"/>
      <c r="FTO34" s="10"/>
      <c r="FTP34" s="10"/>
      <c r="FTQ34" s="10"/>
      <c r="FTR34" s="10"/>
      <c r="FTS34" s="10"/>
      <c r="FTT34" s="10"/>
      <c r="FTU34" s="10"/>
      <c r="FTV34" s="10"/>
      <c r="FTW34" s="10"/>
      <c r="FTX34" s="10"/>
      <c r="FTY34" s="10"/>
      <c r="FTZ34" s="10"/>
      <c r="FUA34" s="10"/>
      <c r="FUB34" s="10"/>
      <c r="FUC34" s="10"/>
      <c r="FUD34" s="10"/>
      <c r="FUE34" s="10"/>
      <c r="FUF34" s="10"/>
      <c r="FUG34" s="10"/>
      <c r="FUH34" s="10"/>
      <c r="FUI34" s="10"/>
      <c r="FUJ34" s="10"/>
      <c r="FUK34" s="10"/>
      <c r="FUL34" s="10"/>
      <c r="FUM34" s="10"/>
      <c r="FUN34" s="10"/>
      <c r="FUO34" s="10"/>
      <c r="FUP34" s="10"/>
      <c r="FUQ34" s="10"/>
      <c r="FUR34" s="10"/>
      <c r="FUS34" s="10"/>
      <c r="FUT34" s="10"/>
      <c r="FUU34" s="10"/>
      <c r="FUV34" s="10"/>
      <c r="FUW34" s="10"/>
      <c r="FUX34" s="10"/>
      <c r="FUY34" s="10"/>
      <c r="FUZ34" s="10"/>
      <c r="FVA34" s="10"/>
      <c r="FVB34" s="10"/>
      <c r="FVC34" s="10"/>
      <c r="FVD34" s="10"/>
      <c r="FVE34" s="10"/>
      <c r="FVF34" s="10"/>
      <c r="FVG34" s="10"/>
      <c r="FVH34" s="10"/>
      <c r="FVI34" s="10"/>
      <c r="FVJ34" s="10"/>
      <c r="FVK34" s="10"/>
      <c r="FVL34" s="10"/>
      <c r="FVM34" s="10"/>
      <c r="FVN34" s="10"/>
      <c r="FVO34" s="10"/>
      <c r="FVP34" s="10"/>
      <c r="FVQ34" s="10"/>
      <c r="FVR34" s="10"/>
      <c r="FVS34" s="10"/>
      <c r="FVT34" s="10"/>
      <c r="FVU34" s="10"/>
      <c r="FVV34" s="10"/>
      <c r="FVW34" s="10"/>
      <c r="FVX34" s="10"/>
      <c r="FVY34" s="10"/>
      <c r="FVZ34" s="10"/>
      <c r="FWA34" s="10"/>
      <c r="FWB34" s="10"/>
      <c r="FWC34" s="10"/>
      <c r="FWD34" s="10"/>
      <c r="FWE34" s="10"/>
      <c r="FWF34" s="10"/>
      <c r="FWG34" s="10"/>
      <c r="FWH34" s="10"/>
      <c r="FWI34" s="10"/>
      <c r="FWJ34" s="10"/>
      <c r="FWK34" s="10"/>
      <c r="FWL34" s="10"/>
      <c r="FWM34" s="10"/>
      <c r="FWN34" s="10"/>
      <c r="FWO34" s="10"/>
      <c r="FWP34" s="10"/>
      <c r="FWQ34" s="10"/>
      <c r="FWR34" s="10"/>
      <c r="FWS34" s="10"/>
      <c r="FWT34" s="10"/>
      <c r="FWU34" s="10"/>
      <c r="FWV34" s="10"/>
      <c r="FWW34" s="10"/>
      <c r="FWX34" s="10"/>
      <c r="FWY34" s="10"/>
      <c r="FWZ34" s="10"/>
      <c r="FXA34" s="10"/>
      <c r="FXB34" s="10"/>
      <c r="FXC34" s="10"/>
      <c r="FXD34" s="10"/>
      <c r="FXE34" s="10"/>
      <c r="FXF34" s="10"/>
      <c r="FXG34" s="10"/>
      <c r="FXH34" s="10"/>
      <c r="FXI34" s="10"/>
      <c r="FXJ34" s="10"/>
      <c r="FXK34" s="10"/>
      <c r="FXL34" s="10"/>
      <c r="FXM34" s="10"/>
      <c r="FXN34" s="10"/>
      <c r="FXO34" s="10"/>
      <c r="FXP34" s="10"/>
      <c r="FXQ34" s="10"/>
      <c r="FXR34" s="10"/>
      <c r="FXS34" s="10"/>
      <c r="FXT34" s="10"/>
      <c r="FXU34" s="10"/>
      <c r="FXV34" s="10"/>
      <c r="FXW34" s="10"/>
      <c r="FXX34" s="10"/>
      <c r="FXY34" s="10"/>
      <c r="FXZ34" s="10"/>
      <c r="FYA34" s="10"/>
      <c r="FYB34" s="10"/>
      <c r="FYC34" s="10"/>
      <c r="FYD34" s="10"/>
      <c r="FYE34" s="10"/>
      <c r="FYF34" s="10"/>
      <c r="FYG34" s="10"/>
      <c r="FYH34" s="10"/>
      <c r="FYI34" s="10"/>
      <c r="FYJ34" s="10"/>
      <c r="FYK34" s="10"/>
      <c r="FYL34" s="10"/>
      <c r="FYM34" s="10"/>
      <c r="FYN34" s="10"/>
      <c r="FYO34" s="10"/>
      <c r="FYP34" s="10"/>
      <c r="FYQ34" s="10"/>
      <c r="FYR34" s="10"/>
      <c r="FYS34" s="10"/>
      <c r="FYT34" s="10"/>
      <c r="FYU34" s="10"/>
      <c r="FYV34" s="10"/>
      <c r="FYW34" s="10"/>
      <c r="FYX34" s="10"/>
      <c r="FYY34" s="10"/>
      <c r="FYZ34" s="10"/>
      <c r="FZA34" s="10"/>
      <c r="FZB34" s="10"/>
      <c r="FZC34" s="10"/>
      <c r="FZD34" s="10"/>
      <c r="FZE34" s="10"/>
      <c r="FZF34" s="10"/>
      <c r="FZG34" s="10"/>
      <c r="FZH34" s="10"/>
      <c r="FZI34" s="10"/>
      <c r="FZJ34" s="10"/>
      <c r="FZK34" s="10"/>
      <c r="FZL34" s="10"/>
      <c r="FZM34" s="10"/>
      <c r="FZN34" s="10"/>
      <c r="FZO34" s="10"/>
      <c r="FZP34" s="10"/>
      <c r="FZQ34" s="10"/>
      <c r="FZR34" s="10"/>
      <c r="FZS34" s="10"/>
      <c r="FZT34" s="10"/>
      <c r="FZU34" s="10"/>
      <c r="FZV34" s="10"/>
      <c r="FZW34" s="10"/>
      <c r="FZX34" s="10"/>
      <c r="FZY34" s="10"/>
      <c r="FZZ34" s="10"/>
      <c r="GAA34" s="10"/>
      <c r="GAB34" s="10"/>
      <c r="GAC34" s="10"/>
      <c r="GAD34" s="10"/>
      <c r="GAE34" s="10"/>
      <c r="GAF34" s="10"/>
      <c r="GAG34" s="10"/>
      <c r="GAH34" s="10"/>
      <c r="GAI34" s="10"/>
      <c r="GAJ34" s="10"/>
      <c r="GAK34" s="10"/>
      <c r="GAL34" s="10"/>
      <c r="GAM34" s="10"/>
      <c r="GAN34" s="10"/>
      <c r="GAO34" s="10"/>
      <c r="GAP34" s="10"/>
      <c r="GAQ34" s="10"/>
      <c r="GAR34" s="10"/>
      <c r="GAS34" s="10"/>
      <c r="GAT34" s="10"/>
      <c r="GAU34" s="10"/>
      <c r="GAV34" s="10"/>
      <c r="GAW34" s="10"/>
      <c r="GAX34" s="10"/>
      <c r="GAY34" s="10"/>
      <c r="GAZ34" s="10"/>
      <c r="GBA34" s="10"/>
      <c r="GBB34" s="10"/>
      <c r="GBC34" s="10"/>
      <c r="GBD34" s="10"/>
      <c r="GBE34" s="10"/>
      <c r="GBF34" s="10"/>
      <c r="GBG34" s="10"/>
      <c r="GBH34" s="10"/>
      <c r="GBI34" s="10"/>
      <c r="GBJ34" s="10"/>
      <c r="GBK34" s="10"/>
      <c r="GBL34" s="10"/>
      <c r="GBM34" s="10"/>
      <c r="GBN34" s="10"/>
      <c r="GBO34" s="10"/>
      <c r="GBP34" s="10"/>
      <c r="GBQ34" s="10"/>
      <c r="GBR34" s="10"/>
      <c r="GBS34" s="10"/>
      <c r="GBT34" s="10"/>
      <c r="GBU34" s="10"/>
      <c r="GBV34" s="10"/>
      <c r="GBW34" s="10"/>
      <c r="GBX34" s="10"/>
      <c r="GBY34" s="10"/>
      <c r="GBZ34" s="10"/>
      <c r="GCA34" s="10"/>
      <c r="GCB34" s="10"/>
      <c r="GCC34" s="10"/>
      <c r="GCD34" s="10"/>
      <c r="GCE34" s="10"/>
      <c r="GCF34" s="10"/>
      <c r="GCG34" s="10"/>
      <c r="GCH34" s="10"/>
      <c r="GCI34" s="10"/>
      <c r="GCJ34" s="10"/>
      <c r="GCK34" s="10"/>
      <c r="GCL34" s="10"/>
      <c r="GCM34" s="10"/>
      <c r="GCN34" s="10"/>
      <c r="GCO34" s="10"/>
      <c r="GCP34" s="10"/>
      <c r="GCQ34" s="10"/>
      <c r="GCR34" s="10"/>
      <c r="GCS34" s="10"/>
      <c r="GCT34" s="10"/>
      <c r="GCU34" s="10"/>
      <c r="GCV34" s="10"/>
      <c r="GCW34" s="10"/>
      <c r="GCX34" s="10"/>
      <c r="GCY34" s="10"/>
      <c r="GCZ34" s="10"/>
      <c r="GDA34" s="10"/>
      <c r="GDB34" s="10"/>
      <c r="GDC34" s="10"/>
      <c r="GDD34" s="10"/>
      <c r="GDE34" s="10"/>
      <c r="GDF34" s="10"/>
      <c r="GDG34" s="10"/>
      <c r="GDH34" s="10"/>
      <c r="GDI34" s="10"/>
      <c r="GDJ34" s="10"/>
      <c r="GDK34" s="10"/>
      <c r="GDL34" s="10"/>
      <c r="GDM34" s="10"/>
      <c r="GDN34" s="10"/>
      <c r="GDO34" s="10"/>
      <c r="GDP34" s="10"/>
      <c r="GDQ34" s="10"/>
      <c r="GDR34" s="10"/>
      <c r="GDS34" s="10"/>
      <c r="GDT34" s="10"/>
      <c r="GDU34" s="10"/>
      <c r="GDV34" s="10"/>
      <c r="GDW34" s="10"/>
      <c r="GDX34" s="10"/>
      <c r="GDY34" s="10"/>
      <c r="GDZ34" s="10"/>
      <c r="GEA34" s="10"/>
      <c r="GEB34" s="10"/>
      <c r="GEC34" s="10"/>
      <c r="GED34" s="10"/>
      <c r="GEE34" s="10"/>
      <c r="GEF34" s="10"/>
      <c r="GEG34" s="10"/>
      <c r="GEH34" s="10"/>
      <c r="GEI34" s="10"/>
      <c r="GEJ34" s="10"/>
      <c r="GEK34" s="10"/>
      <c r="GEL34" s="10"/>
      <c r="GEM34" s="10"/>
      <c r="GEN34" s="10"/>
      <c r="GEO34" s="10"/>
      <c r="GEP34" s="10"/>
      <c r="GEQ34" s="10"/>
      <c r="GER34" s="10"/>
      <c r="GES34" s="10"/>
      <c r="GET34" s="10"/>
      <c r="GEU34" s="10"/>
      <c r="GEV34" s="10"/>
      <c r="GEW34" s="10"/>
      <c r="GEX34" s="10"/>
      <c r="GEY34" s="10"/>
      <c r="GEZ34" s="10"/>
      <c r="GFA34" s="10"/>
      <c r="GFB34" s="10"/>
      <c r="GFC34" s="10"/>
      <c r="GFD34" s="10"/>
      <c r="GFE34" s="10"/>
      <c r="GFF34" s="10"/>
      <c r="GFG34" s="10"/>
      <c r="GFH34" s="10"/>
      <c r="GFI34" s="10"/>
      <c r="GFJ34" s="10"/>
      <c r="GFK34" s="10"/>
      <c r="GFL34" s="10"/>
      <c r="GFM34" s="10"/>
      <c r="GFN34" s="10"/>
      <c r="GFO34" s="10"/>
      <c r="GFP34" s="10"/>
      <c r="GFQ34" s="10"/>
      <c r="GFR34" s="10"/>
      <c r="GFS34" s="10"/>
      <c r="GFT34" s="10"/>
      <c r="GFU34" s="10"/>
      <c r="GFV34" s="10"/>
      <c r="GFW34" s="10"/>
      <c r="GFX34" s="10"/>
      <c r="GFY34" s="10"/>
      <c r="GFZ34" s="10"/>
      <c r="GGA34" s="10"/>
      <c r="GGB34" s="10"/>
      <c r="GGC34" s="10"/>
      <c r="GGD34" s="10"/>
      <c r="GGE34" s="10"/>
      <c r="GGF34" s="10"/>
      <c r="GGG34" s="10"/>
      <c r="GGH34" s="10"/>
      <c r="GGI34" s="10"/>
      <c r="GGJ34" s="10"/>
      <c r="GGK34" s="10"/>
      <c r="GGL34" s="10"/>
      <c r="GGM34" s="10"/>
      <c r="GGN34" s="10"/>
      <c r="GGO34" s="10"/>
      <c r="GGP34" s="10"/>
      <c r="GGQ34" s="10"/>
      <c r="GGR34" s="10"/>
      <c r="GGS34" s="10"/>
      <c r="GGT34" s="10"/>
      <c r="GGU34" s="10"/>
      <c r="GGV34" s="10"/>
      <c r="GGW34" s="10"/>
      <c r="GGX34" s="10"/>
      <c r="GGY34" s="10"/>
      <c r="GGZ34" s="10"/>
      <c r="GHA34" s="10"/>
      <c r="GHB34" s="10"/>
      <c r="GHC34" s="10"/>
      <c r="GHD34" s="10"/>
      <c r="GHE34" s="10"/>
      <c r="GHF34" s="10"/>
      <c r="GHG34" s="10"/>
      <c r="GHH34" s="10"/>
      <c r="GHI34" s="10"/>
      <c r="GHJ34" s="10"/>
      <c r="GHK34" s="10"/>
      <c r="GHL34" s="10"/>
      <c r="GHM34" s="10"/>
      <c r="GHN34" s="10"/>
      <c r="GHO34" s="10"/>
      <c r="GHP34" s="10"/>
      <c r="GHQ34" s="10"/>
      <c r="GHR34" s="10"/>
      <c r="GHS34" s="10"/>
      <c r="GHT34" s="10"/>
      <c r="GHU34" s="10"/>
      <c r="GHV34" s="10"/>
      <c r="GHW34" s="10"/>
      <c r="GHX34" s="10"/>
      <c r="GHY34" s="10"/>
      <c r="GHZ34" s="10"/>
      <c r="GIA34" s="10"/>
      <c r="GIB34" s="10"/>
      <c r="GIC34" s="10"/>
      <c r="GID34" s="10"/>
      <c r="GIE34" s="10"/>
      <c r="GIF34" s="10"/>
      <c r="GIG34" s="10"/>
      <c r="GIH34" s="10"/>
      <c r="GII34" s="10"/>
      <c r="GIJ34" s="10"/>
      <c r="GIK34" s="10"/>
      <c r="GIL34" s="10"/>
      <c r="GIM34" s="10"/>
      <c r="GIN34" s="10"/>
      <c r="GIO34" s="10"/>
      <c r="GIP34" s="10"/>
      <c r="GIQ34" s="10"/>
      <c r="GIR34" s="10"/>
      <c r="GIS34" s="10"/>
      <c r="GIT34" s="10"/>
      <c r="GIU34" s="10"/>
      <c r="GIV34" s="10"/>
      <c r="GIW34" s="10"/>
      <c r="GIX34" s="10"/>
      <c r="GIY34" s="10"/>
      <c r="GIZ34" s="10"/>
      <c r="GJA34" s="10"/>
      <c r="GJB34" s="10"/>
      <c r="GJC34" s="10"/>
      <c r="GJD34" s="10"/>
      <c r="GJE34" s="10"/>
      <c r="GJF34" s="10"/>
      <c r="GJG34" s="10"/>
      <c r="GJH34" s="10"/>
      <c r="GJI34" s="10"/>
      <c r="GJJ34" s="10"/>
      <c r="GJK34" s="10"/>
      <c r="GJL34" s="10"/>
      <c r="GJM34" s="10"/>
      <c r="GJN34" s="10"/>
      <c r="GJO34" s="10"/>
      <c r="GJP34" s="10"/>
      <c r="GJQ34" s="10"/>
      <c r="GJR34" s="10"/>
      <c r="GJS34" s="10"/>
      <c r="GJT34" s="10"/>
      <c r="GJU34" s="10"/>
      <c r="GJV34" s="10"/>
      <c r="GJW34" s="10"/>
      <c r="GJX34" s="10"/>
      <c r="GJY34" s="10"/>
      <c r="GJZ34" s="10"/>
      <c r="GKA34" s="10"/>
      <c r="GKB34" s="10"/>
      <c r="GKC34" s="10"/>
      <c r="GKD34" s="10"/>
      <c r="GKE34" s="10"/>
      <c r="GKF34" s="10"/>
      <c r="GKG34" s="10"/>
      <c r="GKH34" s="10"/>
      <c r="GKI34" s="10"/>
      <c r="GKJ34" s="10"/>
      <c r="GKK34" s="10"/>
      <c r="GKL34" s="10"/>
      <c r="GKM34" s="10"/>
      <c r="GKN34" s="10"/>
      <c r="GKO34" s="10"/>
      <c r="GKP34" s="10"/>
      <c r="GKQ34" s="10"/>
      <c r="GKR34" s="10"/>
      <c r="GKS34" s="10"/>
      <c r="GKT34" s="10"/>
      <c r="GKU34" s="10"/>
      <c r="GKV34" s="10"/>
      <c r="GKW34" s="10"/>
      <c r="GKX34" s="10"/>
      <c r="GKY34" s="10"/>
      <c r="GKZ34" s="10"/>
      <c r="GLA34" s="10"/>
      <c r="GLB34" s="10"/>
      <c r="GLC34" s="10"/>
      <c r="GLD34" s="10"/>
      <c r="GLE34" s="10"/>
      <c r="GLF34" s="10"/>
      <c r="GLG34" s="10"/>
      <c r="GLH34" s="10"/>
      <c r="GLI34" s="10"/>
      <c r="GLJ34" s="10"/>
      <c r="GLK34" s="10"/>
      <c r="GLL34" s="10"/>
      <c r="GLM34" s="10"/>
      <c r="GLN34" s="10"/>
      <c r="GLO34" s="10"/>
      <c r="GLP34" s="10"/>
      <c r="GLQ34" s="10"/>
      <c r="GLR34" s="10"/>
      <c r="GLS34" s="10"/>
      <c r="GLT34" s="10"/>
      <c r="GLU34" s="10"/>
      <c r="GLV34" s="10"/>
      <c r="GLW34" s="10"/>
      <c r="GLX34" s="10"/>
      <c r="GLY34" s="10"/>
      <c r="GLZ34" s="10"/>
      <c r="GMA34" s="10"/>
      <c r="GMB34" s="10"/>
      <c r="GMC34" s="10"/>
      <c r="GMD34" s="10"/>
      <c r="GME34" s="10"/>
      <c r="GMF34" s="10"/>
      <c r="GMG34" s="10"/>
      <c r="GMH34" s="10"/>
      <c r="GMI34" s="10"/>
      <c r="GMJ34" s="10"/>
      <c r="GMK34" s="10"/>
      <c r="GML34" s="10"/>
      <c r="GMM34" s="10"/>
      <c r="GMN34" s="10"/>
      <c r="GMO34" s="10"/>
      <c r="GMP34" s="10"/>
      <c r="GMQ34" s="10"/>
      <c r="GMR34" s="10"/>
      <c r="GMS34" s="10"/>
      <c r="GMT34" s="10"/>
      <c r="GMU34" s="10"/>
      <c r="GMV34" s="10"/>
      <c r="GMW34" s="10"/>
      <c r="GMX34" s="10"/>
      <c r="GMY34" s="10"/>
      <c r="GMZ34" s="10"/>
      <c r="GNA34" s="10"/>
      <c r="GNB34" s="10"/>
      <c r="GNC34" s="10"/>
      <c r="GND34" s="10"/>
      <c r="GNE34" s="10"/>
      <c r="GNF34" s="10"/>
      <c r="GNG34" s="10"/>
      <c r="GNH34" s="10"/>
      <c r="GNI34" s="10"/>
      <c r="GNJ34" s="10"/>
      <c r="GNK34" s="10"/>
      <c r="GNL34" s="10"/>
      <c r="GNM34" s="10"/>
      <c r="GNN34" s="10"/>
      <c r="GNO34" s="10"/>
      <c r="GNP34" s="10"/>
      <c r="GNQ34" s="10"/>
      <c r="GNR34" s="10"/>
      <c r="GNS34" s="10"/>
      <c r="GNT34" s="10"/>
      <c r="GNU34" s="10"/>
      <c r="GNV34" s="10"/>
      <c r="GNW34" s="10"/>
      <c r="GNX34" s="10"/>
      <c r="GNY34" s="10"/>
      <c r="GNZ34" s="10"/>
      <c r="GOA34" s="10"/>
      <c r="GOB34" s="10"/>
      <c r="GOC34" s="10"/>
      <c r="GOD34" s="10"/>
      <c r="GOE34" s="10"/>
      <c r="GOF34" s="10"/>
      <c r="GOG34" s="10"/>
      <c r="GOH34" s="10"/>
      <c r="GOI34" s="10"/>
      <c r="GOJ34" s="10"/>
      <c r="GOK34" s="10"/>
      <c r="GOL34" s="10"/>
      <c r="GOM34" s="10"/>
      <c r="GON34" s="10"/>
      <c r="GOO34" s="10"/>
      <c r="GOP34" s="10"/>
      <c r="GOQ34" s="10"/>
      <c r="GOR34" s="10"/>
      <c r="GOS34" s="10"/>
      <c r="GOT34" s="10"/>
      <c r="GOU34" s="10"/>
      <c r="GOV34" s="10"/>
      <c r="GOW34" s="10"/>
      <c r="GOX34" s="10"/>
      <c r="GOY34" s="10"/>
      <c r="GOZ34" s="10"/>
      <c r="GPA34" s="10"/>
      <c r="GPB34" s="10"/>
      <c r="GPC34" s="10"/>
      <c r="GPD34" s="10"/>
      <c r="GPE34" s="10"/>
      <c r="GPF34" s="10"/>
      <c r="GPG34" s="10"/>
      <c r="GPH34" s="10"/>
      <c r="GPI34" s="10"/>
      <c r="GPJ34" s="10"/>
      <c r="GPK34" s="10"/>
      <c r="GPL34" s="10"/>
      <c r="GPM34" s="10"/>
      <c r="GPN34" s="10"/>
      <c r="GPO34" s="10"/>
      <c r="GPP34" s="10"/>
      <c r="GPQ34" s="10"/>
      <c r="GPR34" s="10"/>
      <c r="GPS34" s="10"/>
      <c r="GPT34" s="10"/>
      <c r="GPU34" s="10"/>
      <c r="GPV34" s="10"/>
      <c r="GPW34" s="10"/>
      <c r="GPX34" s="10"/>
      <c r="GPY34" s="10"/>
      <c r="GPZ34" s="10"/>
      <c r="GQA34" s="10"/>
      <c r="GQB34" s="10"/>
      <c r="GQC34" s="10"/>
      <c r="GQD34" s="10"/>
      <c r="GQE34" s="10"/>
      <c r="GQF34" s="10"/>
      <c r="GQG34" s="10"/>
      <c r="GQH34" s="10"/>
      <c r="GQI34" s="10"/>
      <c r="GQJ34" s="10"/>
      <c r="GQK34" s="10"/>
      <c r="GQL34" s="10"/>
      <c r="GQM34" s="10"/>
      <c r="GQN34" s="10"/>
      <c r="GQO34" s="10"/>
      <c r="GQP34" s="10"/>
      <c r="GQQ34" s="10"/>
      <c r="GQR34" s="10"/>
      <c r="GQS34" s="10"/>
      <c r="GQT34" s="10"/>
      <c r="GQU34" s="10"/>
      <c r="GQV34" s="10"/>
      <c r="GQW34" s="10"/>
      <c r="GQX34" s="10"/>
      <c r="GQY34" s="10"/>
      <c r="GQZ34" s="10"/>
      <c r="GRA34" s="10"/>
      <c r="GRB34" s="10"/>
      <c r="GRC34" s="10"/>
      <c r="GRD34" s="10"/>
      <c r="GRE34" s="10"/>
      <c r="GRF34" s="10"/>
      <c r="GRG34" s="10"/>
      <c r="GRH34" s="10"/>
      <c r="GRI34" s="10"/>
      <c r="GRJ34" s="10"/>
      <c r="GRK34" s="10"/>
      <c r="GRL34" s="10"/>
      <c r="GRM34" s="10"/>
      <c r="GRN34" s="10"/>
      <c r="GRO34" s="10"/>
      <c r="GRP34" s="10"/>
      <c r="GRQ34" s="10"/>
      <c r="GRR34" s="10"/>
      <c r="GRS34" s="10"/>
      <c r="GRT34" s="10"/>
      <c r="GRU34" s="10"/>
      <c r="GRV34" s="10"/>
      <c r="GRW34" s="10"/>
      <c r="GRX34" s="10"/>
      <c r="GRY34" s="10"/>
      <c r="GRZ34" s="10"/>
      <c r="GSA34" s="10"/>
      <c r="GSB34" s="10"/>
      <c r="GSC34" s="10"/>
      <c r="GSD34" s="10"/>
      <c r="GSE34" s="10"/>
      <c r="GSF34" s="10"/>
      <c r="GSG34" s="10"/>
      <c r="GSH34" s="10"/>
      <c r="GSI34" s="10"/>
      <c r="GSJ34" s="10"/>
      <c r="GSK34" s="10"/>
      <c r="GSL34" s="10"/>
      <c r="GSM34" s="10"/>
      <c r="GSN34" s="10"/>
      <c r="GSO34" s="10"/>
      <c r="GSP34" s="10"/>
      <c r="GSQ34" s="10"/>
      <c r="GSR34" s="10"/>
      <c r="GSS34" s="10"/>
      <c r="GST34" s="10"/>
      <c r="GSU34" s="10"/>
      <c r="GSV34" s="10"/>
      <c r="GSW34" s="10"/>
      <c r="GSX34" s="10"/>
      <c r="GSY34" s="10"/>
      <c r="GSZ34" s="10"/>
      <c r="GTA34" s="10"/>
      <c r="GTB34" s="10"/>
      <c r="GTC34" s="10"/>
      <c r="GTD34" s="10"/>
      <c r="GTE34" s="10"/>
      <c r="GTF34" s="10"/>
      <c r="GTG34" s="10"/>
      <c r="GTH34" s="10"/>
      <c r="GTI34" s="10"/>
      <c r="GTJ34" s="10"/>
      <c r="GTK34" s="10"/>
      <c r="GTL34" s="10"/>
      <c r="GTM34" s="10"/>
      <c r="GTN34" s="10"/>
      <c r="GTO34" s="10"/>
      <c r="GTP34" s="10"/>
      <c r="GTQ34" s="10"/>
      <c r="GTR34" s="10"/>
      <c r="GTS34" s="10"/>
      <c r="GTT34" s="10"/>
      <c r="GTU34" s="10"/>
      <c r="GTV34" s="10"/>
      <c r="GTW34" s="10"/>
      <c r="GTX34" s="10"/>
      <c r="GTY34" s="10"/>
      <c r="GTZ34" s="10"/>
      <c r="GUA34" s="10"/>
      <c r="GUB34" s="10"/>
      <c r="GUC34" s="10"/>
      <c r="GUD34" s="10"/>
      <c r="GUE34" s="10"/>
      <c r="GUF34" s="10"/>
      <c r="GUG34" s="10"/>
      <c r="GUH34" s="10"/>
      <c r="GUI34" s="10"/>
      <c r="GUJ34" s="10"/>
      <c r="GUK34" s="10"/>
      <c r="GUL34" s="10"/>
      <c r="GUM34" s="10"/>
      <c r="GUN34" s="10"/>
      <c r="GUO34" s="10"/>
      <c r="GUP34" s="10"/>
      <c r="GUQ34" s="10"/>
      <c r="GUR34" s="10"/>
      <c r="GUS34" s="10"/>
      <c r="GUT34" s="10"/>
      <c r="GUU34" s="10"/>
      <c r="GUV34" s="10"/>
      <c r="GUW34" s="10"/>
      <c r="GUX34" s="10"/>
      <c r="GUY34" s="10"/>
      <c r="GUZ34" s="10"/>
      <c r="GVA34" s="10"/>
      <c r="GVB34" s="10"/>
      <c r="GVC34" s="10"/>
      <c r="GVD34" s="10"/>
      <c r="GVE34" s="10"/>
      <c r="GVF34" s="10"/>
      <c r="GVG34" s="10"/>
      <c r="GVH34" s="10"/>
      <c r="GVI34" s="10"/>
      <c r="GVJ34" s="10"/>
      <c r="GVK34" s="10"/>
      <c r="GVL34" s="10"/>
      <c r="GVM34" s="10"/>
      <c r="GVN34" s="10"/>
      <c r="GVO34" s="10"/>
      <c r="GVP34" s="10"/>
      <c r="GVQ34" s="10"/>
      <c r="GVR34" s="10"/>
      <c r="GVS34" s="10"/>
      <c r="GVT34" s="10"/>
      <c r="GVU34" s="10"/>
      <c r="GVV34" s="10"/>
      <c r="GVW34" s="10"/>
      <c r="GVX34" s="10"/>
      <c r="GVY34" s="10"/>
      <c r="GVZ34" s="10"/>
      <c r="GWA34" s="10"/>
      <c r="GWB34" s="10"/>
      <c r="GWC34" s="10"/>
      <c r="GWD34" s="10"/>
      <c r="GWE34" s="10"/>
      <c r="GWF34" s="10"/>
      <c r="GWG34" s="10"/>
      <c r="GWH34" s="10"/>
      <c r="GWI34" s="10"/>
      <c r="GWJ34" s="10"/>
      <c r="GWK34" s="10"/>
      <c r="GWL34" s="10"/>
      <c r="GWM34" s="10"/>
      <c r="GWN34" s="10"/>
      <c r="GWO34" s="10"/>
      <c r="GWP34" s="10"/>
      <c r="GWQ34" s="10"/>
      <c r="GWR34" s="10"/>
      <c r="GWS34" s="10"/>
      <c r="GWT34" s="10"/>
      <c r="GWU34" s="10"/>
      <c r="GWV34" s="10"/>
      <c r="GWW34" s="10"/>
      <c r="GWX34" s="10"/>
      <c r="GWY34" s="10"/>
      <c r="GWZ34" s="10"/>
      <c r="GXA34" s="10"/>
      <c r="GXB34" s="10"/>
      <c r="GXC34" s="10"/>
      <c r="GXD34" s="10"/>
      <c r="GXE34" s="10"/>
      <c r="GXF34" s="10"/>
      <c r="GXG34" s="10"/>
      <c r="GXH34" s="10"/>
      <c r="GXI34" s="10"/>
      <c r="GXJ34" s="10"/>
      <c r="GXK34" s="10"/>
      <c r="GXL34" s="10"/>
      <c r="GXM34" s="10"/>
      <c r="GXN34" s="10"/>
      <c r="GXO34" s="10"/>
      <c r="GXP34" s="10"/>
      <c r="GXQ34" s="10"/>
      <c r="GXR34" s="10"/>
      <c r="GXS34" s="10"/>
      <c r="GXT34" s="10"/>
      <c r="GXU34" s="10"/>
      <c r="GXV34" s="10"/>
      <c r="GXW34" s="10"/>
      <c r="GXX34" s="10"/>
      <c r="GXY34" s="10"/>
      <c r="GXZ34" s="10"/>
      <c r="GYA34" s="10"/>
      <c r="GYB34" s="10"/>
      <c r="GYC34" s="10"/>
      <c r="GYD34" s="10"/>
      <c r="GYE34" s="10"/>
      <c r="GYF34" s="10"/>
      <c r="GYG34" s="10"/>
      <c r="GYH34" s="10"/>
      <c r="GYI34" s="10"/>
      <c r="GYJ34" s="10"/>
      <c r="GYK34" s="10"/>
      <c r="GYL34" s="10"/>
      <c r="GYM34" s="10"/>
      <c r="GYN34" s="10"/>
      <c r="GYO34" s="10"/>
      <c r="GYP34" s="10"/>
      <c r="GYQ34" s="10"/>
      <c r="GYR34" s="10"/>
      <c r="GYS34" s="10"/>
      <c r="GYT34" s="10"/>
      <c r="GYU34" s="10"/>
      <c r="GYV34" s="10"/>
      <c r="GYW34" s="10"/>
      <c r="GYX34" s="10"/>
      <c r="GYY34" s="10"/>
      <c r="GYZ34" s="10"/>
      <c r="GZA34" s="10"/>
      <c r="GZB34" s="10"/>
      <c r="GZC34" s="10"/>
      <c r="GZD34" s="10"/>
      <c r="GZE34" s="10"/>
      <c r="GZF34" s="10"/>
      <c r="GZG34" s="10"/>
      <c r="GZH34" s="10"/>
      <c r="GZI34" s="10"/>
      <c r="GZJ34" s="10"/>
      <c r="GZK34" s="10"/>
      <c r="GZL34" s="10"/>
      <c r="GZM34" s="10"/>
      <c r="GZN34" s="10"/>
      <c r="GZO34" s="10"/>
      <c r="GZP34" s="10"/>
      <c r="GZQ34" s="10"/>
      <c r="GZR34" s="10"/>
      <c r="GZS34" s="10"/>
      <c r="GZT34" s="10"/>
      <c r="GZU34" s="10"/>
      <c r="GZV34" s="10"/>
      <c r="GZW34" s="10"/>
      <c r="GZX34" s="10"/>
      <c r="GZY34" s="10"/>
      <c r="GZZ34" s="10"/>
      <c r="HAA34" s="10"/>
      <c r="HAB34" s="10"/>
      <c r="HAC34" s="10"/>
      <c r="HAD34" s="10"/>
      <c r="HAE34" s="10"/>
      <c r="HAF34" s="10"/>
      <c r="HAG34" s="10"/>
      <c r="HAH34" s="10"/>
      <c r="HAI34" s="10"/>
      <c r="HAJ34" s="10"/>
      <c r="HAK34" s="10"/>
      <c r="HAL34" s="10"/>
      <c r="HAM34" s="10"/>
      <c r="HAN34" s="10"/>
      <c r="HAO34" s="10"/>
      <c r="HAP34" s="10"/>
      <c r="HAQ34" s="10"/>
      <c r="HAR34" s="10"/>
      <c r="HAS34" s="10"/>
      <c r="HAT34" s="10"/>
      <c r="HAU34" s="10"/>
      <c r="HAV34" s="10"/>
      <c r="HAW34" s="10"/>
      <c r="HAX34" s="10"/>
      <c r="HAY34" s="10"/>
      <c r="HAZ34" s="10"/>
      <c r="HBA34" s="10"/>
      <c r="HBB34" s="10"/>
      <c r="HBC34" s="10"/>
      <c r="HBD34" s="10"/>
      <c r="HBE34" s="10"/>
      <c r="HBF34" s="10"/>
      <c r="HBG34" s="10"/>
      <c r="HBH34" s="10"/>
      <c r="HBI34" s="10"/>
      <c r="HBJ34" s="10"/>
      <c r="HBK34" s="10"/>
      <c r="HBL34" s="10"/>
      <c r="HBM34" s="10"/>
      <c r="HBN34" s="10"/>
      <c r="HBO34" s="10"/>
      <c r="HBP34" s="10"/>
      <c r="HBQ34" s="10"/>
      <c r="HBR34" s="10"/>
      <c r="HBS34" s="10"/>
      <c r="HBT34" s="10"/>
      <c r="HBU34" s="10"/>
      <c r="HBV34" s="10"/>
      <c r="HBW34" s="10"/>
      <c r="HBX34" s="10"/>
      <c r="HBY34" s="10"/>
      <c r="HBZ34" s="10"/>
      <c r="HCA34" s="10"/>
      <c r="HCB34" s="10"/>
      <c r="HCC34" s="10"/>
      <c r="HCD34" s="10"/>
      <c r="HCE34" s="10"/>
      <c r="HCF34" s="10"/>
      <c r="HCG34" s="10"/>
      <c r="HCH34" s="10"/>
      <c r="HCI34" s="10"/>
      <c r="HCJ34" s="10"/>
      <c r="HCK34" s="10"/>
      <c r="HCL34" s="10"/>
      <c r="HCM34" s="10"/>
      <c r="HCN34" s="10"/>
      <c r="HCO34" s="10"/>
      <c r="HCP34" s="10"/>
      <c r="HCQ34" s="10"/>
      <c r="HCR34" s="10"/>
      <c r="HCS34" s="10"/>
      <c r="HCT34" s="10"/>
      <c r="HCU34" s="10"/>
      <c r="HCV34" s="10"/>
      <c r="HCW34" s="10"/>
      <c r="HCX34" s="10"/>
      <c r="HCY34" s="10"/>
      <c r="HCZ34" s="10"/>
      <c r="HDA34" s="10"/>
      <c r="HDB34" s="10"/>
      <c r="HDC34" s="10"/>
      <c r="HDD34" s="10"/>
      <c r="HDE34" s="10"/>
      <c r="HDF34" s="10"/>
      <c r="HDG34" s="10"/>
      <c r="HDH34" s="10"/>
      <c r="HDI34" s="10"/>
      <c r="HDJ34" s="10"/>
      <c r="HDK34" s="10"/>
      <c r="HDL34" s="10"/>
      <c r="HDM34" s="10"/>
      <c r="HDN34" s="10"/>
      <c r="HDO34" s="10"/>
      <c r="HDP34" s="10"/>
      <c r="HDQ34" s="10"/>
      <c r="HDR34" s="10"/>
      <c r="HDS34" s="10"/>
      <c r="HDT34" s="10"/>
      <c r="HDU34" s="10"/>
      <c r="HDV34" s="10"/>
      <c r="HDW34" s="10"/>
      <c r="HDX34" s="10"/>
      <c r="HDY34" s="10"/>
      <c r="HDZ34" s="10"/>
      <c r="HEA34" s="10"/>
      <c r="HEB34" s="10"/>
      <c r="HEC34" s="10"/>
      <c r="HED34" s="10"/>
      <c r="HEE34" s="10"/>
      <c r="HEF34" s="10"/>
      <c r="HEG34" s="10"/>
      <c r="HEH34" s="10"/>
      <c r="HEI34" s="10"/>
      <c r="HEJ34" s="10"/>
      <c r="HEK34" s="10"/>
      <c r="HEL34" s="10"/>
      <c r="HEM34" s="10"/>
      <c r="HEN34" s="10"/>
      <c r="HEO34" s="10"/>
      <c r="HEP34" s="10"/>
      <c r="HEQ34" s="10"/>
      <c r="HER34" s="10"/>
      <c r="HES34" s="10"/>
      <c r="HET34" s="10"/>
      <c r="HEU34" s="10"/>
      <c r="HEV34" s="10"/>
      <c r="HEW34" s="10"/>
      <c r="HEX34" s="10"/>
      <c r="HEY34" s="10"/>
      <c r="HEZ34" s="10"/>
      <c r="HFA34" s="10"/>
      <c r="HFB34" s="10"/>
      <c r="HFC34" s="10"/>
      <c r="HFD34" s="10"/>
      <c r="HFE34" s="10"/>
      <c r="HFF34" s="10"/>
      <c r="HFG34" s="10"/>
      <c r="HFH34" s="10"/>
      <c r="HFI34" s="10"/>
      <c r="HFJ34" s="10"/>
      <c r="HFK34" s="10"/>
      <c r="HFL34" s="10"/>
      <c r="HFM34" s="10"/>
      <c r="HFN34" s="10"/>
      <c r="HFO34" s="10"/>
      <c r="HFP34" s="10"/>
      <c r="HFQ34" s="10"/>
      <c r="HFR34" s="10"/>
      <c r="HFS34" s="10"/>
      <c r="HFT34" s="10"/>
      <c r="HFU34" s="10"/>
      <c r="HFV34" s="10"/>
      <c r="HFW34" s="10"/>
      <c r="HFX34" s="10"/>
      <c r="HFY34" s="10"/>
      <c r="HFZ34" s="10"/>
      <c r="HGA34" s="10"/>
      <c r="HGB34" s="10"/>
      <c r="HGC34" s="10"/>
      <c r="HGD34" s="10"/>
      <c r="HGE34" s="10"/>
      <c r="HGF34" s="10"/>
      <c r="HGG34" s="10"/>
      <c r="HGH34" s="10"/>
      <c r="HGI34" s="10"/>
      <c r="HGJ34" s="10"/>
      <c r="HGK34" s="10"/>
      <c r="HGL34" s="10"/>
      <c r="HGM34" s="10"/>
      <c r="HGN34" s="10"/>
      <c r="HGO34" s="10"/>
      <c r="HGP34" s="10"/>
      <c r="HGQ34" s="10"/>
      <c r="HGR34" s="10"/>
      <c r="HGS34" s="10"/>
      <c r="HGT34" s="10"/>
      <c r="HGU34" s="10"/>
      <c r="HGV34" s="10"/>
      <c r="HGW34" s="10"/>
      <c r="HGX34" s="10"/>
      <c r="HGY34" s="10"/>
      <c r="HGZ34" s="10"/>
      <c r="HHA34" s="10"/>
      <c r="HHB34" s="10"/>
      <c r="HHC34" s="10"/>
      <c r="HHD34" s="10"/>
      <c r="HHE34" s="10"/>
      <c r="HHF34" s="10"/>
      <c r="HHG34" s="10"/>
      <c r="HHH34" s="10"/>
      <c r="HHI34" s="10"/>
      <c r="HHJ34" s="10"/>
      <c r="HHK34" s="10"/>
      <c r="HHL34" s="10"/>
      <c r="HHM34" s="10"/>
      <c r="HHN34" s="10"/>
      <c r="HHO34" s="10"/>
      <c r="HHP34" s="10"/>
      <c r="HHQ34" s="10"/>
      <c r="HHR34" s="10"/>
      <c r="HHS34" s="10"/>
      <c r="HHT34" s="10"/>
      <c r="HHU34" s="10"/>
      <c r="HHV34" s="10"/>
      <c r="HHW34" s="10"/>
      <c r="HHX34" s="10"/>
      <c r="HHY34" s="10"/>
      <c r="HHZ34" s="10"/>
      <c r="HIA34" s="10"/>
      <c r="HIB34" s="10"/>
      <c r="HIC34" s="10"/>
      <c r="HID34" s="10"/>
      <c r="HIE34" s="10"/>
      <c r="HIF34" s="10"/>
      <c r="HIG34" s="10"/>
      <c r="HIH34" s="10"/>
      <c r="HII34" s="10"/>
      <c r="HIJ34" s="10"/>
      <c r="HIK34" s="10"/>
      <c r="HIL34" s="10"/>
      <c r="HIM34" s="10"/>
      <c r="HIN34" s="10"/>
      <c r="HIO34" s="10"/>
      <c r="HIP34" s="10"/>
      <c r="HIQ34" s="10"/>
      <c r="HIR34" s="10"/>
      <c r="HIS34" s="10"/>
      <c r="HIT34" s="10"/>
      <c r="HIU34" s="10"/>
      <c r="HIV34" s="10"/>
      <c r="HIW34" s="10"/>
      <c r="HIX34" s="10"/>
      <c r="HIY34" s="10"/>
      <c r="HIZ34" s="10"/>
      <c r="HJA34" s="10"/>
      <c r="HJB34" s="10"/>
      <c r="HJC34" s="10"/>
      <c r="HJD34" s="10"/>
      <c r="HJE34" s="10"/>
      <c r="HJF34" s="10"/>
      <c r="HJG34" s="10"/>
      <c r="HJH34" s="10"/>
      <c r="HJI34" s="10"/>
      <c r="HJJ34" s="10"/>
      <c r="HJK34" s="10"/>
      <c r="HJL34" s="10"/>
      <c r="HJM34" s="10"/>
      <c r="HJN34" s="10"/>
      <c r="HJO34" s="10"/>
      <c r="HJP34" s="10"/>
      <c r="HJQ34" s="10"/>
      <c r="HJR34" s="10"/>
      <c r="HJS34" s="10"/>
      <c r="HJT34" s="10"/>
      <c r="HJU34" s="10"/>
      <c r="HJV34" s="10"/>
      <c r="HJW34" s="10"/>
      <c r="HJX34" s="10"/>
      <c r="HJY34" s="10"/>
      <c r="HJZ34" s="10"/>
      <c r="HKA34" s="10"/>
      <c r="HKB34" s="10"/>
      <c r="HKC34" s="10"/>
      <c r="HKD34" s="10"/>
      <c r="HKE34" s="10"/>
      <c r="HKF34" s="10"/>
      <c r="HKG34" s="10"/>
      <c r="HKH34" s="10"/>
      <c r="HKI34" s="10"/>
      <c r="HKJ34" s="10"/>
      <c r="HKK34" s="10"/>
      <c r="HKL34" s="10"/>
      <c r="HKM34" s="10"/>
      <c r="HKN34" s="10"/>
      <c r="HKO34" s="10"/>
      <c r="HKP34" s="10"/>
      <c r="HKQ34" s="10"/>
      <c r="HKR34" s="10"/>
      <c r="HKS34" s="10"/>
      <c r="HKT34" s="10"/>
      <c r="HKU34" s="10"/>
      <c r="HKV34" s="10"/>
      <c r="HKW34" s="10"/>
      <c r="HKX34" s="10"/>
      <c r="HKY34" s="10"/>
      <c r="HKZ34" s="10"/>
      <c r="HLA34" s="10"/>
      <c r="HLB34" s="10"/>
      <c r="HLC34" s="10"/>
      <c r="HLD34" s="10"/>
      <c r="HLE34" s="10"/>
      <c r="HLF34" s="10"/>
      <c r="HLG34" s="10"/>
      <c r="HLH34" s="10"/>
      <c r="HLI34" s="10"/>
      <c r="HLJ34" s="10"/>
      <c r="HLK34" s="10"/>
      <c r="HLL34" s="10"/>
      <c r="HLM34" s="10"/>
      <c r="HLN34" s="10"/>
      <c r="HLO34" s="10"/>
      <c r="HLP34" s="10"/>
      <c r="HLQ34" s="10"/>
      <c r="HLR34" s="10"/>
      <c r="HLS34" s="10"/>
      <c r="HLT34" s="10"/>
      <c r="HLU34" s="10"/>
      <c r="HLV34" s="10"/>
      <c r="HLW34" s="10"/>
      <c r="HLX34" s="10"/>
      <c r="HLY34" s="10"/>
      <c r="HLZ34" s="10"/>
      <c r="HMA34" s="10"/>
      <c r="HMB34" s="10"/>
      <c r="HMC34" s="10"/>
      <c r="HMD34" s="10"/>
      <c r="HME34" s="10"/>
      <c r="HMF34" s="10"/>
      <c r="HMG34" s="10"/>
      <c r="HMH34" s="10"/>
      <c r="HMI34" s="10"/>
      <c r="HMJ34" s="10"/>
      <c r="HMK34" s="10"/>
      <c r="HML34" s="10"/>
      <c r="HMM34" s="10"/>
      <c r="HMN34" s="10"/>
      <c r="HMO34" s="10"/>
      <c r="HMP34" s="10"/>
      <c r="HMQ34" s="10"/>
      <c r="HMR34" s="10"/>
      <c r="HMS34" s="10"/>
      <c r="HMT34" s="10"/>
      <c r="HMU34" s="10"/>
      <c r="HMV34" s="10"/>
      <c r="HMW34" s="10"/>
      <c r="HMX34" s="10"/>
      <c r="HMY34" s="10"/>
      <c r="HMZ34" s="10"/>
      <c r="HNA34" s="10"/>
      <c r="HNB34" s="10"/>
      <c r="HNC34" s="10"/>
      <c r="HND34" s="10"/>
      <c r="HNE34" s="10"/>
      <c r="HNF34" s="10"/>
      <c r="HNG34" s="10"/>
      <c r="HNH34" s="10"/>
      <c r="HNI34" s="10"/>
      <c r="HNJ34" s="10"/>
      <c r="HNK34" s="10"/>
      <c r="HNL34" s="10"/>
      <c r="HNM34" s="10"/>
      <c r="HNN34" s="10"/>
      <c r="HNO34" s="10"/>
      <c r="HNP34" s="10"/>
      <c r="HNQ34" s="10"/>
      <c r="HNR34" s="10"/>
      <c r="HNS34" s="10"/>
      <c r="HNT34" s="10"/>
      <c r="HNU34" s="10"/>
      <c r="HNV34" s="10"/>
      <c r="HNW34" s="10"/>
      <c r="HNX34" s="10"/>
      <c r="HNY34" s="10"/>
      <c r="HNZ34" s="10"/>
      <c r="HOA34" s="10"/>
      <c r="HOB34" s="10"/>
      <c r="HOC34" s="10"/>
      <c r="HOD34" s="10"/>
      <c r="HOE34" s="10"/>
      <c r="HOF34" s="10"/>
      <c r="HOG34" s="10"/>
      <c r="HOH34" s="10"/>
      <c r="HOI34" s="10"/>
      <c r="HOJ34" s="10"/>
      <c r="HOK34" s="10"/>
      <c r="HOL34" s="10"/>
      <c r="HOM34" s="10"/>
      <c r="HON34" s="10"/>
      <c r="HOO34" s="10"/>
      <c r="HOP34" s="10"/>
      <c r="HOQ34" s="10"/>
      <c r="HOR34" s="10"/>
      <c r="HOS34" s="10"/>
      <c r="HOT34" s="10"/>
      <c r="HOU34" s="10"/>
      <c r="HOV34" s="10"/>
      <c r="HOW34" s="10"/>
      <c r="HOX34" s="10"/>
      <c r="HOY34" s="10"/>
      <c r="HOZ34" s="10"/>
      <c r="HPA34" s="10"/>
      <c r="HPB34" s="10"/>
      <c r="HPC34" s="10"/>
      <c r="HPD34" s="10"/>
      <c r="HPE34" s="10"/>
      <c r="HPF34" s="10"/>
      <c r="HPG34" s="10"/>
      <c r="HPH34" s="10"/>
      <c r="HPI34" s="10"/>
      <c r="HPJ34" s="10"/>
      <c r="HPK34" s="10"/>
      <c r="HPL34" s="10"/>
      <c r="HPM34" s="10"/>
      <c r="HPN34" s="10"/>
      <c r="HPO34" s="10"/>
      <c r="HPP34" s="10"/>
      <c r="HPQ34" s="10"/>
      <c r="HPR34" s="10"/>
      <c r="HPS34" s="10"/>
      <c r="HPT34" s="10"/>
      <c r="HPU34" s="10"/>
      <c r="HPV34" s="10"/>
      <c r="HPW34" s="10"/>
      <c r="HPX34" s="10"/>
      <c r="HPY34" s="10"/>
      <c r="HPZ34" s="10"/>
      <c r="HQA34" s="10"/>
      <c r="HQB34" s="10"/>
      <c r="HQC34" s="10"/>
      <c r="HQD34" s="10"/>
      <c r="HQE34" s="10"/>
      <c r="HQF34" s="10"/>
      <c r="HQG34" s="10"/>
      <c r="HQH34" s="10"/>
      <c r="HQI34" s="10"/>
      <c r="HQJ34" s="10"/>
      <c r="HQK34" s="10"/>
      <c r="HQL34" s="10"/>
      <c r="HQM34" s="10"/>
      <c r="HQN34" s="10"/>
      <c r="HQO34" s="10"/>
      <c r="HQP34" s="10"/>
      <c r="HQQ34" s="10"/>
      <c r="HQR34" s="10"/>
      <c r="HQS34" s="10"/>
      <c r="HQT34" s="10"/>
      <c r="HQU34" s="10"/>
      <c r="HQV34" s="10"/>
      <c r="HQW34" s="10"/>
      <c r="HQX34" s="10"/>
      <c r="HQY34" s="10"/>
      <c r="HQZ34" s="10"/>
      <c r="HRA34" s="10"/>
      <c r="HRB34" s="10"/>
      <c r="HRC34" s="10"/>
      <c r="HRD34" s="10"/>
      <c r="HRE34" s="10"/>
      <c r="HRF34" s="10"/>
      <c r="HRG34" s="10"/>
      <c r="HRH34" s="10"/>
      <c r="HRI34" s="10"/>
      <c r="HRJ34" s="10"/>
      <c r="HRK34" s="10"/>
      <c r="HRL34" s="10"/>
      <c r="HRM34" s="10"/>
      <c r="HRN34" s="10"/>
      <c r="HRO34" s="10"/>
      <c r="HRP34" s="10"/>
      <c r="HRQ34" s="10"/>
      <c r="HRR34" s="10"/>
      <c r="HRS34" s="10"/>
      <c r="HRT34" s="10"/>
      <c r="HRU34" s="10"/>
      <c r="HRV34" s="10"/>
      <c r="HRW34" s="10"/>
      <c r="HRX34" s="10"/>
      <c r="HRY34" s="10"/>
      <c r="HRZ34" s="10"/>
      <c r="HSA34" s="10"/>
      <c r="HSB34" s="10"/>
      <c r="HSC34" s="10"/>
      <c r="HSD34" s="10"/>
      <c r="HSE34" s="10"/>
      <c r="HSF34" s="10"/>
      <c r="HSG34" s="10"/>
      <c r="HSH34" s="10"/>
      <c r="HSI34" s="10"/>
      <c r="HSJ34" s="10"/>
      <c r="HSK34" s="10"/>
      <c r="HSL34" s="10"/>
      <c r="HSM34" s="10"/>
      <c r="HSN34" s="10"/>
      <c r="HSO34" s="10"/>
      <c r="HSP34" s="10"/>
      <c r="HSQ34" s="10"/>
      <c r="HSR34" s="10"/>
      <c r="HSS34" s="10"/>
      <c r="HST34" s="10"/>
      <c r="HSU34" s="10"/>
      <c r="HSV34" s="10"/>
      <c r="HSW34" s="10"/>
      <c r="HSX34" s="10"/>
      <c r="HSY34" s="10"/>
      <c r="HSZ34" s="10"/>
      <c r="HTA34" s="10"/>
      <c r="HTB34" s="10"/>
      <c r="HTC34" s="10"/>
      <c r="HTD34" s="10"/>
      <c r="HTE34" s="10"/>
      <c r="HTF34" s="10"/>
      <c r="HTG34" s="10"/>
      <c r="HTH34" s="10"/>
      <c r="HTI34" s="10"/>
      <c r="HTJ34" s="10"/>
      <c r="HTK34" s="10"/>
      <c r="HTL34" s="10"/>
      <c r="HTM34" s="10"/>
      <c r="HTN34" s="10"/>
      <c r="HTO34" s="10"/>
      <c r="HTP34" s="10"/>
      <c r="HTQ34" s="10"/>
      <c r="HTR34" s="10"/>
      <c r="HTS34" s="10"/>
      <c r="HTT34" s="10"/>
      <c r="HTU34" s="10"/>
      <c r="HTV34" s="10"/>
      <c r="HTW34" s="10"/>
      <c r="HTX34" s="10"/>
      <c r="HTY34" s="10"/>
      <c r="HTZ34" s="10"/>
      <c r="HUA34" s="10"/>
      <c r="HUB34" s="10"/>
      <c r="HUC34" s="10"/>
      <c r="HUD34" s="10"/>
      <c r="HUE34" s="10"/>
      <c r="HUF34" s="10"/>
      <c r="HUG34" s="10"/>
      <c r="HUH34" s="10"/>
      <c r="HUI34" s="10"/>
      <c r="HUJ34" s="10"/>
      <c r="HUK34" s="10"/>
      <c r="HUL34" s="10"/>
      <c r="HUM34" s="10"/>
      <c r="HUN34" s="10"/>
      <c r="HUO34" s="10"/>
      <c r="HUP34" s="10"/>
      <c r="HUQ34" s="10"/>
      <c r="HUR34" s="10"/>
      <c r="HUS34" s="10"/>
      <c r="HUT34" s="10"/>
      <c r="HUU34" s="10"/>
      <c r="HUV34" s="10"/>
      <c r="HUW34" s="10"/>
      <c r="HUX34" s="10"/>
      <c r="HUY34" s="10"/>
      <c r="HUZ34" s="10"/>
      <c r="HVA34" s="10"/>
      <c r="HVB34" s="10"/>
      <c r="HVC34" s="10"/>
      <c r="HVD34" s="10"/>
      <c r="HVE34" s="10"/>
      <c r="HVF34" s="10"/>
      <c r="HVG34" s="10"/>
      <c r="HVH34" s="10"/>
      <c r="HVI34" s="10"/>
      <c r="HVJ34" s="10"/>
      <c r="HVK34" s="10"/>
      <c r="HVL34" s="10"/>
      <c r="HVM34" s="10"/>
      <c r="HVN34" s="10"/>
      <c r="HVO34" s="10"/>
      <c r="HVP34" s="10"/>
      <c r="HVQ34" s="10"/>
      <c r="HVR34" s="10"/>
      <c r="HVS34" s="10"/>
      <c r="HVT34" s="10"/>
      <c r="HVU34" s="10"/>
      <c r="HVV34" s="10"/>
      <c r="HVW34" s="10"/>
      <c r="HVX34" s="10"/>
      <c r="HVY34" s="10"/>
      <c r="HVZ34" s="10"/>
      <c r="HWA34" s="10"/>
      <c r="HWB34" s="10"/>
      <c r="HWC34" s="10"/>
      <c r="HWD34" s="10"/>
      <c r="HWE34" s="10"/>
      <c r="HWF34" s="10"/>
      <c r="HWG34" s="10"/>
      <c r="HWH34" s="10"/>
      <c r="HWI34" s="10"/>
      <c r="HWJ34" s="10"/>
      <c r="HWK34" s="10"/>
      <c r="HWL34" s="10"/>
      <c r="HWM34" s="10"/>
      <c r="HWN34" s="10"/>
      <c r="HWO34" s="10"/>
      <c r="HWP34" s="10"/>
      <c r="HWQ34" s="10"/>
      <c r="HWR34" s="10"/>
      <c r="HWS34" s="10"/>
      <c r="HWT34" s="10"/>
      <c r="HWU34" s="10"/>
      <c r="HWV34" s="10"/>
      <c r="HWW34" s="10"/>
      <c r="HWX34" s="10"/>
      <c r="HWY34" s="10"/>
      <c r="HWZ34" s="10"/>
      <c r="HXA34" s="10"/>
      <c r="HXB34" s="10"/>
      <c r="HXC34" s="10"/>
      <c r="HXD34" s="10"/>
      <c r="HXE34" s="10"/>
      <c r="HXF34" s="10"/>
      <c r="HXG34" s="10"/>
      <c r="HXH34" s="10"/>
      <c r="HXI34" s="10"/>
      <c r="HXJ34" s="10"/>
      <c r="HXK34" s="10"/>
      <c r="HXL34" s="10"/>
      <c r="HXM34" s="10"/>
      <c r="HXN34" s="10"/>
      <c r="HXO34" s="10"/>
      <c r="HXP34" s="10"/>
      <c r="HXQ34" s="10"/>
      <c r="HXR34" s="10"/>
      <c r="HXS34" s="10"/>
      <c r="HXT34" s="10"/>
      <c r="HXU34" s="10"/>
      <c r="HXV34" s="10"/>
      <c r="HXW34" s="10"/>
      <c r="HXX34" s="10"/>
      <c r="HXY34" s="10"/>
      <c r="HXZ34" s="10"/>
      <c r="HYA34" s="10"/>
      <c r="HYB34" s="10"/>
      <c r="HYC34" s="10"/>
      <c r="HYD34" s="10"/>
      <c r="HYE34" s="10"/>
      <c r="HYF34" s="10"/>
      <c r="HYG34" s="10"/>
      <c r="HYH34" s="10"/>
      <c r="HYI34" s="10"/>
      <c r="HYJ34" s="10"/>
      <c r="HYK34" s="10"/>
      <c r="HYL34" s="10"/>
      <c r="HYM34" s="10"/>
      <c r="HYN34" s="10"/>
      <c r="HYO34" s="10"/>
      <c r="HYP34" s="10"/>
      <c r="HYQ34" s="10"/>
      <c r="HYR34" s="10"/>
      <c r="HYS34" s="10"/>
      <c r="HYT34" s="10"/>
      <c r="HYU34" s="10"/>
      <c r="HYV34" s="10"/>
      <c r="HYW34" s="10"/>
      <c r="HYX34" s="10"/>
      <c r="HYY34" s="10"/>
      <c r="HYZ34" s="10"/>
      <c r="HZA34" s="10"/>
      <c r="HZB34" s="10"/>
      <c r="HZC34" s="10"/>
      <c r="HZD34" s="10"/>
      <c r="HZE34" s="10"/>
      <c r="HZF34" s="10"/>
      <c r="HZG34" s="10"/>
      <c r="HZH34" s="10"/>
      <c r="HZI34" s="10"/>
      <c r="HZJ34" s="10"/>
      <c r="HZK34" s="10"/>
      <c r="HZL34" s="10"/>
      <c r="HZM34" s="10"/>
      <c r="HZN34" s="10"/>
      <c r="HZO34" s="10"/>
      <c r="HZP34" s="10"/>
      <c r="HZQ34" s="10"/>
      <c r="HZR34" s="10"/>
      <c r="HZS34" s="10"/>
      <c r="HZT34" s="10"/>
      <c r="HZU34" s="10"/>
      <c r="HZV34" s="10"/>
      <c r="HZW34" s="10"/>
      <c r="HZX34" s="10"/>
      <c r="HZY34" s="10"/>
      <c r="HZZ34" s="10"/>
      <c r="IAA34" s="10"/>
      <c r="IAB34" s="10"/>
      <c r="IAC34" s="10"/>
      <c r="IAD34" s="10"/>
      <c r="IAE34" s="10"/>
      <c r="IAF34" s="10"/>
      <c r="IAG34" s="10"/>
      <c r="IAH34" s="10"/>
      <c r="IAI34" s="10"/>
      <c r="IAJ34" s="10"/>
      <c r="IAK34" s="10"/>
      <c r="IAL34" s="10"/>
      <c r="IAM34" s="10"/>
      <c r="IAN34" s="10"/>
      <c r="IAO34" s="10"/>
      <c r="IAP34" s="10"/>
      <c r="IAQ34" s="10"/>
      <c r="IAR34" s="10"/>
      <c r="IAS34" s="10"/>
      <c r="IAT34" s="10"/>
      <c r="IAU34" s="10"/>
      <c r="IAV34" s="10"/>
      <c r="IAW34" s="10"/>
      <c r="IAX34" s="10"/>
      <c r="IAY34" s="10"/>
      <c r="IAZ34" s="10"/>
      <c r="IBA34" s="10"/>
      <c r="IBB34" s="10"/>
      <c r="IBC34" s="10"/>
      <c r="IBD34" s="10"/>
      <c r="IBE34" s="10"/>
      <c r="IBF34" s="10"/>
      <c r="IBG34" s="10"/>
      <c r="IBH34" s="10"/>
      <c r="IBI34" s="10"/>
      <c r="IBJ34" s="10"/>
      <c r="IBK34" s="10"/>
      <c r="IBL34" s="10"/>
      <c r="IBM34" s="10"/>
      <c r="IBN34" s="10"/>
      <c r="IBO34" s="10"/>
      <c r="IBP34" s="10"/>
      <c r="IBQ34" s="10"/>
      <c r="IBR34" s="10"/>
      <c r="IBS34" s="10"/>
      <c r="IBT34" s="10"/>
      <c r="IBU34" s="10"/>
      <c r="IBV34" s="10"/>
      <c r="IBW34" s="10"/>
      <c r="IBX34" s="10"/>
      <c r="IBY34" s="10"/>
      <c r="IBZ34" s="10"/>
      <c r="ICA34" s="10"/>
      <c r="ICB34" s="10"/>
      <c r="ICC34" s="10"/>
      <c r="ICD34" s="10"/>
      <c r="ICE34" s="10"/>
      <c r="ICF34" s="10"/>
      <c r="ICG34" s="10"/>
      <c r="ICH34" s="10"/>
      <c r="ICI34" s="10"/>
      <c r="ICJ34" s="10"/>
      <c r="ICK34" s="10"/>
      <c r="ICL34" s="10"/>
      <c r="ICM34" s="10"/>
      <c r="ICN34" s="10"/>
      <c r="ICO34" s="10"/>
      <c r="ICP34" s="10"/>
      <c r="ICQ34" s="10"/>
      <c r="ICR34" s="10"/>
      <c r="ICS34" s="10"/>
      <c r="ICT34" s="10"/>
      <c r="ICU34" s="10"/>
      <c r="ICV34" s="10"/>
      <c r="ICW34" s="10"/>
      <c r="ICX34" s="10"/>
      <c r="ICY34" s="10"/>
      <c r="ICZ34" s="10"/>
      <c r="IDA34" s="10"/>
      <c r="IDB34" s="10"/>
      <c r="IDC34" s="10"/>
      <c r="IDD34" s="10"/>
      <c r="IDE34" s="10"/>
      <c r="IDF34" s="10"/>
      <c r="IDG34" s="10"/>
      <c r="IDH34" s="10"/>
      <c r="IDI34" s="10"/>
      <c r="IDJ34" s="10"/>
      <c r="IDK34" s="10"/>
      <c r="IDL34" s="10"/>
      <c r="IDM34" s="10"/>
      <c r="IDN34" s="10"/>
      <c r="IDO34" s="10"/>
      <c r="IDP34" s="10"/>
      <c r="IDQ34" s="10"/>
      <c r="IDR34" s="10"/>
      <c r="IDS34" s="10"/>
      <c r="IDT34" s="10"/>
      <c r="IDU34" s="10"/>
      <c r="IDV34" s="10"/>
      <c r="IDW34" s="10"/>
      <c r="IDX34" s="10"/>
      <c r="IDY34" s="10"/>
      <c r="IDZ34" s="10"/>
      <c r="IEA34" s="10"/>
      <c r="IEB34" s="10"/>
      <c r="IEC34" s="10"/>
      <c r="IED34" s="10"/>
      <c r="IEE34" s="10"/>
      <c r="IEF34" s="10"/>
      <c r="IEG34" s="10"/>
      <c r="IEH34" s="10"/>
      <c r="IEI34" s="10"/>
      <c r="IEJ34" s="10"/>
      <c r="IEK34" s="10"/>
      <c r="IEL34" s="10"/>
      <c r="IEM34" s="10"/>
      <c r="IEN34" s="10"/>
      <c r="IEO34" s="10"/>
      <c r="IEP34" s="10"/>
      <c r="IEQ34" s="10"/>
      <c r="IER34" s="10"/>
      <c r="IES34" s="10"/>
      <c r="IET34" s="10"/>
      <c r="IEU34" s="10"/>
      <c r="IEV34" s="10"/>
      <c r="IEW34" s="10"/>
      <c r="IEX34" s="10"/>
      <c r="IEY34" s="10"/>
      <c r="IEZ34" s="10"/>
      <c r="IFA34" s="10"/>
      <c r="IFB34" s="10"/>
      <c r="IFC34" s="10"/>
      <c r="IFD34" s="10"/>
      <c r="IFE34" s="10"/>
      <c r="IFF34" s="10"/>
      <c r="IFG34" s="10"/>
      <c r="IFH34" s="10"/>
      <c r="IFI34" s="10"/>
      <c r="IFJ34" s="10"/>
      <c r="IFK34" s="10"/>
      <c r="IFL34" s="10"/>
      <c r="IFM34" s="10"/>
      <c r="IFN34" s="10"/>
      <c r="IFO34" s="10"/>
      <c r="IFP34" s="10"/>
      <c r="IFQ34" s="10"/>
      <c r="IFR34" s="10"/>
      <c r="IFS34" s="10"/>
      <c r="IFT34" s="10"/>
      <c r="IFU34" s="10"/>
      <c r="IFV34" s="10"/>
      <c r="IFW34" s="10"/>
      <c r="IFX34" s="10"/>
      <c r="IFY34" s="10"/>
      <c r="IFZ34" s="10"/>
      <c r="IGA34" s="10"/>
      <c r="IGB34" s="10"/>
      <c r="IGC34" s="10"/>
      <c r="IGD34" s="10"/>
      <c r="IGE34" s="10"/>
      <c r="IGF34" s="10"/>
      <c r="IGG34" s="10"/>
      <c r="IGH34" s="10"/>
      <c r="IGI34" s="10"/>
      <c r="IGJ34" s="10"/>
      <c r="IGK34" s="10"/>
      <c r="IGL34" s="10"/>
      <c r="IGM34" s="10"/>
      <c r="IGN34" s="10"/>
      <c r="IGO34" s="10"/>
      <c r="IGP34" s="10"/>
      <c r="IGQ34" s="10"/>
      <c r="IGR34" s="10"/>
      <c r="IGS34" s="10"/>
      <c r="IGT34" s="10"/>
      <c r="IGU34" s="10"/>
      <c r="IGV34" s="10"/>
      <c r="IGW34" s="10"/>
      <c r="IGX34" s="10"/>
      <c r="IGY34" s="10"/>
      <c r="IGZ34" s="10"/>
      <c r="IHA34" s="10"/>
      <c r="IHB34" s="10"/>
      <c r="IHC34" s="10"/>
      <c r="IHD34" s="10"/>
      <c r="IHE34" s="10"/>
      <c r="IHF34" s="10"/>
      <c r="IHG34" s="10"/>
      <c r="IHH34" s="10"/>
      <c r="IHI34" s="10"/>
      <c r="IHJ34" s="10"/>
      <c r="IHK34" s="10"/>
      <c r="IHL34" s="10"/>
      <c r="IHM34" s="10"/>
      <c r="IHN34" s="10"/>
      <c r="IHO34" s="10"/>
      <c r="IHP34" s="10"/>
      <c r="IHQ34" s="10"/>
      <c r="IHR34" s="10"/>
      <c r="IHS34" s="10"/>
      <c r="IHT34" s="10"/>
      <c r="IHU34" s="10"/>
      <c r="IHV34" s="10"/>
      <c r="IHW34" s="10"/>
      <c r="IHX34" s="10"/>
      <c r="IHY34" s="10"/>
      <c r="IHZ34" s="10"/>
      <c r="IIA34" s="10"/>
      <c r="IIB34" s="10"/>
      <c r="IIC34" s="10"/>
      <c r="IID34" s="10"/>
      <c r="IIE34" s="10"/>
      <c r="IIF34" s="10"/>
      <c r="IIG34" s="10"/>
      <c r="IIH34" s="10"/>
      <c r="III34" s="10"/>
      <c r="IIJ34" s="10"/>
      <c r="IIK34" s="10"/>
      <c r="IIL34" s="10"/>
      <c r="IIM34" s="10"/>
      <c r="IIN34" s="10"/>
      <c r="IIO34" s="10"/>
      <c r="IIP34" s="10"/>
      <c r="IIQ34" s="10"/>
      <c r="IIR34" s="10"/>
      <c r="IIS34" s="10"/>
      <c r="IIT34" s="10"/>
      <c r="IIU34" s="10"/>
      <c r="IIV34" s="10"/>
      <c r="IIW34" s="10"/>
      <c r="IIX34" s="10"/>
      <c r="IIY34" s="10"/>
      <c r="IIZ34" s="10"/>
      <c r="IJA34" s="10"/>
      <c r="IJB34" s="10"/>
      <c r="IJC34" s="10"/>
      <c r="IJD34" s="10"/>
      <c r="IJE34" s="10"/>
      <c r="IJF34" s="10"/>
      <c r="IJG34" s="10"/>
      <c r="IJH34" s="10"/>
      <c r="IJI34" s="10"/>
      <c r="IJJ34" s="10"/>
      <c r="IJK34" s="10"/>
      <c r="IJL34" s="10"/>
      <c r="IJM34" s="10"/>
      <c r="IJN34" s="10"/>
      <c r="IJO34" s="10"/>
      <c r="IJP34" s="10"/>
      <c r="IJQ34" s="10"/>
      <c r="IJR34" s="10"/>
      <c r="IJS34" s="10"/>
      <c r="IJT34" s="10"/>
      <c r="IJU34" s="10"/>
      <c r="IJV34" s="10"/>
      <c r="IJW34" s="10"/>
      <c r="IJX34" s="10"/>
      <c r="IJY34" s="10"/>
      <c r="IJZ34" s="10"/>
      <c r="IKA34" s="10"/>
      <c r="IKB34" s="10"/>
      <c r="IKC34" s="10"/>
      <c r="IKD34" s="10"/>
      <c r="IKE34" s="10"/>
      <c r="IKF34" s="10"/>
      <c r="IKG34" s="10"/>
      <c r="IKH34" s="10"/>
      <c r="IKI34" s="10"/>
      <c r="IKJ34" s="10"/>
      <c r="IKK34" s="10"/>
      <c r="IKL34" s="10"/>
      <c r="IKM34" s="10"/>
      <c r="IKN34" s="10"/>
      <c r="IKO34" s="10"/>
      <c r="IKP34" s="10"/>
      <c r="IKQ34" s="10"/>
      <c r="IKR34" s="10"/>
      <c r="IKS34" s="10"/>
      <c r="IKT34" s="10"/>
      <c r="IKU34" s="10"/>
      <c r="IKV34" s="10"/>
      <c r="IKW34" s="10"/>
      <c r="IKX34" s="10"/>
      <c r="IKY34" s="10"/>
      <c r="IKZ34" s="10"/>
      <c r="ILA34" s="10"/>
      <c r="ILB34" s="10"/>
      <c r="ILC34" s="10"/>
      <c r="ILD34" s="10"/>
      <c r="ILE34" s="10"/>
      <c r="ILF34" s="10"/>
      <c r="ILG34" s="10"/>
      <c r="ILH34" s="10"/>
      <c r="ILI34" s="10"/>
      <c r="ILJ34" s="10"/>
      <c r="ILK34" s="10"/>
      <c r="ILL34" s="10"/>
      <c r="ILM34" s="10"/>
      <c r="ILN34" s="10"/>
      <c r="ILO34" s="10"/>
      <c r="ILP34" s="10"/>
      <c r="ILQ34" s="10"/>
      <c r="ILR34" s="10"/>
      <c r="ILS34" s="10"/>
      <c r="ILT34" s="10"/>
      <c r="ILU34" s="10"/>
      <c r="ILV34" s="10"/>
      <c r="ILW34" s="10"/>
      <c r="ILX34" s="10"/>
      <c r="ILY34" s="10"/>
      <c r="ILZ34" s="10"/>
      <c r="IMA34" s="10"/>
      <c r="IMB34" s="10"/>
      <c r="IMC34" s="10"/>
      <c r="IMD34" s="10"/>
      <c r="IME34" s="10"/>
      <c r="IMF34" s="10"/>
      <c r="IMG34" s="10"/>
      <c r="IMH34" s="10"/>
      <c r="IMI34" s="10"/>
      <c r="IMJ34" s="10"/>
      <c r="IMK34" s="10"/>
      <c r="IML34" s="10"/>
      <c r="IMM34" s="10"/>
      <c r="IMN34" s="10"/>
      <c r="IMO34" s="10"/>
      <c r="IMP34" s="10"/>
      <c r="IMQ34" s="10"/>
      <c r="IMR34" s="10"/>
      <c r="IMS34" s="10"/>
      <c r="IMT34" s="10"/>
      <c r="IMU34" s="10"/>
      <c r="IMV34" s="10"/>
      <c r="IMW34" s="10"/>
      <c r="IMX34" s="10"/>
      <c r="IMY34" s="10"/>
      <c r="IMZ34" s="10"/>
      <c r="INA34" s="10"/>
      <c r="INB34" s="10"/>
      <c r="INC34" s="10"/>
      <c r="IND34" s="10"/>
      <c r="INE34" s="10"/>
      <c r="INF34" s="10"/>
      <c r="ING34" s="10"/>
      <c r="INH34" s="10"/>
      <c r="INI34" s="10"/>
      <c r="INJ34" s="10"/>
      <c r="INK34" s="10"/>
      <c r="INL34" s="10"/>
      <c r="INM34" s="10"/>
      <c r="INN34" s="10"/>
      <c r="INO34" s="10"/>
      <c r="INP34" s="10"/>
      <c r="INQ34" s="10"/>
      <c r="INR34" s="10"/>
      <c r="INS34" s="10"/>
      <c r="INT34" s="10"/>
      <c r="INU34" s="10"/>
      <c r="INV34" s="10"/>
      <c r="INW34" s="10"/>
      <c r="INX34" s="10"/>
      <c r="INY34" s="10"/>
      <c r="INZ34" s="10"/>
      <c r="IOA34" s="10"/>
      <c r="IOB34" s="10"/>
      <c r="IOC34" s="10"/>
      <c r="IOD34" s="10"/>
      <c r="IOE34" s="10"/>
      <c r="IOF34" s="10"/>
      <c r="IOG34" s="10"/>
      <c r="IOH34" s="10"/>
      <c r="IOI34" s="10"/>
      <c r="IOJ34" s="10"/>
      <c r="IOK34" s="10"/>
      <c r="IOL34" s="10"/>
      <c r="IOM34" s="10"/>
      <c r="ION34" s="10"/>
      <c r="IOO34" s="10"/>
      <c r="IOP34" s="10"/>
      <c r="IOQ34" s="10"/>
      <c r="IOR34" s="10"/>
      <c r="IOS34" s="10"/>
      <c r="IOT34" s="10"/>
      <c r="IOU34" s="10"/>
      <c r="IOV34" s="10"/>
      <c r="IOW34" s="10"/>
      <c r="IOX34" s="10"/>
      <c r="IOY34" s="10"/>
      <c r="IOZ34" s="10"/>
      <c r="IPA34" s="10"/>
      <c r="IPB34" s="10"/>
      <c r="IPC34" s="10"/>
      <c r="IPD34" s="10"/>
      <c r="IPE34" s="10"/>
      <c r="IPF34" s="10"/>
      <c r="IPG34" s="10"/>
      <c r="IPH34" s="10"/>
      <c r="IPI34" s="10"/>
      <c r="IPJ34" s="10"/>
      <c r="IPK34" s="10"/>
      <c r="IPL34" s="10"/>
      <c r="IPM34" s="10"/>
      <c r="IPN34" s="10"/>
      <c r="IPO34" s="10"/>
      <c r="IPP34" s="10"/>
      <c r="IPQ34" s="10"/>
      <c r="IPR34" s="10"/>
      <c r="IPS34" s="10"/>
      <c r="IPT34" s="10"/>
      <c r="IPU34" s="10"/>
      <c r="IPV34" s="10"/>
      <c r="IPW34" s="10"/>
      <c r="IPX34" s="10"/>
      <c r="IPY34" s="10"/>
      <c r="IPZ34" s="10"/>
      <c r="IQA34" s="10"/>
      <c r="IQB34" s="10"/>
      <c r="IQC34" s="10"/>
      <c r="IQD34" s="10"/>
      <c r="IQE34" s="10"/>
      <c r="IQF34" s="10"/>
      <c r="IQG34" s="10"/>
      <c r="IQH34" s="10"/>
      <c r="IQI34" s="10"/>
      <c r="IQJ34" s="10"/>
      <c r="IQK34" s="10"/>
      <c r="IQL34" s="10"/>
      <c r="IQM34" s="10"/>
      <c r="IQN34" s="10"/>
      <c r="IQO34" s="10"/>
      <c r="IQP34" s="10"/>
      <c r="IQQ34" s="10"/>
      <c r="IQR34" s="10"/>
      <c r="IQS34" s="10"/>
      <c r="IQT34" s="10"/>
      <c r="IQU34" s="10"/>
      <c r="IQV34" s="10"/>
      <c r="IQW34" s="10"/>
      <c r="IQX34" s="10"/>
      <c r="IQY34" s="10"/>
      <c r="IQZ34" s="10"/>
      <c r="IRA34" s="10"/>
      <c r="IRB34" s="10"/>
      <c r="IRC34" s="10"/>
      <c r="IRD34" s="10"/>
      <c r="IRE34" s="10"/>
      <c r="IRF34" s="10"/>
      <c r="IRG34" s="10"/>
      <c r="IRH34" s="10"/>
      <c r="IRI34" s="10"/>
      <c r="IRJ34" s="10"/>
      <c r="IRK34" s="10"/>
      <c r="IRL34" s="10"/>
      <c r="IRM34" s="10"/>
      <c r="IRN34" s="10"/>
      <c r="IRO34" s="10"/>
      <c r="IRP34" s="10"/>
      <c r="IRQ34" s="10"/>
      <c r="IRR34" s="10"/>
      <c r="IRS34" s="10"/>
      <c r="IRT34" s="10"/>
      <c r="IRU34" s="10"/>
      <c r="IRV34" s="10"/>
      <c r="IRW34" s="10"/>
      <c r="IRX34" s="10"/>
      <c r="IRY34" s="10"/>
      <c r="IRZ34" s="10"/>
      <c r="ISA34" s="10"/>
      <c r="ISB34" s="10"/>
      <c r="ISC34" s="10"/>
      <c r="ISD34" s="10"/>
      <c r="ISE34" s="10"/>
      <c r="ISF34" s="10"/>
      <c r="ISG34" s="10"/>
      <c r="ISH34" s="10"/>
      <c r="ISI34" s="10"/>
      <c r="ISJ34" s="10"/>
      <c r="ISK34" s="10"/>
      <c r="ISL34" s="10"/>
      <c r="ISM34" s="10"/>
      <c r="ISN34" s="10"/>
      <c r="ISO34" s="10"/>
      <c r="ISP34" s="10"/>
      <c r="ISQ34" s="10"/>
      <c r="ISR34" s="10"/>
      <c r="ISS34" s="10"/>
      <c r="IST34" s="10"/>
      <c r="ISU34" s="10"/>
      <c r="ISV34" s="10"/>
      <c r="ISW34" s="10"/>
      <c r="ISX34" s="10"/>
      <c r="ISY34" s="10"/>
      <c r="ISZ34" s="10"/>
      <c r="ITA34" s="10"/>
      <c r="ITB34" s="10"/>
      <c r="ITC34" s="10"/>
      <c r="ITD34" s="10"/>
      <c r="ITE34" s="10"/>
      <c r="ITF34" s="10"/>
      <c r="ITG34" s="10"/>
      <c r="ITH34" s="10"/>
      <c r="ITI34" s="10"/>
      <c r="ITJ34" s="10"/>
      <c r="ITK34" s="10"/>
      <c r="ITL34" s="10"/>
      <c r="ITM34" s="10"/>
      <c r="ITN34" s="10"/>
      <c r="ITO34" s="10"/>
      <c r="ITP34" s="10"/>
      <c r="ITQ34" s="10"/>
      <c r="ITR34" s="10"/>
      <c r="ITS34" s="10"/>
      <c r="ITT34" s="10"/>
      <c r="ITU34" s="10"/>
      <c r="ITV34" s="10"/>
      <c r="ITW34" s="10"/>
      <c r="ITX34" s="10"/>
      <c r="ITY34" s="10"/>
      <c r="ITZ34" s="10"/>
      <c r="IUA34" s="10"/>
      <c r="IUB34" s="10"/>
      <c r="IUC34" s="10"/>
      <c r="IUD34" s="10"/>
      <c r="IUE34" s="10"/>
      <c r="IUF34" s="10"/>
      <c r="IUG34" s="10"/>
      <c r="IUH34" s="10"/>
      <c r="IUI34" s="10"/>
      <c r="IUJ34" s="10"/>
      <c r="IUK34" s="10"/>
      <c r="IUL34" s="10"/>
      <c r="IUM34" s="10"/>
      <c r="IUN34" s="10"/>
      <c r="IUO34" s="10"/>
      <c r="IUP34" s="10"/>
      <c r="IUQ34" s="10"/>
      <c r="IUR34" s="10"/>
      <c r="IUS34" s="10"/>
      <c r="IUT34" s="10"/>
      <c r="IUU34" s="10"/>
      <c r="IUV34" s="10"/>
      <c r="IUW34" s="10"/>
      <c r="IUX34" s="10"/>
      <c r="IUY34" s="10"/>
      <c r="IUZ34" s="10"/>
      <c r="IVA34" s="10"/>
      <c r="IVB34" s="10"/>
      <c r="IVC34" s="10"/>
      <c r="IVD34" s="10"/>
      <c r="IVE34" s="10"/>
      <c r="IVF34" s="10"/>
      <c r="IVG34" s="10"/>
      <c r="IVH34" s="10"/>
      <c r="IVI34" s="10"/>
      <c r="IVJ34" s="10"/>
      <c r="IVK34" s="10"/>
      <c r="IVL34" s="10"/>
      <c r="IVM34" s="10"/>
      <c r="IVN34" s="10"/>
      <c r="IVO34" s="10"/>
      <c r="IVP34" s="10"/>
      <c r="IVQ34" s="10"/>
      <c r="IVR34" s="10"/>
      <c r="IVS34" s="10"/>
      <c r="IVT34" s="10"/>
      <c r="IVU34" s="10"/>
      <c r="IVV34" s="10"/>
      <c r="IVW34" s="10"/>
      <c r="IVX34" s="10"/>
      <c r="IVY34" s="10"/>
      <c r="IVZ34" s="10"/>
      <c r="IWA34" s="10"/>
      <c r="IWB34" s="10"/>
      <c r="IWC34" s="10"/>
      <c r="IWD34" s="10"/>
      <c r="IWE34" s="10"/>
      <c r="IWF34" s="10"/>
      <c r="IWG34" s="10"/>
      <c r="IWH34" s="10"/>
      <c r="IWI34" s="10"/>
      <c r="IWJ34" s="10"/>
      <c r="IWK34" s="10"/>
      <c r="IWL34" s="10"/>
      <c r="IWM34" s="10"/>
      <c r="IWN34" s="10"/>
      <c r="IWO34" s="10"/>
      <c r="IWP34" s="10"/>
      <c r="IWQ34" s="10"/>
      <c r="IWR34" s="10"/>
      <c r="IWS34" s="10"/>
      <c r="IWT34" s="10"/>
      <c r="IWU34" s="10"/>
      <c r="IWV34" s="10"/>
      <c r="IWW34" s="10"/>
      <c r="IWX34" s="10"/>
      <c r="IWY34" s="10"/>
      <c r="IWZ34" s="10"/>
      <c r="IXA34" s="10"/>
      <c r="IXB34" s="10"/>
      <c r="IXC34" s="10"/>
      <c r="IXD34" s="10"/>
      <c r="IXE34" s="10"/>
      <c r="IXF34" s="10"/>
      <c r="IXG34" s="10"/>
      <c r="IXH34" s="10"/>
      <c r="IXI34" s="10"/>
      <c r="IXJ34" s="10"/>
      <c r="IXK34" s="10"/>
      <c r="IXL34" s="10"/>
      <c r="IXM34" s="10"/>
      <c r="IXN34" s="10"/>
      <c r="IXO34" s="10"/>
      <c r="IXP34" s="10"/>
      <c r="IXQ34" s="10"/>
      <c r="IXR34" s="10"/>
      <c r="IXS34" s="10"/>
      <c r="IXT34" s="10"/>
      <c r="IXU34" s="10"/>
      <c r="IXV34" s="10"/>
      <c r="IXW34" s="10"/>
      <c r="IXX34" s="10"/>
      <c r="IXY34" s="10"/>
      <c r="IXZ34" s="10"/>
      <c r="IYA34" s="10"/>
      <c r="IYB34" s="10"/>
      <c r="IYC34" s="10"/>
      <c r="IYD34" s="10"/>
      <c r="IYE34" s="10"/>
      <c r="IYF34" s="10"/>
      <c r="IYG34" s="10"/>
      <c r="IYH34" s="10"/>
      <c r="IYI34" s="10"/>
      <c r="IYJ34" s="10"/>
      <c r="IYK34" s="10"/>
      <c r="IYL34" s="10"/>
      <c r="IYM34" s="10"/>
      <c r="IYN34" s="10"/>
      <c r="IYO34" s="10"/>
      <c r="IYP34" s="10"/>
      <c r="IYQ34" s="10"/>
      <c r="IYR34" s="10"/>
      <c r="IYS34" s="10"/>
      <c r="IYT34" s="10"/>
      <c r="IYU34" s="10"/>
      <c r="IYV34" s="10"/>
      <c r="IYW34" s="10"/>
      <c r="IYX34" s="10"/>
      <c r="IYY34" s="10"/>
      <c r="IYZ34" s="10"/>
      <c r="IZA34" s="10"/>
      <c r="IZB34" s="10"/>
      <c r="IZC34" s="10"/>
      <c r="IZD34" s="10"/>
      <c r="IZE34" s="10"/>
      <c r="IZF34" s="10"/>
      <c r="IZG34" s="10"/>
      <c r="IZH34" s="10"/>
      <c r="IZI34" s="10"/>
      <c r="IZJ34" s="10"/>
      <c r="IZK34" s="10"/>
      <c r="IZL34" s="10"/>
      <c r="IZM34" s="10"/>
      <c r="IZN34" s="10"/>
      <c r="IZO34" s="10"/>
      <c r="IZP34" s="10"/>
      <c r="IZQ34" s="10"/>
      <c r="IZR34" s="10"/>
      <c r="IZS34" s="10"/>
      <c r="IZT34" s="10"/>
      <c r="IZU34" s="10"/>
      <c r="IZV34" s="10"/>
      <c r="IZW34" s="10"/>
      <c r="IZX34" s="10"/>
      <c r="IZY34" s="10"/>
      <c r="IZZ34" s="10"/>
      <c r="JAA34" s="10"/>
      <c r="JAB34" s="10"/>
      <c r="JAC34" s="10"/>
      <c r="JAD34" s="10"/>
      <c r="JAE34" s="10"/>
      <c r="JAF34" s="10"/>
      <c r="JAG34" s="10"/>
      <c r="JAH34" s="10"/>
      <c r="JAI34" s="10"/>
      <c r="JAJ34" s="10"/>
      <c r="JAK34" s="10"/>
      <c r="JAL34" s="10"/>
      <c r="JAM34" s="10"/>
      <c r="JAN34" s="10"/>
      <c r="JAO34" s="10"/>
      <c r="JAP34" s="10"/>
      <c r="JAQ34" s="10"/>
      <c r="JAR34" s="10"/>
      <c r="JAS34" s="10"/>
      <c r="JAT34" s="10"/>
      <c r="JAU34" s="10"/>
      <c r="JAV34" s="10"/>
      <c r="JAW34" s="10"/>
      <c r="JAX34" s="10"/>
      <c r="JAY34" s="10"/>
      <c r="JAZ34" s="10"/>
      <c r="JBA34" s="10"/>
      <c r="JBB34" s="10"/>
      <c r="JBC34" s="10"/>
      <c r="JBD34" s="10"/>
      <c r="JBE34" s="10"/>
      <c r="JBF34" s="10"/>
      <c r="JBG34" s="10"/>
      <c r="JBH34" s="10"/>
      <c r="JBI34" s="10"/>
      <c r="JBJ34" s="10"/>
      <c r="JBK34" s="10"/>
      <c r="JBL34" s="10"/>
      <c r="JBM34" s="10"/>
      <c r="JBN34" s="10"/>
      <c r="JBO34" s="10"/>
      <c r="JBP34" s="10"/>
      <c r="JBQ34" s="10"/>
      <c r="JBR34" s="10"/>
      <c r="JBS34" s="10"/>
      <c r="JBT34" s="10"/>
      <c r="JBU34" s="10"/>
      <c r="JBV34" s="10"/>
      <c r="JBW34" s="10"/>
      <c r="JBX34" s="10"/>
      <c r="JBY34" s="10"/>
      <c r="JBZ34" s="10"/>
      <c r="JCA34" s="10"/>
      <c r="JCB34" s="10"/>
      <c r="JCC34" s="10"/>
      <c r="JCD34" s="10"/>
      <c r="JCE34" s="10"/>
      <c r="JCF34" s="10"/>
      <c r="JCG34" s="10"/>
      <c r="JCH34" s="10"/>
      <c r="JCI34" s="10"/>
      <c r="JCJ34" s="10"/>
      <c r="JCK34" s="10"/>
      <c r="JCL34" s="10"/>
      <c r="JCM34" s="10"/>
      <c r="JCN34" s="10"/>
      <c r="JCO34" s="10"/>
      <c r="JCP34" s="10"/>
      <c r="JCQ34" s="10"/>
      <c r="JCR34" s="10"/>
      <c r="JCS34" s="10"/>
      <c r="JCT34" s="10"/>
      <c r="JCU34" s="10"/>
      <c r="JCV34" s="10"/>
      <c r="JCW34" s="10"/>
      <c r="JCX34" s="10"/>
      <c r="JCY34" s="10"/>
      <c r="JCZ34" s="10"/>
      <c r="JDA34" s="10"/>
      <c r="JDB34" s="10"/>
      <c r="JDC34" s="10"/>
      <c r="JDD34" s="10"/>
      <c r="JDE34" s="10"/>
      <c r="JDF34" s="10"/>
      <c r="JDG34" s="10"/>
      <c r="JDH34" s="10"/>
      <c r="JDI34" s="10"/>
      <c r="JDJ34" s="10"/>
      <c r="JDK34" s="10"/>
      <c r="JDL34" s="10"/>
      <c r="JDM34" s="10"/>
      <c r="JDN34" s="10"/>
      <c r="JDO34" s="10"/>
      <c r="JDP34" s="10"/>
      <c r="JDQ34" s="10"/>
      <c r="JDR34" s="10"/>
      <c r="JDS34" s="10"/>
      <c r="JDT34" s="10"/>
      <c r="JDU34" s="10"/>
      <c r="JDV34" s="10"/>
      <c r="JDW34" s="10"/>
      <c r="JDX34" s="10"/>
      <c r="JDY34" s="10"/>
      <c r="JDZ34" s="10"/>
      <c r="JEA34" s="10"/>
      <c r="JEB34" s="10"/>
      <c r="JEC34" s="10"/>
      <c r="JED34" s="10"/>
      <c r="JEE34" s="10"/>
      <c r="JEF34" s="10"/>
      <c r="JEG34" s="10"/>
      <c r="JEH34" s="10"/>
      <c r="JEI34" s="10"/>
      <c r="JEJ34" s="10"/>
      <c r="JEK34" s="10"/>
      <c r="JEL34" s="10"/>
      <c r="JEM34" s="10"/>
      <c r="JEN34" s="10"/>
      <c r="JEO34" s="10"/>
      <c r="JEP34" s="10"/>
      <c r="JEQ34" s="10"/>
      <c r="JER34" s="10"/>
      <c r="JES34" s="10"/>
      <c r="JET34" s="10"/>
      <c r="JEU34" s="10"/>
      <c r="JEV34" s="10"/>
      <c r="JEW34" s="10"/>
      <c r="JEX34" s="10"/>
      <c r="JEY34" s="10"/>
      <c r="JEZ34" s="10"/>
      <c r="JFA34" s="10"/>
      <c r="JFB34" s="10"/>
      <c r="JFC34" s="10"/>
      <c r="JFD34" s="10"/>
      <c r="JFE34" s="10"/>
      <c r="JFF34" s="10"/>
      <c r="JFG34" s="10"/>
      <c r="JFH34" s="10"/>
      <c r="JFI34" s="10"/>
      <c r="JFJ34" s="10"/>
      <c r="JFK34" s="10"/>
      <c r="JFL34" s="10"/>
      <c r="JFM34" s="10"/>
      <c r="JFN34" s="10"/>
      <c r="JFO34" s="10"/>
      <c r="JFP34" s="10"/>
      <c r="JFQ34" s="10"/>
      <c r="JFR34" s="10"/>
      <c r="JFS34" s="10"/>
      <c r="JFT34" s="10"/>
      <c r="JFU34" s="10"/>
      <c r="JFV34" s="10"/>
      <c r="JFW34" s="10"/>
      <c r="JFX34" s="10"/>
      <c r="JFY34" s="10"/>
      <c r="JFZ34" s="10"/>
      <c r="JGA34" s="10"/>
      <c r="JGB34" s="10"/>
      <c r="JGC34" s="10"/>
      <c r="JGD34" s="10"/>
      <c r="JGE34" s="10"/>
      <c r="JGF34" s="10"/>
      <c r="JGG34" s="10"/>
      <c r="JGH34" s="10"/>
      <c r="JGI34" s="10"/>
      <c r="JGJ34" s="10"/>
      <c r="JGK34" s="10"/>
      <c r="JGL34" s="10"/>
      <c r="JGM34" s="10"/>
      <c r="JGN34" s="10"/>
      <c r="JGO34" s="10"/>
      <c r="JGP34" s="10"/>
      <c r="JGQ34" s="10"/>
      <c r="JGR34" s="10"/>
      <c r="JGS34" s="10"/>
      <c r="JGT34" s="10"/>
      <c r="JGU34" s="10"/>
      <c r="JGV34" s="10"/>
      <c r="JGW34" s="10"/>
      <c r="JGX34" s="10"/>
      <c r="JGY34" s="10"/>
      <c r="JGZ34" s="10"/>
      <c r="JHA34" s="10"/>
      <c r="JHB34" s="10"/>
      <c r="JHC34" s="10"/>
      <c r="JHD34" s="10"/>
      <c r="JHE34" s="10"/>
      <c r="JHF34" s="10"/>
      <c r="JHG34" s="10"/>
      <c r="JHH34" s="10"/>
      <c r="JHI34" s="10"/>
      <c r="JHJ34" s="10"/>
      <c r="JHK34" s="10"/>
      <c r="JHL34" s="10"/>
      <c r="JHM34" s="10"/>
      <c r="JHN34" s="10"/>
      <c r="JHO34" s="10"/>
      <c r="JHP34" s="10"/>
      <c r="JHQ34" s="10"/>
      <c r="JHR34" s="10"/>
      <c r="JHS34" s="10"/>
      <c r="JHT34" s="10"/>
      <c r="JHU34" s="10"/>
      <c r="JHV34" s="10"/>
      <c r="JHW34" s="10"/>
      <c r="JHX34" s="10"/>
      <c r="JHY34" s="10"/>
      <c r="JHZ34" s="10"/>
      <c r="JIA34" s="10"/>
      <c r="JIB34" s="10"/>
      <c r="JIC34" s="10"/>
      <c r="JID34" s="10"/>
      <c r="JIE34" s="10"/>
      <c r="JIF34" s="10"/>
      <c r="JIG34" s="10"/>
      <c r="JIH34" s="10"/>
      <c r="JII34" s="10"/>
      <c r="JIJ34" s="10"/>
      <c r="JIK34" s="10"/>
      <c r="JIL34" s="10"/>
      <c r="JIM34" s="10"/>
      <c r="JIN34" s="10"/>
      <c r="JIO34" s="10"/>
      <c r="JIP34" s="10"/>
      <c r="JIQ34" s="10"/>
      <c r="JIR34" s="10"/>
      <c r="JIS34" s="10"/>
      <c r="JIT34" s="10"/>
      <c r="JIU34" s="10"/>
      <c r="JIV34" s="10"/>
      <c r="JIW34" s="10"/>
      <c r="JIX34" s="10"/>
      <c r="JIY34" s="10"/>
      <c r="JIZ34" s="10"/>
      <c r="JJA34" s="10"/>
      <c r="JJB34" s="10"/>
      <c r="JJC34" s="10"/>
      <c r="JJD34" s="10"/>
      <c r="JJE34" s="10"/>
      <c r="JJF34" s="10"/>
      <c r="JJG34" s="10"/>
      <c r="JJH34" s="10"/>
      <c r="JJI34" s="10"/>
      <c r="JJJ34" s="10"/>
      <c r="JJK34" s="10"/>
      <c r="JJL34" s="10"/>
      <c r="JJM34" s="10"/>
      <c r="JJN34" s="10"/>
      <c r="JJO34" s="10"/>
      <c r="JJP34" s="10"/>
      <c r="JJQ34" s="10"/>
      <c r="JJR34" s="10"/>
      <c r="JJS34" s="10"/>
      <c r="JJT34" s="10"/>
      <c r="JJU34" s="10"/>
      <c r="JJV34" s="10"/>
      <c r="JJW34" s="10"/>
      <c r="JJX34" s="10"/>
      <c r="JJY34" s="10"/>
      <c r="JJZ34" s="10"/>
      <c r="JKA34" s="10"/>
      <c r="JKB34" s="10"/>
      <c r="JKC34" s="10"/>
      <c r="JKD34" s="10"/>
      <c r="JKE34" s="10"/>
      <c r="JKF34" s="10"/>
      <c r="JKG34" s="10"/>
      <c r="JKH34" s="10"/>
      <c r="JKI34" s="10"/>
      <c r="JKJ34" s="10"/>
      <c r="JKK34" s="10"/>
      <c r="JKL34" s="10"/>
      <c r="JKM34" s="10"/>
      <c r="JKN34" s="10"/>
      <c r="JKO34" s="10"/>
      <c r="JKP34" s="10"/>
      <c r="JKQ34" s="10"/>
      <c r="JKR34" s="10"/>
      <c r="JKS34" s="10"/>
      <c r="JKT34" s="10"/>
      <c r="JKU34" s="10"/>
      <c r="JKV34" s="10"/>
      <c r="JKW34" s="10"/>
      <c r="JKX34" s="10"/>
      <c r="JKY34" s="10"/>
      <c r="JKZ34" s="10"/>
      <c r="JLA34" s="10"/>
      <c r="JLB34" s="10"/>
      <c r="JLC34" s="10"/>
      <c r="JLD34" s="10"/>
      <c r="JLE34" s="10"/>
      <c r="JLF34" s="10"/>
      <c r="JLG34" s="10"/>
      <c r="JLH34" s="10"/>
      <c r="JLI34" s="10"/>
      <c r="JLJ34" s="10"/>
      <c r="JLK34" s="10"/>
      <c r="JLL34" s="10"/>
      <c r="JLM34" s="10"/>
      <c r="JLN34" s="10"/>
      <c r="JLO34" s="10"/>
      <c r="JLP34" s="10"/>
      <c r="JLQ34" s="10"/>
      <c r="JLR34" s="10"/>
      <c r="JLS34" s="10"/>
      <c r="JLT34" s="10"/>
      <c r="JLU34" s="10"/>
      <c r="JLV34" s="10"/>
      <c r="JLW34" s="10"/>
      <c r="JLX34" s="10"/>
      <c r="JLY34" s="10"/>
      <c r="JLZ34" s="10"/>
      <c r="JMA34" s="10"/>
      <c r="JMB34" s="10"/>
      <c r="JMC34" s="10"/>
      <c r="JMD34" s="10"/>
      <c r="JME34" s="10"/>
      <c r="JMF34" s="10"/>
      <c r="JMG34" s="10"/>
      <c r="JMH34" s="10"/>
      <c r="JMI34" s="10"/>
      <c r="JMJ34" s="10"/>
      <c r="JMK34" s="10"/>
      <c r="JML34" s="10"/>
      <c r="JMM34" s="10"/>
      <c r="JMN34" s="10"/>
      <c r="JMO34" s="10"/>
      <c r="JMP34" s="10"/>
      <c r="JMQ34" s="10"/>
      <c r="JMR34" s="10"/>
      <c r="JMS34" s="10"/>
      <c r="JMT34" s="10"/>
      <c r="JMU34" s="10"/>
      <c r="JMV34" s="10"/>
      <c r="JMW34" s="10"/>
      <c r="JMX34" s="10"/>
      <c r="JMY34" s="10"/>
      <c r="JMZ34" s="10"/>
      <c r="JNA34" s="10"/>
      <c r="JNB34" s="10"/>
      <c r="JNC34" s="10"/>
      <c r="JND34" s="10"/>
      <c r="JNE34" s="10"/>
      <c r="JNF34" s="10"/>
      <c r="JNG34" s="10"/>
      <c r="JNH34" s="10"/>
      <c r="JNI34" s="10"/>
      <c r="JNJ34" s="10"/>
      <c r="JNK34" s="10"/>
      <c r="JNL34" s="10"/>
      <c r="JNM34" s="10"/>
      <c r="JNN34" s="10"/>
      <c r="JNO34" s="10"/>
      <c r="JNP34" s="10"/>
      <c r="JNQ34" s="10"/>
      <c r="JNR34" s="10"/>
      <c r="JNS34" s="10"/>
      <c r="JNT34" s="10"/>
      <c r="JNU34" s="10"/>
      <c r="JNV34" s="10"/>
      <c r="JNW34" s="10"/>
      <c r="JNX34" s="10"/>
      <c r="JNY34" s="10"/>
      <c r="JNZ34" s="10"/>
      <c r="JOA34" s="10"/>
      <c r="JOB34" s="10"/>
      <c r="JOC34" s="10"/>
      <c r="JOD34" s="10"/>
      <c r="JOE34" s="10"/>
      <c r="JOF34" s="10"/>
      <c r="JOG34" s="10"/>
      <c r="JOH34" s="10"/>
      <c r="JOI34" s="10"/>
      <c r="JOJ34" s="10"/>
      <c r="JOK34" s="10"/>
      <c r="JOL34" s="10"/>
      <c r="JOM34" s="10"/>
      <c r="JON34" s="10"/>
      <c r="JOO34" s="10"/>
      <c r="JOP34" s="10"/>
      <c r="JOQ34" s="10"/>
      <c r="JOR34" s="10"/>
      <c r="JOS34" s="10"/>
      <c r="JOT34" s="10"/>
      <c r="JOU34" s="10"/>
      <c r="JOV34" s="10"/>
      <c r="JOW34" s="10"/>
      <c r="JOX34" s="10"/>
      <c r="JOY34" s="10"/>
      <c r="JOZ34" s="10"/>
      <c r="JPA34" s="10"/>
      <c r="JPB34" s="10"/>
      <c r="JPC34" s="10"/>
      <c r="JPD34" s="10"/>
      <c r="JPE34" s="10"/>
      <c r="JPF34" s="10"/>
      <c r="JPG34" s="10"/>
      <c r="JPH34" s="10"/>
      <c r="JPI34" s="10"/>
      <c r="JPJ34" s="10"/>
      <c r="JPK34" s="10"/>
      <c r="JPL34" s="10"/>
      <c r="JPM34" s="10"/>
      <c r="JPN34" s="10"/>
      <c r="JPO34" s="10"/>
      <c r="JPP34" s="10"/>
      <c r="JPQ34" s="10"/>
      <c r="JPR34" s="10"/>
      <c r="JPS34" s="10"/>
      <c r="JPT34" s="10"/>
      <c r="JPU34" s="10"/>
      <c r="JPV34" s="10"/>
      <c r="JPW34" s="10"/>
      <c r="JPX34" s="10"/>
      <c r="JPY34" s="10"/>
      <c r="JPZ34" s="10"/>
      <c r="JQA34" s="10"/>
      <c r="JQB34" s="10"/>
      <c r="JQC34" s="10"/>
      <c r="JQD34" s="10"/>
      <c r="JQE34" s="10"/>
      <c r="JQF34" s="10"/>
      <c r="JQG34" s="10"/>
      <c r="JQH34" s="10"/>
      <c r="JQI34" s="10"/>
      <c r="JQJ34" s="10"/>
      <c r="JQK34" s="10"/>
      <c r="JQL34" s="10"/>
      <c r="JQM34" s="10"/>
      <c r="JQN34" s="10"/>
      <c r="JQO34" s="10"/>
      <c r="JQP34" s="10"/>
      <c r="JQQ34" s="10"/>
      <c r="JQR34" s="10"/>
      <c r="JQS34" s="10"/>
      <c r="JQT34" s="10"/>
      <c r="JQU34" s="10"/>
      <c r="JQV34" s="10"/>
      <c r="JQW34" s="10"/>
      <c r="JQX34" s="10"/>
      <c r="JQY34" s="10"/>
      <c r="JQZ34" s="10"/>
      <c r="JRA34" s="10"/>
      <c r="JRB34" s="10"/>
      <c r="JRC34" s="10"/>
      <c r="JRD34" s="10"/>
      <c r="JRE34" s="10"/>
      <c r="JRF34" s="10"/>
      <c r="JRG34" s="10"/>
      <c r="JRH34" s="10"/>
      <c r="JRI34" s="10"/>
      <c r="JRJ34" s="10"/>
      <c r="JRK34" s="10"/>
      <c r="JRL34" s="10"/>
      <c r="JRM34" s="10"/>
      <c r="JRN34" s="10"/>
      <c r="JRO34" s="10"/>
      <c r="JRP34" s="10"/>
      <c r="JRQ34" s="10"/>
      <c r="JRR34" s="10"/>
      <c r="JRS34" s="10"/>
      <c r="JRT34" s="10"/>
      <c r="JRU34" s="10"/>
      <c r="JRV34" s="10"/>
      <c r="JRW34" s="10"/>
      <c r="JRX34" s="10"/>
      <c r="JRY34" s="10"/>
      <c r="JRZ34" s="10"/>
      <c r="JSA34" s="10"/>
      <c r="JSB34" s="10"/>
      <c r="JSC34" s="10"/>
      <c r="JSD34" s="10"/>
      <c r="JSE34" s="10"/>
      <c r="JSF34" s="10"/>
      <c r="JSG34" s="10"/>
      <c r="JSH34" s="10"/>
      <c r="JSI34" s="10"/>
      <c r="JSJ34" s="10"/>
      <c r="JSK34" s="10"/>
      <c r="JSL34" s="10"/>
      <c r="JSM34" s="10"/>
      <c r="JSN34" s="10"/>
      <c r="JSO34" s="10"/>
      <c r="JSP34" s="10"/>
      <c r="JSQ34" s="10"/>
      <c r="JSR34" s="10"/>
      <c r="JSS34" s="10"/>
      <c r="JST34" s="10"/>
      <c r="JSU34" s="10"/>
      <c r="JSV34" s="10"/>
      <c r="JSW34" s="10"/>
      <c r="JSX34" s="10"/>
      <c r="JSY34" s="10"/>
      <c r="JSZ34" s="10"/>
      <c r="JTA34" s="10"/>
      <c r="JTB34" s="10"/>
      <c r="JTC34" s="10"/>
      <c r="JTD34" s="10"/>
      <c r="JTE34" s="10"/>
      <c r="JTF34" s="10"/>
      <c r="JTG34" s="10"/>
      <c r="JTH34" s="10"/>
      <c r="JTI34" s="10"/>
      <c r="JTJ34" s="10"/>
      <c r="JTK34" s="10"/>
      <c r="JTL34" s="10"/>
      <c r="JTM34" s="10"/>
      <c r="JTN34" s="10"/>
      <c r="JTO34" s="10"/>
      <c r="JTP34" s="10"/>
      <c r="JTQ34" s="10"/>
      <c r="JTR34" s="10"/>
      <c r="JTS34" s="10"/>
      <c r="JTT34" s="10"/>
      <c r="JTU34" s="10"/>
      <c r="JTV34" s="10"/>
      <c r="JTW34" s="10"/>
      <c r="JTX34" s="10"/>
      <c r="JTY34" s="10"/>
      <c r="JTZ34" s="10"/>
      <c r="JUA34" s="10"/>
      <c r="JUB34" s="10"/>
      <c r="JUC34" s="10"/>
      <c r="JUD34" s="10"/>
      <c r="JUE34" s="10"/>
      <c r="JUF34" s="10"/>
      <c r="JUG34" s="10"/>
      <c r="JUH34" s="10"/>
      <c r="JUI34" s="10"/>
      <c r="JUJ34" s="10"/>
      <c r="JUK34" s="10"/>
      <c r="JUL34" s="10"/>
      <c r="JUM34" s="10"/>
      <c r="JUN34" s="10"/>
      <c r="JUO34" s="10"/>
      <c r="JUP34" s="10"/>
      <c r="JUQ34" s="10"/>
      <c r="JUR34" s="10"/>
      <c r="JUS34" s="10"/>
      <c r="JUT34" s="10"/>
      <c r="JUU34" s="10"/>
      <c r="JUV34" s="10"/>
      <c r="JUW34" s="10"/>
      <c r="JUX34" s="10"/>
      <c r="JUY34" s="10"/>
      <c r="JUZ34" s="10"/>
      <c r="JVA34" s="10"/>
      <c r="JVB34" s="10"/>
      <c r="JVC34" s="10"/>
      <c r="JVD34" s="10"/>
      <c r="JVE34" s="10"/>
      <c r="JVF34" s="10"/>
      <c r="JVG34" s="10"/>
      <c r="JVH34" s="10"/>
      <c r="JVI34" s="10"/>
      <c r="JVJ34" s="10"/>
      <c r="JVK34" s="10"/>
      <c r="JVL34" s="10"/>
      <c r="JVM34" s="10"/>
      <c r="JVN34" s="10"/>
      <c r="JVO34" s="10"/>
      <c r="JVP34" s="10"/>
      <c r="JVQ34" s="10"/>
      <c r="JVR34" s="10"/>
      <c r="JVS34" s="10"/>
      <c r="JVT34" s="10"/>
      <c r="JVU34" s="10"/>
      <c r="JVV34" s="10"/>
      <c r="JVW34" s="10"/>
      <c r="JVX34" s="10"/>
      <c r="JVY34" s="10"/>
      <c r="JVZ34" s="10"/>
      <c r="JWA34" s="10"/>
      <c r="JWB34" s="10"/>
      <c r="JWC34" s="10"/>
      <c r="JWD34" s="10"/>
      <c r="JWE34" s="10"/>
      <c r="JWF34" s="10"/>
      <c r="JWG34" s="10"/>
      <c r="JWH34" s="10"/>
      <c r="JWI34" s="10"/>
      <c r="JWJ34" s="10"/>
      <c r="JWK34" s="10"/>
      <c r="JWL34" s="10"/>
      <c r="JWM34" s="10"/>
      <c r="JWN34" s="10"/>
      <c r="JWO34" s="10"/>
      <c r="JWP34" s="10"/>
      <c r="JWQ34" s="10"/>
      <c r="JWR34" s="10"/>
      <c r="JWS34" s="10"/>
      <c r="JWT34" s="10"/>
      <c r="JWU34" s="10"/>
      <c r="JWV34" s="10"/>
      <c r="JWW34" s="10"/>
      <c r="JWX34" s="10"/>
      <c r="JWY34" s="10"/>
      <c r="JWZ34" s="10"/>
      <c r="JXA34" s="10"/>
      <c r="JXB34" s="10"/>
      <c r="JXC34" s="10"/>
      <c r="JXD34" s="10"/>
      <c r="JXE34" s="10"/>
      <c r="JXF34" s="10"/>
      <c r="JXG34" s="10"/>
      <c r="JXH34" s="10"/>
      <c r="JXI34" s="10"/>
      <c r="JXJ34" s="10"/>
      <c r="JXK34" s="10"/>
      <c r="JXL34" s="10"/>
      <c r="JXM34" s="10"/>
      <c r="JXN34" s="10"/>
      <c r="JXO34" s="10"/>
      <c r="JXP34" s="10"/>
      <c r="JXQ34" s="10"/>
      <c r="JXR34" s="10"/>
      <c r="JXS34" s="10"/>
      <c r="JXT34" s="10"/>
      <c r="JXU34" s="10"/>
      <c r="JXV34" s="10"/>
      <c r="JXW34" s="10"/>
      <c r="JXX34" s="10"/>
      <c r="JXY34" s="10"/>
      <c r="JXZ34" s="10"/>
      <c r="JYA34" s="10"/>
      <c r="JYB34" s="10"/>
      <c r="JYC34" s="10"/>
      <c r="JYD34" s="10"/>
      <c r="JYE34" s="10"/>
      <c r="JYF34" s="10"/>
      <c r="JYG34" s="10"/>
      <c r="JYH34" s="10"/>
      <c r="JYI34" s="10"/>
      <c r="JYJ34" s="10"/>
      <c r="JYK34" s="10"/>
      <c r="JYL34" s="10"/>
      <c r="JYM34" s="10"/>
      <c r="JYN34" s="10"/>
      <c r="JYO34" s="10"/>
      <c r="JYP34" s="10"/>
      <c r="JYQ34" s="10"/>
      <c r="JYR34" s="10"/>
      <c r="JYS34" s="10"/>
      <c r="JYT34" s="10"/>
      <c r="JYU34" s="10"/>
      <c r="JYV34" s="10"/>
      <c r="JYW34" s="10"/>
      <c r="JYX34" s="10"/>
      <c r="JYY34" s="10"/>
      <c r="JYZ34" s="10"/>
      <c r="JZA34" s="10"/>
      <c r="JZB34" s="10"/>
      <c r="JZC34" s="10"/>
      <c r="JZD34" s="10"/>
      <c r="JZE34" s="10"/>
      <c r="JZF34" s="10"/>
      <c r="JZG34" s="10"/>
      <c r="JZH34" s="10"/>
      <c r="JZI34" s="10"/>
      <c r="JZJ34" s="10"/>
      <c r="JZK34" s="10"/>
      <c r="JZL34" s="10"/>
      <c r="JZM34" s="10"/>
      <c r="JZN34" s="10"/>
      <c r="JZO34" s="10"/>
      <c r="JZP34" s="10"/>
      <c r="JZQ34" s="10"/>
      <c r="JZR34" s="10"/>
      <c r="JZS34" s="10"/>
      <c r="JZT34" s="10"/>
      <c r="JZU34" s="10"/>
      <c r="JZV34" s="10"/>
      <c r="JZW34" s="10"/>
      <c r="JZX34" s="10"/>
      <c r="JZY34" s="10"/>
      <c r="JZZ34" s="10"/>
      <c r="KAA34" s="10"/>
      <c r="KAB34" s="10"/>
      <c r="KAC34" s="10"/>
      <c r="KAD34" s="10"/>
      <c r="KAE34" s="10"/>
      <c r="KAF34" s="10"/>
      <c r="KAG34" s="10"/>
      <c r="KAH34" s="10"/>
      <c r="KAI34" s="10"/>
      <c r="KAJ34" s="10"/>
      <c r="KAK34" s="10"/>
      <c r="KAL34" s="10"/>
      <c r="KAM34" s="10"/>
      <c r="KAN34" s="10"/>
      <c r="KAO34" s="10"/>
      <c r="KAP34" s="10"/>
      <c r="KAQ34" s="10"/>
      <c r="KAR34" s="10"/>
      <c r="KAS34" s="10"/>
      <c r="KAT34" s="10"/>
      <c r="KAU34" s="10"/>
      <c r="KAV34" s="10"/>
      <c r="KAW34" s="10"/>
      <c r="KAX34" s="10"/>
      <c r="KAY34" s="10"/>
      <c r="KAZ34" s="10"/>
      <c r="KBA34" s="10"/>
      <c r="KBB34" s="10"/>
      <c r="KBC34" s="10"/>
      <c r="KBD34" s="10"/>
      <c r="KBE34" s="10"/>
      <c r="KBF34" s="10"/>
      <c r="KBG34" s="10"/>
      <c r="KBH34" s="10"/>
      <c r="KBI34" s="10"/>
      <c r="KBJ34" s="10"/>
      <c r="KBK34" s="10"/>
      <c r="KBL34" s="10"/>
      <c r="KBM34" s="10"/>
      <c r="KBN34" s="10"/>
      <c r="KBO34" s="10"/>
      <c r="KBP34" s="10"/>
      <c r="KBQ34" s="10"/>
      <c r="KBR34" s="10"/>
      <c r="KBS34" s="10"/>
      <c r="KBT34" s="10"/>
      <c r="KBU34" s="10"/>
      <c r="KBV34" s="10"/>
      <c r="KBW34" s="10"/>
      <c r="KBX34" s="10"/>
      <c r="KBY34" s="10"/>
      <c r="KBZ34" s="10"/>
      <c r="KCA34" s="10"/>
      <c r="KCB34" s="10"/>
      <c r="KCC34" s="10"/>
      <c r="KCD34" s="10"/>
      <c r="KCE34" s="10"/>
      <c r="KCF34" s="10"/>
      <c r="KCG34" s="10"/>
      <c r="KCH34" s="10"/>
      <c r="KCI34" s="10"/>
      <c r="KCJ34" s="10"/>
      <c r="KCK34" s="10"/>
      <c r="KCL34" s="10"/>
      <c r="KCM34" s="10"/>
      <c r="KCN34" s="10"/>
      <c r="KCO34" s="10"/>
      <c r="KCP34" s="10"/>
      <c r="KCQ34" s="10"/>
      <c r="KCR34" s="10"/>
      <c r="KCS34" s="10"/>
      <c r="KCT34" s="10"/>
      <c r="KCU34" s="10"/>
      <c r="KCV34" s="10"/>
      <c r="KCW34" s="10"/>
      <c r="KCX34" s="10"/>
      <c r="KCY34" s="10"/>
      <c r="KCZ34" s="10"/>
      <c r="KDA34" s="10"/>
      <c r="KDB34" s="10"/>
      <c r="KDC34" s="10"/>
      <c r="KDD34" s="10"/>
      <c r="KDE34" s="10"/>
      <c r="KDF34" s="10"/>
      <c r="KDG34" s="10"/>
      <c r="KDH34" s="10"/>
      <c r="KDI34" s="10"/>
      <c r="KDJ34" s="10"/>
      <c r="KDK34" s="10"/>
      <c r="KDL34" s="10"/>
      <c r="KDM34" s="10"/>
      <c r="KDN34" s="10"/>
      <c r="KDO34" s="10"/>
      <c r="KDP34" s="10"/>
      <c r="KDQ34" s="10"/>
      <c r="KDR34" s="10"/>
      <c r="KDS34" s="10"/>
      <c r="KDT34" s="10"/>
      <c r="KDU34" s="10"/>
      <c r="KDV34" s="10"/>
      <c r="KDW34" s="10"/>
      <c r="KDX34" s="10"/>
      <c r="KDY34" s="10"/>
      <c r="KDZ34" s="10"/>
      <c r="KEA34" s="10"/>
      <c r="KEB34" s="10"/>
      <c r="KEC34" s="10"/>
      <c r="KED34" s="10"/>
      <c r="KEE34" s="10"/>
      <c r="KEF34" s="10"/>
      <c r="KEG34" s="10"/>
      <c r="KEH34" s="10"/>
      <c r="KEI34" s="10"/>
      <c r="KEJ34" s="10"/>
      <c r="KEK34" s="10"/>
      <c r="KEL34" s="10"/>
      <c r="KEM34" s="10"/>
      <c r="KEN34" s="10"/>
      <c r="KEO34" s="10"/>
      <c r="KEP34" s="10"/>
      <c r="KEQ34" s="10"/>
      <c r="KER34" s="10"/>
      <c r="KES34" s="10"/>
      <c r="KET34" s="10"/>
      <c r="KEU34" s="10"/>
      <c r="KEV34" s="10"/>
      <c r="KEW34" s="10"/>
      <c r="KEX34" s="10"/>
      <c r="KEY34" s="10"/>
      <c r="KEZ34" s="10"/>
      <c r="KFA34" s="10"/>
      <c r="KFB34" s="10"/>
      <c r="KFC34" s="10"/>
      <c r="KFD34" s="10"/>
      <c r="KFE34" s="10"/>
      <c r="KFF34" s="10"/>
      <c r="KFG34" s="10"/>
      <c r="KFH34" s="10"/>
      <c r="KFI34" s="10"/>
      <c r="KFJ34" s="10"/>
      <c r="KFK34" s="10"/>
      <c r="KFL34" s="10"/>
      <c r="KFM34" s="10"/>
      <c r="KFN34" s="10"/>
      <c r="KFO34" s="10"/>
      <c r="KFP34" s="10"/>
      <c r="KFQ34" s="10"/>
      <c r="KFR34" s="10"/>
      <c r="KFS34" s="10"/>
      <c r="KFT34" s="10"/>
      <c r="KFU34" s="10"/>
      <c r="KFV34" s="10"/>
      <c r="KFW34" s="10"/>
      <c r="KFX34" s="10"/>
      <c r="KFY34" s="10"/>
      <c r="KFZ34" s="10"/>
      <c r="KGA34" s="10"/>
      <c r="KGB34" s="10"/>
      <c r="KGC34" s="10"/>
      <c r="KGD34" s="10"/>
      <c r="KGE34" s="10"/>
      <c r="KGF34" s="10"/>
      <c r="KGG34" s="10"/>
      <c r="KGH34" s="10"/>
      <c r="KGI34" s="10"/>
      <c r="KGJ34" s="10"/>
      <c r="KGK34" s="10"/>
      <c r="KGL34" s="10"/>
      <c r="KGM34" s="10"/>
      <c r="KGN34" s="10"/>
      <c r="KGO34" s="10"/>
      <c r="KGP34" s="10"/>
      <c r="KGQ34" s="10"/>
      <c r="KGR34" s="10"/>
      <c r="KGS34" s="10"/>
      <c r="KGT34" s="10"/>
      <c r="KGU34" s="10"/>
      <c r="KGV34" s="10"/>
      <c r="KGW34" s="10"/>
      <c r="KGX34" s="10"/>
      <c r="KGY34" s="10"/>
      <c r="KGZ34" s="10"/>
      <c r="KHA34" s="10"/>
      <c r="KHB34" s="10"/>
      <c r="KHC34" s="10"/>
      <c r="KHD34" s="10"/>
      <c r="KHE34" s="10"/>
      <c r="KHF34" s="10"/>
      <c r="KHG34" s="10"/>
      <c r="KHH34" s="10"/>
      <c r="KHI34" s="10"/>
      <c r="KHJ34" s="10"/>
      <c r="KHK34" s="10"/>
      <c r="KHL34" s="10"/>
      <c r="KHM34" s="10"/>
      <c r="KHN34" s="10"/>
      <c r="KHO34" s="10"/>
      <c r="KHP34" s="10"/>
      <c r="KHQ34" s="10"/>
      <c r="KHR34" s="10"/>
      <c r="KHS34" s="10"/>
      <c r="KHT34" s="10"/>
      <c r="KHU34" s="10"/>
      <c r="KHV34" s="10"/>
      <c r="KHW34" s="10"/>
      <c r="KHX34" s="10"/>
      <c r="KHY34" s="10"/>
      <c r="KHZ34" s="10"/>
      <c r="KIA34" s="10"/>
      <c r="KIB34" s="10"/>
      <c r="KIC34" s="10"/>
      <c r="KID34" s="10"/>
      <c r="KIE34" s="10"/>
      <c r="KIF34" s="10"/>
      <c r="KIG34" s="10"/>
      <c r="KIH34" s="10"/>
      <c r="KII34" s="10"/>
      <c r="KIJ34" s="10"/>
      <c r="KIK34" s="10"/>
      <c r="KIL34" s="10"/>
      <c r="KIM34" s="10"/>
      <c r="KIN34" s="10"/>
      <c r="KIO34" s="10"/>
      <c r="KIP34" s="10"/>
      <c r="KIQ34" s="10"/>
      <c r="KIR34" s="10"/>
      <c r="KIS34" s="10"/>
      <c r="KIT34" s="10"/>
      <c r="KIU34" s="10"/>
      <c r="KIV34" s="10"/>
      <c r="KIW34" s="10"/>
      <c r="KIX34" s="10"/>
      <c r="KIY34" s="10"/>
      <c r="KIZ34" s="10"/>
      <c r="KJA34" s="10"/>
      <c r="KJB34" s="10"/>
      <c r="KJC34" s="10"/>
      <c r="KJD34" s="10"/>
      <c r="KJE34" s="10"/>
      <c r="KJF34" s="10"/>
      <c r="KJG34" s="10"/>
      <c r="KJH34" s="10"/>
      <c r="KJI34" s="10"/>
      <c r="KJJ34" s="10"/>
      <c r="KJK34" s="10"/>
      <c r="KJL34" s="10"/>
      <c r="KJM34" s="10"/>
      <c r="KJN34" s="10"/>
      <c r="KJO34" s="10"/>
      <c r="KJP34" s="10"/>
      <c r="KJQ34" s="10"/>
      <c r="KJR34" s="10"/>
      <c r="KJS34" s="10"/>
      <c r="KJT34" s="10"/>
      <c r="KJU34" s="10"/>
      <c r="KJV34" s="10"/>
      <c r="KJW34" s="10"/>
      <c r="KJX34" s="10"/>
      <c r="KJY34" s="10"/>
      <c r="KJZ34" s="10"/>
      <c r="KKA34" s="10"/>
      <c r="KKB34" s="10"/>
      <c r="KKC34" s="10"/>
      <c r="KKD34" s="10"/>
      <c r="KKE34" s="10"/>
      <c r="KKF34" s="10"/>
      <c r="KKG34" s="10"/>
      <c r="KKH34" s="10"/>
      <c r="KKI34" s="10"/>
      <c r="KKJ34" s="10"/>
      <c r="KKK34" s="10"/>
      <c r="KKL34" s="10"/>
      <c r="KKM34" s="10"/>
      <c r="KKN34" s="10"/>
      <c r="KKO34" s="10"/>
      <c r="KKP34" s="10"/>
      <c r="KKQ34" s="10"/>
      <c r="KKR34" s="10"/>
      <c r="KKS34" s="10"/>
      <c r="KKT34" s="10"/>
      <c r="KKU34" s="10"/>
      <c r="KKV34" s="10"/>
      <c r="KKW34" s="10"/>
      <c r="KKX34" s="10"/>
      <c r="KKY34" s="10"/>
      <c r="KKZ34" s="10"/>
      <c r="KLA34" s="10"/>
      <c r="KLB34" s="10"/>
      <c r="KLC34" s="10"/>
      <c r="KLD34" s="10"/>
      <c r="KLE34" s="10"/>
      <c r="KLF34" s="10"/>
      <c r="KLG34" s="10"/>
      <c r="KLH34" s="10"/>
      <c r="KLI34" s="10"/>
      <c r="KLJ34" s="10"/>
      <c r="KLK34" s="10"/>
      <c r="KLL34" s="10"/>
      <c r="KLM34" s="10"/>
      <c r="KLN34" s="10"/>
      <c r="KLO34" s="10"/>
      <c r="KLP34" s="10"/>
      <c r="KLQ34" s="10"/>
      <c r="KLR34" s="10"/>
      <c r="KLS34" s="10"/>
      <c r="KLT34" s="10"/>
      <c r="KLU34" s="10"/>
      <c r="KLV34" s="10"/>
      <c r="KLW34" s="10"/>
      <c r="KLX34" s="10"/>
      <c r="KLY34" s="10"/>
      <c r="KLZ34" s="10"/>
      <c r="KMA34" s="10"/>
      <c r="KMB34" s="10"/>
      <c r="KMC34" s="10"/>
      <c r="KMD34" s="10"/>
      <c r="KME34" s="10"/>
      <c r="KMF34" s="10"/>
      <c r="KMG34" s="10"/>
      <c r="KMH34" s="10"/>
      <c r="KMI34" s="10"/>
      <c r="KMJ34" s="10"/>
      <c r="KMK34" s="10"/>
      <c r="KML34" s="10"/>
      <c r="KMM34" s="10"/>
      <c r="KMN34" s="10"/>
      <c r="KMO34" s="10"/>
      <c r="KMP34" s="10"/>
      <c r="KMQ34" s="10"/>
      <c r="KMR34" s="10"/>
      <c r="KMS34" s="10"/>
      <c r="KMT34" s="10"/>
      <c r="KMU34" s="10"/>
      <c r="KMV34" s="10"/>
      <c r="KMW34" s="10"/>
      <c r="KMX34" s="10"/>
      <c r="KMY34" s="10"/>
      <c r="KMZ34" s="10"/>
      <c r="KNA34" s="10"/>
      <c r="KNB34" s="10"/>
      <c r="KNC34" s="10"/>
      <c r="KND34" s="10"/>
      <c r="KNE34" s="10"/>
      <c r="KNF34" s="10"/>
      <c r="KNG34" s="10"/>
      <c r="KNH34" s="10"/>
      <c r="KNI34" s="10"/>
      <c r="KNJ34" s="10"/>
      <c r="KNK34" s="10"/>
      <c r="KNL34" s="10"/>
      <c r="KNM34" s="10"/>
      <c r="KNN34" s="10"/>
      <c r="KNO34" s="10"/>
      <c r="KNP34" s="10"/>
      <c r="KNQ34" s="10"/>
      <c r="KNR34" s="10"/>
      <c r="KNS34" s="10"/>
      <c r="KNT34" s="10"/>
      <c r="KNU34" s="10"/>
      <c r="KNV34" s="10"/>
      <c r="KNW34" s="10"/>
      <c r="KNX34" s="10"/>
      <c r="KNY34" s="10"/>
      <c r="KNZ34" s="10"/>
      <c r="KOA34" s="10"/>
      <c r="KOB34" s="10"/>
      <c r="KOC34" s="10"/>
      <c r="KOD34" s="10"/>
      <c r="KOE34" s="10"/>
      <c r="KOF34" s="10"/>
      <c r="KOG34" s="10"/>
      <c r="KOH34" s="10"/>
      <c r="KOI34" s="10"/>
      <c r="KOJ34" s="10"/>
      <c r="KOK34" s="10"/>
      <c r="KOL34" s="10"/>
      <c r="KOM34" s="10"/>
      <c r="KON34" s="10"/>
      <c r="KOO34" s="10"/>
      <c r="KOP34" s="10"/>
      <c r="KOQ34" s="10"/>
      <c r="KOR34" s="10"/>
      <c r="KOS34" s="10"/>
      <c r="KOT34" s="10"/>
      <c r="KOU34" s="10"/>
      <c r="KOV34" s="10"/>
      <c r="KOW34" s="10"/>
      <c r="KOX34" s="10"/>
      <c r="KOY34" s="10"/>
      <c r="KOZ34" s="10"/>
      <c r="KPA34" s="10"/>
      <c r="KPB34" s="10"/>
      <c r="KPC34" s="10"/>
      <c r="KPD34" s="10"/>
      <c r="KPE34" s="10"/>
      <c r="KPF34" s="10"/>
      <c r="KPG34" s="10"/>
      <c r="KPH34" s="10"/>
      <c r="KPI34" s="10"/>
      <c r="KPJ34" s="10"/>
      <c r="KPK34" s="10"/>
      <c r="KPL34" s="10"/>
      <c r="KPM34" s="10"/>
      <c r="KPN34" s="10"/>
      <c r="KPO34" s="10"/>
      <c r="KPP34" s="10"/>
      <c r="KPQ34" s="10"/>
      <c r="KPR34" s="10"/>
      <c r="KPS34" s="10"/>
      <c r="KPT34" s="10"/>
      <c r="KPU34" s="10"/>
      <c r="KPV34" s="10"/>
      <c r="KPW34" s="10"/>
      <c r="KPX34" s="10"/>
      <c r="KPY34" s="10"/>
      <c r="KPZ34" s="10"/>
      <c r="KQA34" s="10"/>
      <c r="KQB34" s="10"/>
      <c r="KQC34" s="10"/>
      <c r="KQD34" s="10"/>
      <c r="KQE34" s="10"/>
      <c r="KQF34" s="10"/>
      <c r="KQG34" s="10"/>
      <c r="KQH34" s="10"/>
      <c r="KQI34" s="10"/>
      <c r="KQJ34" s="10"/>
      <c r="KQK34" s="10"/>
      <c r="KQL34" s="10"/>
      <c r="KQM34" s="10"/>
      <c r="KQN34" s="10"/>
      <c r="KQO34" s="10"/>
      <c r="KQP34" s="10"/>
      <c r="KQQ34" s="10"/>
      <c r="KQR34" s="10"/>
      <c r="KQS34" s="10"/>
      <c r="KQT34" s="10"/>
      <c r="KQU34" s="10"/>
      <c r="KQV34" s="10"/>
      <c r="KQW34" s="10"/>
      <c r="KQX34" s="10"/>
      <c r="KQY34" s="10"/>
      <c r="KQZ34" s="10"/>
      <c r="KRA34" s="10"/>
      <c r="KRB34" s="10"/>
      <c r="KRC34" s="10"/>
      <c r="KRD34" s="10"/>
      <c r="KRE34" s="10"/>
      <c r="KRF34" s="10"/>
      <c r="KRG34" s="10"/>
      <c r="KRH34" s="10"/>
      <c r="KRI34" s="10"/>
      <c r="KRJ34" s="10"/>
      <c r="KRK34" s="10"/>
      <c r="KRL34" s="10"/>
      <c r="KRM34" s="10"/>
      <c r="KRN34" s="10"/>
      <c r="KRO34" s="10"/>
      <c r="KRP34" s="10"/>
      <c r="KRQ34" s="10"/>
      <c r="KRR34" s="10"/>
      <c r="KRS34" s="10"/>
      <c r="KRT34" s="10"/>
      <c r="KRU34" s="10"/>
      <c r="KRV34" s="10"/>
      <c r="KRW34" s="10"/>
      <c r="KRX34" s="10"/>
      <c r="KRY34" s="10"/>
      <c r="KRZ34" s="10"/>
      <c r="KSA34" s="10"/>
      <c r="KSB34" s="10"/>
      <c r="KSC34" s="10"/>
      <c r="KSD34" s="10"/>
      <c r="KSE34" s="10"/>
      <c r="KSF34" s="10"/>
      <c r="KSG34" s="10"/>
      <c r="KSH34" s="10"/>
      <c r="KSI34" s="10"/>
      <c r="KSJ34" s="10"/>
      <c r="KSK34" s="10"/>
      <c r="KSL34" s="10"/>
      <c r="KSM34" s="10"/>
      <c r="KSN34" s="10"/>
      <c r="KSO34" s="10"/>
      <c r="KSP34" s="10"/>
      <c r="KSQ34" s="10"/>
      <c r="KSR34" s="10"/>
      <c r="KSS34" s="10"/>
      <c r="KST34" s="10"/>
      <c r="KSU34" s="10"/>
      <c r="KSV34" s="10"/>
      <c r="KSW34" s="10"/>
      <c r="KSX34" s="10"/>
      <c r="KSY34" s="10"/>
      <c r="KSZ34" s="10"/>
      <c r="KTA34" s="10"/>
      <c r="KTB34" s="10"/>
      <c r="KTC34" s="10"/>
      <c r="KTD34" s="10"/>
      <c r="KTE34" s="10"/>
      <c r="KTF34" s="10"/>
      <c r="KTG34" s="10"/>
      <c r="KTH34" s="10"/>
      <c r="KTI34" s="10"/>
      <c r="KTJ34" s="10"/>
      <c r="KTK34" s="10"/>
      <c r="KTL34" s="10"/>
      <c r="KTM34" s="10"/>
      <c r="KTN34" s="10"/>
      <c r="KTO34" s="10"/>
      <c r="KTP34" s="10"/>
      <c r="KTQ34" s="10"/>
      <c r="KTR34" s="10"/>
      <c r="KTS34" s="10"/>
      <c r="KTT34" s="10"/>
      <c r="KTU34" s="10"/>
      <c r="KTV34" s="10"/>
      <c r="KTW34" s="10"/>
      <c r="KTX34" s="10"/>
      <c r="KTY34" s="10"/>
      <c r="KTZ34" s="10"/>
      <c r="KUA34" s="10"/>
      <c r="KUB34" s="10"/>
      <c r="KUC34" s="10"/>
      <c r="KUD34" s="10"/>
      <c r="KUE34" s="10"/>
      <c r="KUF34" s="10"/>
      <c r="KUG34" s="10"/>
      <c r="KUH34" s="10"/>
      <c r="KUI34" s="10"/>
      <c r="KUJ34" s="10"/>
      <c r="KUK34" s="10"/>
      <c r="KUL34" s="10"/>
      <c r="KUM34" s="10"/>
      <c r="KUN34" s="10"/>
      <c r="KUO34" s="10"/>
      <c r="KUP34" s="10"/>
      <c r="KUQ34" s="10"/>
      <c r="KUR34" s="10"/>
      <c r="KUS34" s="10"/>
      <c r="KUT34" s="10"/>
      <c r="KUU34" s="10"/>
      <c r="KUV34" s="10"/>
      <c r="KUW34" s="10"/>
      <c r="KUX34" s="10"/>
      <c r="KUY34" s="10"/>
      <c r="KUZ34" s="10"/>
      <c r="KVA34" s="10"/>
      <c r="KVB34" s="10"/>
      <c r="KVC34" s="10"/>
      <c r="KVD34" s="10"/>
      <c r="KVE34" s="10"/>
      <c r="KVF34" s="10"/>
      <c r="KVG34" s="10"/>
      <c r="KVH34" s="10"/>
      <c r="KVI34" s="10"/>
      <c r="KVJ34" s="10"/>
      <c r="KVK34" s="10"/>
      <c r="KVL34" s="10"/>
      <c r="KVM34" s="10"/>
      <c r="KVN34" s="10"/>
      <c r="KVO34" s="10"/>
      <c r="KVP34" s="10"/>
      <c r="KVQ34" s="10"/>
      <c r="KVR34" s="10"/>
      <c r="KVS34" s="10"/>
      <c r="KVT34" s="10"/>
      <c r="KVU34" s="10"/>
      <c r="KVV34" s="10"/>
      <c r="KVW34" s="10"/>
      <c r="KVX34" s="10"/>
      <c r="KVY34" s="10"/>
      <c r="KVZ34" s="10"/>
      <c r="KWA34" s="10"/>
      <c r="KWB34" s="10"/>
      <c r="KWC34" s="10"/>
      <c r="KWD34" s="10"/>
      <c r="KWE34" s="10"/>
      <c r="KWF34" s="10"/>
      <c r="KWG34" s="10"/>
      <c r="KWH34" s="10"/>
      <c r="KWI34" s="10"/>
      <c r="KWJ34" s="10"/>
      <c r="KWK34" s="10"/>
      <c r="KWL34" s="10"/>
      <c r="KWM34" s="10"/>
      <c r="KWN34" s="10"/>
      <c r="KWO34" s="10"/>
      <c r="KWP34" s="10"/>
      <c r="KWQ34" s="10"/>
      <c r="KWR34" s="10"/>
      <c r="KWS34" s="10"/>
      <c r="KWT34" s="10"/>
      <c r="KWU34" s="10"/>
      <c r="KWV34" s="10"/>
      <c r="KWW34" s="10"/>
      <c r="KWX34" s="10"/>
      <c r="KWY34" s="10"/>
      <c r="KWZ34" s="10"/>
      <c r="KXA34" s="10"/>
      <c r="KXB34" s="10"/>
      <c r="KXC34" s="10"/>
      <c r="KXD34" s="10"/>
      <c r="KXE34" s="10"/>
      <c r="KXF34" s="10"/>
      <c r="KXG34" s="10"/>
      <c r="KXH34" s="10"/>
      <c r="KXI34" s="10"/>
      <c r="KXJ34" s="10"/>
      <c r="KXK34" s="10"/>
      <c r="KXL34" s="10"/>
      <c r="KXM34" s="10"/>
      <c r="KXN34" s="10"/>
      <c r="KXO34" s="10"/>
      <c r="KXP34" s="10"/>
      <c r="KXQ34" s="10"/>
      <c r="KXR34" s="10"/>
      <c r="KXS34" s="10"/>
      <c r="KXT34" s="10"/>
      <c r="KXU34" s="10"/>
      <c r="KXV34" s="10"/>
      <c r="KXW34" s="10"/>
      <c r="KXX34" s="10"/>
      <c r="KXY34" s="10"/>
      <c r="KXZ34" s="10"/>
      <c r="KYA34" s="10"/>
      <c r="KYB34" s="10"/>
      <c r="KYC34" s="10"/>
      <c r="KYD34" s="10"/>
      <c r="KYE34" s="10"/>
      <c r="KYF34" s="10"/>
      <c r="KYG34" s="10"/>
      <c r="KYH34" s="10"/>
      <c r="KYI34" s="10"/>
      <c r="KYJ34" s="10"/>
      <c r="KYK34" s="10"/>
      <c r="KYL34" s="10"/>
      <c r="KYM34" s="10"/>
      <c r="KYN34" s="10"/>
      <c r="KYO34" s="10"/>
      <c r="KYP34" s="10"/>
      <c r="KYQ34" s="10"/>
      <c r="KYR34" s="10"/>
      <c r="KYS34" s="10"/>
      <c r="KYT34" s="10"/>
      <c r="KYU34" s="10"/>
      <c r="KYV34" s="10"/>
      <c r="KYW34" s="10"/>
      <c r="KYX34" s="10"/>
      <c r="KYY34" s="10"/>
      <c r="KYZ34" s="10"/>
      <c r="KZA34" s="10"/>
      <c r="KZB34" s="10"/>
      <c r="KZC34" s="10"/>
      <c r="KZD34" s="10"/>
      <c r="KZE34" s="10"/>
      <c r="KZF34" s="10"/>
      <c r="KZG34" s="10"/>
      <c r="KZH34" s="10"/>
      <c r="KZI34" s="10"/>
      <c r="KZJ34" s="10"/>
      <c r="KZK34" s="10"/>
      <c r="KZL34" s="10"/>
      <c r="KZM34" s="10"/>
      <c r="KZN34" s="10"/>
      <c r="KZO34" s="10"/>
      <c r="KZP34" s="10"/>
      <c r="KZQ34" s="10"/>
      <c r="KZR34" s="10"/>
      <c r="KZS34" s="10"/>
      <c r="KZT34" s="10"/>
      <c r="KZU34" s="10"/>
      <c r="KZV34" s="10"/>
      <c r="KZW34" s="10"/>
      <c r="KZX34" s="10"/>
      <c r="KZY34" s="10"/>
      <c r="KZZ34" s="10"/>
      <c r="LAA34" s="10"/>
      <c r="LAB34" s="10"/>
      <c r="LAC34" s="10"/>
      <c r="LAD34" s="10"/>
      <c r="LAE34" s="10"/>
      <c r="LAF34" s="10"/>
      <c r="LAG34" s="10"/>
      <c r="LAH34" s="10"/>
      <c r="LAI34" s="10"/>
      <c r="LAJ34" s="10"/>
      <c r="LAK34" s="10"/>
      <c r="LAL34" s="10"/>
      <c r="LAM34" s="10"/>
      <c r="LAN34" s="10"/>
      <c r="LAO34" s="10"/>
      <c r="LAP34" s="10"/>
      <c r="LAQ34" s="10"/>
      <c r="LAR34" s="10"/>
      <c r="LAS34" s="10"/>
      <c r="LAT34" s="10"/>
      <c r="LAU34" s="10"/>
      <c r="LAV34" s="10"/>
      <c r="LAW34" s="10"/>
      <c r="LAX34" s="10"/>
      <c r="LAY34" s="10"/>
      <c r="LAZ34" s="10"/>
      <c r="LBA34" s="10"/>
      <c r="LBB34" s="10"/>
      <c r="LBC34" s="10"/>
      <c r="LBD34" s="10"/>
      <c r="LBE34" s="10"/>
      <c r="LBF34" s="10"/>
      <c r="LBG34" s="10"/>
      <c r="LBH34" s="10"/>
      <c r="LBI34" s="10"/>
      <c r="LBJ34" s="10"/>
      <c r="LBK34" s="10"/>
      <c r="LBL34" s="10"/>
      <c r="LBM34" s="10"/>
      <c r="LBN34" s="10"/>
      <c r="LBO34" s="10"/>
      <c r="LBP34" s="10"/>
      <c r="LBQ34" s="10"/>
      <c r="LBR34" s="10"/>
      <c r="LBS34" s="10"/>
      <c r="LBT34" s="10"/>
      <c r="LBU34" s="10"/>
      <c r="LBV34" s="10"/>
      <c r="LBW34" s="10"/>
      <c r="LBX34" s="10"/>
      <c r="LBY34" s="10"/>
      <c r="LBZ34" s="10"/>
      <c r="LCA34" s="10"/>
      <c r="LCB34" s="10"/>
      <c r="LCC34" s="10"/>
      <c r="LCD34" s="10"/>
      <c r="LCE34" s="10"/>
      <c r="LCF34" s="10"/>
      <c r="LCG34" s="10"/>
      <c r="LCH34" s="10"/>
      <c r="LCI34" s="10"/>
      <c r="LCJ34" s="10"/>
      <c r="LCK34" s="10"/>
      <c r="LCL34" s="10"/>
      <c r="LCM34" s="10"/>
      <c r="LCN34" s="10"/>
      <c r="LCO34" s="10"/>
      <c r="LCP34" s="10"/>
      <c r="LCQ34" s="10"/>
      <c r="LCR34" s="10"/>
      <c r="LCS34" s="10"/>
      <c r="LCT34" s="10"/>
      <c r="LCU34" s="10"/>
      <c r="LCV34" s="10"/>
      <c r="LCW34" s="10"/>
      <c r="LCX34" s="10"/>
      <c r="LCY34" s="10"/>
      <c r="LCZ34" s="10"/>
      <c r="LDA34" s="10"/>
      <c r="LDB34" s="10"/>
      <c r="LDC34" s="10"/>
      <c r="LDD34" s="10"/>
      <c r="LDE34" s="10"/>
      <c r="LDF34" s="10"/>
      <c r="LDG34" s="10"/>
      <c r="LDH34" s="10"/>
      <c r="LDI34" s="10"/>
      <c r="LDJ34" s="10"/>
      <c r="LDK34" s="10"/>
      <c r="LDL34" s="10"/>
      <c r="LDM34" s="10"/>
      <c r="LDN34" s="10"/>
      <c r="LDO34" s="10"/>
      <c r="LDP34" s="10"/>
      <c r="LDQ34" s="10"/>
      <c r="LDR34" s="10"/>
      <c r="LDS34" s="10"/>
      <c r="LDT34" s="10"/>
      <c r="LDU34" s="10"/>
      <c r="LDV34" s="10"/>
      <c r="LDW34" s="10"/>
      <c r="LDX34" s="10"/>
      <c r="LDY34" s="10"/>
      <c r="LDZ34" s="10"/>
      <c r="LEA34" s="10"/>
      <c r="LEB34" s="10"/>
      <c r="LEC34" s="10"/>
      <c r="LED34" s="10"/>
      <c r="LEE34" s="10"/>
      <c r="LEF34" s="10"/>
      <c r="LEG34" s="10"/>
      <c r="LEH34" s="10"/>
      <c r="LEI34" s="10"/>
      <c r="LEJ34" s="10"/>
      <c r="LEK34" s="10"/>
      <c r="LEL34" s="10"/>
      <c r="LEM34" s="10"/>
      <c r="LEN34" s="10"/>
      <c r="LEO34" s="10"/>
      <c r="LEP34" s="10"/>
      <c r="LEQ34" s="10"/>
      <c r="LER34" s="10"/>
      <c r="LES34" s="10"/>
      <c r="LET34" s="10"/>
      <c r="LEU34" s="10"/>
      <c r="LEV34" s="10"/>
      <c r="LEW34" s="10"/>
      <c r="LEX34" s="10"/>
      <c r="LEY34" s="10"/>
      <c r="LEZ34" s="10"/>
      <c r="LFA34" s="10"/>
      <c r="LFB34" s="10"/>
      <c r="LFC34" s="10"/>
      <c r="LFD34" s="10"/>
      <c r="LFE34" s="10"/>
      <c r="LFF34" s="10"/>
      <c r="LFG34" s="10"/>
      <c r="LFH34" s="10"/>
      <c r="LFI34" s="10"/>
      <c r="LFJ34" s="10"/>
      <c r="LFK34" s="10"/>
      <c r="LFL34" s="10"/>
      <c r="LFM34" s="10"/>
      <c r="LFN34" s="10"/>
      <c r="LFO34" s="10"/>
      <c r="LFP34" s="10"/>
      <c r="LFQ34" s="10"/>
      <c r="LFR34" s="10"/>
      <c r="LFS34" s="10"/>
      <c r="LFT34" s="10"/>
      <c r="LFU34" s="10"/>
      <c r="LFV34" s="10"/>
      <c r="LFW34" s="10"/>
      <c r="LFX34" s="10"/>
      <c r="LFY34" s="10"/>
      <c r="LFZ34" s="10"/>
      <c r="LGA34" s="10"/>
      <c r="LGB34" s="10"/>
      <c r="LGC34" s="10"/>
      <c r="LGD34" s="10"/>
      <c r="LGE34" s="10"/>
      <c r="LGF34" s="10"/>
      <c r="LGG34" s="10"/>
      <c r="LGH34" s="10"/>
      <c r="LGI34" s="10"/>
      <c r="LGJ34" s="10"/>
      <c r="LGK34" s="10"/>
      <c r="LGL34" s="10"/>
      <c r="LGM34" s="10"/>
      <c r="LGN34" s="10"/>
      <c r="LGO34" s="10"/>
      <c r="LGP34" s="10"/>
      <c r="LGQ34" s="10"/>
      <c r="LGR34" s="10"/>
      <c r="LGS34" s="10"/>
      <c r="LGT34" s="10"/>
      <c r="LGU34" s="10"/>
      <c r="LGV34" s="10"/>
      <c r="LGW34" s="10"/>
      <c r="LGX34" s="10"/>
      <c r="LGY34" s="10"/>
      <c r="LGZ34" s="10"/>
      <c r="LHA34" s="10"/>
      <c r="LHB34" s="10"/>
      <c r="LHC34" s="10"/>
      <c r="LHD34" s="10"/>
      <c r="LHE34" s="10"/>
      <c r="LHF34" s="10"/>
      <c r="LHG34" s="10"/>
      <c r="LHH34" s="10"/>
      <c r="LHI34" s="10"/>
      <c r="LHJ34" s="10"/>
      <c r="LHK34" s="10"/>
      <c r="LHL34" s="10"/>
      <c r="LHM34" s="10"/>
      <c r="LHN34" s="10"/>
      <c r="LHO34" s="10"/>
      <c r="LHP34" s="10"/>
      <c r="LHQ34" s="10"/>
      <c r="LHR34" s="10"/>
      <c r="LHS34" s="10"/>
      <c r="LHT34" s="10"/>
      <c r="LHU34" s="10"/>
      <c r="LHV34" s="10"/>
      <c r="LHW34" s="10"/>
      <c r="LHX34" s="10"/>
      <c r="LHY34" s="10"/>
      <c r="LHZ34" s="10"/>
      <c r="LIA34" s="10"/>
      <c r="LIB34" s="10"/>
      <c r="LIC34" s="10"/>
      <c r="LID34" s="10"/>
      <c r="LIE34" s="10"/>
      <c r="LIF34" s="10"/>
      <c r="LIG34" s="10"/>
      <c r="LIH34" s="10"/>
      <c r="LII34" s="10"/>
      <c r="LIJ34" s="10"/>
      <c r="LIK34" s="10"/>
      <c r="LIL34" s="10"/>
      <c r="LIM34" s="10"/>
      <c r="LIN34" s="10"/>
      <c r="LIO34" s="10"/>
      <c r="LIP34" s="10"/>
      <c r="LIQ34" s="10"/>
      <c r="LIR34" s="10"/>
      <c r="LIS34" s="10"/>
      <c r="LIT34" s="10"/>
      <c r="LIU34" s="10"/>
      <c r="LIV34" s="10"/>
      <c r="LIW34" s="10"/>
      <c r="LIX34" s="10"/>
      <c r="LIY34" s="10"/>
      <c r="LIZ34" s="10"/>
      <c r="LJA34" s="10"/>
      <c r="LJB34" s="10"/>
      <c r="LJC34" s="10"/>
      <c r="LJD34" s="10"/>
      <c r="LJE34" s="10"/>
      <c r="LJF34" s="10"/>
      <c r="LJG34" s="10"/>
      <c r="LJH34" s="10"/>
      <c r="LJI34" s="10"/>
      <c r="LJJ34" s="10"/>
      <c r="LJK34" s="10"/>
      <c r="LJL34" s="10"/>
      <c r="LJM34" s="10"/>
      <c r="LJN34" s="10"/>
      <c r="LJO34" s="10"/>
      <c r="LJP34" s="10"/>
      <c r="LJQ34" s="10"/>
      <c r="LJR34" s="10"/>
      <c r="LJS34" s="10"/>
      <c r="LJT34" s="10"/>
      <c r="LJU34" s="10"/>
      <c r="LJV34" s="10"/>
      <c r="LJW34" s="10"/>
      <c r="LJX34" s="10"/>
      <c r="LJY34" s="10"/>
      <c r="LJZ34" s="10"/>
      <c r="LKA34" s="10"/>
      <c r="LKB34" s="10"/>
      <c r="LKC34" s="10"/>
      <c r="LKD34" s="10"/>
      <c r="LKE34" s="10"/>
      <c r="LKF34" s="10"/>
      <c r="LKG34" s="10"/>
      <c r="LKH34" s="10"/>
      <c r="LKI34" s="10"/>
      <c r="LKJ34" s="10"/>
      <c r="LKK34" s="10"/>
      <c r="LKL34" s="10"/>
      <c r="LKM34" s="10"/>
      <c r="LKN34" s="10"/>
      <c r="LKO34" s="10"/>
      <c r="LKP34" s="10"/>
      <c r="LKQ34" s="10"/>
      <c r="LKR34" s="10"/>
      <c r="LKS34" s="10"/>
      <c r="LKT34" s="10"/>
      <c r="LKU34" s="10"/>
      <c r="LKV34" s="10"/>
      <c r="LKW34" s="10"/>
      <c r="LKX34" s="10"/>
      <c r="LKY34" s="10"/>
      <c r="LKZ34" s="10"/>
      <c r="LLA34" s="10"/>
      <c r="LLB34" s="10"/>
      <c r="LLC34" s="10"/>
      <c r="LLD34" s="10"/>
      <c r="LLE34" s="10"/>
      <c r="LLF34" s="10"/>
      <c r="LLG34" s="10"/>
      <c r="LLH34" s="10"/>
      <c r="LLI34" s="10"/>
      <c r="LLJ34" s="10"/>
      <c r="LLK34" s="10"/>
      <c r="LLL34" s="10"/>
      <c r="LLM34" s="10"/>
      <c r="LLN34" s="10"/>
      <c r="LLO34" s="10"/>
      <c r="LLP34" s="10"/>
      <c r="LLQ34" s="10"/>
      <c r="LLR34" s="10"/>
      <c r="LLS34" s="10"/>
      <c r="LLT34" s="10"/>
      <c r="LLU34" s="10"/>
      <c r="LLV34" s="10"/>
      <c r="LLW34" s="10"/>
      <c r="LLX34" s="10"/>
      <c r="LLY34" s="10"/>
      <c r="LLZ34" s="10"/>
      <c r="LMA34" s="10"/>
      <c r="LMB34" s="10"/>
      <c r="LMC34" s="10"/>
      <c r="LMD34" s="10"/>
      <c r="LME34" s="10"/>
      <c r="LMF34" s="10"/>
      <c r="LMG34" s="10"/>
      <c r="LMH34" s="10"/>
      <c r="LMI34" s="10"/>
      <c r="LMJ34" s="10"/>
      <c r="LMK34" s="10"/>
      <c r="LML34" s="10"/>
      <c r="LMM34" s="10"/>
      <c r="LMN34" s="10"/>
      <c r="LMO34" s="10"/>
      <c r="LMP34" s="10"/>
      <c r="LMQ34" s="10"/>
      <c r="LMR34" s="10"/>
      <c r="LMS34" s="10"/>
      <c r="LMT34" s="10"/>
      <c r="LMU34" s="10"/>
      <c r="LMV34" s="10"/>
      <c r="LMW34" s="10"/>
      <c r="LMX34" s="10"/>
      <c r="LMY34" s="10"/>
      <c r="LMZ34" s="10"/>
      <c r="LNA34" s="10"/>
      <c r="LNB34" s="10"/>
      <c r="LNC34" s="10"/>
      <c r="LND34" s="10"/>
      <c r="LNE34" s="10"/>
      <c r="LNF34" s="10"/>
      <c r="LNG34" s="10"/>
      <c r="LNH34" s="10"/>
      <c r="LNI34" s="10"/>
      <c r="LNJ34" s="10"/>
      <c r="LNK34" s="10"/>
      <c r="LNL34" s="10"/>
      <c r="LNM34" s="10"/>
      <c r="LNN34" s="10"/>
      <c r="LNO34" s="10"/>
      <c r="LNP34" s="10"/>
      <c r="LNQ34" s="10"/>
      <c r="LNR34" s="10"/>
      <c r="LNS34" s="10"/>
      <c r="LNT34" s="10"/>
      <c r="LNU34" s="10"/>
      <c r="LNV34" s="10"/>
      <c r="LNW34" s="10"/>
      <c r="LNX34" s="10"/>
      <c r="LNY34" s="10"/>
      <c r="LNZ34" s="10"/>
      <c r="LOA34" s="10"/>
      <c r="LOB34" s="10"/>
      <c r="LOC34" s="10"/>
      <c r="LOD34" s="10"/>
      <c r="LOE34" s="10"/>
      <c r="LOF34" s="10"/>
      <c r="LOG34" s="10"/>
      <c r="LOH34" s="10"/>
      <c r="LOI34" s="10"/>
      <c r="LOJ34" s="10"/>
      <c r="LOK34" s="10"/>
      <c r="LOL34" s="10"/>
      <c r="LOM34" s="10"/>
      <c r="LON34" s="10"/>
      <c r="LOO34" s="10"/>
      <c r="LOP34" s="10"/>
      <c r="LOQ34" s="10"/>
      <c r="LOR34" s="10"/>
      <c r="LOS34" s="10"/>
      <c r="LOT34" s="10"/>
      <c r="LOU34" s="10"/>
      <c r="LOV34" s="10"/>
      <c r="LOW34" s="10"/>
      <c r="LOX34" s="10"/>
      <c r="LOY34" s="10"/>
      <c r="LOZ34" s="10"/>
      <c r="LPA34" s="10"/>
      <c r="LPB34" s="10"/>
      <c r="LPC34" s="10"/>
      <c r="LPD34" s="10"/>
      <c r="LPE34" s="10"/>
      <c r="LPF34" s="10"/>
      <c r="LPG34" s="10"/>
      <c r="LPH34" s="10"/>
      <c r="LPI34" s="10"/>
      <c r="LPJ34" s="10"/>
      <c r="LPK34" s="10"/>
      <c r="LPL34" s="10"/>
      <c r="LPM34" s="10"/>
      <c r="LPN34" s="10"/>
      <c r="LPO34" s="10"/>
      <c r="LPP34" s="10"/>
      <c r="LPQ34" s="10"/>
      <c r="LPR34" s="10"/>
      <c r="LPS34" s="10"/>
      <c r="LPT34" s="10"/>
      <c r="LPU34" s="10"/>
      <c r="LPV34" s="10"/>
      <c r="LPW34" s="10"/>
      <c r="LPX34" s="10"/>
      <c r="LPY34" s="10"/>
      <c r="LPZ34" s="10"/>
      <c r="LQA34" s="10"/>
      <c r="LQB34" s="10"/>
      <c r="LQC34" s="10"/>
      <c r="LQD34" s="10"/>
      <c r="LQE34" s="10"/>
      <c r="LQF34" s="10"/>
      <c r="LQG34" s="10"/>
      <c r="LQH34" s="10"/>
      <c r="LQI34" s="10"/>
      <c r="LQJ34" s="10"/>
      <c r="LQK34" s="10"/>
      <c r="LQL34" s="10"/>
      <c r="LQM34" s="10"/>
      <c r="LQN34" s="10"/>
      <c r="LQO34" s="10"/>
      <c r="LQP34" s="10"/>
      <c r="LQQ34" s="10"/>
      <c r="LQR34" s="10"/>
      <c r="LQS34" s="10"/>
      <c r="LQT34" s="10"/>
      <c r="LQU34" s="10"/>
      <c r="LQV34" s="10"/>
      <c r="LQW34" s="10"/>
      <c r="LQX34" s="10"/>
      <c r="LQY34" s="10"/>
      <c r="LQZ34" s="10"/>
      <c r="LRA34" s="10"/>
      <c r="LRB34" s="10"/>
      <c r="LRC34" s="10"/>
      <c r="LRD34" s="10"/>
      <c r="LRE34" s="10"/>
      <c r="LRF34" s="10"/>
      <c r="LRG34" s="10"/>
      <c r="LRH34" s="10"/>
      <c r="LRI34" s="10"/>
      <c r="LRJ34" s="10"/>
      <c r="LRK34" s="10"/>
      <c r="LRL34" s="10"/>
      <c r="LRM34" s="10"/>
      <c r="LRN34" s="10"/>
      <c r="LRO34" s="10"/>
      <c r="LRP34" s="10"/>
      <c r="LRQ34" s="10"/>
      <c r="LRR34" s="10"/>
      <c r="LRS34" s="10"/>
      <c r="LRT34" s="10"/>
      <c r="LRU34" s="10"/>
      <c r="LRV34" s="10"/>
      <c r="LRW34" s="10"/>
      <c r="LRX34" s="10"/>
      <c r="LRY34" s="10"/>
      <c r="LRZ34" s="10"/>
      <c r="LSA34" s="10"/>
      <c r="LSB34" s="10"/>
      <c r="LSC34" s="10"/>
      <c r="LSD34" s="10"/>
      <c r="LSE34" s="10"/>
      <c r="LSF34" s="10"/>
      <c r="LSG34" s="10"/>
      <c r="LSH34" s="10"/>
      <c r="LSI34" s="10"/>
      <c r="LSJ34" s="10"/>
      <c r="LSK34" s="10"/>
      <c r="LSL34" s="10"/>
      <c r="LSM34" s="10"/>
      <c r="LSN34" s="10"/>
      <c r="LSO34" s="10"/>
      <c r="LSP34" s="10"/>
      <c r="LSQ34" s="10"/>
      <c r="LSR34" s="10"/>
      <c r="LSS34" s="10"/>
      <c r="LST34" s="10"/>
      <c r="LSU34" s="10"/>
      <c r="LSV34" s="10"/>
      <c r="LSW34" s="10"/>
      <c r="LSX34" s="10"/>
      <c r="LSY34" s="10"/>
      <c r="LSZ34" s="10"/>
      <c r="LTA34" s="10"/>
      <c r="LTB34" s="10"/>
      <c r="LTC34" s="10"/>
      <c r="LTD34" s="10"/>
      <c r="LTE34" s="10"/>
      <c r="LTF34" s="10"/>
      <c r="LTG34" s="10"/>
      <c r="LTH34" s="10"/>
      <c r="LTI34" s="10"/>
      <c r="LTJ34" s="10"/>
      <c r="LTK34" s="10"/>
      <c r="LTL34" s="10"/>
      <c r="LTM34" s="10"/>
      <c r="LTN34" s="10"/>
      <c r="LTO34" s="10"/>
      <c r="LTP34" s="10"/>
      <c r="LTQ34" s="10"/>
      <c r="LTR34" s="10"/>
      <c r="LTS34" s="10"/>
      <c r="LTT34" s="10"/>
      <c r="LTU34" s="10"/>
      <c r="LTV34" s="10"/>
      <c r="LTW34" s="10"/>
      <c r="LTX34" s="10"/>
      <c r="LTY34" s="10"/>
      <c r="LTZ34" s="10"/>
      <c r="LUA34" s="10"/>
      <c r="LUB34" s="10"/>
      <c r="LUC34" s="10"/>
      <c r="LUD34" s="10"/>
      <c r="LUE34" s="10"/>
      <c r="LUF34" s="10"/>
      <c r="LUG34" s="10"/>
      <c r="LUH34" s="10"/>
      <c r="LUI34" s="10"/>
      <c r="LUJ34" s="10"/>
      <c r="LUK34" s="10"/>
      <c r="LUL34" s="10"/>
      <c r="LUM34" s="10"/>
      <c r="LUN34" s="10"/>
      <c r="LUO34" s="10"/>
      <c r="LUP34" s="10"/>
      <c r="LUQ34" s="10"/>
      <c r="LUR34" s="10"/>
      <c r="LUS34" s="10"/>
      <c r="LUT34" s="10"/>
      <c r="LUU34" s="10"/>
      <c r="LUV34" s="10"/>
      <c r="LUW34" s="10"/>
      <c r="LUX34" s="10"/>
      <c r="LUY34" s="10"/>
      <c r="LUZ34" s="10"/>
      <c r="LVA34" s="10"/>
      <c r="LVB34" s="10"/>
      <c r="LVC34" s="10"/>
      <c r="LVD34" s="10"/>
      <c r="LVE34" s="10"/>
      <c r="LVF34" s="10"/>
      <c r="LVG34" s="10"/>
      <c r="LVH34" s="10"/>
      <c r="LVI34" s="10"/>
      <c r="LVJ34" s="10"/>
      <c r="LVK34" s="10"/>
      <c r="LVL34" s="10"/>
      <c r="LVM34" s="10"/>
      <c r="LVN34" s="10"/>
      <c r="LVO34" s="10"/>
      <c r="LVP34" s="10"/>
      <c r="LVQ34" s="10"/>
      <c r="LVR34" s="10"/>
      <c r="LVS34" s="10"/>
      <c r="LVT34" s="10"/>
      <c r="LVU34" s="10"/>
      <c r="LVV34" s="10"/>
      <c r="LVW34" s="10"/>
      <c r="LVX34" s="10"/>
      <c r="LVY34" s="10"/>
      <c r="LVZ34" s="10"/>
      <c r="LWA34" s="10"/>
      <c r="LWB34" s="10"/>
      <c r="LWC34" s="10"/>
      <c r="LWD34" s="10"/>
      <c r="LWE34" s="10"/>
      <c r="LWF34" s="10"/>
      <c r="LWG34" s="10"/>
      <c r="LWH34" s="10"/>
      <c r="LWI34" s="10"/>
      <c r="LWJ34" s="10"/>
      <c r="LWK34" s="10"/>
      <c r="LWL34" s="10"/>
      <c r="LWM34" s="10"/>
      <c r="LWN34" s="10"/>
      <c r="LWO34" s="10"/>
      <c r="LWP34" s="10"/>
      <c r="LWQ34" s="10"/>
      <c r="LWR34" s="10"/>
      <c r="LWS34" s="10"/>
      <c r="LWT34" s="10"/>
      <c r="LWU34" s="10"/>
      <c r="LWV34" s="10"/>
      <c r="LWW34" s="10"/>
      <c r="LWX34" s="10"/>
      <c r="LWY34" s="10"/>
      <c r="LWZ34" s="10"/>
      <c r="LXA34" s="10"/>
      <c r="LXB34" s="10"/>
      <c r="LXC34" s="10"/>
      <c r="LXD34" s="10"/>
      <c r="LXE34" s="10"/>
      <c r="LXF34" s="10"/>
      <c r="LXG34" s="10"/>
      <c r="LXH34" s="10"/>
      <c r="LXI34" s="10"/>
      <c r="LXJ34" s="10"/>
      <c r="LXK34" s="10"/>
      <c r="LXL34" s="10"/>
      <c r="LXM34" s="10"/>
      <c r="LXN34" s="10"/>
      <c r="LXO34" s="10"/>
      <c r="LXP34" s="10"/>
      <c r="LXQ34" s="10"/>
      <c r="LXR34" s="10"/>
      <c r="LXS34" s="10"/>
      <c r="LXT34" s="10"/>
      <c r="LXU34" s="10"/>
      <c r="LXV34" s="10"/>
      <c r="LXW34" s="10"/>
      <c r="LXX34" s="10"/>
      <c r="LXY34" s="10"/>
      <c r="LXZ34" s="10"/>
      <c r="LYA34" s="10"/>
      <c r="LYB34" s="10"/>
      <c r="LYC34" s="10"/>
      <c r="LYD34" s="10"/>
      <c r="LYE34" s="10"/>
      <c r="LYF34" s="10"/>
      <c r="LYG34" s="10"/>
      <c r="LYH34" s="10"/>
      <c r="LYI34" s="10"/>
      <c r="LYJ34" s="10"/>
      <c r="LYK34" s="10"/>
      <c r="LYL34" s="10"/>
      <c r="LYM34" s="10"/>
      <c r="LYN34" s="10"/>
      <c r="LYO34" s="10"/>
      <c r="LYP34" s="10"/>
      <c r="LYQ34" s="10"/>
      <c r="LYR34" s="10"/>
      <c r="LYS34" s="10"/>
      <c r="LYT34" s="10"/>
      <c r="LYU34" s="10"/>
      <c r="LYV34" s="10"/>
      <c r="LYW34" s="10"/>
      <c r="LYX34" s="10"/>
      <c r="LYY34" s="10"/>
      <c r="LYZ34" s="10"/>
      <c r="LZA34" s="10"/>
      <c r="LZB34" s="10"/>
      <c r="LZC34" s="10"/>
      <c r="LZD34" s="10"/>
      <c r="LZE34" s="10"/>
      <c r="LZF34" s="10"/>
      <c r="LZG34" s="10"/>
      <c r="LZH34" s="10"/>
      <c r="LZI34" s="10"/>
      <c r="LZJ34" s="10"/>
      <c r="LZK34" s="10"/>
      <c r="LZL34" s="10"/>
      <c r="LZM34" s="10"/>
      <c r="LZN34" s="10"/>
      <c r="LZO34" s="10"/>
      <c r="LZP34" s="10"/>
      <c r="LZQ34" s="10"/>
      <c r="LZR34" s="10"/>
      <c r="LZS34" s="10"/>
      <c r="LZT34" s="10"/>
      <c r="LZU34" s="10"/>
      <c r="LZV34" s="10"/>
      <c r="LZW34" s="10"/>
      <c r="LZX34" s="10"/>
      <c r="LZY34" s="10"/>
      <c r="LZZ34" s="10"/>
      <c r="MAA34" s="10"/>
      <c r="MAB34" s="10"/>
      <c r="MAC34" s="10"/>
      <c r="MAD34" s="10"/>
      <c r="MAE34" s="10"/>
      <c r="MAF34" s="10"/>
      <c r="MAG34" s="10"/>
      <c r="MAH34" s="10"/>
      <c r="MAI34" s="10"/>
      <c r="MAJ34" s="10"/>
      <c r="MAK34" s="10"/>
      <c r="MAL34" s="10"/>
      <c r="MAM34" s="10"/>
      <c r="MAN34" s="10"/>
      <c r="MAO34" s="10"/>
      <c r="MAP34" s="10"/>
      <c r="MAQ34" s="10"/>
      <c r="MAR34" s="10"/>
      <c r="MAS34" s="10"/>
      <c r="MAT34" s="10"/>
      <c r="MAU34" s="10"/>
      <c r="MAV34" s="10"/>
      <c r="MAW34" s="10"/>
      <c r="MAX34" s="10"/>
      <c r="MAY34" s="10"/>
      <c r="MAZ34" s="10"/>
      <c r="MBA34" s="10"/>
      <c r="MBB34" s="10"/>
      <c r="MBC34" s="10"/>
      <c r="MBD34" s="10"/>
      <c r="MBE34" s="10"/>
      <c r="MBF34" s="10"/>
      <c r="MBG34" s="10"/>
      <c r="MBH34" s="10"/>
      <c r="MBI34" s="10"/>
      <c r="MBJ34" s="10"/>
      <c r="MBK34" s="10"/>
      <c r="MBL34" s="10"/>
      <c r="MBM34" s="10"/>
      <c r="MBN34" s="10"/>
      <c r="MBO34" s="10"/>
      <c r="MBP34" s="10"/>
      <c r="MBQ34" s="10"/>
      <c r="MBR34" s="10"/>
      <c r="MBS34" s="10"/>
      <c r="MBT34" s="10"/>
      <c r="MBU34" s="10"/>
      <c r="MBV34" s="10"/>
      <c r="MBW34" s="10"/>
      <c r="MBX34" s="10"/>
      <c r="MBY34" s="10"/>
      <c r="MBZ34" s="10"/>
      <c r="MCA34" s="10"/>
      <c r="MCB34" s="10"/>
      <c r="MCC34" s="10"/>
      <c r="MCD34" s="10"/>
      <c r="MCE34" s="10"/>
      <c r="MCF34" s="10"/>
      <c r="MCG34" s="10"/>
      <c r="MCH34" s="10"/>
      <c r="MCI34" s="10"/>
      <c r="MCJ34" s="10"/>
      <c r="MCK34" s="10"/>
      <c r="MCL34" s="10"/>
      <c r="MCM34" s="10"/>
      <c r="MCN34" s="10"/>
      <c r="MCO34" s="10"/>
      <c r="MCP34" s="10"/>
      <c r="MCQ34" s="10"/>
      <c r="MCR34" s="10"/>
      <c r="MCS34" s="10"/>
      <c r="MCT34" s="10"/>
      <c r="MCU34" s="10"/>
      <c r="MCV34" s="10"/>
      <c r="MCW34" s="10"/>
      <c r="MCX34" s="10"/>
      <c r="MCY34" s="10"/>
      <c r="MCZ34" s="10"/>
      <c r="MDA34" s="10"/>
      <c r="MDB34" s="10"/>
      <c r="MDC34" s="10"/>
      <c r="MDD34" s="10"/>
      <c r="MDE34" s="10"/>
      <c r="MDF34" s="10"/>
      <c r="MDG34" s="10"/>
      <c r="MDH34" s="10"/>
      <c r="MDI34" s="10"/>
      <c r="MDJ34" s="10"/>
      <c r="MDK34" s="10"/>
      <c r="MDL34" s="10"/>
      <c r="MDM34" s="10"/>
      <c r="MDN34" s="10"/>
      <c r="MDO34" s="10"/>
      <c r="MDP34" s="10"/>
      <c r="MDQ34" s="10"/>
      <c r="MDR34" s="10"/>
      <c r="MDS34" s="10"/>
      <c r="MDT34" s="10"/>
      <c r="MDU34" s="10"/>
      <c r="MDV34" s="10"/>
      <c r="MDW34" s="10"/>
      <c r="MDX34" s="10"/>
      <c r="MDY34" s="10"/>
      <c r="MDZ34" s="10"/>
      <c r="MEA34" s="10"/>
      <c r="MEB34" s="10"/>
      <c r="MEC34" s="10"/>
      <c r="MED34" s="10"/>
      <c r="MEE34" s="10"/>
      <c r="MEF34" s="10"/>
      <c r="MEG34" s="10"/>
      <c r="MEH34" s="10"/>
      <c r="MEI34" s="10"/>
      <c r="MEJ34" s="10"/>
      <c r="MEK34" s="10"/>
      <c r="MEL34" s="10"/>
      <c r="MEM34" s="10"/>
      <c r="MEN34" s="10"/>
      <c r="MEO34" s="10"/>
      <c r="MEP34" s="10"/>
      <c r="MEQ34" s="10"/>
      <c r="MER34" s="10"/>
      <c r="MES34" s="10"/>
      <c r="MET34" s="10"/>
      <c r="MEU34" s="10"/>
      <c r="MEV34" s="10"/>
      <c r="MEW34" s="10"/>
      <c r="MEX34" s="10"/>
      <c r="MEY34" s="10"/>
      <c r="MEZ34" s="10"/>
      <c r="MFA34" s="10"/>
      <c r="MFB34" s="10"/>
      <c r="MFC34" s="10"/>
      <c r="MFD34" s="10"/>
      <c r="MFE34" s="10"/>
      <c r="MFF34" s="10"/>
      <c r="MFG34" s="10"/>
      <c r="MFH34" s="10"/>
      <c r="MFI34" s="10"/>
      <c r="MFJ34" s="10"/>
      <c r="MFK34" s="10"/>
      <c r="MFL34" s="10"/>
      <c r="MFM34" s="10"/>
      <c r="MFN34" s="10"/>
      <c r="MFO34" s="10"/>
      <c r="MFP34" s="10"/>
      <c r="MFQ34" s="10"/>
      <c r="MFR34" s="10"/>
      <c r="MFS34" s="10"/>
      <c r="MFT34" s="10"/>
      <c r="MFU34" s="10"/>
      <c r="MFV34" s="10"/>
      <c r="MFW34" s="10"/>
      <c r="MFX34" s="10"/>
      <c r="MFY34" s="10"/>
      <c r="MFZ34" s="10"/>
      <c r="MGA34" s="10"/>
      <c r="MGB34" s="10"/>
      <c r="MGC34" s="10"/>
      <c r="MGD34" s="10"/>
      <c r="MGE34" s="10"/>
      <c r="MGF34" s="10"/>
      <c r="MGG34" s="10"/>
      <c r="MGH34" s="10"/>
      <c r="MGI34" s="10"/>
      <c r="MGJ34" s="10"/>
      <c r="MGK34" s="10"/>
      <c r="MGL34" s="10"/>
      <c r="MGM34" s="10"/>
      <c r="MGN34" s="10"/>
      <c r="MGO34" s="10"/>
      <c r="MGP34" s="10"/>
      <c r="MGQ34" s="10"/>
      <c r="MGR34" s="10"/>
      <c r="MGS34" s="10"/>
      <c r="MGT34" s="10"/>
      <c r="MGU34" s="10"/>
      <c r="MGV34" s="10"/>
      <c r="MGW34" s="10"/>
      <c r="MGX34" s="10"/>
      <c r="MGY34" s="10"/>
      <c r="MGZ34" s="10"/>
      <c r="MHA34" s="10"/>
      <c r="MHB34" s="10"/>
      <c r="MHC34" s="10"/>
      <c r="MHD34" s="10"/>
      <c r="MHE34" s="10"/>
      <c r="MHF34" s="10"/>
      <c r="MHG34" s="10"/>
      <c r="MHH34" s="10"/>
      <c r="MHI34" s="10"/>
      <c r="MHJ34" s="10"/>
      <c r="MHK34" s="10"/>
      <c r="MHL34" s="10"/>
      <c r="MHM34" s="10"/>
      <c r="MHN34" s="10"/>
      <c r="MHO34" s="10"/>
      <c r="MHP34" s="10"/>
      <c r="MHQ34" s="10"/>
      <c r="MHR34" s="10"/>
      <c r="MHS34" s="10"/>
      <c r="MHT34" s="10"/>
      <c r="MHU34" s="10"/>
      <c r="MHV34" s="10"/>
      <c r="MHW34" s="10"/>
      <c r="MHX34" s="10"/>
      <c r="MHY34" s="10"/>
      <c r="MHZ34" s="10"/>
      <c r="MIA34" s="10"/>
      <c r="MIB34" s="10"/>
      <c r="MIC34" s="10"/>
      <c r="MID34" s="10"/>
      <c r="MIE34" s="10"/>
      <c r="MIF34" s="10"/>
      <c r="MIG34" s="10"/>
      <c r="MIH34" s="10"/>
      <c r="MII34" s="10"/>
      <c r="MIJ34" s="10"/>
      <c r="MIK34" s="10"/>
      <c r="MIL34" s="10"/>
      <c r="MIM34" s="10"/>
      <c r="MIN34" s="10"/>
      <c r="MIO34" s="10"/>
      <c r="MIP34" s="10"/>
      <c r="MIQ34" s="10"/>
      <c r="MIR34" s="10"/>
      <c r="MIS34" s="10"/>
      <c r="MIT34" s="10"/>
      <c r="MIU34" s="10"/>
      <c r="MIV34" s="10"/>
      <c r="MIW34" s="10"/>
      <c r="MIX34" s="10"/>
      <c r="MIY34" s="10"/>
      <c r="MIZ34" s="10"/>
      <c r="MJA34" s="10"/>
      <c r="MJB34" s="10"/>
      <c r="MJC34" s="10"/>
      <c r="MJD34" s="10"/>
      <c r="MJE34" s="10"/>
      <c r="MJF34" s="10"/>
      <c r="MJG34" s="10"/>
      <c r="MJH34" s="10"/>
      <c r="MJI34" s="10"/>
      <c r="MJJ34" s="10"/>
      <c r="MJK34" s="10"/>
      <c r="MJL34" s="10"/>
      <c r="MJM34" s="10"/>
      <c r="MJN34" s="10"/>
      <c r="MJO34" s="10"/>
      <c r="MJP34" s="10"/>
      <c r="MJQ34" s="10"/>
      <c r="MJR34" s="10"/>
      <c r="MJS34" s="10"/>
      <c r="MJT34" s="10"/>
      <c r="MJU34" s="10"/>
      <c r="MJV34" s="10"/>
      <c r="MJW34" s="10"/>
      <c r="MJX34" s="10"/>
      <c r="MJY34" s="10"/>
      <c r="MJZ34" s="10"/>
      <c r="MKA34" s="10"/>
      <c r="MKB34" s="10"/>
      <c r="MKC34" s="10"/>
      <c r="MKD34" s="10"/>
      <c r="MKE34" s="10"/>
      <c r="MKF34" s="10"/>
      <c r="MKG34" s="10"/>
      <c r="MKH34" s="10"/>
      <c r="MKI34" s="10"/>
      <c r="MKJ34" s="10"/>
      <c r="MKK34" s="10"/>
      <c r="MKL34" s="10"/>
      <c r="MKM34" s="10"/>
      <c r="MKN34" s="10"/>
      <c r="MKO34" s="10"/>
      <c r="MKP34" s="10"/>
      <c r="MKQ34" s="10"/>
      <c r="MKR34" s="10"/>
      <c r="MKS34" s="10"/>
      <c r="MKT34" s="10"/>
      <c r="MKU34" s="10"/>
      <c r="MKV34" s="10"/>
      <c r="MKW34" s="10"/>
      <c r="MKX34" s="10"/>
      <c r="MKY34" s="10"/>
      <c r="MKZ34" s="10"/>
      <c r="MLA34" s="10"/>
      <c r="MLB34" s="10"/>
      <c r="MLC34" s="10"/>
      <c r="MLD34" s="10"/>
      <c r="MLE34" s="10"/>
      <c r="MLF34" s="10"/>
      <c r="MLG34" s="10"/>
      <c r="MLH34" s="10"/>
      <c r="MLI34" s="10"/>
      <c r="MLJ34" s="10"/>
      <c r="MLK34" s="10"/>
      <c r="MLL34" s="10"/>
      <c r="MLM34" s="10"/>
      <c r="MLN34" s="10"/>
      <c r="MLO34" s="10"/>
      <c r="MLP34" s="10"/>
      <c r="MLQ34" s="10"/>
      <c r="MLR34" s="10"/>
      <c r="MLS34" s="10"/>
      <c r="MLT34" s="10"/>
      <c r="MLU34" s="10"/>
      <c r="MLV34" s="10"/>
      <c r="MLW34" s="10"/>
      <c r="MLX34" s="10"/>
      <c r="MLY34" s="10"/>
      <c r="MLZ34" s="10"/>
      <c r="MMA34" s="10"/>
      <c r="MMB34" s="10"/>
      <c r="MMC34" s="10"/>
      <c r="MMD34" s="10"/>
      <c r="MME34" s="10"/>
      <c r="MMF34" s="10"/>
      <c r="MMG34" s="10"/>
      <c r="MMH34" s="10"/>
      <c r="MMI34" s="10"/>
      <c r="MMJ34" s="10"/>
      <c r="MMK34" s="10"/>
      <c r="MML34" s="10"/>
      <c r="MMM34" s="10"/>
      <c r="MMN34" s="10"/>
      <c r="MMO34" s="10"/>
      <c r="MMP34" s="10"/>
      <c r="MMQ34" s="10"/>
      <c r="MMR34" s="10"/>
      <c r="MMS34" s="10"/>
      <c r="MMT34" s="10"/>
      <c r="MMU34" s="10"/>
      <c r="MMV34" s="10"/>
      <c r="MMW34" s="10"/>
      <c r="MMX34" s="10"/>
      <c r="MMY34" s="10"/>
      <c r="MMZ34" s="10"/>
      <c r="MNA34" s="10"/>
      <c r="MNB34" s="10"/>
      <c r="MNC34" s="10"/>
      <c r="MND34" s="10"/>
      <c r="MNE34" s="10"/>
      <c r="MNF34" s="10"/>
      <c r="MNG34" s="10"/>
      <c r="MNH34" s="10"/>
      <c r="MNI34" s="10"/>
      <c r="MNJ34" s="10"/>
      <c r="MNK34" s="10"/>
      <c r="MNL34" s="10"/>
      <c r="MNM34" s="10"/>
      <c r="MNN34" s="10"/>
      <c r="MNO34" s="10"/>
      <c r="MNP34" s="10"/>
      <c r="MNQ34" s="10"/>
      <c r="MNR34" s="10"/>
      <c r="MNS34" s="10"/>
      <c r="MNT34" s="10"/>
      <c r="MNU34" s="10"/>
      <c r="MNV34" s="10"/>
      <c r="MNW34" s="10"/>
      <c r="MNX34" s="10"/>
      <c r="MNY34" s="10"/>
      <c r="MNZ34" s="10"/>
      <c r="MOA34" s="10"/>
      <c r="MOB34" s="10"/>
      <c r="MOC34" s="10"/>
      <c r="MOD34" s="10"/>
      <c r="MOE34" s="10"/>
      <c r="MOF34" s="10"/>
      <c r="MOG34" s="10"/>
      <c r="MOH34" s="10"/>
      <c r="MOI34" s="10"/>
      <c r="MOJ34" s="10"/>
      <c r="MOK34" s="10"/>
      <c r="MOL34" s="10"/>
      <c r="MOM34" s="10"/>
      <c r="MON34" s="10"/>
      <c r="MOO34" s="10"/>
      <c r="MOP34" s="10"/>
      <c r="MOQ34" s="10"/>
      <c r="MOR34" s="10"/>
      <c r="MOS34" s="10"/>
      <c r="MOT34" s="10"/>
      <c r="MOU34" s="10"/>
      <c r="MOV34" s="10"/>
      <c r="MOW34" s="10"/>
      <c r="MOX34" s="10"/>
      <c r="MOY34" s="10"/>
      <c r="MOZ34" s="10"/>
      <c r="MPA34" s="10"/>
      <c r="MPB34" s="10"/>
      <c r="MPC34" s="10"/>
      <c r="MPD34" s="10"/>
      <c r="MPE34" s="10"/>
      <c r="MPF34" s="10"/>
      <c r="MPG34" s="10"/>
      <c r="MPH34" s="10"/>
      <c r="MPI34" s="10"/>
      <c r="MPJ34" s="10"/>
      <c r="MPK34" s="10"/>
      <c r="MPL34" s="10"/>
      <c r="MPM34" s="10"/>
      <c r="MPN34" s="10"/>
      <c r="MPO34" s="10"/>
      <c r="MPP34" s="10"/>
      <c r="MPQ34" s="10"/>
      <c r="MPR34" s="10"/>
      <c r="MPS34" s="10"/>
      <c r="MPT34" s="10"/>
      <c r="MPU34" s="10"/>
      <c r="MPV34" s="10"/>
      <c r="MPW34" s="10"/>
      <c r="MPX34" s="10"/>
      <c r="MPY34" s="10"/>
      <c r="MPZ34" s="10"/>
      <c r="MQA34" s="10"/>
      <c r="MQB34" s="10"/>
      <c r="MQC34" s="10"/>
      <c r="MQD34" s="10"/>
      <c r="MQE34" s="10"/>
      <c r="MQF34" s="10"/>
      <c r="MQG34" s="10"/>
      <c r="MQH34" s="10"/>
      <c r="MQI34" s="10"/>
      <c r="MQJ34" s="10"/>
      <c r="MQK34" s="10"/>
      <c r="MQL34" s="10"/>
      <c r="MQM34" s="10"/>
      <c r="MQN34" s="10"/>
      <c r="MQO34" s="10"/>
      <c r="MQP34" s="10"/>
      <c r="MQQ34" s="10"/>
      <c r="MQR34" s="10"/>
      <c r="MQS34" s="10"/>
      <c r="MQT34" s="10"/>
      <c r="MQU34" s="10"/>
      <c r="MQV34" s="10"/>
      <c r="MQW34" s="10"/>
      <c r="MQX34" s="10"/>
      <c r="MQY34" s="10"/>
      <c r="MQZ34" s="10"/>
      <c r="MRA34" s="10"/>
      <c r="MRB34" s="10"/>
      <c r="MRC34" s="10"/>
      <c r="MRD34" s="10"/>
      <c r="MRE34" s="10"/>
      <c r="MRF34" s="10"/>
      <c r="MRG34" s="10"/>
      <c r="MRH34" s="10"/>
      <c r="MRI34" s="10"/>
      <c r="MRJ34" s="10"/>
      <c r="MRK34" s="10"/>
      <c r="MRL34" s="10"/>
      <c r="MRM34" s="10"/>
      <c r="MRN34" s="10"/>
      <c r="MRO34" s="10"/>
      <c r="MRP34" s="10"/>
      <c r="MRQ34" s="10"/>
      <c r="MRR34" s="10"/>
      <c r="MRS34" s="10"/>
      <c r="MRT34" s="10"/>
      <c r="MRU34" s="10"/>
      <c r="MRV34" s="10"/>
      <c r="MRW34" s="10"/>
      <c r="MRX34" s="10"/>
      <c r="MRY34" s="10"/>
      <c r="MRZ34" s="10"/>
      <c r="MSA34" s="10"/>
      <c r="MSB34" s="10"/>
      <c r="MSC34" s="10"/>
      <c r="MSD34" s="10"/>
      <c r="MSE34" s="10"/>
      <c r="MSF34" s="10"/>
      <c r="MSG34" s="10"/>
      <c r="MSH34" s="10"/>
      <c r="MSI34" s="10"/>
      <c r="MSJ34" s="10"/>
      <c r="MSK34" s="10"/>
      <c r="MSL34" s="10"/>
      <c r="MSM34" s="10"/>
      <c r="MSN34" s="10"/>
      <c r="MSO34" s="10"/>
      <c r="MSP34" s="10"/>
      <c r="MSQ34" s="10"/>
      <c r="MSR34" s="10"/>
      <c r="MSS34" s="10"/>
      <c r="MST34" s="10"/>
      <c r="MSU34" s="10"/>
      <c r="MSV34" s="10"/>
      <c r="MSW34" s="10"/>
      <c r="MSX34" s="10"/>
      <c r="MSY34" s="10"/>
      <c r="MSZ34" s="10"/>
      <c r="MTA34" s="10"/>
      <c r="MTB34" s="10"/>
      <c r="MTC34" s="10"/>
      <c r="MTD34" s="10"/>
      <c r="MTE34" s="10"/>
      <c r="MTF34" s="10"/>
      <c r="MTG34" s="10"/>
      <c r="MTH34" s="10"/>
      <c r="MTI34" s="10"/>
      <c r="MTJ34" s="10"/>
      <c r="MTK34" s="10"/>
      <c r="MTL34" s="10"/>
      <c r="MTM34" s="10"/>
      <c r="MTN34" s="10"/>
      <c r="MTO34" s="10"/>
      <c r="MTP34" s="10"/>
      <c r="MTQ34" s="10"/>
      <c r="MTR34" s="10"/>
      <c r="MTS34" s="10"/>
      <c r="MTT34" s="10"/>
      <c r="MTU34" s="10"/>
      <c r="MTV34" s="10"/>
      <c r="MTW34" s="10"/>
      <c r="MTX34" s="10"/>
      <c r="MTY34" s="10"/>
      <c r="MTZ34" s="10"/>
      <c r="MUA34" s="10"/>
      <c r="MUB34" s="10"/>
      <c r="MUC34" s="10"/>
      <c r="MUD34" s="10"/>
      <c r="MUE34" s="10"/>
      <c r="MUF34" s="10"/>
      <c r="MUG34" s="10"/>
      <c r="MUH34" s="10"/>
      <c r="MUI34" s="10"/>
      <c r="MUJ34" s="10"/>
      <c r="MUK34" s="10"/>
      <c r="MUL34" s="10"/>
      <c r="MUM34" s="10"/>
      <c r="MUN34" s="10"/>
      <c r="MUO34" s="10"/>
      <c r="MUP34" s="10"/>
      <c r="MUQ34" s="10"/>
      <c r="MUR34" s="10"/>
      <c r="MUS34" s="10"/>
      <c r="MUT34" s="10"/>
      <c r="MUU34" s="10"/>
      <c r="MUV34" s="10"/>
      <c r="MUW34" s="10"/>
      <c r="MUX34" s="10"/>
      <c r="MUY34" s="10"/>
      <c r="MUZ34" s="10"/>
      <c r="MVA34" s="10"/>
      <c r="MVB34" s="10"/>
      <c r="MVC34" s="10"/>
      <c r="MVD34" s="10"/>
      <c r="MVE34" s="10"/>
      <c r="MVF34" s="10"/>
      <c r="MVG34" s="10"/>
      <c r="MVH34" s="10"/>
      <c r="MVI34" s="10"/>
      <c r="MVJ34" s="10"/>
      <c r="MVK34" s="10"/>
      <c r="MVL34" s="10"/>
      <c r="MVM34" s="10"/>
      <c r="MVN34" s="10"/>
      <c r="MVO34" s="10"/>
      <c r="MVP34" s="10"/>
      <c r="MVQ34" s="10"/>
      <c r="MVR34" s="10"/>
      <c r="MVS34" s="10"/>
      <c r="MVT34" s="10"/>
      <c r="MVU34" s="10"/>
      <c r="MVV34" s="10"/>
      <c r="MVW34" s="10"/>
      <c r="MVX34" s="10"/>
      <c r="MVY34" s="10"/>
      <c r="MVZ34" s="10"/>
      <c r="MWA34" s="10"/>
      <c r="MWB34" s="10"/>
      <c r="MWC34" s="10"/>
      <c r="MWD34" s="10"/>
      <c r="MWE34" s="10"/>
      <c r="MWF34" s="10"/>
      <c r="MWG34" s="10"/>
      <c r="MWH34" s="10"/>
      <c r="MWI34" s="10"/>
      <c r="MWJ34" s="10"/>
      <c r="MWK34" s="10"/>
      <c r="MWL34" s="10"/>
      <c r="MWM34" s="10"/>
      <c r="MWN34" s="10"/>
      <c r="MWO34" s="10"/>
      <c r="MWP34" s="10"/>
      <c r="MWQ34" s="10"/>
      <c r="MWR34" s="10"/>
      <c r="MWS34" s="10"/>
      <c r="MWT34" s="10"/>
      <c r="MWU34" s="10"/>
      <c r="MWV34" s="10"/>
      <c r="MWW34" s="10"/>
      <c r="MWX34" s="10"/>
      <c r="MWY34" s="10"/>
      <c r="MWZ34" s="10"/>
      <c r="MXA34" s="10"/>
      <c r="MXB34" s="10"/>
      <c r="MXC34" s="10"/>
      <c r="MXD34" s="10"/>
      <c r="MXE34" s="10"/>
      <c r="MXF34" s="10"/>
      <c r="MXG34" s="10"/>
      <c r="MXH34" s="10"/>
      <c r="MXI34" s="10"/>
      <c r="MXJ34" s="10"/>
      <c r="MXK34" s="10"/>
      <c r="MXL34" s="10"/>
      <c r="MXM34" s="10"/>
      <c r="MXN34" s="10"/>
      <c r="MXO34" s="10"/>
      <c r="MXP34" s="10"/>
      <c r="MXQ34" s="10"/>
      <c r="MXR34" s="10"/>
      <c r="MXS34" s="10"/>
      <c r="MXT34" s="10"/>
      <c r="MXU34" s="10"/>
      <c r="MXV34" s="10"/>
      <c r="MXW34" s="10"/>
      <c r="MXX34" s="10"/>
      <c r="MXY34" s="10"/>
      <c r="MXZ34" s="10"/>
      <c r="MYA34" s="10"/>
      <c r="MYB34" s="10"/>
      <c r="MYC34" s="10"/>
      <c r="MYD34" s="10"/>
      <c r="MYE34" s="10"/>
      <c r="MYF34" s="10"/>
      <c r="MYG34" s="10"/>
      <c r="MYH34" s="10"/>
      <c r="MYI34" s="10"/>
      <c r="MYJ34" s="10"/>
      <c r="MYK34" s="10"/>
      <c r="MYL34" s="10"/>
      <c r="MYM34" s="10"/>
      <c r="MYN34" s="10"/>
      <c r="MYO34" s="10"/>
      <c r="MYP34" s="10"/>
      <c r="MYQ34" s="10"/>
      <c r="MYR34" s="10"/>
      <c r="MYS34" s="10"/>
      <c r="MYT34" s="10"/>
      <c r="MYU34" s="10"/>
      <c r="MYV34" s="10"/>
      <c r="MYW34" s="10"/>
      <c r="MYX34" s="10"/>
      <c r="MYY34" s="10"/>
      <c r="MYZ34" s="10"/>
      <c r="MZA34" s="10"/>
      <c r="MZB34" s="10"/>
      <c r="MZC34" s="10"/>
      <c r="MZD34" s="10"/>
      <c r="MZE34" s="10"/>
      <c r="MZF34" s="10"/>
      <c r="MZG34" s="10"/>
      <c r="MZH34" s="10"/>
      <c r="MZI34" s="10"/>
      <c r="MZJ34" s="10"/>
      <c r="MZK34" s="10"/>
      <c r="MZL34" s="10"/>
      <c r="MZM34" s="10"/>
      <c r="MZN34" s="10"/>
      <c r="MZO34" s="10"/>
      <c r="MZP34" s="10"/>
      <c r="MZQ34" s="10"/>
      <c r="MZR34" s="10"/>
      <c r="MZS34" s="10"/>
      <c r="MZT34" s="10"/>
      <c r="MZU34" s="10"/>
      <c r="MZV34" s="10"/>
      <c r="MZW34" s="10"/>
      <c r="MZX34" s="10"/>
      <c r="MZY34" s="10"/>
      <c r="MZZ34" s="10"/>
      <c r="NAA34" s="10"/>
      <c r="NAB34" s="10"/>
      <c r="NAC34" s="10"/>
      <c r="NAD34" s="10"/>
      <c r="NAE34" s="10"/>
      <c r="NAF34" s="10"/>
      <c r="NAG34" s="10"/>
      <c r="NAH34" s="10"/>
      <c r="NAI34" s="10"/>
      <c r="NAJ34" s="10"/>
      <c r="NAK34" s="10"/>
      <c r="NAL34" s="10"/>
      <c r="NAM34" s="10"/>
      <c r="NAN34" s="10"/>
      <c r="NAO34" s="10"/>
      <c r="NAP34" s="10"/>
      <c r="NAQ34" s="10"/>
      <c r="NAR34" s="10"/>
      <c r="NAS34" s="10"/>
      <c r="NAT34" s="10"/>
      <c r="NAU34" s="10"/>
      <c r="NAV34" s="10"/>
      <c r="NAW34" s="10"/>
      <c r="NAX34" s="10"/>
      <c r="NAY34" s="10"/>
      <c r="NAZ34" s="10"/>
      <c r="NBA34" s="10"/>
      <c r="NBB34" s="10"/>
      <c r="NBC34" s="10"/>
      <c r="NBD34" s="10"/>
      <c r="NBE34" s="10"/>
      <c r="NBF34" s="10"/>
      <c r="NBG34" s="10"/>
      <c r="NBH34" s="10"/>
      <c r="NBI34" s="10"/>
      <c r="NBJ34" s="10"/>
      <c r="NBK34" s="10"/>
      <c r="NBL34" s="10"/>
      <c r="NBM34" s="10"/>
      <c r="NBN34" s="10"/>
      <c r="NBO34" s="10"/>
      <c r="NBP34" s="10"/>
      <c r="NBQ34" s="10"/>
      <c r="NBR34" s="10"/>
      <c r="NBS34" s="10"/>
      <c r="NBT34" s="10"/>
      <c r="NBU34" s="10"/>
      <c r="NBV34" s="10"/>
      <c r="NBW34" s="10"/>
      <c r="NBX34" s="10"/>
      <c r="NBY34" s="10"/>
      <c r="NBZ34" s="10"/>
      <c r="NCA34" s="10"/>
      <c r="NCB34" s="10"/>
      <c r="NCC34" s="10"/>
      <c r="NCD34" s="10"/>
      <c r="NCE34" s="10"/>
      <c r="NCF34" s="10"/>
      <c r="NCG34" s="10"/>
      <c r="NCH34" s="10"/>
      <c r="NCI34" s="10"/>
      <c r="NCJ34" s="10"/>
      <c r="NCK34" s="10"/>
      <c r="NCL34" s="10"/>
      <c r="NCM34" s="10"/>
      <c r="NCN34" s="10"/>
      <c r="NCO34" s="10"/>
      <c r="NCP34" s="10"/>
      <c r="NCQ34" s="10"/>
      <c r="NCR34" s="10"/>
      <c r="NCS34" s="10"/>
      <c r="NCT34" s="10"/>
      <c r="NCU34" s="10"/>
      <c r="NCV34" s="10"/>
      <c r="NCW34" s="10"/>
      <c r="NCX34" s="10"/>
      <c r="NCY34" s="10"/>
      <c r="NCZ34" s="10"/>
      <c r="NDA34" s="10"/>
      <c r="NDB34" s="10"/>
      <c r="NDC34" s="10"/>
      <c r="NDD34" s="10"/>
      <c r="NDE34" s="10"/>
      <c r="NDF34" s="10"/>
      <c r="NDG34" s="10"/>
      <c r="NDH34" s="10"/>
      <c r="NDI34" s="10"/>
      <c r="NDJ34" s="10"/>
      <c r="NDK34" s="10"/>
      <c r="NDL34" s="10"/>
      <c r="NDM34" s="10"/>
      <c r="NDN34" s="10"/>
      <c r="NDO34" s="10"/>
      <c r="NDP34" s="10"/>
      <c r="NDQ34" s="10"/>
      <c r="NDR34" s="10"/>
      <c r="NDS34" s="10"/>
      <c r="NDT34" s="10"/>
      <c r="NDU34" s="10"/>
      <c r="NDV34" s="10"/>
      <c r="NDW34" s="10"/>
      <c r="NDX34" s="10"/>
      <c r="NDY34" s="10"/>
      <c r="NDZ34" s="10"/>
      <c r="NEA34" s="10"/>
      <c r="NEB34" s="10"/>
      <c r="NEC34" s="10"/>
      <c r="NED34" s="10"/>
      <c r="NEE34" s="10"/>
      <c r="NEF34" s="10"/>
      <c r="NEG34" s="10"/>
      <c r="NEH34" s="10"/>
      <c r="NEI34" s="10"/>
      <c r="NEJ34" s="10"/>
      <c r="NEK34" s="10"/>
      <c r="NEL34" s="10"/>
      <c r="NEM34" s="10"/>
      <c r="NEN34" s="10"/>
      <c r="NEO34" s="10"/>
      <c r="NEP34" s="10"/>
      <c r="NEQ34" s="10"/>
      <c r="NER34" s="10"/>
      <c r="NES34" s="10"/>
      <c r="NET34" s="10"/>
      <c r="NEU34" s="10"/>
      <c r="NEV34" s="10"/>
      <c r="NEW34" s="10"/>
      <c r="NEX34" s="10"/>
      <c r="NEY34" s="10"/>
      <c r="NEZ34" s="10"/>
      <c r="NFA34" s="10"/>
      <c r="NFB34" s="10"/>
      <c r="NFC34" s="10"/>
      <c r="NFD34" s="10"/>
      <c r="NFE34" s="10"/>
      <c r="NFF34" s="10"/>
      <c r="NFG34" s="10"/>
      <c r="NFH34" s="10"/>
      <c r="NFI34" s="10"/>
      <c r="NFJ34" s="10"/>
      <c r="NFK34" s="10"/>
      <c r="NFL34" s="10"/>
      <c r="NFM34" s="10"/>
      <c r="NFN34" s="10"/>
      <c r="NFO34" s="10"/>
      <c r="NFP34" s="10"/>
      <c r="NFQ34" s="10"/>
      <c r="NFR34" s="10"/>
      <c r="NFS34" s="10"/>
      <c r="NFT34" s="10"/>
      <c r="NFU34" s="10"/>
      <c r="NFV34" s="10"/>
      <c r="NFW34" s="10"/>
      <c r="NFX34" s="10"/>
      <c r="NFY34" s="10"/>
      <c r="NFZ34" s="10"/>
      <c r="NGA34" s="10"/>
      <c r="NGB34" s="10"/>
      <c r="NGC34" s="10"/>
      <c r="NGD34" s="10"/>
      <c r="NGE34" s="10"/>
      <c r="NGF34" s="10"/>
      <c r="NGG34" s="10"/>
      <c r="NGH34" s="10"/>
      <c r="NGI34" s="10"/>
      <c r="NGJ34" s="10"/>
      <c r="NGK34" s="10"/>
      <c r="NGL34" s="10"/>
      <c r="NGM34" s="10"/>
      <c r="NGN34" s="10"/>
      <c r="NGO34" s="10"/>
      <c r="NGP34" s="10"/>
      <c r="NGQ34" s="10"/>
      <c r="NGR34" s="10"/>
      <c r="NGS34" s="10"/>
      <c r="NGT34" s="10"/>
      <c r="NGU34" s="10"/>
      <c r="NGV34" s="10"/>
      <c r="NGW34" s="10"/>
      <c r="NGX34" s="10"/>
      <c r="NGY34" s="10"/>
      <c r="NGZ34" s="10"/>
      <c r="NHA34" s="10"/>
      <c r="NHB34" s="10"/>
      <c r="NHC34" s="10"/>
      <c r="NHD34" s="10"/>
      <c r="NHE34" s="10"/>
      <c r="NHF34" s="10"/>
      <c r="NHG34" s="10"/>
      <c r="NHH34" s="10"/>
      <c r="NHI34" s="10"/>
      <c r="NHJ34" s="10"/>
      <c r="NHK34" s="10"/>
      <c r="NHL34" s="10"/>
      <c r="NHM34" s="10"/>
      <c r="NHN34" s="10"/>
      <c r="NHO34" s="10"/>
      <c r="NHP34" s="10"/>
      <c r="NHQ34" s="10"/>
      <c r="NHR34" s="10"/>
      <c r="NHS34" s="10"/>
      <c r="NHT34" s="10"/>
      <c r="NHU34" s="10"/>
      <c r="NHV34" s="10"/>
      <c r="NHW34" s="10"/>
      <c r="NHX34" s="10"/>
      <c r="NHY34" s="10"/>
      <c r="NHZ34" s="10"/>
      <c r="NIA34" s="10"/>
      <c r="NIB34" s="10"/>
      <c r="NIC34" s="10"/>
      <c r="NID34" s="10"/>
      <c r="NIE34" s="10"/>
      <c r="NIF34" s="10"/>
      <c r="NIG34" s="10"/>
      <c r="NIH34" s="10"/>
      <c r="NII34" s="10"/>
      <c r="NIJ34" s="10"/>
      <c r="NIK34" s="10"/>
      <c r="NIL34" s="10"/>
      <c r="NIM34" s="10"/>
      <c r="NIN34" s="10"/>
      <c r="NIO34" s="10"/>
      <c r="NIP34" s="10"/>
      <c r="NIQ34" s="10"/>
      <c r="NIR34" s="10"/>
      <c r="NIS34" s="10"/>
      <c r="NIT34" s="10"/>
      <c r="NIU34" s="10"/>
      <c r="NIV34" s="10"/>
      <c r="NIW34" s="10"/>
      <c r="NIX34" s="10"/>
      <c r="NIY34" s="10"/>
      <c r="NIZ34" s="10"/>
      <c r="NJA34" s="10"/>
      <c r="NJB34" s="10"/>
      <c r="NJC34" s="10"/>
      <c r="NJD34" s="10"/>
      <c r="NJE34" s="10"/>
      <c r="NJF34" s="10"/>
      <c r="NJG34" s="10"/>
      <c r="NJH34" s="10"/>
      <c r="NJI34" s="10"/>
      <c r="NJJ34" s="10"/>
      <c r="NJK34" s="10"/>
      <c r="NJL34" s="10"/>
      <c r="NJM34" s="10"/>
      <c r="NJN34" s="10"/>
      <c r="NJO34" s="10"/>
      <c r="NJP34" s="10"/>
      <c r="NJQ34" s="10"/>
      <c r="NJR34" s="10"/>
      <c r="NJS34" s="10"/>
      <c r="NJT34" s="10"/>
      <c r="NJU34" s="10"/>
      <c r="NJV34" s="10"/>
      <c r="NJW34" s="10"/>
      <c r="NJX34" s="10"/>
      <c r="NJY34" s="10"/>
      <c r="NJZ34" s="10"/>
      <c r="NKA34" s="10"/>
      <c r="NKB34" s="10"/>
      <c r="NKC34" s="10"/>
      <c r="NKD34" s="10"/>
      <c r="NKE34" s="10"/>
      <c r="NKF34" s="10"/>
      <c r="NKG34" s="10"/>
      <c r="NKH34" s="10"/>
      <c r="NKI34" s="10"/>
      <c r="NKJ34" s="10"/>
      <c r="NKK34" s="10"/>
      <c r="NKL34" s="10"/>
      <c r="NKM34" s="10"/>
      <c r="NKN34" s="10"/>
      <c r="NKO34" s="10"/>
      <c r="NKP34" s="10"/>
      <c r="NKQ34" s="10"/>
      <c r="NKR34" s="10"/>
      <c r="NKS34" s="10"/>
      <c r="NKT34" s="10"/>
      <c r="NKU34" s="10"/>
      <c r="NKV34" s="10"/>
      <c r="NKW34" s="10"/>
      <c r="NKX34" s="10"/>
      <c r="NKY34" s="10"/>
      <c r="NKZ34" s="10"/>
      <c r="NLA34" s="10"/>
      <c r="NLB34" s="10"/>
      <c r="NLC34" s="10"/>
      <c r="NLD34" s="10"/>
      <c r="NLE34" s="10"/>
      <c r="NLF34" s="10"/>
      <c r="NLG34" s="10"/>
      <c r="NLH34" s="10"/>
      <c r="NLI34" s="10"/>
      <c r="NLJ34" s="10"/>
      <c r="NLK34" s="10"/>
      <c r="NLL34" s="10"/>
      <c r="NLM34" s="10"/>
      <c r="NLN34" s="10"/>
      <c r="NLO34" s="10"/>
      <c r="NLP34" s="10"/>
      <c r="NLQ34" s="10"/>
      <c r="NLR34" s="10"/>
      <c r="NLS34" s="10"/>
      <c r="NLT34" s="10"/>
      <c r="NLU34" s="10"/>
      <c r="NLV34" s="10"/>
      <c r="NLW34" s="10"/>
      <c r="NLX34" s="10"/>
      <c r="NLY34" s="10"/>
      <c r="NLZ34" s="10"/>
      <c r="NMA34" s="10"/>
      <c r="NMB34" s="10"/>
      <c r="NMC34" s="10"/>
      <c r="NMD34" s="10"/>
      <c r="NME34" s="10"/>
      <c r="NMF34" s="10"/>
      <c r="NMG34" s="10"/>
      <c r="NMH34" s="10"/>
      <c r="NMI34" s="10"/>
      <c r="NMJ34" s="10"/>
      <c r="NMK34" s="10"/>
      <c r="NML34" s="10"/>
      <c r="NMM34" s="10"/>
      <c r="NMN34" s="10"/>
      <c r="NMO34" s="10"/>
      <c r="NMP34" s="10"/>
      <c r="NMQ34" s="10"/>
      <c r="NMR34" s="10"/>
      <c r="NMS34" s="10"/>
      <c r="NMT34" s="10"/>
      <c r="NMU34" s="10"/>
      <c r="NMV34" s="10"/>
      <c r="NMW34" s="10"/>
      <c r="NMX34" s="10"/>
      <c r="NMY34" s="10"/>
      <c r="NMZ34" s="10"/>
      <c r="NNA34" s="10"/>
      <c r="NNB34" s="10"/>
      <c r="NNC34" s="10"/>
      <c r="NND34" s="10"/>
      <c r="NNE34" s="10"/>
      <c r="NNF34" s="10"/>
      <c r="NNG34" s="10"/>
      <c r="NNH34" s="10"/>
      <c r="NNI34" s="10"/>
      <c r="NNJ34" s="10"/>
      <c r="NNK34" s="10"/>
      <c r="NNL34" s="10"/>
      <c r="NNM34" s="10"/>
      <c r="NNN34" s="10"/>
      <c r="NNO34" s="10"/>
      <c r="NNP34" s="10"/>
      <c r="NNQ34" s="10"/>
      <c r="NNR34" s="10"/>
      <c r="NNS34" s="10"/>
      <c r="NNT34" s="10"/>
      <c r="NNU34" s="10"/>
      <c r="NNV34" s="10"/>
      <c r="NNW34" s="10"/>
      <c r="NNX34" s="10"/>
      <c r="NNY34" s="10"/>
      <c r="NNZ34" s="10"/>
      <c r="NOA34" s="10"/>
      <c r="NOB34" s="10"/>
      <c r="NOC34" s="10"/>
      <c r="NOD34" s="10"/>
      <c r="NOE34" s="10"/>
      <c r="NOF34" s="10"/>
      <c r="NOG34" s="10"/>
      <c r="NOH34" s="10"/>
      <c r="NOI34" s="10"/>
      <c r="NOJ34" s="10"/>
      <c r="NOK34" s="10"/>
      <c r="NOL34" s="10"/>
      <c r="NOM34" s="10"/>
      <c r="NON34" s="10"/>
      <c r="NOO34" s="10"/>
      <c r="NOP34" s="10"/>
      <c r="NOQ34" s="10"/>
      <c r="NOR34" s="10"/>
      <c r="NOS34" s="10"/>
      <c r="NOT34" s="10"/>
      <c r="NOU34" s="10"/>
      <c r="NOV34" s="10"/>
      <c r="NOW34" s="10"/>
      <c r="NOX34" s="10"/>
      <c r="NOY34" s="10"/>
      <c r="NOZ34" s="10"/>
      <c r="NPA34" s="10"/>
      <c r="NPB34" s="10"/>
      <c r="NPC34" s="10"/>
      <c r="NPD34" s="10"/>
      <c r="NPE34" s="10"/>
      <c r="NPF34" s="10"/>
      <c r="NPG34" s="10"/>
      <c r="NPH34" s="10"/>
      <c r="NPI34" s="10"/>
      <c r="NPJ34" s="10"/>
      <c r="NPK34" s="10"/>
      <c r="NPL34" s="10"/>
      <c r="NPM34" s="10"/>
      <c r="NPN34" s="10"/>
      <c r="NPO34" s="10"/>
      <c r="NPP34" s="10"/>
      <c r="NPQ34" s="10"/>
      <c r="NPR34" s="10"/>
      <c r="NPS34" s="10"/>
      <c r="NPT34" s="10"/>
      <c r="NPU34" s="10"/>
      <c r="NPV34" s="10"/>
      <c r="NPW34" s="10"/>
      <c r="NPX34" s="10"/>
      <c r="NPY34" s="10"/>
      <c r="NPZ34" s="10"/>
      <c r="NQA34" s="10"/>
      <c r="NQB34" s="10"/>
      <c r="NQC34" s="10"/>
      <c r="NQD34" s="10"/>
      <c r="NQE34" s="10"/>
      <c r="NQF34" s="10"/>
      <c r="NQG34" s="10"/>
      <c r="NQH34" s="10"/>
      <c r="NQI34" s="10"/>
      <c r="NQJ34" s="10"/>
      <c r="NQK34" s="10"/>
      <c r="NQL34" s="10"/>
      <c r="NQM34" s="10"/>
      <c r="NQN34" s="10"/>
      <c r="NQO34" s="10"/>
      <c r="NQP34" s="10"/>
      <c r="NQQ34" s="10"/>
      <c r="NQR34" s="10"/>
      <c r="NQS34" s="10"/>
      <c r="NQT34" s="10"/>
      <c r="NQU34" s="10"/>
      <c r="NQV34" s="10"/>
      <c r="NQW34" s="10"/>
      <c r="NQX34" s="10"/>
      <c r="NQY34" s="10"/>
      <c r="NQZ34" s="10"/>
      <c r="NRA34" s="10"/>
      <c r="NRB34" s="10"/>
      <c r="NRC34" s="10"/>
      <c r="NRD34" s="10"/>
      <c r="NRE34" s="10"/>
      <c r="NRF34" s="10"/>
      <c r="NRG34" s="10"/>
      <c r="NRH34" s="10"/>
      <c r="NRI34" s="10"/>
      <c r="NRJ34" s="10"/>
      <c r="NRK34" s="10"/>
      <c r="NRL34" s="10"/>
      <c r="NRM34" s="10"/>
      <c r="NRN34" s="10"/>
      <c r="NRO34" s="10"/>
      <c r="NRP34" s="10"/>
      <c r="NRQ34" s="10"/>
      <c r="NRR34" s="10"/>
      <c r="NRS34" s="10"/>
      <c r="NRT34" s="10"/>
      <c r="NRU34" s="10"/>
      <c r="NRV34" s="10"/>
      <c r="NRW34" s="10"/>
      <c r="NRX34" s="10"/>
      <c r="NRY34" s="10"/>
      <c r="NRZ34" s="10"/>
      <c r="NSA34" s="10"/>
      <c r="NSB34" s="10"/>
      <c r="NSC34" s="10"/>
      <c r="NSD34" s="10"/>
      <c r="NSE34" s="10"/>
      <c r="NSF34" s="10"/>
      <c r="NSG34" s="10"/>
      <c r="NSH34" s="10"/>
      <c r="NSI34" s="10"/>
      <c r="NSJ34" s="10"/>
      <c r="NSK34" s="10"/>
      <c r="NSL34" s="10"/>
      <c r="NSM34" s="10"/>
      <c r="NSN34" s="10"/>
      <c r="NSO34" s="10"/>
      <c r="NSP34" s="10"/>
      <c r="NSQ34" s="10"/>
      <c r="NSR34" s="10"/>
      <c r="NSS34" s="10"/>
      <c r="NST34" s="10"/>
      <c r="NSU34" s="10"/>
      <c r="NSV34" s="10"/>
      <c r="NSW34" s="10"/>
      <c r="NSX34" s="10"/>
      <c r="NSY34" s="10"/>
      <c r="NSZ34" s="10"/>
      <c r="NTA34" s="10"/>
      <c r="NTB34" s="10"/>
      <c r="NTC34" s="10"/>
      <c r="NTD34" s="10"/>
      <c r="NTE34" s="10"/>
      <c r="NTF34" s="10"/>
      <c r="NTG34" s="10"/>
      <c r="NTH34" s="10"/>
      <c r="NTI34" s="10"/>
      <c r="NTJ34" s="10"/>
      <c r="NTK34" s="10"/>
      <c r="NTL34" s="10"/>
      <c r="NTM34" s="10"/>
      <c r="NTN34" s="10"/>
      <c r="NTO34" s="10"/>
      <c r="NTP34" s="10"/>
      <c r="NTQ34" s="10"/>
      <c r="NTR34" s="10"/>
      <c r="NTS34" s="10"/>
      <c r="NTT34" s="10"/>
      <c r="NTU34" s="10"/>
      <c r="NTV34" s="10"/>
      <c r="NTW34" s="10"/>
      <c r="NTX34" s="10"/>
      <c r="NTY34" s="10"/>
      <c r="NTZ34" s="10"/>
      <c r="NUA34" s="10"/>
      <c r="NUB34" s="10"/>
      <c r="NUC34" s="10"/>
      <c r="NUD34" s="10"/>
      <c r="NUE34" s="10"/>
      <c r="NUF34" s="10"/>
      <c r="NUG34" s="10"/>
      <c r="NUH34" s="10"/>
      <c r="NUI34" s="10"/>
      <c r="NUJ34" s="10"/>
      <c r="NUK34" s="10"/>
      <c r="NUL34" s="10"/>
      <c r="NUM34" s="10"/>
      <c r="NUN34" s="10"/>
      <c r="NUO34" s="10"/>
      <c r="NUP34" s="10"/>
      <c r="NUQ34" s="10"/>
      <c r="NUR34" s="10"/>
      <c r="NUS34" s="10"/>
      <c r="NUT34" s="10"/>
      <c r="NUU34" s="10"/>
      <c r="NUV34" s="10"/>
      <c r="NUW34" s="10"/>
      <c r="NUX34" s="10"/>
      <c r="NUY34" s="10"/>
      <c r="NUZ34" s="10"/>
      <c r="NVA34" s="10"/>
      <c r="NVB34" s="10"/>
      <c r="NVC34" s="10"/>
      <c r="NVD34" s="10"/>
      <c r="NVE34" s="10"/>
      <c r="NVF34" s="10"/>
      <c r="NVG34" s="10"/>
      <c r="NVH34" s="10"/>
      <c r="NVI34" s="10"/>
      <c r="NVJ34" s="10"/>
      <c r="NVK34" s="10"/>
      <c r="NVL34" s="10"/>
      <c r="NVM34" s="10"/>
      <c r="NVN34" s="10"/>
      <c r="NVO34" s="10"/>
      <c r="NVP34" s="10"/>
      <c r="NVQ34" s="10"/>
      <c r="NVR34" s="10"/>
      <c r="NVS34" s="10"/>
      <c r="NVT34" s="10"/>
      <c r="NVU34" s="10"/>
      <c r="NVV34" s="10"/>
      <c r="NVW34" s="10"/>
      <c r="NVX34" s="10"/>
      <c r="NVY34" s="10"/>
      <c r="NVZ34" s="10"/>
      <c r="NWA34" s="10"/>
      <c r="NWB34" s="10"/>
      <c r="NWC34" s="10"/>
      <c r="NWD34" s="10"/>
      <c r="NWE34" s="10"/>
      <c r="NWF34" s="10"/>
      <c r="NWG34" s="10"/>
      <c r="NWH34" s="10"/>
      <c r="NWI34" s="10"/>
      <c r="NWJ34" s="10"/>
      <c r="NWK34" s="10"/>
      <c r="NWL34" s="10"/>
      <c r="NWM34" s="10"/>
      <c r="NWN34" s="10"/>
      <c r="NWO34" s="10"/>
      <c r="NWP34" s="10"/>
      <c r="NWQ34" s="10"/>
      <c r="NWR34" s="10"/>
      <c r="NWS34" s="10"/>
      <c r="NWT34" s="10"/>
      <c r="NWU34" s="10"/>
      <c r="NWV34" s="10"/>
      <c r="NWW34" s="10"/>
      <c r="NWX34" s="10"/>
      <c r="NWY34" s="10"/>
      <c r="NWZ34" s="10"/>
      <c r="NXA34" s="10"/>
      <c r="NXB34" s="10"/>
      <c r="NXC34" s="10"/>
      <c r="NXD34" s="10"/>
      <c r="NXE34" s="10"/>
      <c r="NXF34" s="10"/>
      <c r="NXG34" s="10"/>
      <c r="NXH34" s="10"/>
      <c r="NXI34" s="10"/>
      <c r="NXJ34" s="10"/>
      <c r="NXK34" s="10"/>
      <c r="NXL34" s="10"/>
      <c r="NXM34" s="10"/>
      <c r="NXN34" s="10"/>
      <c r="NXO34" s="10"/>
      <c r="NXP34" s="10"/>
      <c r="NXQ34" s="10"/>
      <c r="NXR34" s="10"/>
      <c r="NXS34" s="10"/>
      <c r="NXT34" s="10"/>
      <c r="NXU34" s="10"/>
      <c r="NXV34" s="10"/>
      <c r="NXW34" s="10"/>
      <c r="NXX34" s="10"/>
      <c r="NXY34" s="10"/>
      <c r="NXZ34" s="10"/>
      <c r="NYA34" s="10"/>
      <c r="NYB34" s="10"/>
      <c r="NYC34" s="10"/>
      <c r="NYD34" s="10"/>
      <c r="NYE34" s="10"/>
      <c r="NYF34" s="10"/>
      <c r="NYG34" s="10"/>
      <c r="NYH34" s="10"/>
      <c r="NYI34" s="10"/>
      <c r="NYJ34" s="10"/>
      <c r="NYK34" s="10"/>
      <c r="NYL34" s="10"/>
      <c r="NYM34" s="10"/>
      <c r="NYN34" s="10"/>
      <c r="NYO34" s="10"/>
      <c r="NYP34" s="10"/>
      <c r="NYQ34" s="10"/>
      <c r="NYR34" s="10"/>
      <c r="NYS34" s="10"/>
      <c r="NYT34" s="10"/>
      <c r="NYU34" s="10"/>
      <c r="NYV34" s="10"/>
      <c r="NYW34" s="10"/>
      <c r="NYX34" s="10"/>
      <c r="NYY34" s="10"/>
      <c r="NYZ34" s="10"/>
      <c r="NZA34" s="10"/>
      <c r="NZB34" s="10"/>
      <c r="NZC34" s="10"/>
      <c r="NZD34" s="10"/>
      <c r="NZE34" s="10"/>
      <c r="NZF34" s="10"/>
      <c r="NZG34" s="10"/>
      <c r="NZH34" s="10"/>
      <c r="NZI34" s="10"/>
      <c r="NZJ34" s="10"/>
      <c r="NZK34" s="10"/>
      <c r="NZL34" s="10"/>
      <c r="NZM34" s="10"/>
      <c r="NZN34" s="10"/>
      <c r="NZO34" s="10"/>
      <c r="NZP34" s="10"/>
      <c r="NZQ34" s="10"/>
      <c r="NZR34" s="10"/>
      <c r="NZS34" s="10"/>
      <c r="NZT34" s="10"/>
      <c r="NZU34" s="10"/>
      <c r="NZV34" s="10"/>
      <c r="NZW34" s="10"/>
      <c r="NZX34" s="10"/>
      <c r="NZY34" s="10"/>
      <c r="NZZ34" s="10"/>
      <c r="OAA34" s="10"/>
      <c r="OAB34" s="10"/>
      <c r="OAC34" s="10"/>
      <c r="OAD34" s="10"/>
      <c r="OAE34" s="10"/>
      <c r="OAF34" s="10"/>
      <c r="OAG34" s="10"/>
      <c r="OAH34" s="10"/>
      <c r="OAI34" s="10"/>
      <c r="OAJ34" s="10"/>
      <c r="OAK34" s="10"/>
      <c r="OAL34" s="10"/>
      <c r="OAM34" s="10"/>
      <c r="OAN34" s="10"/>
      <c r="OAO34" s="10"/>
      <c r="OAP34" s="10"/>
      <c r="OAQ34" s="10"/>
      <c r="OAR34" s="10"/>
      <c r="OAS34" s="10"/>
      <c r="OAT34" s="10"/>
      <c r="OAU34" s="10"/>
      <c r="OAV34" s="10"/>
      <c r="OAW34" s="10"/>
      <c r="OAX34" s="10"/>
      <c r="OAY34" s="10"/>
      <c r="OAZ34" s="10"/>
      <c r="OBA34" s="10"/>
      <c r="OBB34" s="10"/>
      <c r="OBC34" s="10"/>
      <c r="OBD34" s="10"/>
      <c r="OBE34" s="10"/>
      <c r="OBF34" s="10"/>
      <c r="OBG34" s="10"/>
      <c r="OBH34" s="10"/>
      <c r="OBI34" s="10"/>
      <c r="OBJ34" s="10"/>
      <c r="OBK34" s="10"/>
      <c r="OBL34" s="10"/>
      <c r="OBM34" s="10"/>
      <c r="OBN34" s="10"/>
      <c r="OBO34" s="10"/>
      <c r="OBP34" s="10"/>
      <c r="OBQ34" s="10"/>
      <c r="OBR34" s="10"/>
      <c r="OBS34" s="10"/>
      <c r="OBT34" s="10"/>
      <c r="OBU34" s="10"/>
      <c r="OBV34" s="10"/>
      <c r="OBW34" s="10"/>
      <c r="OBX34" s="10"/>
      <c r="OBY34" s="10"/>
      <c r="OBZ34" s="10"/>
      <c r="OCA34" s="10"/>
      <c r="OCB34" s="10"/>
      <c r="OCC34" s="10"/>
      <c r="OCD34" s="10"/>
      <c r="OCE34" s="10"/>
      <c r="OCF34" s="10"/>
      <c r="OCG34" s="10"/>
      <c r="OCH34" s="10"/>
      <c r="OCI34" s="10"/>
      <c r="OCJ34" s="10"/>
      <c r="OCK34" s="10"/>
      <c r="OCL34" s="10"/>
      <c r="OCM34" s="10"/>
      <c r="OCN34" s="10"/>
      <c r="OCO34" s="10"/>
      <c r="OCP34" s="10"/>
      <c r="OCQ34" s="10"/>
      <c r="OCR34" s="10"/>
      <c r="OCS34" s="10"/>
      <c r="OCT34" s="10"/>
      <c r="OCU34" s="10"/>
      <c r="OCV34" s="10"/>
      <c r="OCW34" s="10"/>
      <c r="OCX34" s="10"/>
      <c r="OCY34" s="10"/>
      <c r="OCZ34" s="10"/>
      <c r="ODA34" s="10"/>
      <c r="ODB34" s="10"/>
      <c r="ODC34" s="10"/>
      <c r="ODD34" s="10"/>
      <c r="ODE34" s="10"/>
      <c r="ODF34" s="10"/>
      <c r="ODG34" s="10"/>
      <c r="ODH34" s="10"/>
      <c r="ODI34" s="10"/>
      <c r="ODJ34" s="10"/>
      <c r="ODK34" s="10"/>
      <c r="ODL34" s="10"/>
      <c r="ODM34" s="10"/>
      <c r="ODN34" s="10"/>
      <c r="ODO34" s="10"/>
      <c r="ODP34" s="10"/>
      <c r="ODQ34" s="10"/>
      <c r="ODR34" s="10"/>
      <c r="ODS34" s="10"/>
      <c r="ODT34" s="10"/>
      <c r="ODU34" s="10"/>
      <c r="ODV34" s="10"/>
      <c r="ODW34" s="10"/>
      <c r="ODX34" s="10"/>
      <c r="ODY34" s="10"/>
      <c r="ODZ34" s="10"/>
      <c r="OEA34" s="10"/>
      <c r="OEB34" s="10"/>
      <c r="OEC34" s="10"/>
      <c r="OED34" s="10"/>
      <c r="OEE34" s="10"/>
      <c r="OEF34" s="10"/>
      <c r="OEG34" s="10"/>
      <c r="OEH34" s="10"/>
      <c r="OEI34" s="10"/>
      <c r="OEJ34" s="10"/>
      <c r="OEK34" s="10"/>
      <c r="OEL34" s="10"/>
      <c r="OEM34" s="10"/>
      <c r="OEN34" s="10"/>
      <c r="OEO34" s="10"/>
      <c r="OEP34" s="10"/>
      <c r="OEQ34" s="10"/>
      <c r="OER34" s="10"/>
      <c r="OES34" s="10"/>
      <c r="OET34" s="10"/>
      <c r="OEU34" s="10"/>
      <c r="OEV34" s="10"/>
      <c r="OEW34" s="10"/>
      <c r="OEX34" s="10"/>
      <c r="OEY34" s="10"/>
      <c r="OEZ34" s="10"/>
      <c r="OFA34" s="10"/>
      <c r="OFB34" s="10"/>
      <c r="OFC34" s="10"/>
      <c r="OFD34" s="10"/>
      <c r="OFE34" s="10"/>
      <c r="OFF34" s="10"/>
      <c r="OFG34" s="10"/>
      <c r="OFH34" s="10"/>
      <c r="OFI34" s="10"/>
      <c r="OFJ34" s="10"/>
      <c r="OFK34" s="10"/>
      <c r="OFL34" s="10"/>
      <c r="OFM34" s="10"/>
      <c r="OFN34" s="10"/>
      <c r="OFO34" s="10"/>
      <c r="OFP34" s="10"/>
      <c r="OFQ34" s="10"/>
      <c r="OFR34" s="10"/>
      <c r="OFS34" s="10"/>
      <c r="OFT34" s="10"/>
      <c r="OFU34" s="10"/>
      <c r="OFV34" s="10"/>
      <c r="OFW34" s="10"/>
      <c r="OFX34" s="10"/>
      <c r="OFY34" s="10"/>
      <c r="OFZ34" s="10"/>
      <c r="OGA34" s="10"/>
      <c r="OGB34" s="10"/>
      <c r="OGC34" s="10"/>
      <c r="OGD34" s="10"/>
      <c r="OGE34" s="10"/>
      <c r="OGF34" s="10"/>
      <c r="OGG34" s="10"/>
      <c r="OGH34" s="10"/>
      <c r="OGI34" s="10"/>
      <c r="OGJ34" s="10"/>
      <c r="OGK34" s="10"/>
      <c r="OGL34" s="10"/>
      <c r="OGM34" s="10"/>
      <c r="OGN34" s="10"/>
      <c r="OGO34" s="10"/>
      <c r="OGP34" s="10"/>
      <c r="OGQ34" s="10"/>
      <c r="OGR34" s="10"/>
      <c r="OGS34" s="10"/>
      <c r="OGT34" s="10"/>
      <c r="OGU34" s="10"/>
      <c r="OGV34" s="10"/>
      <c r="OGW34" s="10"/>
      <c r="OGX34" s="10"/>
      <c r="OGY34" s="10"/>
      <c r="OGZ34" s="10"/>
      <c r="OHA34" s="10"/>
      <c r="OHB34" s="10"/>
      <c r="OHC34" s="10"/>
      <c r="OHD34" s="10"/>
      <c r="OHE34" s="10"/>
      <c r="OHF34" s="10"/>
      <c r="OHG34" s="10"/>
      <c r="OHH34" s="10"/>
      <c r="OHI34" s="10"/>
      <c r="OHJ34" s="10"/>
      <c r="OHK34" s="10"/>
      <c r="OHL34" s="10"/>
      <c r="OHM34" s="10"/>
      <c r="OHN34" s="10"/>
      <c r="OHO34" s="10"/>
      <c r="OHP34" s="10"/>
      <c r="OHQ34" s="10"/>
      <c r="OHR34" s="10"/>
      <c r="OHS34" s="10"/>
      <c r="OHT34" s="10"/>
      <c r="OHU34" s="10"/>
      <c r="OHV34" s="10"/>
      <c r="OHW34" s="10"/>
      <c r="OHX34" s="10"/>
      <c r="OHY34" s="10"/>
      <c r="OHZ34" s="10"/>
      <c r="OIA34" s="10"/>
      <c r="OIB34" s="10"/>
      <c r="OIC34" s="10"/>
      <c r="OID34" s="10"/>
      <c r="OIE34" s="10"/>
      <c r="OIF34" s="10"/>
      <c r="OIG34" s="10"/>
      <c r="OIH34" s="10"/>
      <c r="OII34" s="10"/>
      <c r="OIJ34" s="10"/>
      <c r="OIK34" s="10"/>
      <c r="OIL34" s="10"/>
      <c r="OIM34" s="10"/>
      <c r="OIN34" s="10"/>
      <c r="OIO34" s="10"/>
      <c r="OIP34" s="10"/>
      <c r="OIQ34" s="10"/>
      <c r="OIR34" s="10"/>
      <c r="OIS34" s="10"/>
      <c r="OIT34" s="10"/>
      <c r="OIU34" s="10"/>
      <c r="OIV34" s="10"/>
      <c r="OIW34" s="10"/>
      <c r="OIX34" s="10"/>
      <c r="OIY34" s="10"/>
      <c r="OIZ34" s="10"/>
      <c r="OJA34" s="10"/>
      <c r="OJB34" s="10"/>
      <c r="OJC34" s="10"/>
      <c r="OJD34" s="10"/>
      <c r="OJE34" s="10"/>
      <c r="OJF34" s="10"/>
      <c r="OJG34" s="10"/>
      <c r="OJH34" s="10"/>
      <c r="OJI34" s="10"/>
      <c r="OJJ34" s="10"/>
      <c r="OJK34" s="10"/>
      <c r="OJL34" s="10"/>
      <c r="OJM34" s="10"/>
      <c r="OJN34" s="10"/>
      <c r="OJO34" s="10"/>
      <c r="OJP34" s="10"/>
      <c r="OJQ34" s="10"/>
      <c r="OJR34" s="10"/>
      <c r="OJS34" s="10"/>
      <c r="OJT34" s="10"/>
      <c r="OJU34" s="10"/>
      <c r="OJV34" s="10"/>
      <c r="OJW34" s="10"/>
      <c r="OJX34" s="10"/>
      <c r="OJY34" s="10"/>
      <c r="OJZ34" s="10"/>
      <c r="OKA34" s="10"/>
      <c r="OKB34" s="10"/>
      <c r="OKC34" s="10"/>
      <c r="OKD34" s="10"/>
      <c r="OKE34" s="10"/>
      <c r="OKF34" s="10"/>
      <c r="OKG34" s="10"/>
      <c r="OKH34" s="10"/>
      <c r="OKI34" s="10"/>
      <c r="OKJ34" s="10"/>
      <c r="OKK34" s="10"/>
      <c r="OKL34" s="10"/>
      <c r="OKM34" s="10"/>
      <c r="OKN34" s="10"/>
      <c r="OKO34" s="10"/>
      <c r="OKP34" s="10"/>
      <c r="OKQ34" s="10"/>
      <c r="OKR34" s="10"/>
      <c r="OKS34" s="10"/>
      <c r="OKT34" s="10"/>
      <c r="OKU34" s="10"/>
      <c r="OKV34" s="10"/>
      <c r="OKW34" s="10"/>
      <c r="OKX34" s="10"/>
      <c r="OKY34" s="10"/>
      <c r="OKZ34" s="10"/>
      <c r="OLA34" s="10"/>
      <c r="OLB34" s="10"/>
      <c r="OLC34" s="10"/>
      <c r="OLD34" s="10"/>
      <c r="OLE34" s="10"/>
      <c r="OLF34" s="10"/>
      <c r="OLG34" s="10"/>
      <c r="OLH34" s="10"/>
      <c r="OLI34" s="10"/>
      <c r="OLJ34" s="10"/>
      <c r="OLK34" s="10"/>
      <c r="OLL34" s="10"/>
      <c r="OLM34" s="10"/>
      <c r="OLN34" s="10"/>
      <c r="OLO34" s="10"/>
      <c r="OLP34" s="10"/>
      <c r="OLQ34" s="10"/>
      <c r="OLR34" s="10"/>
      <c r="OLS34" s="10"/>
      <c r="OLT34" s="10"/>
      <c r="OLU34" s="10"/>
      <c r="OLV34" s="10"/>
      <c r="OLW34" s="10"/>
      <c r="OLX34" s="10"/>
      <c r="OLY34" s="10"/>
      <c r="OLZ34" s="10"/>
      <c r="OMA34" s="10"/>
      <c r="OMB34" s="10"/>
      <c r="OMC34" s="10"/>
      <c r="OMD34" s="10"/>
      <c r="OME34" s="10"/>
      <c r="OMF34" s="10"/>
      <c r="OMG34" s="10"/>
      <c r="OMH34" s="10"/>
      <c r="OMI34" s="10"/>
      <c r="OMJ34" s="10"/>
      <c r="OMK34" s="10"/>
      <c r="OML34" s="10"/>
      <c r="OMM34" s="10"/>
      <c r="OMN34" s="10"/>
      <c r="OMO34" s="10"/>
      <c r="OMP34" s="10"/>
      <c r="OMQ34" s="10"/>
      <c r="OMR34" s="10"/>
      <c r="OMS34" s="10"/>
      <c r="OMT34" s="10"/>
      <c r="OMU34" s="10"/>
      <c r="OMV34" s="10"/>
      <c r="OMW34" s="10"/>
      <c r="OMX34" s="10"/>
      <c r="OMY34" s="10"/>
      <c r="OMZ34" s="10"/>
      <c r="ONA34" s="10"/>
      <c r="ONB34" s="10"/>
      <c r="ONC34" s="10"/>
      <c r="OND34" s="10"/>
      <c r="ONE34" s="10"/>
      <c r="ONF34" s="10"/>
      <c r="ONG34" s="10"/>
      <c r="ONH34" s="10"/>
      <c r="ONI34" s="10"/>
      <c r="ONJ34" s="10"/>
      <c r="ONK34" s="10"/>
      <c r="ONL34" s="10"/>
      <c r="ONM34" s="10"/>
      <c r="ONN34" s="10"/>
      <c r="ONO34" s="10"/>
      <c r="ONP34" s="10"/>
      <c r="ONQ34" s="10"/>
      <c r="ONR34" s="10"/>
      <c r="ONS34" s="10"/>
      <c r="ONT34" s="10"/>
      <c r="ONU34" s="10"/>
      <c r="ONV34" s="10"/>
      <c r="ONW34" s="10"/>
      <c r="ONX34" s="10"/>
      <c r="ONY34" s="10"/>
      <c r="ONZ34" s="10"/>
      <c r="OOA34" s="10"/>
      <c r="OOB34" s="10"/>
      <c r="OOC34" s="10"/>
      <c r="OOD34" s="10"/>
      <c r="OOE34" s="10"/>
      <c r="OOF34" s="10"/>
      <c r="OOG34" s="10"/>
      <c r="OOH34" s="10"/>
      <c r="OOI34" s="10"/>
      <c r="OOJ34" s="10"/>
      <c r="OOK34" s="10"/>
      <c r="OOL34" s="10"/>
      <c r="OOM34" s="10"/>
      <c r="OON34" s="10"/>
      <c r="OOO34" s="10"/>
      <c r="OOP34" s="10"/>
      <c r="OOQ34" s="10"/>
      <c r="OOR34" s="10"/>
      <c r="OOS34" s="10"/>
      <c r="OOT34" s="10"/>
      <c r="OOU34" s="10"/>
      <c r="OOV34" s="10"/>
      <c r="OOW34" s="10"/>
      <c r="OOX34" s="10"/>
      <c r="OOY34" s="10"/>
      <c r="OOZ34" s="10"/>
      <c r="OPA34" s="10"/>
      <c r="OPB34" s="10"/>
      <c r="OPC34" s="10"/>
      <c r="OPD34" s="10"/>
      <c r="OPE34" s="10"/>
      <c r="OPF34" s="10"/>
      <c r="OPG34" s="10"/>
      <c r="OPH34" s="10"/>
      <c r="OPI34" s="10"/>
      <c r="OPJ34" s="10"/>
      <c r="OPK34" s="10"/>
      <c r="OPL34" s="10"/>
      <c r="OPM34" s="10"/>
      <c r="OPN34" s="10"/>
      <c r="OPO34" s="10"/>
      <c r="OPP34" s="10"/>
      <c r="OPQ34" s="10"/>
      <c r="OPR34" s="10"/>
      <c r="OPS34" s="10"/>
      <c r="OPT34" s="10"/>
      <c r="OPU34" s="10"/>
      <c r="OPV34" s="10"/>
      <c r="OPW34" s="10"/>
      <c r="OPX34" s="10"/>
      <c r="OPY34" s="10"/>
      <c r="OPZ34" s="10"/>
      <c r="OQA34" s="10"/>
      <c r="OQB34" s="10"/>
      <c r="OQC34" s="10"/>
      <c r="OQD34" s="10"/>
      <c r="OQE34" s="10"/>
      <c r="OQF34" s="10"/>
      <c r="OQG34" s="10"/>
      <c r="OQH34" s="10"/>
      <c r="OQI34" s="10"/>
      <c r="OQJ34" s="10"/>
      <c r="OQK34" s="10"/>
      <c r="OQL34" s="10"/>
      <c r="OQM34" s="10"/>
      <c r="OQN34" s="10"/>
      <c r="OQO34" s="10"/>
      <c r="OQP34" s="10"/>
      <c r="OQQ34" s="10"/>
      <c r="OQR34" s="10"/>
      <c r="OQS34" s="10"/>
      <c r="OQT34" s="10"/>
      <c r="OQU34" s="10"/>
      <c r="OQV34" s="10"/>
      <c r="OQW34" s="10"/>
      <c r="OQX34" s="10"/>
      <c r="OQY34" s="10"/>
      <c r="OQZ34" s="10"/>
      <c r="ORA34" s="10"/>
      <c r="ORB34" s="10"/>
      <c r="ORC34" s="10"/>
      <c r="ORD34" s="10"/>
      <c r="ORE34" s="10"/>
      <c r="ORF34" s="10"/>
      <c r="ORG34" s="10"/>
      <c r="ORH34" s="10"/>
      <c r="ORI34" s="10"/>
      <c r="ORJ34" s="10"/>
      <c r="ORK34" s="10"/>
      <c r="ORL34" s="10"/>
      <c r="ORM34" s="10"/>
      <c r="ORN34" s="10"/>
      <c r="ORO34" s="10"/>
      <c r="ORP34" s="10"/>
      <c r="ORQ34" s="10"/>
      <c r="ORR34" s="10"/>
      <c r="ORS34" s="10"/>
      <c r="ORT34" s="10"/>
      <c r="ORU34" s="10"/>
      <c r="ORV34" s="10"/>
      <c r="ORW34" s="10"/>
      <c r="ORX34" s="10"/>
      <c r="ORY34" s="10"/>
      <c r="ORZ34" s="10"/>
      <c r="OSA34" s="10"/>
      <c r="OSB34" s="10"/>
      <c r="OSC34" s="10"/>
      <c r="OSD34" s="10"/>
      <c r="OSE34" s="10"/>
      <c r="OSF34" s="10"/>
      <c r="OSG34" s="10"/>
      <c r="OSH34" s="10"/>
      <c r="OSI34" s="10"/>
      <c r="OSJ34" s="10"/>
      <c r="OSK34" s="10"/>
      <c r="OSL34" s="10"/>
      <c r="OSM34" s="10"/>
      <c r="OSN34" s="10"/>
      <c r="OSO34" s="10"/>
      <c r="OSP34" s="10"/>
      <c r="OSQ34" s="10"/>
      <c r="OSR34" s="10"/>
      <c r="OSS34" s="10"/>
      <c r="OST34" s="10"/>
      <c r="OSU34" s="10"/>
      <c r="OSV34" s="10"/>
      <c r="OSW34" s="10"/>
      <c r="OSX34" s="10"/>
      <c r="OSY34" s="10"/>
      <c r="OSZ34" s="10"/>
      <c r="OTA34" s="10"/>
      <c r="OTB34" s="10"/>
      <c r="OTC34" s="10"/>
      <c r="OTD34" s="10"/>
      <c r="OTE34" s="10"/>
      <c r="OTF34" s="10"/>
      <c r="OTG34" s="10"/>
      <c r="OTH34" s="10"/>
      <c r="OTI34" s="10"/>
      <c r="OTJ34" s="10"/>
      <c r="OTK34" s="10"/>
      <c r="OTL34" s="10"/>
      <c r="OTM34" s="10"/>
      <c r="OTN34" s="10"/>
      <c r="OTO34" s="10"/>
      <c r="OTP34" s="10"/>
      <c r="OTQ34" s="10"/>
      <c r="OTR34" s="10"/>
      <c r="OTS34" s="10"/>
      <c r="OTT34" s="10"/>
      <c r="OTU34" s="10"/>
      <c r="OTV34" s="10"/>
      <c r="OTW34" s="10"/>
      <c r="OTX34" s="10"/>
      <c r="OTY34" s="10"/>
      <c r="OTZ34" s="10"/>
      <c r="OUA34" s="10"/>
      <c r="OUB34" s="10"/>
      <c r="OUC34" s="10"/>
      <c r="OUD34" s="10"/>
      <c r="OUE34" s="10"/>
      <c r="OUF34" s="10"/>
      <c r="OUG34" s="10"/>
      <c r="OUH34" s="10"/>
      <c r="OUI34" s="10"/>
      <c r="OUJ34" s="10"/>
      <c r="OUK34" s="10"/>
      <c r="OUL34" s="10"/>
      <c r="OUM34" s="10"/>
      <c r="OUN34" s="10"/>
      <c r="OUO34" s="10"/>
      <c r="OUP34" s="10"/>
      <c r="OUQ34" s="10"/>
      <c r="OUR34" s="10"/>
      <c r="OUS34" s="10"/>
      <c r="OUT34" s="10"/>
      <c r="OUU34" s="10"/>
      <c r="OUV34" s="10"/>
      <c r="OUW34" s="10"/>
      <c r="OUX34" s="10"/>
      <c r="OUY34" s="10"/>
      <c r="OUZ34" s="10"/>
      <c r="OVA34" s="10"/>
      <c r="OVB34" s="10"/>
      <c r="OVC34" s="10"/>
      <c r="OVD34" s="10"/>
      <c r="OVE34" s="10"/>
      <c r="OVF34" s="10"/>
      <c r="OVG34" s="10"/>
      <c r="OVH34" s="10"/>
      <c r="OVI34" s="10"/>
      <c r="OVJ34" s="10"/>
      <c r="OVK34" s="10"/>
      <c r="OVL34" s="10"/>
      <c r="OVM34" s="10"/>
      <c r="OVN34" s="10"/>
      <c r="OVO34" s="10"/>
      <c r="OVP34" s="10"/>
      <c r="OVQ34" s="10"/>
      <c r="OVR34" s="10"/>
      <c r="OVS34" s="10"/>
      <c r="OVT34" s="10"/>
      <c r="OVU34" s="10"/>
      <c r="OVV34" s="10"/>
      <c r="OVW34" s="10"/>
      <c r="OVX34" s="10"/>
      <c r="OVY34" s="10"/>
      <c r="OVZ34" s="10"/>
      <c r="OWA34" s="10"/>
      <c r="OWB34" s="10"/>
      <c r="OWC34" s="10"/>
      <c r="OWD34" s="10"/>
      <c r="OWE34" s="10"/>
      <c r="OWF34" s="10"/>
      <c r="OWG34" s="10"/>
      <c r="OWH34" s="10"/>
      <c r="OWI34" s="10"/>
      <c r="OWJ34" s="10"/>
      <c r="OWK34" s="10"/>
      <c r="OWL34" s="10"/>
      <c r="OWM34" s="10"/>
      <c r="OWN34" s="10"/>
      <c r="OWO34" s="10"/>
      <c r="OWP34" s="10"/>
      <c r="OWQ34" s="10"/>
      <c r="OWR34" s="10"/>
      <c r="OWS34" s="10"/>
      <c r="OWT34" s="10"/>
      <c r="OWU34" s="10"/>
      <c r="OWV34" s="10"/>
      <c r="OWW34" s="10"/>
      <c r="OWX34" s="10"/>
      <c r="OWY34" s="10"/>
      <c r="OWZ34" s="10"/>
      <c r="OXA34" s="10"/>
      <c r="OXB34" s="10"/>
      <c r="OXC34" s="10"/>
      <c r="OXD34" s="10"/>
      <c r="OXE34" s="10"/>
      <c r="OXF34" s="10"/>
      <c r="OXG34" s="10"/>
      <c r="OXH34" s="10"/>
      <c r="OXI34" s="10"/>
      <c r="OXJ34" s="10"/>
      <c r="OXK34" s="10"/>
      <c r="OXL34" s="10"/>
      <c r="OXM34" s="10"/>
      <c r="OXN34" s="10"/>
      <c r="OXO34" s="10"/>
      <c r="OXP34" s="10"/>
      <c r="OXQ34" s="10"/>
      <c r="OXR34" s="10"/>
      <c r="OXS34" s="10"/>
      <c r="OXT34" s="10"/>
      <c r="OXU34" s="10"/>
      <c r="OXV34" s="10"/>
      <c r="OXW34" s="10"/>
      <c r="OXX34" s="10"/>
      <c r="OXY34" s="10"/>
      <c r="OXZ34" s="10"/>
      <c r="OYA34" s="10"/>
      <c r="OYB34" s="10"/>
      <c r="OYC34" s="10"/>
      <c r="OYD34" s="10"/>
      <c r="OYE34" s="10"/>
      <c r="OYF34" s="10"/>
      <c r="OYG34" s="10"/>
      <c r="OYH34" s="10"/>
      <c r="OYI34" s="10"/>
      <c r="OYJ34" s="10"/>
      <c r="OYK34" s="10"/>
      <c r="OYL34" s="10"/>
      <c r="OYM34" s="10"/>
      <c r="OYN34" s="10"/>
      <c r="OYO34" s="10"/>
      <c r="OYP34" s="10"/>
      <c r="OYQ34" s="10"/>
      <c r="OYR34" s="10"/>
      <c r="OYS34" s="10"/>
      <c r="OYT34" s="10"/>
      <c r="OYU34" s="10"/>
      <c r="OYV34" s="10"/>
      <c r="OYW34" s="10"/>
      <c r="OYX34" s="10"/>
      <c r="OYY34" s="10"/>
      <c r="OYZ34" s="10"/>
      <c r="OZA34" s="10"/>
      <c r="OZB34" s="10"/>
      <c r="OZC34" s="10"/>
      <c r="OZD34" s="10"/>
      <c r="OZE34" s="10"/>
      <c r="OZF34" s="10"/>
      <c r="OZG34" s="10"/>
      <c r="OZH34" s="10"/>
      <c r="OZI34" s="10"/>
      <c r="OZJ34" s="10"/>
      <c r="OZK34" s="10"/>
      <c r="OZL34" s="10"/>
      <c r="OZM34" s="10"/>
      <c r="OZN34" s="10"/>
      <c r="OZO34" s="10"/>
      <c r="OZP34" s="10"/>
      <c r="OZQ34" s="10"/>
      <c r="OZR34" s="10"/>
      <c r="OZS34" s="10"/>
      <c r="OZT34" s="10"/>
      <c r="OZU34" s="10"/>
      <c r="OZV34" s="10"/>
      <c r="OZW34" s="10"/>
      <c r="OZX34" s="10"/>
      <c r="OZY34" s="10"/>
      <c r="OZZ34" s="10"/>
      <c r="PAA34" s="10"/>
      <c r="PAB34" s="10"/>
      <c r="PAC34" s="10"/>
      <c r="PAD34" s="10"/>
      <c r="PAE34" s="10"/>
      <c r="PAF34" s="10"/>
      <c r="PAG34" s="10"/>
      <c r="PAH34" s="10"/>
      <c r="PAI34" s="10"/>
      <c r="PAJ34" s="10"/>
      <c r="PAK34" s="10"/>
      <c r="PAL34" s="10"/>
      <c r="PAM34" s="10"/>
      <c r="PAN34" s="10"/>
      <c r="PAO34" s="10"/>
      <c r="PAP34" s="10"/>
      <c r="PAQ34" s="10"/>
      <c r="PAR34" s="10"/>
      <c r="PAS34" s="10"/>
      <c r="PAT34" s="10"/>
      <c r="PAU34" s="10"/>
      <c r="PAV34" s="10"/>
      <c r="PAW34" s="10"/>
      <c r="PAX34" s="10"/>
      <c r="PAY34" s="10"/>
      <c r="PAZ34" s="10"/>
      <c r="PBA34" s="10"/>
      <c r="PBB34" s="10"/>
      <c r="PBC34" s="10"/>
      <c r="PBD34" s="10"/>
      <c r="PBE34" s="10"/>
      <c r="PBF34" s="10"/>
      <c r="PBG34" s="10"/>
      <c r="PBH34" s="10"/>
      <c r="PBI34" s="10"/>
      <c r="PBJ34" s="10"/>
      <c r="PBK34" s="10"/>
      <c r="PBL34" s="10"/>
      <c r="PBM34" s="10"/>
      <c r="PBN34" s="10"/>
      <c r="PBO34" s="10"/>
      <c r="PBP34" s="10"/>
      <c r="PBQ34" s="10"/>
      <c r="PBR34" s="10"/>
      <c r="PBS34" s="10"/>
      <c r="PBT34" s="10"/>
      <c r="PBU34" s="10"/>
      <c r="PBV34" s="10"/>
      <c r="PBW34" s="10"/>
      <c r="PBX34" s="10"/>
      <c r="PBY34" s="10"/>
      <c r="PBZ34" s="10"/>
      <c r="PCA34" s="10"/>
      <c r="PCB34" s="10"/>
      <c r="PCC34" s="10"/>
      <c r="PCD34" s="10"/>
      <c r="PCE34" s="10"/>
      <c r="PCF34" s="10"/>
      <c r="PCG34" s="10"/>
      <c r="PCH34" s="10"/>
      <c r="PCI34" s="10"/>
      <c r="PCJ34" s="10"/>
      <c r="PCK34" s="10"/>
      <c r="PCL34" s="10"/>
      <c r="PCM34" s="10"/>
      <c r="PCN34" s="10"/>
      <c r="PCO34" s="10"/>
      <c r="PCP34" s="10"/>
      <c r="PCQ34" s="10"/>
      <c r="PCR34" s="10"/>
      <c r="PCS34" s="10"/>
      <c r="PCT34" s="10"/>
      <c r="PCU34" s="10"/>
      <c r="PCV34" s="10"/>
      <c r="PCW34" s="10"/>
      <c r="PCX34" s="10"/>
      <c r="PCY34" s="10"/>
      <c r="PCZ34" s="10"/>
      <c r="PDA34" s="10"/>
      <c r="PDB34" s="10"/>
      <c r="PDC34" s="10"/>
      <c r="PDD34" s="10"/>
      <c r="PDE34" s="10"/>
      <c r="PDF34" s="10"/>
      <c r="PDG34" s="10"/>
      <c r="PDH34" s="10"/>
      <c r="PDI34" s="10"/>
      <c r="PDJ34" s="10"/>
      <c r="PDK34" s="10"/>
      <c r="PDL34" s="10"/>
      <c r="PDM34" s="10"/>
      <c r="PDN34" s="10"/>
      <c r="PDO34" s="10"/>
      <c r="PDP34" s="10"/>
      <c r="PDQ34" s="10"/>
      <c r="PDR34" s="10"/>
      <c r="PDS34" s="10"/>
      <c r="PDT34" s="10"/>
      <c r="PDU34" s="10"/>
      <c r="PDV34" s="10"/>
      <c r="PDW34" s="10"/>
      <c r="PDX34" s="10"/>
      <c r="PDY34" s="10"/>
      <c r="PDZ34" s="10"/>
      <c r="PEA34" s="10"/>
      <c r="PEB34" s="10"/>
      <c r="PEC34" s="10"/>
      <c r="PED34" s="10"/>
      <c r="PEE34" s="10"/>
      <c r="PEF34" s="10"/>
      <c r="PEG34" s="10"/>
      <c r="PEH34" s="10"/>
      <c r="PEI34" s="10"/>
      <c r="PEJ34" s="10"/>
      <c r="PEK34" s="10"/>
      <c r="PEL34" s="10"/>
      <c r="PEM34" s="10"/>
      <c r="PEN34" s="10"/>
      <c r="PEO34" s="10"/>
      <c r="PEP34" s="10"/>
      <c r="PEQ34" s="10"/>
      <c r="PER34" s="10"/>
      <c r="PES34" s="10"/>
      <c r="PET34" s="10"/>
      <c r="PEU34" s="10"/>
      <c r="PEV34" s="10"/>
      <c r="PEW34" s="10"/>
      <c r="PEX34" s="10"/>
      <c r="PEY34" s="10"/>
      <c r="PEZ34" s="10"/>
      <c r="PFA34" s="10"/>
      <c r="PFB34" s="10"/>
      <c r="PFC34" s="10"/>
      <c r="PFD34" s="10"/>
      <c r="PFE34" s="10"/>
      <c r="PFF34" s="10"/>
      <c r="PFG34" s="10"/>
      <c r="PFH34" s="10"/>
      <c r="PFI34" s="10"/>
      <c r="PFJ34" s="10"/>
      <c r="PFK34" s="10"/>
      <c r="PFL34" s="10"/>
      <c r="PFM34" s="10"/>
      <c r="PFN34" s="10"/>
      <c r="PFO34" s="10"/>
      <c r="PFP34" s="10"/>
      <c r="PFQ34" s="10"/>
      <c r="PFR34" s="10"/>
      <c r="PFS34" s="10"/>
      <c r="PFT34" s="10"/>
      <c r="PFU34" s="10"/>
      <c r="PFV34" s="10"/>
      <c r="PFW34" s="10"/>
      <c r="PFX34" s="10"/>
      <c r="PFY34" s="10"/>
      <c r="PFZ34" s="10"/>
      <c r="PGA34" s="10"/>
      <c r="PGB34" s="10"/>
      <c r="PGC34" s="10"/>
      <c r="PGD34" s="10"/>
      <c r="PGE34" s="10"/>
      <c r="PGF34" s="10"/>
      <c r="PGG34" s="10"/>
      <c r="PGH34" s="10"/>
      <c r="PGI34" s="10"/>
      <c r="PGJ34" s="10"/>
      <c r="PGK34" s="10"/>
      <c r="PGL34" s="10"/>
      <c r="PGM34" s="10"/>
      <c r="PGN34" s="10"/>
      <c r="PGO34" s="10"/>
      <c r="PGP34" s="10"/>
      <c r="PGQ34" s="10"/>
      <c r="PGR34" s="10"/>
      <c r="PGS34" s="10"/>
      <c r="PGT34" s="10"/>
      <c r="PGU34" s="10"/>
      <c r="PGV34" s="10"/>
      <c r="PGW34" s="10"/>
      <c r="PGX34" s="10"/>
      <c r="PGY34" s="10"/>
      <c r="PGZ34" s="10"/>
      <c r="PHA34" s="10"/>
      <c r="PHB34" s="10"/>
      <c r="PHC34" s="10"/>
      <c r="PHD34" s="10"/>
      <c r="PHE34" s="10"/>
      <c r="PHF34" s="10"/>
      <c r="PHG34" s="10"/>
      <c r="PHH34" s="10"/>
      <c r="PHI34" s="10"/>
      <c r="PHJ34" s="10"/>
      <c r="PHK34" s="10"/>
      <c r="PHL34" s="10"/>
      <c r="PHM34" s="10"/>
      <c r="PHN34" s="10"/>
      <c r="PHO34" s="10"/>
      <c r="PHP34" s="10"/>
      <c r="PHQ34" s="10"/>
      <c r="PHR34" s="10"/>
      <c r="PHS34" s="10"/>
      <c r="PHT34" s="10"/>
      <c r="PHU34" s="10"/>
      <c r="PHV34" s="10"/>
      <c r="PHW34" s="10"/>
      <c r="PHX34" s="10"/>
      <c r="PHY34" s="10"/>
      <c r="PHZ34" s="10"/>
      <c r="PIA34" s="10"/>
      <c r="PIB34" s="10"/>
      <c r="PIC34" s="10"/>
      <c r="PID34" s="10"/>
      <c r="PIE34" s="10"/>
      <c r="PIF34" s="10"/>
      <c r="PIG34" s="10"/>
      <c r="PIH34" s="10"/>
      <c r="PII34" s="10"/>
      <c r="PIJ34" s="10"/>
      <c r="PIK34" s="10"/>
      <c r="PIL34" s="10"/>
      <c r="PIM34" s="10"/>
      <c r="PIN34" s="10"/>
      <c r="PIO34" s="10"/>
      <c r="PIP34" s="10"/>
      <c r="PIQ34" s="10"/>
      <c r="PIR34" s="10"/>
      <c r="PIS34" s="10"/>
      <c r="PIT34" s="10"/>
      <c r="PIU34" s="10"/>
      <c r="PIV34" s="10"/>
      <c r="PIW34" s="10"/>
      <c r="PIX34" s="10"/>
      <c r="PIY34" s="10"/>
      <c r="PIZ34" s="10"/>
      <c r="PJA34" s="10"/>
      <c r="PJB34" s="10"/>
      <c r="PJC34" s="10"/>
      <c r="PJD34" s="10"/>
      <c r="PJE34" s="10"/>
      <c r="PJF34" s="10"/>
      <c r="PJG34" s="10"/>
      <c r="PJH34" s="10"/>
      <c r="PJI34" s="10"/>
      <c r="PJJ34" s="10"/>
      <c r="PJK34" s="10"/>
      <c r="PJL34" s="10"/>
      <c r="PJM34" s="10"/>
      <c r="PJN34" s="10"/>
      <c r="PJO34" s="10"/>
      <c r="PJP34" s="10"/>
      <c r="PJQ34" s="10"/>
      <c r="PJR34" s="10"/>
      <c r="PJS34" s="10"/>
      <c r="PJT34" s="10"/>
      <c r="PJU34" s="10"/>
      <c r="PJV34" s="10"/>
      <c r="PJW34" s="10"/>
      <c r="PJX34" s="10"/>
      <c r="PJY34" s="10"/>
      <c r="PJZ34" s="10"/>
      <c r="PKA34" s="10"/>
      <c r="PKB34" s="10"/>
      <c r="PKC34" s="10"/>
      <c r="PKD34" s="10"/>
      <c r="PKE34" s="10"/>
      <c r="PKF34" s="10"/>
      <c r="PKG34" s="10"/>
      <c r="PKH34" s="10"/>
      <c r="PKI34" s="10"/>
      <c r="PKJ34" s="10"/>
      <c r="PKK34" s="10"/>
      <c r="PKL34" s="10"/>
      <c r="PKM34" s="10"/>
      <c r="PKN34" s="10"/>
      <c r="PKO34" s="10"/>
      <c r="PKP34" s="10"/>
      <c r="PKQ34" s="10"/>
      <c r="PKR34" s="10"/>
      <c r="PKS34" s="10"/>
      <c r="PKT34" s="10"/>
      <c r="PKU34" s="10"/>
      <c r="PKV34" s="10"/>
      <c r="PKW34" s="10"/>
      <c r="PKX34" s="10"/>
      <c r="PKY34" s="10"/>
      <c r="PKZ34" s="10"/>
      <c r="PLA34" s="10"/>
      <c r="PLB34" s="10"/>
      <c r="PLC34" s="10"/>
      <c r="PLD34" s="10"/>
      <c r="PLE34" s="10"/>
      <c r="PLF34" s="10"/>
      <c r="PLG34" s="10"/>
      <c r="PLH34" s="10"/>
      <c r="PLI34" s="10"/>
      <c r="PLJ34" s="10"/>
      <c r="PLK34" s="10"/>
      <c r="PLL34" s="10"/>
      <c r="PLM34" s="10"/>
      <c r="PLN34" s="10"/>
      <c r="PLO34" s="10"/>
      <c r="PLP34" s="10"/>
      <c r="PLQ34" s="10"/>
      <c r="PLR34" s="10"/>
      <c r="PLS34" s="10"/>
      <c r="PLT34" s="10"/>
      <c r="PLU34" s="10"/>
      <c r="PLV34" s="10"/>
      <c r="PLW34" s="10"/>
      <c r="PLX34" s="10"/>
      <c r="PLY34" s="10"/>
      <c r="PLZ34" s="10"/>
      <c r="PMA34" s="10"/>
      <c r="PMB34" s="10"/>
      <c r="PMC34" s="10"/>
      <c r="PMD34" s="10"/>
      <c r="PME34" s="10"/>
      <c r="PMF34" s="10"/>
      <c r="PMG34" s="10"/>
      <c r="PMH34" s="10"/>
      <c r="PMI34" s="10"/>
      <c r="PMJ34" s="10"/>
      <c r="PMK34" s="10"/>
      <c r="PML34" s="10"/>
      <c r="PMM34" s="10"/>
      <c r="PMN34" s="10"/>
      <c r="PMO34" s="10"/>
      <c r="PMP34" s="10"/>
      <c r="PMQ34" s="10"/>
      <c r="PMR34" s="10"/>
      <c r="PMS34" s="10"/>
      <c r="PMT34" s="10"/>
      <c r="PMU34" s="10"/>
      <c r="PMV34" s="10"/>
      <c r="PMW34" s="10"/>
      <c r="PMX34" s="10"/>
      <c r="PMY34" s="10"/>
      <c r="PMZ34" s="10"/>
      <c r="PNA34" s="10"/>
      <c r="PNB34" s="10"/>
      <c r="PNC34" s="10"/>
      <c r="PND34" s="10"/>
      <c r="PNE34" s="10"/>
      <c r="PNF34" s="10"/>
      <c r="PNG34" s="10"/>
      <c r="PNH34" s="10"/>
      <c r="PNI34" s="10"/>
      <c r="PNJ34" s="10"/>
      <c r="PNK34" s="10"/>
      <c r="PNL34" s="10"/>
      <c r="PNM34" s="10"/>
      <c r="PNN34" s="10"/>
      <c r="PNO34" s="10"/>
      <c r="PNP34" s="10"/>
      <c r="PNQ34" s="10"/>
      <c r="PNR34" s="10"/>
      <c r="PNS34" s="10"/>
      <c r="PNT34" s="10"/>
      <c r="PNU34" s="10"/>
      <c r="PNV34" s="10"/>
      <c r="PNW34" s="10"/>
      <c r="PNX34" s="10"/>
      <c r="PNY34" s="10"/>
      <c r="PNZ34" s="10"/>
      <c r="POA34" s="10"/>
      <c r="POB34" s="10"/>
      <c r="POC34" s="10"/>
      <c r="POD34" s="10"/>
      <c r="POE34" s="10"/>
      <c r="POF34" s="10"/>
      <c r="POG34" s="10"/>
      <c r="POH34" s="10"/>
      <c r="POI34" s="10"/>
      <c r="POJ34" s="10"/>
      <c r="POK34" s="10"/>
      <c r="POL34" s="10"/>
      <c r="POM34" s="10"/>
      <c r="PON34" s="10"/>
      <c r="POO34" s="10"/>
      <c r="POP34" s="10"/>
      <c r="POQ34" s="10"/>
      <c r="POR34" s="10"/>
      <c r="POS34" s="10"/>
      <c r="POT34" s="10"/>
      <c r="POU34" s="10"/>
      <c r="POV34" s="10"/>
      <c r="POW34" s="10"/>
      <c r="POX34" s="10"/>
      <c r="POY34" s="10"/>
      <c r="POZ34" s="10"/>
      <c r="PPA34" s="10"/>
      <c r="PPB34" s="10"/>
      <c r="PPC34" s="10"/>
      <c r="PPD34" s="10"/>
      <c r="PPE34" s="10"/>
      <c r="PPF34" s="10"/>
      <c r="PPG34" s="10"/>
      <c r="PPH34" s="10"/>
      <c r="PPI34" s="10"/>
      <c r="PPJ34" s="10"/>
      <c r="PPK34" s="10"/>
      <c r="PPL34" s="10"/>
      <c r="PPM34" s="10"/>
      <c r="PPN34" s="10"/>
      <c r="PPO34" s="10"/>
      <c r="PPP34" s="10"/>
      <c r="PPQ34" s="10"/>
      <c r="PPR34" s="10"/>
      <c r="PPS34" s="10"/>
      <c r="PPT34" s="10"/>
      <c r="PPU34" s="10"/>
      <c r="PPV34" s="10"/>
      <c r="PPW34" s="10"/>
      <c r="PPX34" s="10"/>
      <c r="PPY34" s="10"/>
      <c r="PPZ34" s="10"/>
      <c r="PQA34" s="10"/>
      <c r="PQB34" s="10"/>
      <c r="PQC34" s="10"/>
      <c r="PQD34" s="10"/>
      <c r="PQE34" s="10"/>
      <c r="PQF34" s="10"/>
      <c r="PQG34" s="10"/>
      <c r="PQH34" s="10"/>
      <c r="PQI34" s="10"/>
      <c r="PQJ34" s="10"/>
      <c r="PQK34" s="10"/>
      <c r="PQL34" s="10"/>
      <c r="PQM34" s="10"/>
      <c r="PQN34" s="10"/>
      <c r="PQO34" s="10"/>
      <c r="PQP34" s="10"/>
      <c r="PQQ34" s="10"/>
      <c r="PQR34" s="10"/>
      <c r="PQS34" s="10"/>
      <c r="PQT34" s="10"/>
      <c r="PQU34" s="10"/>
      <c r="PQV34" s="10"/>
      <c r="PQW34" s="10"/>
      <c r="PQX34" s="10"/>
      <c r="PQY34" s="10"/>
      <c r="PQZ34" s="10"/>
      <c r="PRA34" s="10"/>
      <c r="PRB34" s="10"/>
      <c r="PRC34" s="10"/>
      <c r="PRD34" s="10"/>
      <c r="PRE34" s="10"/>
      <c r="PRF34" s="10"/>
      <c r="PRG34" s="10"/>
      <c r="PRH34" s="10"/>
      <c r="PRI34" s="10"/>
      <c r="PRJ34" s="10"/>
      <c r="PRK34" s="10"/>
      <c r="PRL34" s="10"/>
      <c r="PRM34" s="10"/>
      <c r="PRN34" s="10"/>
      <c r="PRO34" s="10"/>
      <c r="PRP34" s="10"/>
      <c r="PRQ34" s="10"/>
      <c r="PRR34" s="10"/>
      <c r="PRS34" s="10"/>
      <c r="PRT34" s="10"/>
      <c r="PRU34" s="10"/>
      <c r="PRV34" s="10"/>
      <c r="PRW34" s="10"/>
      <c r="PRX34" s="10"/>
      <c r="PRY34" s="10"/>
      <c r="PRZ34" s="10"/>
      <c r="PSA34" s="10"/>
      <c r="PSB34" s="10"/>
      <c r="PSC34" s="10"/>
      <c r="PSD34" s="10"/>
      <c r="PSE34" s="10"/>
      <c r="PSF34" s="10"/>
      <c r="PSG34" s="10"/>
      <c r="PSH34" s="10"/>
      <c r="PSI34" s="10"/>
      <c r="PSJ34" s="10"/>
      <c r="PSK34" s="10"/>
      <c r="PSL34" s="10"/>
      <c r="PSM34" s="10"/>
      <c r="PSN34" s="10"/>
      <c r="PSO34" s="10"/>
      <c r="PSP34" s="10"/>
      <c r="PSQ34" s="10"/>
      <c r="PSR34" s="10"/>
      <c r="PSS34" s="10"/>
      <c r="PST34" s="10"/>
      <c r="PSU34" s="10"/>
      <c r="PSV34" s="10"/>
      <c r="PSW34" s="10"/>
      <c r="PSX34" s="10"/>
      <c r="PSY34" s="10"/>
      <c r="PSZ34" s="10"/>
      <c r="PTA34" s="10"/>
      <c r="PTB34" s="10"/>
      <c r="PTC34" s="10"/>
      <c r="PTD34" s="10"/>
      <c r="PTE34" s="10"/>
      <c r="PTF34" s="10"/>
      <c r="PTG34" s="10"/>
      <c r="PTH34" s="10"/>
      <c r="PTI34" s="10"/>
      <c r="PTJ34" s="10"/>
      <c r="PTK34" s="10"/>
      <c r="PTL34" s="10"/>
      <c r="PTM34" s="10"/>
      <c r="PTN34" s="10"/>
      <c r="PTO34" s="10"/>
      <c r="PTP34" s="10"/>
      <c r="PTQ34" s="10"/>
      <c r="PTR34" s="10"/>
      <c r="PTS34" s="10"/>
      <c r="PTT34" s="10"/>
      <c r="PTU34" s="10"/>
      <c r="PTV34" s="10"/>
      <c r="PTW34" s="10"/>
      <c r="PTX34" s="10"/>
      <c r="PTY34" s="10"/>
      <c r="PTZ34" s="10"/>
      <c r="PUA34" s="10"/>
      <c r="PUB34" s="10"/>
      <c r="PUC34" s="10"/>
      <c r="PUD34" s="10"/>
      <c r="PUE34" s="10"/>
      <c r="PUF34" s="10"/>
      <c r="PUG34" s="10"/>
      <c r="PUH34" s="10"/>
      <c r="PUI34" s="10"/>
      <c r="PUJ34" s="10"/>
      <c r="PUK34" s="10"/>
      <c r="PUL34" s="10"/>
      <c r="PUM34" s="10"/>
      <c r="PUN34" s="10"/>
      <c r="PUO34" s="10"/>
      <c r="PUP34" s="10"/>
      <c r="PUQ34" s="10"/>
      <c r="PUR34" s="10"/>
      <c r="PUS34" s="10"/>
      <c r="PUT34" s="10"/>
      <c r="PUU34" s="10"/>
      <c r="PUV34" s="10"/>
      <c r="PUW34" s="10"/>
      <c r="PUX34" s="10"/>
      <c r="PUY34" s="10"/>
      <c r="PUZ34" s="10"/>
      <c r="PVA34" s="10"/>
      <c r="PVB34" s="10"/>
      <c r="PVC34" s="10"/>
      <c r="PVD34" s="10"/>
      <c r="PVE34" s="10"/>
      <c r="PVF34" s="10"/>
      <c r="PVG34" s="10"/>
      <c r="PVH34" s="10"/>
      <c r="PVI34" s="10"/>
      <c r="PVJ34" s="10"/>
      <c r="PVK34" s="10"/>
      <c r="PVL34" s="10"/>
      <c r="PVM34" s="10"/>
      <c r="PVN34" s="10"/>
      <c r="PVO34" s="10"/>
      <c r="PVP34" s="10"/>
      <c r="PVQ34" s="10"/>
      <c r="PVR34" s="10"/>
      <c r="PVS34" s="10"/>
      <c r="PVT34" s="10"/>
      <c r="PVU34" s="10"/>
      <c r="PVV34" s="10"/>
      <c r="PVW34" s="10"/>
      <c r="PVX34" s="10"/>
      <c r="PVY34" s="10"/>
      <c r="PVZ34" s="10"/>
      <c r="PWA34" s="10"/>
      <c r="PWB34" s="10"/>
      <c r="PWC34" s="10"/>
      <c r="PWD34" s="10"/>
      <c r="PWE34" s="10"/>
      <c r="PWF34" s="10"/>
      <c r="PWG34" s="10"/>
      <c r="PWH34" s="10"/>
      <c r="PWI34" s="10"/>
      <c r="PWJ34" s="10"/>
      <c r="PWK34" s="10"/>
      <c r="PWL34" s="10"/>
      <c r="PWM34" s="10"/>
      <c r="PWN34" s="10"/>
      <c r="PWO34" s="10"/>
      <c r="PWP34" s="10"/>
      <c r="PWQ34" s="10"/>
      <c r="PWR34" s="10"/>
      <c r="PWS34" s="10"/>
      <c r="PWT34" s="10"/>
      <c r="PWU34" s="10"/>
      <c r="PWV34" s="10"/>
      <c r="PWW34" s="10"/>
      <c r="PWX34" s="10"/>
      <c r="PWY34" s="10"/>
      <c r="PWZ34" s="10"/>
      <c r="PXA34" s="10"/>
      <c r="PXB34" s="10"/>
      <c r="PXC34" s="10"/>
      <c r="PXD34" s="10"/>
      <c r="PXE34" s="10"/>
      <c r="PXF34" s="10"/>
      <c r="PXG34" s="10"/>
      <c r="PXH34" s="10"/>
      <c r="PXI34" s="10"/>
      <c r="PXJ34" s="10"/>
      <c r="PXK34" s="10"/>
      <c r="PXL34" s="10"/>
      <c r="PXM34" s="10"/>
      <c r="PXN34" s="10"/>
      <c r="PXO34" s="10"/>
      <c r="PXP34" s="10"/>
      <c r="PXQ34" s="10"/>
      <c r="PXR34" s="10"/>
      <c r="PXS34" s="10"/>
      <c r="PXT34" s="10"/>
      <c r="PXU34" s="10"/>
      <c r="PXV34" s="10"/>
      <c r="PXW34" s="10"/>
      <c r="PXX34" s="10"/>
      <c r="PXY34" s="10"/>
      <c r="PXZ34" s="10"/>
      <c r="PYA34" s="10"/>
      <c r="PYB34" s="10"/>
      <c r="PYC34" s="10"/>
      <c r="PYD34" s="10"/>
      <c r="PYE34" s="10"/>
      <c r="PYF34" s="10"/>
      <c r="PYG34" s="10"/>
      <c r="PYH34" s="10"/>
      <c r="PYI34" s="10"/>
      <c r="PYJ34" s="10"/>
      <c r="PYK34" s="10"/>
      <c r="PYL34" s="10"/>
      <c r="PYM34" s="10"/>
      <c r="PYN34" s="10"/>
      <c r="PYO34" s="10"/>
      <c r="PYP34" s="10"/>
      <c r="PYQ34" s="10"/>
      <c r="PYR34" s="10"/>
      <c r="PYS34" s="10"/>
      <c r="PYT34" s="10"/>
      <c r="PYU34" s="10"/>
      <c r="PYV34" s="10"/>
      <c r="PYW34" s="10"/>
      <c r="PYX34" s="10"/>
      <c r="PYY34" s="10"/>
      <c r="PYZ34" s="10"/>
      <c r="PZA34" s="10"/>
      <c r="PZB34" s="10"/>
      <c r="PZC34" s="10"/>
      <c r="PZD34" s="10"/>
      <c r="PZE34" s="10"/>
      <c r="PZF34" s="10"/>
      <c r="PZG34" s="10"/>
      <c r="PZH34" s="10"/>
      <c r="PZI34" s="10"/>
      <c r="PZJ34" s="10"/>
      <c r="PZK34" s="10"/>
      <c r="PZL34" s="10"/>
      <c r="PZM34" s="10"/>
      <c r="PZN34" s="10"/>
      <c r="PZO34" s="10"/>
      <c r="PZP34" s="10"/>
      <c r="PZQ34" s="10"/>
      <c r="PZR34" s="10"/>
      <c r="PZS34" s="10"/>
      <c r="PZT34" s="10"/>
      <c r="PZU34" s="10"/>
      <c r="PZV34" s="10"/>
      <c r="PZW34" s="10"/>
      <c r="PZX34" s="10"/>
      <c r="PZY34" s="10"/>
      <c r="PZZ34" s="10"/>
      <c r="QAA34" s="10"/>
      <c r="QAB34" s="10"/>
      <c r="QAC34" s="10"/>
      <c r="QAD34" s="10"/>
      <c r="QAE34" s="10"/>
      <c r="QAF34" s="10"/>
      <c r="QAG34" s="10"/>
      <c r="QAH34" s="10"/>
      <c r="QAI34" s="10"/>
      <c r="QAJ34" s="10"/>
      <c r="QAK34" s="10"/>
      <c r="QAL34" s="10"/>
      <c r="QAM34" s="10"/>
      <c r="QAN34" s="10"/>
      <c r="QAO34" s="10"/>
      <c r="QAP34" s="10"/>
      <c r="QAQ34" s="10"/>
      <c r="QAR34" s="10"/>
      <c r="QAS34" s="10"/>
      <c r="QAT34" s="10"/>
      <c r="QAU34" s="10"/>
      <c r="QAV34" s="10"/>
      <c r="QAW34" s="10"/>
      <c r="QAX34" s="10"/>
      <c r="QAY34" s="10"/>
      <c r="QAZ34" s="10"/>
      <c r="QBA34" s="10"/>
      <c r="QBB34" s="10"/>
      <c r="QBC34" s="10"/>
      <c r="QBD34" s="10"/>
      <c r="QBE34" s="10"/>
      <c r="QBF34" s="10"/>
      <c r="QBG34" s="10"/>
      <c r="QBH34" s="10"/>
      <c r="QBI34" s="10"/>
      <c r="QBJ34" s="10"/>
      <c r="QBK34" s="10"/>
      <c r="QBL34" s="10"/>
      <c r="QBM34" s="10"/>
      <c r="QBN34" s="10"/>
      <c r="QBO34" s="10"/>
      <c r="QBP34" s="10"/>
      <c r="QBQ34" s="10"/>
      <c r="QBR34" s="10"/>
      <c r="QBS34" s="10"/>
      <c r="QBT34" s="10"/>
      <c r="QBU34" s="10"/>
      <c r="QBV34" s="10"/>
      <c r="QBW34" s="10"/>
      <c r="QBX34" s="10"/>
      <c r="QBY34" s="10"/>
      <c r="QBZ34" s="10"/>
      <c r="QCA34" s="10"/>
      <c r="QCB34" s="10"/>
      <c r="QCC34" s="10"/>
      <c r="QCD34" s="10"/>
      <c r="QCE34" s="10"/>
      <c r="QCF34" s="10"/>
      <c r="QCG34" s="10"/>
      <c r="QCH34" s="10"/>
      <c r="QCI34" s="10"/>
      <c r="QCJ34" s="10"/>
      <c r="QCK34" s="10"/>
      <c r="QCL34" s="10"/>
      <c r="QCM34" s="10"/>
      <c r="QCN34" s="10"/>
      <c r="QCO34" s="10"/>
      <c r="QCP34" s="10"/>
      <c r="QCQ34" s="10"/>
      <c r="QCR34" s="10"/>
      <c r="QCS34" s="10"/>
      <c r="QCT34" s="10"/>
      <c r="QCU34" s="10"/>
      <c r="QCV34" s="10"/>
      <c r="QCW34" s="10"/>
      <c r="QCX34" s="10"/>
      <c r="QCY34" s="10"/>
      <c r="QCZ34" s="10"/>
      <c r="QDA34" s="10"/>
      <c r="QDB34" s="10"/>
      <c r="QDC34" s="10"/>
      <c r="QDD34" s="10"/>
      <c r="QDE34" s="10"/>
      <c r="QDF34" s="10"/>
      <c r="QDG34" s="10"/>
      <c r="QDH34" s="10"/>
      <c r="QDI34" s="10"/>
      <c r="QDJ34" s="10"/>
      <c r="QDK34" s="10"/>
      <c r="QDL34" s="10"/>
      <c r="QDM34" s="10"/>
      <c r="QDN34" s="10"/>
      <c r="QDO34" s="10"/>
      <c r="QDP34" s="10"/>
      <c r="QDQ34" s="10"/>
      <c r="QDR34" s="10"/>
      <c r="QDS34" s="10"/>
      <c r="QDT34" s="10"/>
      <c r="QDU34" s="10"/>
      <c r="QDV34" s="10"/>
      <c r="QDW34" s="10"/>
      <c r="QDX34" s="10"/>
      <c r="QDY34" s="10"/>
      <c r="QDZ34" s="10"/>
      <c r="QEA34" s="10"/>
      <c r="QEB34" s="10"/>
      <c r="QEC34" s="10"/>
      <c r="QED34" s="10"/>
      <c r="QEE34" s="10"/>
      <c r="QEF34" s="10"/>
      <c r="QEG34" s="10"/>
      <c r="QEH34" s="10"/>
      <c r="QEI34" s="10"/>
      <c r="QEJ34" s="10"/>
      <c r="QEK34" s="10"/>
      <c r="QEL34" s="10"/>
      <c r="QEM34" s="10"/>
      <c r="QEN34" s="10"/>
      <c r="QEO34" s="10"/>
      <c r="QEP34" s="10"/>
      <c r="QEQ34" s="10"/>
      <c r="QER34" s="10"/>
      <c r="QES34" s="10"/>
      <c r="QET34" s="10"/>
      <c r="QEU34" s="10"/>
      <c r="QEV34" s="10"/>
      <c r="QEW34" s="10"/>
      <c r="QEX34" s="10"/>
      <c r="QEY34" s="10"/>
      <c r="QEZ34" s="10"/>
      <c r="QFA34" s="10"/>
      <c r="QFB34" s="10"/>
      <c r="QFC34" s="10"/>
      <c r="QFD34" s="10"/>
      <c r="QFE34" s="10"/>
      <c r="QFF34" s="10"/>
      <c r="QFG34" s="10"/>
      <c r="QFH34" s="10"/>
      <c r="QFI34" s="10"/>
      <c r="QFJ34" s="10"/>
      <c r="QFK34" s="10"/>
      <c r="QFL34" s="10"/>
      <c r="QFM34" s="10"/>
      <c r="QFN34" s="10"/>
      <c r="QFO34" s="10"/>
      <c r="QFP34" s="10"/>
      <c r="QFQ34" s="10"/>
      <c r="QFR34" s="10"/>
      <c r="QFS34" s="10"/>
      <c r="QFT34" s="10"/>
      <c r="QFU34" s="10"/>
      <c r="QFV34" s="10"/>
      <c r="QFW34" s="10"/>
      <c r="QFX34" s="10"/>
      <c r="QFY34" s="10"/>
      <c r="QFZ34" s="10"/>
      <c r="QGA34" s="10"/>
      <c r="QGB34" s="10"/>
      <c r="QGC34" s="10"/>
      <c r="QGD34" s="10"/>
      <c r="QGE34" s="10"/>
      <c r="QGF34" s="10"/>
      <c r="QGG34" s="10"/>
      <c r="QGH34" s="10"/>
      <c r="QGI34" s="10"/>
      <c r="QGJ34" s="10"/>
      <c r="QGK34" s="10"/>
      <c r="QGL34" s="10"/>
      <c r="QGM34" s="10"/>
      <c r="QGN34" s="10"/>
      <c r="QGO34" s="10"/>
      <c r="QGP34" s="10"/>
      <c r="QGQ34" s="10"/>
      <c r="QGR34" s="10"/>
      <c r="QGS34" s="10"/>
      <c r="QGT34" s="10"/>
      <c r="QGU34" s="10"/>
      <c r="QGV34" s="10"/>
      <c r="QGW34" s="10"/>
      <c r="QGX34" s="10"/>
      <c r="QGY34" s="10"/>
      <c r="QGZ34" s="10"/>
      <c r="QHA34" s="10"/>
      <c r="QHB34" s="10"/>
      <c r="QHC34" s="10"/>
      <c r="QHD34" s="10"/>
      <c r="QHE34" s="10"/>
      <c r="QHF34" s="10"/>
      <c r="QHG34" s="10"/>
      <c r="QHH34" s="10"/>
      <c r="QHI34" s="10"/>
      <c r="QHJ34" s="10"/>
      <c r="QHK34" s="10"/>
      <c r="QHL34" s="10"/>
      <c r="QHM34" s="10"/>
      <c r="QHN34" s="10"/>
      <c r="QHO34" s="10"/>
      <c r="QHP34" s="10"/>
      <c r="QHQ34" s="10"/>
      <c r="QHR34" s="10"/>
      <c r="QHS34" s="10"/>
      <c r="QHT34" s="10"/>
      <c r="QHU34" s="10"/>
      <c r="QHV34" s="10"/>
      <c r="QHW34" s="10"/>
      <c r="QHX34" s="10"/>
      <c r="QHY34" s="10"/>
      <c r="QHZ34" s="10"/>
      <c r="QIA34" s="10"/>
      <c r="QIB34" s="10"/>
      <c r="QIC34" s="10"/>
      <c r="QID34" s="10"/>
      <c r="QIE34" s="10"/>
      <c r="QIF34" s="10"/>
      <c r="QIG34" s="10"/>
      <c r="QIH34" s="10"/>
      <c r="QII34" s="10"/>
      <c r="QIJ34" s="10"/>
      <c r="QIK34" s="10"/>
      <c r="QIL34" s="10"/>
      <c r="QIM34" s="10"/>
      <c r="QIN34" s="10"/>
      <c r="QIO34" s="10"/>
      <c r="QIP34" s="10"/>
      <c r="QIQ34" s="10"/>
      <c r="QIR34" s="10"/>
      <c r="QIS34" s="10"/>
      <c r="QIT34" s="10"/>
      <c r="QIU34" s="10"/>
      <c r="QIV34" s="10"/>
      <c r="QIW34" s="10"/>
      <c r="QIX34" s="10"/>
      <c r="QIY34" s="10"/>
      <c r="QIZ34" s="10"/>
      <c r="QJA34" s="10"/>
      <c r="QJB34" s="10"/>
      <c r="QJC34" s="10"/>
      <c r="QJD34" s="10"/>
      <c r="QJE34" s="10"/>
      <c r="QJF34" s="10"/>
      <c r="QJG34" s="10"/>
      <c r="QJH34" s="10"/>
      <c r="QJI34" s="10"/>
      <c r="QJJ34" s="10"/>
      <c r="QJK34" s="10"/>
      <c r="QJL34" s="10"/>
      <c r="QJM34" s="10"/>
      <c r="QJN34" s="10"/>
      <c r="QJO34" s="10"/>
      <c r="QJP34" s="10"/>
      <c r="QJQ34" s="10"/>
      <c r="QJR34" s="10"/>
      <c r="QJS34" s="10"/>
      <c r="QJT34" s="10"/>
      <c r="QJU34" s="10"/>
      <c r="QJV34" s="10"/>
      <c r="QJW34" s="10"/>
      <c r="QJX34" s="10"/>
      <c r="QJY34" s="10"/>
      <c r="QJZ34" s="10"/>
      <c r="QKA34" s="10"/>
      <c r="QKB34" s="10"/>
      <c r="QKC34" s="10"/>
      <c r="QKD34" s="10"/>
      <c r="QKE34" s="10"/>
      <c r="QKF34" s="10"/>
      <c r="QKG34" s="10"/>
      <c r="QKH34" s="10"/>
      <c r="QKI34" s="10"/>
      <c r="QKJ34" s="10"/>
      <c r="QKK34" s="10"/>
      <c r="QKL34" s="10"/>
      <c r="QKM34" s="10"/>
      <c r="QKN34" s="10"/>
      <c r="QKO34" s="10"/>
      <c r="QKP34" s="10"/>
      <c r="QKQ34" s="10"/>
      <c r="QKR34" s="10"/>
      <c r="QKS34" s="10"/>
      <c r="QKT34" s="10"/>
      <c r="QKU34" s="10"/>
      <c r="QKV34" s="10"/>
      <c r="QKW34" s="10"/>
      <c r="QKX34" s="10"/>
      <c r="QKY34" s="10"/>
      <c r="QKZ34" s="10"/>
      <c r="QLA34" s="10"/>
      <c r="QLB34" s="10"/>
      <c r="QLC34" s="10"/>
      <c r="QLD34" s="10"/>
      <c r="QLE34" s="10"/>
      <c r="QLF34" s="10"/>
      <c r="QLG34" s="10"/>
      <c r="QLH34" s="10"/>
      <c r="QLI34" s="10"/>
      <c r="QLJ34" s="10"/>
      <c r="QLK34" s="10"/>
      <c r="QLL34" s="10"/>
      <c r="QLM34" s="10"/>
      <c r="QLN34" s="10"/>
      <c r="QLO34" s="10"/>
      <c r="QLP34" s="10"/>
      <c r="QLQ34" s="10"/>
      <c r="QLR34" s="10"/>
      <c r="QLS34" s="10"/>
      <c r="QLT34" s="10"/>
      <c r="QLU34" s="10"/>
      <c r="QLV34" s="10"/>
      <c r="QLW34" s="10"/>
      <c r="QLX34" s="10"/>
      <c r="QLY34" s="10"/>
      <c r="QLZ34" s="10"/>
      <c r="QMA34" s="10"/>
      <c r="QMB34" s="10"/>
      <c r="QMC34" s="10"/>
      <c r="QMD34" s="10"/>
      <c r="QME34" s="10"/>
      <c r="QMF34" s="10"/>
      <c r="QMG34" s="10"/>
      <c r="QMH34" s="10"/>
      <c r="QMI34" s="10"/>
      <c r="QMJ34" s="10"/>
      <c r="QMK34" s="10"/>
      <c r="QML34" s="10"/>
      <c r="QMM34" s="10"/>
      <c r="QMN34" s="10"/>
      <c r="QMO34" s="10"/>
      <c r="QMP34" s="10"/>
      <c r="QMQ34" s="10"/>
      <c r="QMR34" s="10"/>
      <c r="QMS34" s="10"/>
      <c r="QMT34" s="10"/>
      <c r="QMU34" s="10"/>
      <c r="QMV34" s="10"/>
      <c r="QMW34" s="10"/>
      <c r="QMX34" s="10"/>
      <c r="QMY34" s="10"/>
      <c r="QMZ34" s="10"/>
      <c r="QNA34" s="10"/>
      <c r="QNB34" s="10"/>
      <c r="QNC34" s="10"/>
      <c r="QND34" s="10"/>
      <c r="QNE34" s="10"/>
      <c r="QNF34" s="10"/>
      <c r="QNG34" s="10"/>
      <c r="QNH34" s="10"/>
      <c r="QNI34" s="10"/>
      <c r="QNJ34" s="10"/>
      <c r="QNK34" s="10"/>
      <c r="QNL34" s="10"/>
      <c r="QNM34" s="10"/>
      <c r="QNN34" s="10"/>
      <c r="QNO34" s="10"/>
      <c r="QNP34" s="10"/>
      <c r="QNQ34" s="10"/>
      <c r="QNR34" s="10"/>
      <c r="QNS34" s="10"/>
      <c r="QNT34" s="10"/>
      <c r="QNU34" s="10"/>
      <c r="QNV34" s="10"/>
      <c r="QNW34" s="10"/>
      <c r="QNX34" s="10"/>
      <c r="QNY34" s="10"/>
      <c r="QNZ34" s="10"/>
      <c r="QOA34" s="10"/>
      <c r="QOB34" s="10"/>
      <c r="QOC34" s="10"/>
      <c r="QOD34" s="10"/>
      <c r="QOE34" s="10"/>
      <c r="QOF34" s="10"/>
      <c r="QOG34" s="10"/>
      <c r="QOH34" s="10"/>
      <c r="QOI34" s="10"/>
      <c r="QOJ34" s="10"/>
      <c r="QOK34" s="10"/>
      <c r="QOL34" s="10"/>
      <c r="QOM34" s="10"/>
      <c r="QON34" s="10"/>
      <c r="QOO34" s="10"/>
      <c r="QOP34" s="10"/>
      <c r="QOQ34" s="10"/>
      <c r="QOR34" s="10"/>
      <c r="QOS34" s="10"/>
      <c r="QOT34" s="10"/>
      <c r="QOU34" s="10"/>
      <c r="QOV34" s="10"/>
      <c r="QOW34" s="10"/>
      <c r="QOX34" s="10"/>
      <c r="QOY34" s="10"/>
      <c r="QOZ34" s="10"/>
      <c r="QPA34" s="10"/>
      <c r="QPB34" s="10"/>
      <c r="QPC34" s="10"/>
      <c r="QPD34" s="10"/>
      <c r="QPE34" s="10"/>
      <c r="QPF34" s="10"/>
      <c r="QPG34" s="10"/>
      <c r="QPH34" s="10"/>
      <c r="QPI34" s="10"/>
      <c r="QPJ34" s="10"/>
      <c r="QPK34" s="10"/>
      <c r="QPL34" s="10"/>
      <c r="QPM34" s="10"/>
      <c r="QPN34" s="10"/>
      <c r="QPO34" s="10"/>
      <c r="QPP34" s="10"/>
      <c r="QPQ34" s="10"/>
      <c r="QPR34" s="10"/>
      <c r="QPS34" s="10"/>
      <c r="QPT34" s="10"/>
      <c r="QPU34" s="10"/>
      <c r="QPV34" s="10"/>
      <c r="QPW34" s="10"/>
      <c r="QPX34" s="10"/>
      <c r="QPY34" s="10"/>
      <c r="QPZ34" s="10"/>
      <c r="QQA34" s="10"/>
      <c r="QQB34" s="10"/>
      <c r="QQC34" s="10"/>
      <c r="QQD34" s="10"/>
      <c r="QQE34" s="10"/>
      <c r="QQF34" s="10"/>
      <c r="QQG34" s="10"/>
      <c r="QQH34" s="10"/>
      <c r="QQI34" s="10"/>
      <c r="QQJ34" s="10"/>
      <c r="QQK34" s="10"/>
      <c r="QQL34" s="10"/>
      <c r="QQM34" s="10"/>
      <c r="QQN34" s="10"/>
      <c r="QQO34" s="10"/>
      <c r="QQP34" s="10"/>
      <c r="QQQ34" s="10"/>
      <c r="QQR34" s="10"/>
      <c r="QQS34" s="10"/>
      <c r="QQT34" s="10"/>
      <c r="QQU34" s="10"/>
      <c r="QQV34" s="10"/>
      <c r="QQW34" s="10"/>
      <c r="QQX34" s="10"/>
      <c r="QQY34" s="10"/>
      <c r="QQZ34" s="10"/>
      <c r="QRA34" s="10"/>
      <c r="QRB34" s="10"/>
      <c r="QRC34" s="10"/>
      <c r="QRD34" s="10"/>
      <c r="QRE34" s="10"/>
      <c r="QRF34" s="10"/>
      <c r="QRG34" s="10"/>
      <c r="QRH34" s="10"/>
      <c r="QRI34" s="10"/>
      <c r="QRJ34" s="10"/>
      <c r="QRK34" s="10"/>
      <c r="QRL34" s="10"/>
      <c r="QRM34" s="10"/>
      <c r="QRN34" s="10"/>
      <c r="QRO34" s="10"/>
      <c r="QRP34" s="10"/>
      <c r="QRQ34" s="10"/>
      <c r="QRR34" s="10"/>
      <c r="QRS34" s="10"/>
      <c r="QRT34" s="10"/>
      <c r="QRU34" s="10"/>
      <c r="QRV34" s="10"/>
      <c r="QRW34" s="10"/>
      <c r="QRX34" s="10"/>
      <c r="QRY34" s="10"/>
      <c r="QRZ34" s="10"/>
      <c r="QSA34" s="10"/>
      <c r="QSB34" s="10"/>
      <c r="QSC34" s="10"/>
      <c r="QSD34" s="10"/>
      <c r="QSE34" s="10"/>
      <c r="QSF34" s="10"/>
      <c r="QSG34" s="10"/>
      <c r="QSH34" s="10"/>
      <c r="QSI34" s="10"/>
      <c r="QSJ34" s="10"/>
      <c r="QSK34" s="10"/>
      <c r="QSL34" s="10"/>
      <c r="QSM34" s="10"/>
      <c r="QSN34" s="10"/>
      <c r="QSO34" s="10"/>
      <c r="QSP34" s="10"/>
      <c r="QSQ34" s="10"/>
      <c r="QSR34" s="10"/>
      <c r="QSS34" s="10"/>
      <c r="QST34" s="10"/>
      <c r="QSU34" s="10"/>
      <c r="QSV34" s="10"/>
      <c r="QSW34" s="10"/>
      <c r="QSX34" s="10"/>
      <c r="QSY34" s="10"/>
      <c r="QSZ34" s="10"/>
      <c r="QTA34" s="10"/>
      <c r="QTB34" s="10"/>
      <c r="QTC34" s="10"/>
      <c r="QTD34" s="10"/>
      <c r="QTE34" s="10"/>
      <c r="QTF34" s="10"/>
      <c r="QTG34" s="10"/>
      <c r="QTH34" s="10"/>
      <c r="QTI34" s="10"/>
      <c r="QTJ34" s="10"/>
      <c r="QTK34" s="10"/>
      <c r="QTL34" s="10"/>
      <c r="QTM34" s="10"/>
      <c r="QTN34" s="10"/>
      <c r="QTO34" s="10"/>
      <c r="QTP34" s="10"/>
      <c r="QTQ34" s="10"/>
      <c r="QTR34" s="10"/>
      <c r="QTS34" s="10"/>
      <c r="QTT34" s="10"/>
      <c r="QTU34" s="10"/>
      <c r="QTV34" s="10"/>
      <c r="QTW34" s="10"/>
      <c r="QTX34" s="10"/>
      <c r="QTY34" s="10"/>
      <c r="QTZ34" s="10"/>
      <c r="QUA34" s="10"/>
      <c r="QUB34" s="10"/>
      <c r="QUC34" s="10"/>
      <c r="QUD34" s="10"/>
      <c r="QUE34" s="10"/>
      <c r="QUF34" s="10"/>
      <c r="QUG34" s="10"/>
      <c r="QUH34" s="10"/>
      <c r="QUI34" s="10"/>
      <c r="QUJ34" s="10"/>
      <c r="QUK34" s="10"/>
      <c r="QUL34" s="10"/>
      <c r="QUM34" s="10"/>
      <c r="QUN34" s="10"/>
      <c r="QUO34" s="10"/>
      <c r="QUP34" s="10"/>
      <c r="QUQ34" s="10"/>
      <c r="QUR34" s="10"/>
      <c r="QUS34" s="10"/>
      <c r="QUT34" s="10"/>
      <c r="QUU34" s="10"/>
      <c r="QUV34" s="10"/>
      <c r="QUW34" s="10"/>
      <c r="QUX34" s="10"/>
      <c r="QUY34" s="10"/>
      <c r="QUZ34" s="10"/>
      <c r="QVA34" s="10"/>
      <c r="QVB34" s="10"/>
      <c r="QVC34" s="10"/>
      <c r="QVD34" s="10"/>
      <c r="QVE34" s="10"/>
      <c r="QVF34" s="10"/>
      <c r="QVG34" s="10"/>
      <c r="QVH34" s="10"/>
      <c r="QVI34" s="10"/>
      <c r="QVJ34" s="10"/>
      <c r="QVK34" s="10"/>
      <c r="QVL34" s="10"/>
      <c r="QVM34" s="10"/>
      <c r="QVN34" s="10"/>
      <c r="QVO34" s="10"/>
      <c r="QVP34" s="10"/>
      <c r="QVQ34" s="10"/>
      <c r="QVR34" s="10"/>
      <c r="QVS34" s="10"/>
      <c r="QVT34" s="10"/>
      <c r="QVU34" s="10"/>
      <c r="QVV34" s="10"/>
      <c r="QVW34" s="10"/>
      <c r="QVX34" s="10"/>
      <c r="QVY34" s="10"/>
      <c r="QVZ34" s="10"/>
      <c r="QWA34" s="10"/>
      <c r="QWB34" s="10"/>
      <c r="QWC34" s="10"/>
      <c r="QWD34" s="10"/>
      <c r="QWE34" s="10"/>
      <c r="QWF34" s="10"/>
      <c r="QWG34" s="10"/>
      <c r="QWH34" s="10"/>
      <c r="QWI34" s="10"/>
      <c r="QWJ34" s="10"/>
      <c r="QWK34" s="10"/>
      <c r="QWL34" s="10"/>
      <c r="QWM34" s="10"/>
      <c r="QWN34" s="10"/>
      <c r="QWO34" s="10"/>
      <c r="QWP34" s="10"/>
      <c r="QWQ34" s="10"/>
      <c r="QWR34" s="10"/>
      <c r="QWS34" s="10"/>
      <c r="QWT34" s="10"/>
      <c r="QWU34" s="10"/>
      <c r="QWV34" s="10"/>
      <c r="QWW34" s="10"/>
      <c r="QWX34" s="10"/>
      <c r="QWY34" s="10"/>
      <c r="QWZ34" s="10"/>
      <c r="QXA34" s="10"/>
      <c r="QXB34" s="10"/>
      <c r="QXC34" s="10"/>
      <c r="QXD34" s="10"/>
      <c r="QXE34" s="10"/>
      <c r="QXF34" s="10"/>
      <c r="QXG34" s="10"/>
      <c r="QXH34" s="10"/>
      <c r="QXI34" s="10"/>
      <c r="QXJ34" s="10"/>
      <c r="QXK34" s="10"/>
      <c r="QXL34" s="10"/>
      <c r="QXM34" s="10"/>
      <c r="QXN34" s="10"/>
      <c r="QXO34" s="10"/>
      <c r="QXP34" s="10"/>
      <c r="QXQ34" s="10"/>
      <c r="QXR34" s="10"/>
      <c r="QXS34" s="10"/>
      <c r="QXT34" s="10"/>
      <c r="QXU34" s="10"/>
      <c r="QXV34" s="10"/>
      <c r="QXW34" s="10"/>
      <c r="QXX34" s="10"/>
      <c r="QXY34" s="10"/>
      <c r="QXZ34" s="10"/>
      <c r="QYA34" s="10"/>
      <c r="QYB34" s="10"/>
      <c r="QYC34" s="10"/>
      <c r="QYD34" s="10"/>
      <c r="QYE34" s="10"/>
      <c r="QYF34" s="10"/>
      <c r="QYG34" s="10"/>
      <c r="QYH34" s="10"/>
      <c r="QYI34" s="10"/>
      <c r="QYJ34" s="10"/>
      <c r="QYK34" s="10"/>
      <c r="QYL34" s="10"/>
      <c r="QYM34" s="10"/>
      <c r="QYN34" s="10"/>
      <c r="QYO34" s="10"/>
      <c r="QYP34" s="10"/>
      <c r="QYQ34" s="10"/>
      <c r="QYR34" s="10"/>
      <c r="QYS34" s="10"/>
      <c r="QYT34" s="10"/>
      <c r="QYU34" s="10"/>
      <c r="QYV34" s="10"/>
      <c r="QYW34" s="10"/>
      <c r="QYX34" s="10"/>
      <c r="QYY34" s="10"/>
      <c r="QYZ34" s="10"/>
      <c r="QZA34" s="10"/>
      <c r="QZB34" s="10"/>
      <c r="QZC34" s="10"/>
      <c r="QZD34" s="10"/>
      <c r="QZE34" s="10"/>
      <c r="QZF34" s="10"/>
      <c r="QZG34" s="10"/>
      <c r="QZH34" s="10"/>
      <c r="QZI34" s="10"/>
      <c r="QZJ34" s="10"/>
      <c r="QZK34" s="10"/>
      <c r="QZL34" s="10"/>
      <c r="QZM34" s="10"/>
      <c r="QZN34" s="10"/>
      <c r="QZO34" s="10"/>
      <c r="QZP34" s="10"/>
      <c r="QZQ34" s="10"/>
      <c r="QZR34" s="10"/>
      <c r="QZS34" s="10"/>
      <c r="QZT34" s="10"/>
      <c r="QZU34" s="10"/>
      <c r="QZV34" s="10"/>
      <c r="QZW34" s="10"/>
      <c r="QZX34" s="10"/>
      <c r="QZY34" s="10"/>
      <c r="QZZ34" s="10"/>
      <c r="RAA34" s="10"/>
      <c r="RAB34" s="10"/>
      <c r="RAC34" s="10"/>
      <c r="RAD34" s="10"/>
      <c r="RAE34" s="10"/>
      <c r="RAF34" s="10"/>
      <c r="RAG34" s="10"/>
      <c r="RAH34" s="10"/>
      <c r="RAI34" s="10"/>
      <c r="RAJ34" s="10"/>
      <c r="RAK34" s="10"/>
      <c r="RAL34" s="10"/>
      <c r="RAM34" s="10"/>
      <c r="RAN34" s="10"/>
      <c r="RAO34" s="10"/>
      <c r="RAP34" s="10"/>
      <c r="RAQ34" s="10"/>
      <c r="RAR34" s="10"/>
      <c r="RAS34" s="10"/>
      <c r="RAT34" s="10"/>
      <c r="RAU34" s="10"/>
      <c r="RAV34" s="10"/>
      <c r="RAW34" s="10"/>
      <c r="RAX34" s="10"/>
      <c r="RAY34" s="10"/>
      <c r="RAZ34" s="10"/>
      <c r="RBA34" s="10"/>
      <c r="RBB34" s="10"/>
      <c r="RBC34" s="10"/>
      <c r="RBD34" s="10"/>
      <c r="RBE34" s="10"/>
      <c r="RBF34" s="10"/>
      <c r="RBG34" s="10"/>
      <c r="RBH34" s="10"/>
      <c r="RBI34" s="10"/>
      <c r="RBJ34" s="10"/>
      <c r="RBK34" s="10"/>
      <c r="RBL34" s="10"/>
      <c r="RBM34" s="10"/>
      <c r="RBN34" s="10"/>
      <c r="RBO34" s="10"/>
      <c r="RBP34" s="10"/>
      <c r="RBQ34" s="10"/>
      <c r="RBR34" s="10"/>
      <c r="RBS34" s="10"/>
      <c r="RBT34" s="10"/>
      <c r="RBU34" s="10"/>
      <c r="RBV34" s="10"/>
      <c r="RBW34" s="10"/>
      <c r="RBX34" s="10"/>
      <c r="RBY34" s="10"/>
      <c r="RBZ34" s="10"/>
      <c r="RCA34" s="10"/>
      <c r="RCB34" s="10"/>
      <c r="RCC34" s="10"/>
      <c r="RCD34" s="10"/>
      <c r="RCE34" s="10"/>
      <c r="RCF34" s="10"/>
      <c r="RCG34" s="10"/>
      <c r="RCH34" s="10"/>
      <c r="RCI34" s="10"/>
      <c r="RCJ34" s="10"/>
      <c r="RCK34" s="10"/>
      <c r="RCL34" s="10"/>
      <c r="RCM34" s="10"/>
      <c r="RCN34" s="10"/>
      <c r="RCO34" s="10"/>
      <c r="RCP34" s="10"/>
      <c r="RCQ34" s="10"/>
      <c r="RCR34" s="10"/>
      <c r="RCS34" s="10"/>
      <c r="RCT34" s="10"/>
      <c r="RCU34" s="10"/>
      <c r="RCV34" s="10"/>
      <c r="RCW34" s="10"/>
      <c r="RCX34" s="10"/>
      <c r="RCY34" s="10"/>
      <c r="RCZ34" s="10"/>
      <c r="RDA34" s="10"/>
      <c r="RDB34" s="10"/>
      <c r="RDC34" s="10"/>
      <c r="RDD34" s="10"/>
      <c r="RDE34" s="10"/>
      <c r="RDF34" s="10"/>
      <c r="RDG34" s="10"/>
      <c r="RDH34" s="10"/>
      <c r="RDI34" s="10"/>
      <c r="RDJ34" s="10"/>
      <c r="RDK34" s="10"/>
      <c r="RDL34" s="10"/>
      <c r="RDM34" s="10"/>
      <c r="RDN34" s="10"/>
      <c r="RDO34" s="10"/>
      <c r="RDP34" s="10"/>
      <c r="RDQ34" s="10"/>
      <c r="RDR34" s="10"/>
      <c r="RDS34" s="10"/>
      <c r="RDT34" s="10"/>
      <c r="RDU34" s="10"/>
      <c r="RDV34" s="10"/>
      <c r="RDW34" s="10"/>
      <c r="RDX34" s="10"/>
      <c r="RDY34" s="10"/>
      <c r="RDZ34" s="10"/>
      <c r="REA34" s="10"/>
      <c r="REB34" s="10"/>
      <c r="REC34" s="10"/>
      <c r="RED34" s="10"/>
      <c r="REE34" s="10"/>
      <c r="REF34" s="10"/>
      <c r="REG34" s="10"/>
      <c r="REH34" s="10"/>
      <c r="REI34" s="10"/>
      <c r="REJ34" s="10"/>
      <c r="REK34" s="10"/>
      <c r="REL34" s="10"/>
      <c r="REM34" s="10"/>
      <c r="REN34" s="10"/>
      <c r="REO34" s="10"/>
      <c r="REP34" s="10"/>
      <c r="REQ34" s="10"/>
      <c r="RER34" s="10"/>
      <c r="RES34" s="10"/>
      <c r="RET34" s="10"/>
      <c r="REU34" s="10"/>
      <c r="REV34" s="10"/>
      <c r="REW34" s="10"/>
      <c r="REX34" s="10"/>
      <c r="REY34" s="10"/>
      <c r="REZ34" s="10"/>
      <c r="RFA34" s="10"/>
      <c r="RFB34" s="10"/>
      <c r="RFC34" s="10"/>
      <c r="RFD34" s="10"/>
      <c r="RFE34" s="10"/>
      <c r="RFF34" s="10"/>
      <c r="RFG34" s="10"/>
      <c r="RFH34" s="10"/>
      <c r="RFI34" s="10"/>
      <c r="RFJ34" s="10"/>
      <c r="RFK34" s="10"/>
      <c r="RFL34" s="10"/>
      <c r="RFM34" s="10"/>
      <c r="RFN34" s="10"/>
      <c r="RFO34" s="10"/>
      <c r="RFP34" s="10"/>
      <c r="RFQ34" s="10"/>
      <c r="RFR34" s="10"/>
      <c r="RFS34" s="10"/>
      <c r="RFT34" s="10"/>
      <c r="RFU34" s="10"/>
      <c r="RFV34" s="10"/>
      <c r="RFW34" s="10"/>
      <c r="RFX34" s="10"/>
      <c r="RFY34" s="10"/>
      <c r="RFZ34" s="10"/>
      <c r="RGA34" s="10"/>
      <c r="RGB34" s="10"/>
      <c r="RGC34" s="10"/>
      <c r="RGD34" s="10"/>
      <c r="RGE34" s="10"/>
      <c r="RGF34" s="10"/>
      <c r="RGG34" s="10"/>
      <c r="RGH34" s="10"/>
      <c r="RGI34" s="10"/>
      <c r="RGJ34" s="10"/>
      <c r="RGK34" s="10"/>
      <c r="RGL34" s="10"/>
      <c r="RGM34" s="10"/>
      <c r="RGN34" s="10"/>
      <c r="RGO34" s="10"/>
      <c r="RGP34" s="10"/>
      <c r="RGQ34" s="10"/>
      <c r="RGR34" s="10"/>
      <c r="RGS34" s="10"/>
      <c r="RGT34" s="10"/>
      <c r="RGU34" s="10"/>
      <c r="RGV34" s="10"/>
      <c r="RGW34" s="10"/>
      <c r="RGX34" s="10"/>
      <c r="RGY34" s="10"/>
      <c r="RGZ34" s="10"/>
      <c r="RHA34" s="10"/>
      <c r="RHB34" s="10"/>
      <c r="RHC34" s="10"/>
      <c r="RHD34" s="10"/>
      <c r="RHE34" s="10"/>
      <c r="RHF34" s="10"/>
      <c r="RHG34" s="10"/>
      <c r="RHH34" s="10"/>
      <c r="RHI34" s="10"/>
      <c r="RHJ34" s="10"/>
      <c r="RHK34" s="10"/>
      <c r="RHL34" s="10"/>
      <c r="RHM34" s="10"/>
      <c r="RHN34" s="10"/>
      <c r="RHO34" s="10"/>
      <c r="RHP34" s="10"/>
      <c r="RHQ34" s="10"/>
      <c r="RHR34" s="10"/>
      <c r="RHS34" s="10"/>
      <c r="RHT34" s="10"/>
      <c r="RHU34" s="10"/>
      <c r="RHV34" s="10"/>
      <c r="RHW34" s="10"/>
      <c r="RHX34" s="10"/>
      <c r="RHY34" s="10"/>
      <c r="RHZ34" s="10"/>
      <c r="RIA34" s="10"/>
      <c r="RIB34" s="10"/>
      <c r="RIC34" s="10"/>
      <c r="RID34" s="10"/>
      <c r="RIE34" s="10"/>
      <c r="RIF34" s="10"/>
      <c r="RIG34" s="10"/>
      <c r="RIH34" s="10"/>
      <c r="RII34" s="10"/>
      <c r="RIJ34" s="10"/>
      <c r="RIK34" s="10"/>
      <c r="RIL34" s="10"/>
      <c r="RIM34" s="10"/>
      <c r="RIN34" s="10"/>
      <c r="RIO34" s="10"/>
      <c r="RIP34" s="10"/>
      <c r="RIQ34" s="10"/>
      <c r="RIR34" s="10"/>
      <c r="RIS34" s="10"/>
      <c r="RIT34" s="10"/>
      <c r="RIU34" s="10"/>
      <c r="RIV34" s="10"/>
      <c r="RIW34" s="10"/>
      <c r="RIX34" s="10"/>
      <c r="RIY34" s="10"/>
      <c r="RIZ34" s="10"/>
      <c r="RJA34" s="10"/>
      <c r="RJB34" s="10"/>
      <c r="RJC34" s="10"/>
      <c r="RJD34" s="10"/>
      <c r="RJE34" s="10"/>
      <c r="RJF34" s="10"/>
      <c r="RJG34" s="10"/>
      <c r="RJH34" s="10"/>
      <c r="RJI34" s="10"/>
      <c r="RJJ34" s="10"/>
      <c r="RJK34" s="10"/>
      <c r="RJL34" s="10"/>
      <c r="RJM34" s="10"/>
      <c r="RJN34" s="10"/>
      <c r="RJO34" s="10"/>
      <c r="RJP34" s="10"/>
      <c r="RJQ34" s="10"/>
      <c r="RJR34" s="10"/>
      <c r="RJS34" s="10"/>
      <c r="RJT34" s="10"/>
      <c r="RJU34" s="10"/>
      <c r="RJV34" s="10"/>
      <c r="RJW34" s="10"/>
      <c r="RJX34" s="10"/>
      <c r="RJY34" s="10"/>
      <c r="RJZ34" s="10"/>
      <c r="RKA34" s="10"/>
      <c r="RKB34" s="10"/>
      <c r="RKC34" s="10"/>
      <c r="RKD34" s="10"/>
      <c r="RKE34" s="10"/>
      <c r="RKF34" s="10"/>
      <c r="RKG34" s="10"/>
      <c r="RKH34" s="10"/>
      <c r="RKI34" s="10"/>
      <c r="RKJ34" s="10"/>
      <c r="RKK34" s="10"/>
      <c r="RKL34" s="10"/>
      <c r="RKM34" s="10"/>
      <c r="RKN34" s="10"/>
      <c r="RKO34" s="10"/>
      <c r="RKP34" s="10"/>
      <c r="RKQ34" s="10"/>
      <c r="RKR34" s="10"/>
      <c r="RKS34" s="10"/>
      <c r="RKT34" s="10"/>
      <c r="RKU34" s="10"/>
      <c r="RKV34" s="10"/>
      <c r="RKW34" s="10"/>
      <c r="RKX34" s="10"/>
      <c r="RKY34" s="10"/>
      <c r="RKZ34" s="10"/>
      <c r="RLA34" s="10"/>
      <c r="RLB34" s="10"/>
      <c r="RLC34" s="10"/>
      <c r="RLD34" s="10"/>
      <c r="RLE34" s="10"/>
      <c r="RLF34" s="10"/>
      <c r="RLG34" s="10"/>
      <c r="RLH34" s="10"/>
      <c r="RLI34" s="10"/>
      <c r="RLJ34" s="10"/>
      <c r="RLK34" s="10"/>
      <c r="RLL34" s="10"/>
      <c r="RLM34" s="10"/>
      <c r="RLN34" s="10"/>
      <c r="RLO34" s="10"/>
      <c r="RLP34" s="10"/>
      <c r="RLQ34" s="10"/>
      <c r="RLR34" s="10"/>
      <c r="RLS34" s="10"/>
      <c r="RLT34" s="10"/>
      <c r="RLU34" s="10"/>
      <c r="RLV34" s="10"/>
      <c r="RLW34" s="10"/>
      <c r="RLX34" s="10"/>
      <c r="RLY34" s="10"/>
      <c r="RLZ34" s="10"/>
      <c r="RMA34" s="10"/>
      <c r="RMB34" s="10"/>
      <c r="RMC34" s="10"/>
      <c r="RMD34" s="10"/>
      <c r="RME34" s="10"/>
      <c r="RMF34" s="10"/>
      <c r="RMG34" s="10"/>
      <c r="RMH34" s="10"/>
      <c r="RMI34" s="10"/>
      <c r="RMJ34" s="10"/>
      <c r="RMK34" s="10"/>
      <c r="RML34" s="10"/>
      <c r="RMM34" s="10"/>
      <c r="RMN34" s="10"/>
      <c r="RMO34" s="10"/>
      <c r="RMP34" s="10"/>
      <c r="RMQ34" s="10"/>
      <c r="RMR34" s="10"/>
      <c r="RMS34" s="10"/>
      <c r="RMT34" s="10"/>
      <c r="RMU34" s="10"/>
      <c r="RMV34" s="10"/>
      <c r="RMW34" s="10"/>
      <c r="RMX34" s="10"/>
      <c r="RMY34" s="10"/>
      <c r="RMZ34" s="10"/>
      <c r="RNA34" s="10"/>
      <c r="RNB34" s="10"/>
      <c r="RNC34" s="10"/>
      <c r="RND34" s="10"/>
      <c r="RNE34" s="10"/>
      <c r="RNF34" s="10"/>
      <c r="RNG34" s="10"/>
      <c r="RNH34" s="10"/>
      <c r="RNI34" s="10"/>
      <c r="RNJ34" s="10"/>
      <c r="RNK34" s="10"/>
      <c r="RNL34" s="10"/>
      <c r="RNM34" s="10"/>
      <c r="RNN34" s="10"/>
      <c r="RNO34" s="10"/>
      <c r="RNP34" s="10"/>
      <c r="RNQ34" s="10"/>
      <c r="RNR34" s="10"/>
      <c r="RNS34" s="10"/>
      <c r="RNT34" s="10"/>
      <c r="RNU34" s="10"/>
      <c r="RNV34" s="10"/>
      <c r="RNW34" s="10"/>
      <c r="RNX34" s="10"/>
      <c r="RNY34" s="10"/>
      <c r="RNZ34" s="10"/>
      <c r="ROA34" s="10"/>
      <c r="ROB34" s="10"/>
      <c r="ROC34" s="10"/>
      <c r="ROD34" s="10"/>
      <c r="ROE34" s="10"/>
      <c r="ROF34" s="10"/>
      <c r="ROG34" s="10"/>
      <c r="ROH34" s="10"/>
      <c r="ROI34" s="10"/>
      <c r="ROJ34" s="10"/>
      <c r="ROK34" s="10"/>
      <c r="ROL34" s="10"/>
      <c r="ROM34" s="10"/>
      <c r="RON34" s="10"/>
      <c r="ROO34" s="10"/>
      <c r="ROP34" s="10"/>
      <c r="ROQ34" s="10"/>
      <c r="ROR34" s="10"/>
      <c r="ROS34" s="10"/>
      <c r="ROT34" s="10"/>
      <c r="ROU34" s="10"/>
      <c r="ROV34" s="10"/>
      <c r="ROW34" s="10"/>
      <c r="ROX34" s="10"/>
      <c r="ROY34" s="10"/>
      <c r="ROZ34" s="10"/>
      <c r="RPA34" s="10"/>
      <c r="RPB34" s="10"/>
      <c r="RPC34" s="10"/>
      <c r="RPD34" s="10"/>
      <c r="RPE34" s="10"/>
      <c r="RPF34" s="10"/>
      <c r="RPG34" s="10"/>
      <c r="RPH34" s="10"/>
      <c r="RPI34" s="10"/>
      <c r="RPJ34" s="10"/>
      <c r="RPK34" s="10"/>
      <c r="RPL34" s="10"/>
      <c r="RPM34" s="10"/>
      <c r="RPN34" s="10"/>
      <c r="RPO34" s="10"/>
      <c r="RPP34" s="10"/>
      <c r="RPQ34" s="10"/>
      <c r="RPR34" s="10"/>
      <c r="RPS34" s="10"/>
      <c r="RPT34" s="10"/>
      <c r="RPU34" s="10"/>
      <c r="RPV34" s="10"/>
      <c r="RPW34" s="10"/>
      <c r="RPX34" s="10"/>
      <c r="RPY34" s="10"/>
      <c r="RPZ34" s="10"/>
      <c r="RQA34" s="10"/>
      <c r="RQB34" s="10"/>
      <c r="RQC34" s="10"/>
      <c r="RQD34" s="10"/>
      <c r="RQE34" s="10"/>
      <c r="RQF34" s="10"/>
      <c r="RQG34" s="10"/>
      <c r="RQH34" s="10"/>
      <c r="RQI34" s="10"/>
      <c r="RQJ34" s="10"/>
      <c r="RQK34" s="10"/>
      <c r="RQL34" s="10"/>
      <c r="RQM34" s="10"/>
      <c r="RQN34" s="10"/>
      <c r="RQO34" s="10"/>
      <c r="RQP34" s="10"/>
      <c r="RQQ34" s="10"/>
      <c r="RQR34" s="10"/>
      <c r="RQS34" s="10"/>
      <c r="RQT34" s="10"/>
      <c r="RQU34" s="10"/>
      <c r="RQV34" s="10"/>
      <c r="RQW34" s="10"/>
      <c r="RQX34" s="10"/>
      <c r="RQY34" s="10"/>
      <c r="RQZ34" s="10"/>
      <c r="RRA34" s="10"/>
      <c r="RRB34" s="10"/>
      <c r="RRC34" s="10"/>
      <c r="RRD34" s="10"/>
      <c r="RRE34" s="10"/>
      <c r="RRF34" s="10"/>
      <c r="RRG34" s="10"/>
      <c r="RRH34" s="10"/>
      <c r="RRI34" s="10"/>
      <c r="RRJ34" s="10"/>
      <c r="RRK34" s="10"/>
      <c r="RRL34" s="10"/>
      <c r="RRM34" s="10"/>
      <c r="RRN34" s="10"/>
      <c r="RRO34" s="10"/>
      <c r="RRP34" s="10"/>
      <c r="RRQ34" s="10"/>
      <c r="RRR34" s="10"/>
      <c r="RRS34" s="10"/>
      <c r="RRT34" s="10"/>
      <c r="RRU34" s="10"/>
      <c r="RRV34" s="10"/>
      <c r="RRW34" s="10"/>
      <c r="RRX34" s="10"/>
      <c r="RRY34" s="10"/>
      <c r="RRZ34" s="10"/>
      <c r="RSA34" s="10"/>
      <c r="RSB34" s="10"/>
      <c r="RSC34" s="10"/>
      <c r="RSD34" s="10"/>
      <c r="RSE34" s="10"/>
      <c r="RSF34" s="10"/>
      <c r="RSG34" s="10"/>
      <c r="RSH34" s="10"/>
      <c r="RSI34" s="10"/>
      <c r="RSJ34" s="10"/>
      <c r="RSK34" s="10"/>
      <c r="RSL34" s="10"/>
      <c r="RSM34" s="10"/>
      <c r="RSN34" s="10"/>
      <c r="RSO34" s="10"/>
      <c r="RSP34" s="10"/>
      <c r="RSQ34" s="10"/>
      <c r="RSR34" s="10"/>
      <c r="RSS34" s="10"/>
      <c r="RST34" s="10"/>
      <c r="RSU34" s="10"/>
      <c r="RSV34" s="10"/>
      <c r="RSW34" s="10"/>
      <c r="RSX34" s="10"/>
      <c r="RSY34" s="10"/>
      <c r="RSZ34" s="10"/>
      <c r="RTA34" s="10"/>
      <c r="RTB34" s="10"/>
      <c r="RTC34" s="10"/>
      <c r="RTD34" s="10"/>
      <c r="RTE34" s="10"/>
      <c r="RTF34" s="10"/>
      <c r="RTG34" s="10"/>
      <c r="RTH34" s="10"/>
      <c r="RTI34" s="10"/>
      <c r="RTJ34" s="10"/>
      <c r="RTK34" s="10"/>
      <c r="RTL34" s="10"/>
      <c r="RTM34" s="10"/>
      <c r="RTN34" s="10"/>
      <c r="RTO34" s="10"/>
      <c r="RTP34" s="10"/>
      <c r="RTQ34" s="10"/>
      <c r="RTR34" s="10"/>
      <c r="RTS34" s="10"/>
      <c r="RTT34" s="10"/>
      <c r="RTU34" s="10"/>
      <c r="RTV34" s="10"/>
      <c r="RTW34" s="10"/>
      <c r="RTX34" s="10"/>
      <c r="RTY34" s="10"/>
      <c r="RTZ34" s="10"/>
      <c r="RUA34" s="10"/>
      <c r="RUB34" s="10"/>
      <c r="RUC34" s="10"/>
      <c r="RUD34" s="10"/>
      <c r="RUE34" s="10"/>
      <c r="RUF34" s="10"/>
      <c r="RUG34" s="10"/>
      <c r="RUH34" s="10"/>
      <c r="RUI34" s="10"/>
      <c r="RUJ34" s="10"/>
      <c r="RUK34" s="10"/>
      <c r="RUL34" s="10"/>
      <c r="RUM34" s="10"/>
      <c r="RUN34" s="10"/>
      <c r="RUO34" s="10"/>
      <c r="RUP34" s="10"/>
      <c r="RUQ34" s="10"/>
      <c r="RUR34" s="10"/>
      <c r="RUS34" s="10"/>
      <c r="RUT34" s="10"/>
      <c r="RUU34" s="10"/>
      <c r="RUV34" s="10"/>
      <c r="RUW34" s="10"/>
      <c r="RUX34" s="10"/>
      <c r="RUY34" s="10"/>
      <c r="RUZ34" s="10"/>
      <c r="RVA34" s="10"/>
      <c r="RVB34" s="10"/>
      <c r="RVC34" s="10"/>
      <c r="RVD34" s="10"/>
      <c r="RVE34" s="10"/>
      <c r="RVF34" s="10"/>
      <c r="RVG34" s="10"/>
      <c r="RVH34" s="10"/>
      <c r="RVI34" s="10"/>
      <c r="RVJ34" s="10"/>
      <c r="RVK34" s="10"/>
      <c r="RVL34" s="10"/>
      <c r="RVM34" s="10"/>
      <c r="RVN34" s="10"/>
      <c r="RVO34" s="10"/>
      <c r="RVP34" s="10"/>
      <c r="RVQ34" s="10"/>
      <c r="RVR34" s="10"/>
      <c r="RVS34" s="10"/>
      <c r="RVT34" s="10"/>
      <c r="RVU34" s="10"/>
      <c r="RVV34" s="10"/>
      <c r="RVW34" s="10"/>
      <c r="RVX34" s="10"/>
      <c r="RVY34" s="10"/>
      <c r="RVZ34" s="10"/>
      <c r="RWA34" s="10"/>
      <c r="RWB34" s="10"/>
      <c r="RWC34" s="10"/>
      <c r="RWD34" s="10"/>
      <c r="RWE34" s="10"/>
      <c r="RWF34" s="10"/>
      <c r="RWG34" s="10"/>
      <c r="RWH34" s="10"/>
      <c r="RWI34" s="10"/>
      <c r="RWJ34" s="10"/>
      <c r="RWK34" s="10"/>
      <c r="RWL34" s="10"/>
      <c r="RWM34" s="10"/>
      <c r="RWN34" s="10"/>
      <c r="RWO34" s="10"/>
      <c r="RWP34" s="10"/>
      <c r="RWQ34" s="10"/>
      <c r="RWR34" s="10"/>
      <c r="RWS34" s="10"/>
      <c r="RWT34" s="10"/>
      <c r="RWU34" s="10"/>
      <c r="RWV34" s="10"/>
      <c r="RWW34" s="10"/>
      <c r="RWX34" s="10"/>
      <c r="RWY34" s="10"/>
      <c r="RWZ34" s="10"/>
      <c r="RXA34" s="10"/>
      <c r="RXB34" s="10"/>
      <c r="RXC34" s="10"/>
      <c r="RXD34" s="10"/>
      <c r="RXE34" s="10"/>
      <c r="RXF34" s="10"/>
      <c r="RXG34" s="10"/>
      <c r="RXH34" s="10"/>
      <c r="RXI34" s="10"/>
      <c r="RXJ34" s="10"/>
      <c r="RXK34" s="10"/>
      <c r="RXL34" s="10"/>
      <c r="RXM34" s="10"/>
      <c r="RXN34" s="10"/>
      <c r="RXO34" s="10"/>
      <c r="RXP34" s="10"/>
      <c r="RXQ34" s="10"/>
      <c r="RXR34" s="10"/>
      <c r="RXS34" s="10"/>
      <c r="RXT34" s="10"/>
      <c r="RXU34" s="10"/>
      <c r="RXV34" s="10"/>
      <c r="RXW34" s="10"/>
      <c r="RXX34" s="10"/>
      <c r="RXY34" s="10"/>
      <c r="RXZ34" s="10"/>
      <c r="RYA34" s="10"/>
      <c r="RYB34" s="10"/>
      <c r="RYC34" s="10"/>
      <c r="RYD34" s="10"/>
      <c r="RYE34" s="10"/>
      <c r="RYF34" s="10"/>
      <c r="RYG34" s="10"/>
      <c r="RYH34" s="10"/>
      <c r="RYI34" s="10"/>
      <c r="RYJ34" s="10"/>
      <c r="RYK34" s="10"/>
      <c r="RYL34" s="10"/>
      <c r="RYM34" s="10"/>
      <c r="RYN34" s="10"/>
      <c r="RYO34" s="10"/>
      <c r="RYP34" s="10"/>
      <c r="RYQ34" s="10"/>
      <c r="RYR34" s="10"/>
      <c r="RYS34" s="10"/>
      <c r="RYT34" s="10"/>
      <c r="RYU34" s="10"/>
      <c r="RYV34" s="10"/>
      <c r="RYW34" s="10"/>
      <c r="RYX34" s="10"/>
      <c r="RYY34" s="10"/>
      <c r="RYZ34" s="10"/>
      <c r="RZA34" s="10"/>
      <c r="RZB34" s="10"/>
      <c r="RZC34" s="10"/>
      <c r="RZD34" s="10"/>
      <c r="RZE34" s="10"/>
      <c r="RZF34" s="10"/>
      <c r="RZG34" s="10"/>
      <c r="RZH34" s="10"/>
      <c r="RZI34" s="10"/>
      <c r="RZJ34" s="10"/>
      <c r="RZK34" s="10"/>
      <c r="RZL34" s="10"/>
      <c r="RZM34" s="10"/>
      <c r="RZN34" s="10"/>
      <c r="RZO34" s="10"/>
      <c r="RZP34" s="10"/>
      <c r="RZQ34" s="10"/>
      <c r="RZR34" s="10"/>
      <c r="RZS34" s="10"/>
      <c r="RZT34" s="10"/>
      <c r="RZU34" s="10"/>
      <c r="RZV34" s="10"/>
      <c r="RZW34" s="10"/>
      <c r="RZX34" s="10"/>
      <c r="RZY34" s="10"/>
      <c r="RZZ34" s="10"/>
      <c r="SAA34" s="10"/>
      <c r="SAB34" s="10"/>
      <c r="SAC34" s="10"/>
      <c r="SAD34" s="10"/>
      <c r="SAE34" s="10"/>
      <c r="SAF34" s="10"/>
      <c r="SAG34" s="10"/>
      <c r="SAH34" s="10"/>
      <c r="SAI34" s="10"/>
      <c r="SAJ34" s="10"/>
      <c r="SAK34" s="10"/>
      <c r="SAL34" s="10"/>
      <c r="SAM34" s="10"/>
      <c r="SAN34" s="10"/>
      <c r="SAO34" s="10"/>
      <c r="SAP34" s="10"/>
      <c r="SAQ34" s="10"/>
      <c r="SAR34" s="10"/>
      <c r="SAS34" s="10"/>
      <c r="SAT34" s="10"/>
      <c r="SAU34" s="10"/>
      <c r="SAV34" s="10"/>
      <c r="SAW34" s="10"/>
      <c r="SAX34" s="10"/>
      <c r="SAY34" s="10"/>
      <c r="SAZ34" s="10"/>
      <c r="SBA34" s="10"/>
      <c r="SBB34" s="10"/>
      <c r="SBC34" s="10"/>
      <c r="SBD34" s="10"/>
      <c r="SBE34" s="10"/>
      <c r="SBF34" s="10"/>
      <c r="SBG34" s="10"/>
      <c r="SBH34" s="10"/>
      <c r="SBI34" s="10"/>
      <c r="SBJ34" s="10"/>
      <c r="SBK34" s="10"/>
      <c r="SBL34" s="10"/>
      <c r="SBM34" s="10"/>
      <c r="SBN34" s="10"/>
      <c r="SBO34" s="10"/>
      <c r="SBP34" s="10"/>
      <c r="SBQ34" s="10"/>
      <c r="SBR34" s="10"/>
      <c r="SBS34" s="10"/>
      <c r="SBT34" s="10"/>
      <c r="SBU34" s="10"/>
      <c r="SBV34" s="10"/>
      <c r="SBW34" s="10"/>
      <c r="SBX34" s="10"/>
      <c r="SBY34" s="10"/>
      <c r="SBZ34" s="10"/>
      <c r="SCA34" s="10"/>
      <c r="SCB34" s="10"/>
      <c r="SCC34" s="10"/>
      <c r="SCD34" s="10"/>
      <c r="SCE34" s="10"/>
      <c r="SCF34" s="10"/>
      <c r="SCG34" s="10"/>
      <c r="SCH34" s="10"/>
      <c r="SCI34" s="10"/>
      <c r="SCJ34" s="10"/>
      <c r="SCK34" s="10"/>
      <c r="SCL34" s="10"/>
      <c r="SCM34" s="10"/>
      <c r="SCN34" s="10"/>
      <c r="SCO34" s="10"/>
      <c r="SCP34" s="10"/>
      <c r="SCQ34" s="10"/>
      <c r="SCR34" s="10"/>
      <c r="SCS34" s="10"/>
      <c r="SCT34" s="10"/>
      <c r="SCU34" s="10"/>
      <c r="SCV34" s="10"/>
      <c r="SCW34" s="10"/>
      <c r="SCX34" s="10"/>
      <c r="SCY34" s="10"/>
      <c r="SCZ34" s="10"/>
      <c r="SDA34" s="10"/>
      <c r="SDB34" s="10"/>
      <c r="SDC34" s="10"/>
      <c r="SDD34" s="10"/>
      <c r="SDE34" s="10"/>
      <c r="SDF34" s="10"/>
      <c r="SDG34" s="10"/>
      <c r="SDH34" s="10"/>
      <c r="SDI34" s="10"/>
      <c r="SDJ34" s="10"/>
      <c r="SDK34" s="10"/>
      <c r="SDL34" s="10"/>
      <c r="SDM34" s="10"/>
      <c r="SDN34" s="10"/>
      <c r="SDO34" s="10"/>
      <c r="SDP34" s="10"/>
      <c r="SDQ34" s="10"/>
      <c r="SDR34" s="10"/>
      <c r="SDS34" s="10"/>
      <c r="SDT34" s="10"/>
      <c r="SDU34" s="10"/>
      <c r="SDV34" s="10"/>
      <c r="SDW34" s="10"/>
      <c r="SDX34" s="10"/>
      <c r="SDY34" s="10"/>
      <c r="SDZ34" s="10"/>
      <c r="SEA34" s="10"/>
      <c r="SEB34" s="10"/>
      <c r="SEC34" s="10"/>
      <c r="SED34" s="10"/>
      <c r="SEE34" s="10"/>
      <c r="SEF34" s="10"/>
      <c r="SEG34" s="10"/>
      <c r="SEH34" s="10"/>
      <c r="SEI34" s="10"/>
      <c r="SEJ34" s="10"/>
      <c r="SEK34" s="10"/>
      <c r="SEL34" s="10"/>
      <c r="SEM34" s="10"/>
      <c r="SEN34" s="10"/>
      <c r="SEO34" s="10"/>
      <c r="SEP34" s="10"/>
      <c r="SEQ34" s="10"/>
      <c r="SER34" s="10"/>
      <c r="SES34" s="10"/>
      <c r="SET34" s="10"/>
      <c r="SEU34" s="10"/>
      <c r="SEV34" s="10"/>
      <c r="SEW34" s="10"/>
      <c r="SEX34" s="10"/>
      <c r="SEY34" s="10"/>
      <c r="SEZ34" s="10"/>
      <c r="SFA34" s="10"/>
      <c r="SFB34" s="10"/>
      <c r="SFC34" s="10"/>
      <c r="SFD34" s="10"/>
      <c r="SFE34" s="10"/>
      <c r="SFF34" s="10"/>
      <c r="SFG34" s="10"/>
      <c r="SFH34" s="10"/>
      <c r="SFI34" s="10"/>
      <c r="SFJ34" s="10"/>
      <c r="SFK34" s="10"/>
      <c r="SFL34" s="10"/>
      <c r="SFM34" s="10"/>
      <c r="SFN34" s="10"/>
      <c r="SFO34" s="10"/>
      <c r="SFP34" s="10"/>
      <c r="SFQ34" s="10"/>
      <c r="SFR34" s="10"/>
      <c r="SFS34" s="10"/>
      <c r="SFT34" s="10"/>
      <c r="SFU34" s="10"/>
      <c r="SFV34" s="10"/>
      <c r="SFW34" s="10"/>
      <c r="SFX34" s="10"/>
      <c r="SFY34" s="10"/>
      <c r="SFZ34" s="10"/>
      <c r="SGA34" s="10"/>
      <c r="SGB34" s="10"/>
      <c r="SGC34" s="10"/>
      <c r="SGD34" s="10"/>
      <c r="SGE34" s="10"/>
      <c r="SGF34" s="10"/>
      <c r="SGG34" s="10"/>
      <c r="SGH34" s="10"/>
      <c r="SGI34" s="10"/>
      <c r="SGJ34" s="10"/>
      <c r="SGK34" s="10"/>
      <c r="SGL34" s="10"/>
      <c r="SGM34" s="10"/>
      <c r="SGN34" s="10"/>
      <c r="SGO34" s="10"/>
      <c r="SGP34" s="10"/>
      <c r="SGQ34" s="10"/>
      <c r="SGR34" s="10"/>
      <c r="SGS34" s="10"/>
      <c r="SGT34" s="10"/>
      <c r="SGU34" s="10"/>
      <c r="SGV34" s="10"/>
      <c r="SGW34" s="10"/>
      <c r="SGX34" s="10"/>
      <c r="SGY34" s="10"/>
      <c r="SGZ34" s="10"/>
      <c r="SHA34" s="10"/>
      <c r="SHB34" s="10"/>
      <c r="SHC34" s="10"/>
      <c r="SHD34" s="10"/>
      <c r="SHE34" s="10"/>
      <c r="SHF34" s="10"/>
      <c r="SHG34" s="10"/>
      <c r="SHH34" s="10"/>
      <c r="SHI34" s="10"/>
      <c r="SHJ34" s="10"/>
      <c r="SHK34" s="10"/>
      <c r="SHL34" s="10"/>
      <c r="SHM34" s="10"/>
      <c r="SHN34" s="10"/>
      <c r="SHO34" s="10"/>
      <c r="SHP34" s="10"/>
      <c r="SHQ34" s="10"/>
      <c r="SHR34" s="10"/>
      <c r="SHS34" s="10"/>
      <c r="SHT34" s="10"/>
      <c r="SHU34" s="10"/>
      <c r="SHV34" s="10"/>
      <c r="SHW34" s="10"/>
      <c r="SHX34" s="10"/>
      <c r="SHY34" s="10"/>
      <c r="SHZ34" s="10"/>
      <c r="SIA34" s="10"/>
      <c r="SIB34" s="10"/>
      <c r="SIC34" s="10"/>
      <c r="SID34" s="10"/>
      <c r="SIE34" s="10"/>
      <c r="SIF34" s="10"/>
      <c r="SIG34" s="10"/>
      <c r="SIH34" s="10"/>
      <c r="SII34" s="10"/>
      <c r="SIJ34" s="10"/>
      <c r="SIK34" s="10"/>
      <c r="SIL34" s="10"/>
      <c r="SIM34" s="10"/>
      <c r="SIN34" s="10"/>
      <c r="SIO34" s="10"/>
      <c r="SIP34" s="10"/>
      <c r="SIQ34" s="10"/>
      <c r="SIR34" s="10"/>
      <c r="SIS34" s="10"/>
      <c r="SIT34" s="10"/>
      <c r="SIU34" s="10"/>
      <c r="SIV34" s="10"/>
      <c r="SIW34" s="10"/>
      <c r="SIX34" s="10"/>
      <c r="SIY34" s="10"/>
      <c r="SIZ34" s="10"/>
      <c r="SJA34" s="10"/>
      <c r="SJB34" s="10"/>
      <c r="SJC34" s="10"/>
      <c r="SJD34" s="10"/>
      <c r="SJE34" s="10"/>
      <c r="SJF34" s="10"/>
      <c r="SJG34" s="10"/>
      <c r="SJH34" s="10"/>
      <c r="SJI34" s="10"/>
      <c r="SJJ34" s="10"/>
      <c r="SJK34" s="10"/>
      <c r="SJL34" s="10"/>
      <c r="SJM34" s="10"/>
      <c r="SJN34" s="10"/>
      <c r="SJO34" s="10"/>
      <c r="SJP34" s="10"/>
      <c r="SJQ34" s="10"/>
      <c r="SJR34" s="10"/>
      <c r="SJS34" s="10"/>
      <c r="SJT34" s="10"/>
      <c r="SJU34" s="10"/>
      <c r="SJV34" s="10"/>
      <c r="SJW34" s="10"/>
      <c r="SJX34" s="10"/>
      <c r="SJY34" s="10"/>
      <c r="SJZ34" s="10"/>
      <c r="SKA34" s="10"/>
      <c r="SKB34" s="10"/>
      <c r="SKC34" s="10"/>
      <c r="SKD34" s="10"/>
      <c r="SKE34" s="10"/>
      <c r="SKF34" s="10"/>
      <c r="SKG34" s="10"/>
      <c r="SKH34" s="10"/>
      <c r="SKI34" s="10"/>
      <c r="SKJ34" s="10"/>
      <c r="SKK34" s="10"/>
      <c r="SKL34" s="10"/>
      <c r="SKM34" s="10"/>
      <c r="SKN34" s="10"/>
      <c r="SKO34" s="10"/>
      <c r="SKP34" s="10"/>
      <c r="SKQ34" s="10"/>
      <c r="SKR34" s="10"/>
      <c r="SKS34" s="10"/>
      <c r="SKT34" s="10"/>
      <c r="SKU34" s="10"/>
      <c r="SKV34" s="10"/>
      <c r="SKW34" s="10"/>
      <c r="SKX34" s="10"/>
      <c r="SKY34" s="10"/>
      <c r="SKZ34" s="10"/>
      <c r="SLA34" s="10"/>
      <c r="SLB34" s="10"/>
      <c r="SLC34" s="10"/>
      <c r="SLD34" s="10"/>
      <c r="SLE34" s="10"/>
      <c r="SLF34" s="10"/>
      <c r="SLG34" s="10"/>
      <c r="SLH34" s="10"/>
      <c r="SLI34" s="10"/>
      <c r="SLJ34" s="10"/>
      <c r="SLK34" s="10"/>
      <c r="SLL34" s="10"/>
      <c r="SLM34" s="10"/>
      <c r="SLN34" s="10"/>
      <c r="SLO34" s="10"/>
      <c r="SLP34" s="10"/>
      <c r="SLQ34" s="10"/>
      <c r="SLR34" s="10"/>
      <c r="SLS34" s="10"/>
      <c r="SLT34" s="10"/>
      <c r="SLU34" s="10"/>
      <c r="SLV34" s="10"/>
      <c r="SLW34" s="10"/>
      <c r="SLX34" s="10"/>
      <c r="SLY34" s="10"/>
      <c r="SLZ34" s="10"/>
      <c r="SMA34" s="10"/>
      <c r="SMB34" s="10"/>
      <c r="SMC34" s="10"/>
      <c r="SMD34" s="10"/>
      <c r="SME34" s="10"/>
      <c r="SMF34" s="10"/>
      <c r="SMG34" s="10"/>
      <c r="SMH34" s="10"/>
      <c r="SMI34" s="10"/>
      <c r="SMJ34" s="10"/>
      <c r="SMK34" s="10"/>
      <c r="SML34" s="10"/>
      <c r="SMM34" s="10"/>
      <c r="SMN34" s="10"/>
      <c r="SMO34" s="10"/>
      <c r="SMP34" s="10"/>
      <c r="SMQ34" s="10"/>
      <c r="SMR34" s="10"/>
      <c r="SMS34" s="10"/>
      <c r="SMT34" s="10"/>
      <c r="SMU34" s="10"/>
      <c r="SMV34" s="10"/>
      <c r="SMW34" s="10"/>
      <c r="SMX34" s="10"/>
      <c r="SMY34" s="10"/>
      <c r="SMZ34" s="10"/>
      <c r="SNA34" s="10"/>
      <c r="SNB34" s="10"/>
      <c r="SNC34" s="10"/>
      <c r="SND34" s="10"/>
      <c r="SNE34" s="10"/>
      <c r="SNF34" s="10"/>
      <c r="SNG34" s="10"/>
      <c r="SNH34" s="10"/>
      <c r="SNI34" s="10"/>
      <c r="SNJ34" s="10"/>
      <c r="SNK34" s="10"/>
      <c r="SNL34" s="10"/>
      <c r="SNM34" s="10"/>
      <c r="SNN34" s="10"/>
      <c r="SNO34" s="10"/>
      <c r="SNP34" s="10"/>
      <c r="SNQ34" s="10"/>
      <c r="SNR34" s="10"/>
      <c r="SNS34" s="10"/>
      <c r="SNT34" s="10"/>
      <c r="SNU34" s="10"/>
      <c r="SNV34" s="10"/>
      <c r="SNW34" s="10"/>
      <c r="SNX34" s="10"/>
      <c r="SNY34" s="10"/>
      <c r="SNZ34" s="10"/>
      <c r="SOA34" s="10"/>
      <c r="SOB34" s="10"/>
      <c r="SOC34" s="10"/>
      <c r="SOD34" s="10"/>
      <c r="SOE34" s="10"/>
      <c r="SOF34" s="10"/>
      <c r="SOG34" s="10"/>
      <c r="SOH34" s="10"/>
      <c r="SOI34" s="10"/>
      <c r="SOJ34" s="10"/>
      <c r="SOK34" s="10"/>
      <c r="SOL34" s="10"/>
      <c r="SOM34" s="10"/>
      <c r="SON34" s="10"/>
      <c r="SOO34" s="10"/>
      <c r="SOP34" s="10"/>
      <c r="SOQ34" s="10"/>
      <c r="SOR34" s="10"/>
      <c r="SOS34" s="10"/>
      <c r="SOT34" s="10"/>
      <c r="SOU34" s="10"/>
      <c r="SOV34" s="10"/>
      <c r="SOW34" s="10"/>
      <c r="SOX34" s="10"/>
      <c r="SOY34" s="10"/>
      <c r="SOZ34" s="10"/>
      <c r="SPA34" s="10"/>
      <c r="SPB34" s="10"/>
      <c r="SPC34" s="10"/>
      <c r="SPD34" s="10"/>
      <c r="SPE34" s="10"/>
      <c r="SPF34" s="10"/>
      <c r="SPG34" s="10"/>
      <c r="SPH34" s="10"/>
      <c r="SPI34" s="10"/>
      <c r="SPJ34" s="10"/>
      <c r="SPK34" s="10"/>
      <c r="SPL34" s="10"/>
      <c r="SPM34" s="10"/>
      <c r="SPN34" s="10"/>
      <c r="SPO34" s="10"/>
      <c r="SPP34" s="10"/>
      <c r="SPQ34" s="10"/>
      <c r="SPR34" s="10"/>
      <c r="SPS34" s="10"/>
      <c r="SPT34" s="10"/>
      <c r="SPU34" s="10"/>
      <c r="SPV34" s="10"/>
      <c r="SPW34" s="10"/>
      <c r="SPX34" s="10"/>
      <c r="SPY34" s="10"/>
      <c r="SPZ34" s="10"/>
      <c r="SQA34" s="10"/>
      <c r="SQB34" s="10"/>
      <c r="SQC34" s="10"/>
      <c r="SQD34" s="10"/>
      <c r="SQE34" s="10"/>
      <c r="SQF34" s="10"/>
      <c r="SQG34" s="10"/>
      <c r="SQH34" s="10"/>
      <c r="SQI34" s="10"/>
      <c r="SQJ34" s="10"/>
      <c r="SQK34" s="10"/>
      <c r="SQL34" s="10"/>
      <c r="SQM34" s="10"/>
      <c r="SQN34" s="10"/>
      <c r="SQO34" s="10"/>
      <c r="SQP34" s="10"/>
      <c r="SQQ34" s="10"/>
      <c r="SQR34" s="10"/>
      <c r="SQS34" s="10"/>
      <c r="SQT34" s="10"/>
      <c r="SQU34" s="10"/>
      <c r="SQV34" s="10"/>
      <c r="SQW34" s="10"/>
      <c r="SQX34" s="10"/>
      <c r="SQY34" s="10"/>
      <c r="SQZ34" s="10"/>
      <c r="SRA34" s="10"/>
      <c r="SRB34" s="10"/>
      <c r="SRC34" s="10"/>
      <c r="SRD34" s="10"/>
      <c r="SRE34" s="10"/>
      <c r="SRF34" s="10"/>
      <c r="SRG34" s="10"/>
      <c r="SRH34" s="10"/>
      <c r="SRI34" s="10"/>
      <c r="SRJ34" s="10"/>
      <c r="SRK34" s="10"/>
      <c r="SRL34" s="10"/>
      <c r="SRM34" s="10"/>
      <c r="SRN34" s="10"/>
      <c r="SRO34" s="10"/>
      <c r="SRP34" s="10"/>
      <c r="SRQ34" s="10"/>
      <c r="SRR34" s="10"/>
      <c r="SRS34" s="10"/>
      <c r="SRT34" s="10"/>
      <c r="SRU34" s="10"/>
      <c r="SRV34" s="10"/>
      <c r="SRW34" s="10"/>
      <c r="SRX34" s="10"/>
      <c r="SRY34" s="10"/>
      <c r="SRZ34" s="10"/>
      <c r="SSA34" s="10"/>
      <c r="SSB34" s="10"/>
      <c r="SSC34" s="10"/>
      <c r="SSD34" s="10"/>
      <c r="SSE34" s="10"/>
      <c r="SSF34" s="10"/>
      <c r="SSG34" s="10"/>
      <c r="SSH34" s="10"/>
      <c r="SSI34" s="10"/>
      <c r="SSJ34" s="10"/>
      <c r="SSK34" s="10"/>
      <c r="SSL34" s="10"/>
      <c r="SSM34" s="10"/>
      <c r="SSN34" s="10"/>
      <c r="SSO34" s="10"/>
      <c r="SSP34" s="10"/>
      <c r="SSQ34" s="10"/>
      <c r="SSR34" s="10"/>
      <c r="SSS34" s="10"/>
      <c r="SST34" s="10"/>
      <c r="SSU34" s="10"/>
      <c r="SSV34" s="10"/>
      <c r="SSW34" s="10"/>
      <c r="SSX34" s="10"/>
      <c r="SSY34" s="10"/>
      <c r="SSZ34" s="10"/>
      <c r="STA34" s="10"/>
      <c r="STB34" s="10"/>
      <c r="STC34" s="10"/>
      <c r="STD34" s="10"/>
      <c r="STE34" s="10"/>
      <c r="STF34" s="10"/>
      <c r="STG34" s="10"/>
      <c r="STH34" s="10"/>
      <c r="STI34" s="10"/>
      <c r="STJ34" s="10"/>
      <c r="STK34" s="10"/>
      <c r="STL34" s="10"/>
      <c r="STM34" s="10"/>
      <c r="STN34" s="10"/>
      <c r="STO34" s="10"/>
      <c r="STP34" s="10"/>
      <c r="STQ34" s="10"/>
      <c r="STR34" s="10"/>
      <c r="STS34" s="10"/>
      <c r="STT34" s="10"/>
      <c r="STU34" s="10"/>
      <c r="STV34" s="10"/>
      <c r="STW34" s="10"/>
      <c r="STX34" s="10"/>
      <c r="STY34" s="10"/>
      <c r="STZ34" s="10"/>
      <c r="SUA34" s="10"/>
      <c r="SUB34" s="10"/>
      <c r="SUC34" s="10"/>
      <c r="SUD34" s="10"/>
      <c r="SUE34" s="10"/>
      <c r="SUF34" s="10"/>
      <c r="SUG34" s="10"/>
      <c r="SUH34" s="10"/>
      <c r="SUI34" s="10"/>
      <c r="SUJ34" s="10"/>
      <c r="SUK34" s="10"/>
      <c r="SUL34" s="10"/>
      <c r="SUM34" s="10"/>
      <c r="SUN34" s="10"/>
      <c r="SUO34" s="10"/>
      <c r="SUP34" s="10"/>
      <c r="SUQ34" s="10"/>
      <c r="SUR34" s="10"/>
      <c r="SUS34" s="10"/>
      <c r="SUT34" s="10"/>
      <c r="SUU34" s="10"/>
      <c r="SUV34" s="10"/>
      <c r="SUW34" s="10"/>
      <c r="SUX34" s="10"/>
      <c r="SUY34" s="10"/>
      <c r="SUZ34" s="10"/>
      <c r="SVA34" s="10"/>
      <c r="SVB34" s="10"/>
      <c r="SVC34" s="10"/>
      <c r="SVD34" s="10"/>
      <c r="SVE34" s="10"/>
      <c r="SVF34" s="10"/>
      <c r="SVG34" s="10"/>
      <c r="SVH34" s="10"/>
      <c r="SVI34" s="10"/>
      <c r="SVJ34" s="10"/>
      <c r="SVK34" s="10"/>
      <c r="SVL34" s="10"/>
      <c r="SVM34" s="10"/>
      <c r="SVN34" s="10"/>
      <c r="SVO34" s="10"/>
      <c r="SVP34" s="10"/>
      <c r="SVQ34" s="10"/>
      <c r="SVR34" s="10"/>
      <c r="SVS34" s="10"/>
      <c r="SVT34" s="10"/>
      <c r="SVU34" s="10"/>
      <c r="SVV34" s="10"/>
      <c r="SVW34" s="10"/>
      <c r="SVX34" s="10"/>
      <c r="SVY34" s="10"/>
      <c r="SVZ34" s="10"/>
      <c r="SWA34" s="10"/>
      <c r="SWB34" s="10"/>
      <c r="SWC34" s="10"/>
      <c r="SWD34" s="10"/>
      <c r="SWE34" s="10"/>
      <c r="SWF34" s="10"/>
      <c r="SWG34" s="10"/>
      <c r="SWH34" s="10"/>
      <c r="SWI34" s="10"/>
      <c r="SWJ34" s="10"/>
      <c r="SWK34" s="10"/>
      <c r="SWL34" s="10"/>
      <c r="SWM34" s="10"/>
      <c r="SWN34" s="10"/>
      <c r="SWO34" s="10"/>
      <c r="SWP34" s="10"/>
      <c r="SWQ34" s="10"/>
      <c r="SWR34" s="10"/>
      <c r="SWS34" s="10"/>
      <c r="SWT34" s="10"/>
      <c r="SWU34" s="10"/>
      <c r="SWV34" s="10"/>
      <c r="SWW34" s="10"/>
      <c r="SWX34" s="10"/>
      <c r="SWY34" s="10"/>
      <c r="SWZ34" s="10"/>
      <c r="SXA34" s="10"/>
      <c r="SXB34" s="10"/>
      <c r="SXC34" s="10"/>
      <c r="SXD34" s="10"/>
      <c r="SXE34" s="10"/>
      <c r="SXF34" s="10"/>
      <c r="SXG34" s="10"/>
      <c r="SXH34" s="10"/>
      <c r="SXI34" s="10"/>
      <c r="SXJ34" s="10"/>
      <c r="SXK34" s="10"/>
      <c r="SXL34" s="10"/>
      <c r="SXM34" s="10"/>
      <c r="SXN34" s="10"/>
      <c r="SXO34" s="10"/>
      <c r="SXP34" s="10"/>
      <c r="SXQ34" s="10"/>
      <c r="SXR34" s="10"/>
      <c r="SXS34" s="10"/>
      <c r="SXT34" s="10"/>
      <c r="SXU34" s="10"/>
      <c r="SXV34" s="10"/>
      <c r="SXW34" s="10"/>
      <c r="SXX34" s="10"/>
      <c r="SXY34" s="10"/>
      <c r="SXZ34" s="10"/>
      <c r="SYA34" s="10"/>
      <c r="SYB34" s="10"/>
      <c r="SYC34" s="10"/>
      <c r="SYD34" s="10"/>
      <c r="SYE34" s="10"/>
      <c r="SYF34" s="10"/>
      <c r="SYG34" s="10"/>
      <c r="SYH34" s="10"/>
      <c r="SYI34" s="10"/>
      <c r="SYJ34" s="10"/>
      <c r="SYK34" s="10"/>
      <c r="SYL34" s="10"/>
      <c r="SYM34" s="10"/>
      <c r="SYN34" s="10"/>
      <c r="SYO34" s="10"/>
      <c r="SYP34" s="10"/>
      <c r="SYQ34" s="10"/>
      <c r="SYR34" s="10"/>
      <c r="SYS34" s="10"/>
      <c r="SYT34" s="10"/>
      <c r="SYU34" s="10"/>
      <c r="SYV34" s="10"/>
      <c r="SYW34" s="10"/>
      <c r="SYX34" s="10"/>
      <c r="SYY34" s="10"/>
      <c r="SYZ34" s="10"/>
      <c r="SZA34" s="10"/>
      <c r="SZB34" s="10"/>
      <c r="SZC34" s="10"/>
      <c r="SZD34" s="10"/>
      <c r="SZE34" s="10"/>
      <c r="SZF34" s="10"/>
      <c r="SZG34" s="10"/>
      <c r="SZH34" s="10"/>
      <c r="SZI34" s="10"/>
      <c r="SZJ34" s="10"/>
      <c r="SZK34" s="10"/>
      <c r="SZL34" s="10"/>
      <c r="SZM34" s="10"/>
      <c r="SZN34" s="10"/>
      <c r="SZO34" s="10"/>
      <c r="SZP34" s="10"/>
      <c r="SZQ34" s="10"/>
      <c r="SZR34" s="10"/>
      <c r="SZS34" s="10"/>
      <c r="SZT34" s="10"/>
      <c r="SZU34" s="10"/>
      <c r="SZV34" s="10"/>
      <c r="SZW34" s="10"/>
      <c r="SZX34" s="10"/>
      <c r="SZY34" s="10"/>
      <c r="SZZ34" s="10"/>
      <c r="TAA34" s="10"/>
      <c r="TAB34" s="10"/>
      <c r="TAC34" s="10"/>
      <c r="TAD34" s="10"/>
      <c r="TAE34" s="10"/>
      <c r="TAF34" s="10"/>
      <c r="TAG34" s="10"/>
      <c r="TAH34" s="10"/>
      <c r="TAI34" s="10"/>
      <c r="TAJ34" s="10"/>
      <c r="TAK34" s="10"/>
      <c r="TAL34" s="10"/>
      <c r="TAM34" s="10"/>
      <c r="TAN34" s="10"/>
      <c r="TAO34" s="10"/>
      <c r="TAP34" s="10"/>
      <c r="TAQ34" s="10"/>
      <c r="TAR34" s="10"/>
      <c r="TAS34" s="10"/>
      <c r="TAT34" s="10"/>
      <c r="TAU34" s="10"/>
      <c r="TAV34" s="10"/>
      <c r="TAW34" s="10"/>
      <c r="TAX34" s="10"/>
      <c r="TAY34" s="10"/>
      <c r="TAZ34" s="10"/>
      <c r="TBA34" s="10"/>
      <c r="TBB34" s="10"/>
      <c r="TBC34" s="10"/>
      <c r="TBD34" s="10"/>
      <c r="TBE34" s="10"/>
      <c r="TBF34" s="10"/>
      <c r="TBG34" s="10"/>
      <c r="TBH34" s="10"/>
      <c r="TBI34" s="10"/>
      <c r="TBJ34" s="10"/>
      <c r="TBK34" s="10"/>
      <c r="TBL34" s="10"/>
      <c r="TBM34" s="10"/>
      <c r="TBN34" s="10"/>
      <c r="TBO34" s="10"/>
      <c r="TBP34" s="10"/>
      <c r="TBQ34" s="10"/>
      <c r="TBR34" s="10"/>
      <c r="TBS34" s="10"/>
      <c r="TBT34" s="10"/>
      <c r="TBU34" s="10"/>
      <c r="TBV34" s="10"/>
      <c r="TBW34" s="10"/>
      <c r="TBX34" s="10"/>
      <c r="TBY34" s="10"/>
      <c r="TBZ34" s="10"/>
      <c r="TCA34" s="10"/>
      <c r="TCB34" s="10"/>
      <c r="TCC34" s="10"/>
      <c r="TCD34" s="10"/>
      <c r="TCE34" s="10"/>
      <c r="TCF34" s="10"/>
      <c r="TCG34" s="10"/>
      <c r="TCH34" s="10"/>
      <c r="TCI34" s="10"/>
      <c r="TCJ34" s="10"/>
      <c r="TCK34" s="10"/>
      <c r="TCL34" s="10"/>
      <c r="TCM34" s="10"/>
      <c r="TCN34" s="10"/>
      <c r="TCO34" s="10"/>
      <c r="TCP34" s="10"/>
      <c r="TCQ34" s="10"/>
      <c r="TCR34" s="10"/>
      <c r="TCS34" s="10"/>
      <c r="TCT34" s="10"/>
      <c r="TCU34" s="10"/>
      <c r="TCV34" s="10"/>
      <c r="TCW34" s="10"/>
      <c r="TCX34" s="10"/>
      <c r="TCY34" s="10"/>
      <c r="TCZ34" s="10"/>
      <c r="TDA34" s="10"/>
      <c r="TDB34" s="10"/>
      <c r="TDC34" s="10"/>
      <c r="TDD34" s="10"/>
      <c r="TDE34" s="10"/>
      <c r="TDF34" s="10"/>
      <c r="TDG34" s="10"/>
      <c r="TDH34" s="10"/>
      <c r="TDI34" s="10"/>
      <c r="TDJ34" s="10"/>
      <c r="TDK34" s="10"/>
      <c r="TDL34" s="10"/>
      <c r="TDM34" s="10"/>
      <c r="TDN34" s="10"/>
      <c r="TDO34" s="10"/>
      <c r="TDP34" s="10"/>
      <c r="TDQ34" s="10"/>
      <c r="TDR34" s="10"/>
      <c r="TDS34" s="10"/>
      <c r="TDT34" s="10"/>
      <c r="TDU34" s="10"/>
      <c r="TDV34" s="10"/>
      <c r="TDW34" s="10"/>
      <c r="TDX34" s="10"/>
      <c r="TDY34" s="10"/>
      <c r="TDZ34" s="10"/>
      <c r="TEA34" s="10"/>
      <c r="TEB34" s="10"/>
      <c r="TEC34" s="10"/>
      <c r="TED34" s="10"/>
      <c r="TEE34" s="10"/>
      <c r="TEF34" s="10"/>
      <c r="TEG34" s="10"/>
      <c r="TEH34" s="10"/>
      <c r="TEI34" s="10"/>
      <c r="TEJ34" s="10"/>
      <c r="TEK34" s="10"/>
      <c r="TEL34" s="10"/>
      <c r="TEM34" s="10"/>
      <c r="TEN34" s="10"/>
      <c r="TEO34" s="10"/>
      <c r="TEP34" s="10"/>
      <c r="TEQ34" s="10"/>
      <c r="TER34" s="10"/>
      <c r="TES34" s="10"/>
      <c r="TET34" s="10"/>
      <c r="TEU34" s="10"/>
      <c r="TEV34" s="10"/>
      <c r="TEW34" s="10"/>
      <c r="TEX34" s="10"/>
      <c r="TEY34" s="10"/>
      <c r="TEZ34" s="10"/>
      <c r="TFA34" s="10"/>
      <c r="TFB34" s="10"/>
      <c r="TFC34" s="10"/>
      <c r="TFD34" s="10"/>
      <c r="TFE34" s="10"/>
      <c r="TFF34" s="10"/>
      <c r="TFG34" s="10"/>
      <c r="TFH34" s="10"/>
      <c r="TFI34" s="10"/>
      <c r="TFJ34" s="10"/>
      <c r="TFK34" s="10"/>
      <c r="TFL34" s="10"/>
      <c r="TFM34" s="10"/>
      <c r="TFN34" s="10"/>
      <c r="TFO34" s="10"/>
      <c r="TFP34" s="10"/>
      <c r="TFQ34" s="10"/>
      <c r="TFR34" s="10"/>
      <c r="TFS34" s="10"/>
      <c r="TFT34" s="10"/>
      <c r="TFU34" s="10"/>
      <c r="TFV34" s="10"/>
      <c r="TFW34" s="10"/>
      <c r="TFX34" s="10"/>
      <c r="TFY34" s="10"/>
      <c r="TFZ34" s="10"/>
      <c r="TGA34" s="10"/>
      <c r="TGB34" s="10"/>
      <c r="TGC34" s="10"/>
      <c r="TGD34" s="10"/>
      <c r="TGE34" s="10"/>
      <c r="TGF34" s="10"/>
      <c r="TGG34" s="10"/>
      <c r="TGH34" s="10"/>
      <c r="TGI34" s="10"/>
      <c r="TGJ34" s="10"/>
      <c r="TGK34" s="10"/>
      <c r="TGL34" s="10"/>
      <c r="TGM34" s="10"/>
      <c r="TGN34" s="10"/>
      <c r="TGO34" s="10"/>
      <c r="TGP34" s="10"/>
      <c r="TGQ34" s="10"/>
      <c r="TGR34" s="10"/>
      <c r="TGS34" s="10"/>
      <c r="TGT34" s="10"/>
      <c r="TGU34" s="10"/>
      <c r="TGV34" s="10"/>
      <c r="TGW34" s="10"/>
      <c r="TGX34" s="10"/>
      <c r="TGY34" s="10"/>
      <c r="TGZ34" s="10"/>
      <c r="THA34" s="10"/>
      <c r="THB34" s="10"/>
      <c r="THC34" s="10"/>
      <c r="THD34" s="10"/>
      <c r="THE34" s="10"/>
      <c r="THF34" s="10"/>
      <c r="THG34" s="10"/>
      <c r="THH34" s="10"/>
      <c r="THI34" s="10"/>
      <c r="THJ34" s="10"/>
      <c r="THK34" s="10"/>
      <c r="THL34" s="10"/>
      <c r="THM34" s="10"/>
      <c r="THN34" s="10"/>
      <c r="THO34" s="10"/>
      <c r="THP34" s="10"/>
      <c r="THQ34" s="10"/>
      <c r="THR34" s="10"/>
      <c r="THS34" s="10"/>
      <c r="THT34" s="10"/>
      <c r="THU34" s="10"/>
      <c r="THV34" s="10"/>
      <c r="THW34" s="10"/>
      <c r="THX34" s="10"/>
      <c r="THY34" s="10"/>
      <c r="THZ34" s="10"/>
      <c r="TIA34" s="10"/>
      <c r="TIB34" s="10"/>
      <c r="TIC34" s="10"/>
      <c r="TID34" s="10"/>
      <c r="TIE34" s="10"/>
      <c r="TIF34" s="10"/>
      <c r="TIG34" s="10"/>
      <c r="TIH34" s="10"/>
      <c r="TII34" s="10"/>
      <c r="TIJ34" s="10"/>
      <c r="TIK34" s="10"/>
      <c r="TIL34" s="10"/>
      <c r="TIM34" s="10"/>
      <c r="TIN34" s="10"/>
      <c r="TIO34" s="10"/>
      <c r="TIP34" s="10"/>
      <c r="TIQ34" s="10"/>
      <c r="TIR34" s="10"/>
      <c r="TIS34" s="10"/>
      <c r="TIT34" s="10"/>
      <c r="TIU34" s="10"/>
      <c r="TIV34" s="10"/>
      <c r="TIW34" s="10"/>
      <c r="TIX34" s="10"/>
      <c r="TIY34" s="10"/>
      <c r="TIZ34" s="10"/>
      <c r="TJA34" s="10"/>
      <c r="TJB34" s="10"/>
      <c r="TJC34" s="10"/>
      <c r="TJD34" s="10"/>
      <c r="TJE34" s="10"/>
      <c r="TJF34" s="10"/>
      <c r="TJG34" s="10"/>
      <c r="TJH34" s="10"/>
      <c r="TJI34" s="10"/>
      <c r="TJJ34" s="10"/>
      <c r="TJK34" s="10"/>
      <c r="TJL34" s="10"/>
      <c r="TJM34" s="10"/>
      <c r="TJN34" s="10"/>
      <c r="TJO34" s="10"/>
      <c r="TJP34" s="10"/>
      <c r="TJQ34" s="10"/>
      <c r="TJR34" s="10"/>
      <c r="TJS34" s="10"/>
      <c r="TJT34" s="10"/>
      <c r="TJU34" s="10"/>
      <c r="TJV34" s="10"/>
      <c r="TJW34" s="10"/>
      <c r="TJX34" s="10"/>
      <c r="TJY34" s="10"/>
      <c r="TJZ34" s="10"/>
      <c r="TKA34" s="10"/>
      <c r="TKB34" s="10"/>
      <c r="TKC34" s="10"/>
      <c r="TKD34" s="10"/>
      <c r="TKE34" s="10"/>
      <c r="TKF34" s="10"/>
      <c r="TKG34" s="10"/>
      <c r="TKH34" s="10"/>
      <c r="TKI34" s="10"/>
      <c r="TKJ34" s="10"/>
      <c r="TKK34" s="10"/>
      <c r="TKL34" s="10"/>
      <c r="TKM34" s="10"/>
      <c r="TKN34" s="10"/>
      <c r="TKO34" s="10"/>
      <c r="TKP34" s="10"/>
      <c r="TKQ34" s="10"/>
      <c r="TKR34" s="10"/>
      <c r="TKS34" s="10"/>
      <c r="TKT34" s="10"/>
      <c r="TKU34" s="10"/>
      <c r="TKV34" s="10"/>
      <c r="TKW34" s="10"/>
      <c r="TKX34" s="10"/>
      <c r="TKY34" s="10"/>
      <c r="TKZ34" s="10"/>
      <c r="TLA34" s="10"/>
      <c r="TLB34" s="10"/>
      <c r="TLC34" s="10"/>
      <c r="TLD34" s="10"/>
      <c r="TLE34" s="10"/>
      <c r="TLF34" s="10"/>
      <c r="TLG34" s="10"/>
      <c r="TLH34" s="10"/>
      <c r="TLI34" s="10"/>
      <c r="TLJ34" s="10"/>
      <c r="TLK34" s="10"/>
      <c r="TLL34" s="10"/>
      <c r="TLM34" s="10"/>
      <c r="TLN34" s="10"/>
      <c r="TLO34" s="10"/>
      <c r="TLP34" s="10"/>
      <c r="TLQ34" s="10"/>
      <c r="TLR34" s="10"/>
      <c r="TLS34" s="10"/>
      <c r="TLT34" s="10"/>
      <c r="TLU34" s="10"/>
      <c r="TLV34" s="10"/>
      <c r="TLW34" s="10"/>
      <c r="TLX34" s="10"/>
      <c r="TLY34" s="10"/>
      <c r="TLZ34" s="10"/>
      <c r="TMA34" s="10"/>
      <c r="TMB34" s="10"/>
      <c r="TMC34" s="10"/>
      <c r="TMD34" s="10"/>
      <c r="TME34" s="10"/>
      <c r="TMF34" s="10"/>
      <c r="TMG34" s="10"/>
      <c r="TMH34" s="10"/>
      <c r="TMI34" s="10"/>
      <c r="TMJ34" s="10"/>
      <c r="TMK34" s="10"/>
      <c r="TML34" s="10"/>
      <c r="TMM34" s="10"/>
      <c r="TMN34" s="10"/>
      <c r="TMO34" s="10"/>
      <c r="TMP34" s="10"/>
      <c r="TMQ34" s="10"/>
      <c r="TMR34" s="10"/>
      <c r="TMS34" s="10"/>
      <c r="TMT34" s="10"/>
      <c r="TMU34" s="10"/>
      <c r="TMV34" s="10"/>
      <c r="TMW34" s="10"/>
      <c r="TMX34" s="10"/>
      <c r="TMY34" s="10"/>
      <c r="TMZ34" s="10"/>
      <c r="TNA34" s="10"/>
      <c r="TNB34" s="10"/>
      <c r="TNC34" s="10"/>
      <c r="TND34" s="10"/>
      <c r="TNE34" s="10"/>
      <c r="TNF34" s="10"/>
      <c r="TNG34" s="10"/>
      <c r="TNH34" s="10"/>
      <c r="TNI34" s="10"/>
      <c r="TNJ34" s="10"/>
      <c r="TNK34" s="10"/>
      <c r="TNL34" s="10"/>
      <c r="TNM34" s="10"/>
      <c r="TNN34" s="10"/>
      <c r="TNO34" s="10"/>
      <c r="TNP34" s="10"/>
      <c r="TNQ34" s="10"/>
      <c r="TNR34" s="10"/>
      <c r="TNS34" s="10"/>
      <c r="TNT34" s="10"/>
      <c r="TNU34" s="10"/>
      <c r="TNV34" s="10"/>
      <c r="TNW34" s="10"/>
      <c r="TNX34" s="10"/>
      <c r="TNY34" s="10"/>
      <c r="TNZ34" s="10"/>
      <c r="TOA34" s="10"/>
      <c r="TOB34" s="10"/>
      <c r="TOC34" s="10"/>
      <c r="TOD34" s="10"/>
      <c r="TOE34" s="10"/>
      <c r="TOF34" s="10"/>
      <c r="TOG34" s="10"/>
      <c r="TOH34" s="10"/>
      <c r="TOI34" s="10"/>
      <c r="TOJ34" s="10"/>
      <c r="TOK34" s="10"/>
      <c r="TOL34" s="10"/>
      <c r="TOM34" s="10"/>
      <c r="TON34" s="10"/>
      <c r="TOO34" s="10"/>
      <c r="TOP34" s="10"/>
      <c r="TOQ34" s="10"/>
      <c r="TOR34" s="10"/>
      <c r="TOS34" s="10"/>
      <c r="TOT34" s="10"/>
      <c r="TOU34" s="10"/>
      <c r="TOV34" s="10"/>
      <c r="TOW34" s="10"/>
      <c r="TOX34" s="10"/>
      <c r="TOY34" s="10"/>
      <c r="TOZ34" s="10"/>
      <c r="TPA34" s="10"/>
      <c r="TPB34" s="10"/>
      <c r="TPC34" s="10"/>
      <c r="TPD34" s="10"/>
      <c r="TPE34" s="10"/>
      <c r="TPF34" s="10"/>
      <c r="TPG34" s="10"/>
      <c r="TPH34" s="10"/>
      <c r="TPI34" s="10"/>
      <c r="TPJ34" s="10"/>
      <c r="TPK34" s="10"/>
      <c r="TPL34" s="10"/>
      <c r="TPM34" s="10"/>
      <c r="TPN34" s="10"/>
      <c r="TPO34" s="10"/>
      <c r="TPP34" s="10"/>
      <c r="TPQ34" s="10"/>
      <c r="TPR34" s="10"/>
      <c r="TPS34" s="10"/>
      <c r="TPT34" s="10"/>
      <c r="TPU34" s="10"/>
      <c r="TPV34" s="10"/>
      <c r="TPW34" s="10"/>
      <c r="TPX34" s="10"/>
      <c r="TPY34" s="10"/>
      <c r="TPZ34" s="10"/>
      <c r="TQA34" s="10"/>
      <c r="TQB34" s="10"/>
      <c r="TQC34" s="10"/>
      <c r="TQD34" s="10"/>
      <c r="TQE34" s="10"/>
      <c r="TQF34" s="10"/>
      <c r="TQG34" s="10"/>
      <c r="TQH34" s="10"/>
      <c r="TQI34" s="10"/>
      <c r="TQJ34" s="10"/>
      <c r="TQK34" s="10"/>
      <c r="TQL34" s="10"/>
      <c r="TQM34" s="10"/>
      <c r="TQN34" s="10"/>
      <c r="TQO34" s="10"/>
      <c r="TQP34" s="10"/>
      <c r="TQQ34" s="10"/>
      <c r="TQR34" s="10"/>
      <c r="TQS34" s="10"/>
      <c r="TQT34" s="10"/>
      <c r="TQU34" s="10"/>
      <c r="TQV34" s="10"/>
      <c r="TQW34" s="10"/>
      <c r="TQX34" s="10"/>
      <c r="TQY34" s="10"/>
      <c r="TQZ34" s="10"/>
      <c r="TRA34" s="10"/>
      <c r="TRB34" s="10"/>
      <c r="TRC34" s="10"/>
      <c r="TRD34" s="10"/>
      <c r="TRE34" s="10"/>
      <c r="TRF34" s="10"/>
      <c r="TRG34" s="10"/>
      <c r="TRH34" s="10"/>
      <c r="TRI34" s="10"/>
      <c r="TRJ34" s="10"/>
      <c r="TRK34" s="10"/>
      <c r="TRL34" s="10"/>
      <c r="TRM34" s="10"/>
      <c r="TRN34" s="10"/>
      <c r="TRO34" s="10"/>
      <c r="TRP34" s="10"/>
      <c r="TRQ34" s="10"/>
      <c r="TRR34" s="10"/>
      <c r="TRS34" s="10"/>
      <c r="TRT34" s="10"/>
      <c r="TRU34" s="10"/>
      <c r="TRV34" s="10"/>
      <c r="TRW34" s="10"/>
      <c r="TRX34" s="10"/>
      <c r="TRY34" s="10"/>
      <c r="TRZ34" s="10"/>
      <c r="TSA34" s="10"/>
      <c r="TSB34" s="10"/>
      <c r="TSC34" s="10"/>
      <c r="TSD34" s="10"/>
      <c r="TSE34" s="10"/>
      <c r="TSF34" s="10"/>
      <c r="TSG34" s="10"/>
      <c r="TSH34" s="10"/>
      <c r="TSI34" s="10"/>
      <c r="TSJ34" s="10"/>
      <c r="TSK34" s="10"/>
      <c r="TSL34" s="10"/>
      <c r="TSM34" s="10"/>
      <c r="TSN34" s="10"/>
      <c r="TSO34" s="10"/>
      <c r="TSP34" s="10"/>
      <c r="TSQ34" s="10"/>
      <c r="TSR34" s="10"/>
      <c r="TSS34" s="10"/>
      <c r="TST34" s="10"/>
      <c r="TSU34" s="10"/>
      <c r="TSV34" s="10"/>
      <c r="TSW34" s="10"/>
      <c r="TSX34" s="10"/>
      <c r="TSY34" s="10"/>
      <c r="TSZ34" s="10"/>
      <c r="TTA34" s="10"/>
      <c r="TTB34" s="10"/>
      <c r="TTC34" s="10"/>
      <c r="TTD34" s="10"/>
      <c r="TTE34" s="10"/>
      <c r="TTF34" s="10"/>
      <c r="TTG34" s="10"/>
      <c r="TTH34" s="10"/>
      <c r="TTI34" s="10"/>
      <c r="TTJ34" s="10"/>
      <c r="TTK34" s="10"/>
      <c r="TTL34" s="10"/>
      <c r="TTM34" s="10"/>
      <c r="TTN34" s="10"/>
      <c r="TTO34" s="10"/>
      <c r="TTP34" s="10"/>
      <c r="TTQ34" s="10"/>
      <c r="TTR34" s="10"/>
      <c r="TTS34" s="10"/>
      <c r="TTT34" s="10"/>
      <c r="TTU34" s="10"/>
      <c r="TTV34" s="10"/>
      <c r="TTW34" s="10"/>
      <c r="TTX34" s="10"/>
      <c r="TTY34" s="10"/>
      <c r="TTZ34" s="10"/>
      <c r="TUA34" s="10"/>
      <c r="TUB34" s="10"/>
      <c r="TUC34" s="10"/>
      <c r="TUD34" s="10"/>
      <c r="TUE34" s="10"/>
      <c r="TUF34" s="10"/>
      <c r="TUG34" s="10"/>
      <c r="TUH34" s="10"/>
      <c r="TUI34" s="10"/>
      <c r="TUJ34" s="10"/>
      <c r="TUK34" s="10"/>
      <c r="TUL34" s="10"/>
      <c r="TUM34" s="10"/>
      <c r="TUN34" s="10"/>
      <c r="TUO34" s="10"/>
      <c r="TUP34" s="10"/>
      <c r="TUQ34" s="10"/>
      <c r="TUR34" s="10"/>
      <c r="TUS34" s="10"/>
      <c r="TUT34" s="10"/>
      <c r="TUU34" s="10"/>
      <c r="TUV34" s="10"/>
      <c r="TUW34" s="10"/>
      <c r="TUX34" s="10"/>
      <c r="TUY34" s="10"/>
      <c r="TUZ34" s="10"/>
      <c r="TVA34" s="10"/>
      <c r="TVB34" s="10"/>
      <c r="TVC34" s="10"/>
      <c r="TVD34" s="10"/>
      <c r="TVE34" s="10"/>
      <c r="TVF34" s="10"/>
      <c r="TVG34" s="10"/>
      <c r="TVH34" s="10"/>
      <c r="TVI34" s="10"/>
      <c r="TVJ34" s="10"/>
      <c r="TVK34" s="10"/>
      <c r="TVL34" s="10"/>
      <c r="TVM34" s="10"/>
      <c r="TVN34" s="10"/>
      <c r="TVO34" s="10"/>
      <c r="TVP34" s="10"/>
      <c r="TVQ34" s="10"/>
      <c r="TVR34" s="10"/>
      <c r="TVS34" s="10"/>
      <c r="TVT34" s="10"/>
      <c r="TVU34" s="10"/>
      <c r="TVV34" s="10"/>
      <c r="TVW34" s="10"/>
      <c r="TVX34" s="10"/>
      <c r="TVY34" s="10"/>
      <c r="TVZ34" s="10"/>
      <c r="TWA34" s="10"/>
      <c r="TWB34" s="10"/>
      <c r="TWC34" s="10"/>
      <c r="TWD34" s="10"/>
      <c r="TWE34" s="10"/>
      <c r="TWF34" s="10"/>
      <c r="TWG34" s="10"/>
      <c r="TWH34" s="10"/>
      <c r="TWI34" s="10"/>
      <c r="TWJ34" s="10"/>
      <c r="TWK34" s="10"/>
      <c r="TWL34" s="10"/>
      <c r="TWM34" s="10"/>
      <c r="TWN34" s="10"/>
      <c r="TWO34" s="10"/>
      <c r="TWP34" s="10"/>
      <c r="TWQ34" s="10"/>
      <c r="TWR34" s="10"/>
      <c r="TWS34" s="10"/>
      <c r="TWT34" s="10"/>
      <c r="TWU34" s="10"/>
      <c r="TWV34" s="10"/>
      <c r="TWW34" s="10"/>
      <c r="TWX34" s="10"/>
      <c r="TWY34" s="10"/>
      <c r="TWZ34" s="10"/>
      <c r="TXA34" s="10"/>
      <c r="TXB34" s="10"/>
      <c r="TXC34" s="10"/>
      <c r="TXD34" s="10"/>
      <c r="TXE34" s="10"/>
      <c r="TXF34" s="10"/>
      <c r="TXG34" s="10"/>
      <c r="TXH34" s="10"/>
      <c r="TXI34" s="10"/>
      <c r="TXJ34" s="10"/>
      <c r="TXK34" s="10"/>
      <c r="TXL34" s="10"/>
      <c r="TXM34" s="10"/>
      <c r="TXN34" s="10"/>
      <c r="TXO34" s="10"/>
      <c r="TXP34" s="10"/>
      <c r="TXQ34" s="10"/>
      <c r="TXR34" s="10"/>
      <c r="TXS34" s="10"/>
      <c r="TXT34" s="10"/>
      <c r="TXU34" s="10"/>
      <c r="TXV34" s="10"/>
      <c r="TXW34" s="10"/>
      <c r="TXX34" s="10"/>
      <c r="TXY34" s="10"/>
      <c r="TXZ34" s="10"/>
      <c r="TYA34" s="10"/>
      <c r="TYB34" s="10"/>
      <c r="TYC34" s="10"/>
      <c r="TYD34" s="10"/>
      <c r="TYE34" s="10"/>
      <c r="TYF34" s="10"/>
      <c r="TYG34" s="10"/>
      <c r="TYH34" s="10"/>
      <c r="TYI34" s="10"/>
      <c r="TYJ34" s="10"/>
      <c r="TYK34" s="10"/>
      <c r="TYL34" s="10"/>
      <c r="TYM34" s="10"/>
      <c r="TYN34" s="10"/>
      <c r="TYO34" s="10"/>
      <c r="TYP34" s="10"/>
      <c r="TYQ34" s="10"/>
      <c r="TYR34" s="10"/>
      <c r="TYS34" s="10"/>
      <c r="TYT34" s="10"/>
      <c r="TYU34" s="10"/>
      <c r="TYV34" s="10"/>
      <c r="TYW34" s="10"/>
      <c r="TYX34" s="10"/>
      <c r="TYY34" s="10"/>
      <c r="TYZ34" s="10"/>
      <c r="TZA34" s="10"/>
      <c r="TZB34" s="10"/>
      <c r="TZC34" s="10"/>
      <c r="TZD34" s="10"/>
      <c r="TZE34" s="10"/>
      <c r="TZF34" s="10"/>
      <c r="TZG34" s="10"/>
      <c r="TZH34" s="10"/>
      <c r="TZI34" s="10"/>
      <c r="TZJ34" s="10"/>
      <c r="TZK34" s="10"/>
      <c r="TZL34" s="10"/>
      <c r="TZM34" s="10"/>
      <c r="TZN34" s="10"/>
      <c r="TZO34" s="10"/>
      <c r="TZP34" s="10"/>
      <c r="TZQ34" s="10"/>
      <c r="TZR34" s="10"/>
      <c r="TZS34" s="10"/>
      <c r="TZT34" s="10"/>
      <c r="TZU34" s="10"/>
      <c r="TZV34" s="10"/>
      <c r="TZW34" s="10"/>
      <c r="TZX34" s="10"/>
      <c r="TZY34" s="10"/>
      <c r="TZZ34" s="10"/>
      <c r="UAA34" s="10"/>
      <c r="UAB34" s="10"/>
      <c r="UAC34" s="10"/>
      <c r="UAD34" s="10"/>
      <c r="UAE34" s="10"/>
      <c r="UAF34" s="10"/>
      <c r="UAG34" s="10"/>
      <c r="UAH34" s="10"/>
      <c r="UAI34" s="10"/>
      <c r="UAJ34" s="10"/>
      <c r="UAK34" s="10"/>
      <c r="UAL34" s="10"/>
      <c r="UAM34" s="10"/>
      <c r="UAN34" s="10"/>
      <c r="UAO34" s="10"/>
      <c r="UAP34" s="10"/>
      <c r="UAQ34" s="10"/>
      <c r="UAR34" s="10"/>
      <c r="UAS34" s="10"/>
      <c r="UAT34" s="10"/>
      <c r="UAU34" s="10"/>
      <c r="UAV34" s="10"/>
      <c r="UAW34" s="10"/>
      <c r="UAX34" s="10"/>
      <c r="UAY34" s="10"/>
      <c r="UAZ34" s="10"/>
      <c r="UBA34" s="10"/>
      <c r="UBB34" s="10"/>
      <c r="UBC34" s="10"/>
      <c r="UBD34" s="10"/>
      <c r="UBE34" s="10"/>
      <c r="UBF34" s="10"/>
      <c r="UBG34" s="10"/>
      <c r="UBH34" s="10"/>
      <c r="UBI34" s="10"/>
      <c r="UBJ34" s="10"/>
      <c r="UBK34" s="10"/>
      <c r="UBL34" s="10"/>
      <c r="UBM34" s="10"/>
      <c r="UBN34" s="10"/>
      <c r="UBO34" s="10"/>
      <c r="UBP34" s="10"/>
      <c r="UBQ34" s="10"/>
      <c r="UBR34" s="10"/>
      <c r="UBS34" s="10"/>
      <c r="UBT34" s="10"/>
      <c r="UBU34" s="10"/>
      <c r="UBV34" s="10"/>
      <c r="UBW34" s="10"/>
      <c r="UBX34" s="10"/>
      <c r="UBY34" s="10"/>
      <c r="UBZ34" s="10"/>
      <c r="UCA34" s="10"/>
      <c r="UCB34" s="10"/>
      <c r="UCC34" s="10"/>
      <c r="UCD34" s="10"/>
      <c r="UCE34" s="10"/>
      <c r="UCF34" s="10"/>
      <c r="UCG34" s="10"/>
      <c r="UCH34" s="10"/>
      <c r="UCI34" s="10"/>
      <c r="UCJ34" s="10"/>
      <c r="UCK34" s="10"/>
      <c r="UCL34" s="10"/>
      <c r="UCM34" s="10"/>
      <c r="UCN34" s="10"/>
      <c r="UCO34" s="10"/>
      <c r="UCP34" s="10"/>
      <c r="UCQ34" s="10"/>
      <c r="UCR34" s="10"/>
      <c r="UCS34" s="10"/>
      <c r="UCT34" s="10"/>
      <c r="UCU34" s="10"/>
      <c r="UCV34" s="10"/>
      <c r="UCW34" s="10"/>
      <c r="UCX34" s="10"/>
      <c r="UCY34" s="10"/>
      <c r="UCZ34" s="10"/>
      <c r="UDA34" s="10"/>
      <c r="UDB34" s="10"/>
      <c r="UDC34" s="10"/>
      <c r="UDD34" s="10"/>
      <c r="UDE34" s="10"/>
      <c r="UDF34" s="10"/>
      <c r="UDG34" s="10"/>
      <c r="UDH34" s="10"/>
      <c r="UDI34" s="10"/>
      <c r="UDJ34" s="10"/>
      <c r="UDK34" s="10"/>
      <c r="UDL34" s="10"/>
      <c r="UDM34" s="10"/>
      <c r="UDN34" s="10"/>
      <c r="UDO34" s="10"/>
      <c r="UDP34" s="10"/>
      <c r="UDQ34" s="10"/>
      <c r="UDR34" s="10"/>
      <c r="UDS34" s="10"/>
      <c r="UDT34" s="10"/>
      <c r="UDU34" s="10"/>
      <c r="UDV34" s="10"/>
      <c r="UDW34" s="10"/>
      <c r="UDX34" s="10"/>
      <c r="UDY34" s="10"/>
      <c r="UDZ34" s="10"/>
      <c r="UEA34" s="10"/>
      <c r="UEB34" s="10"/>
      <c r="UEC34" s="10"/>
      <c r="UED34" s="10"/>
      <c r="UEE34" s="10"/>
      <c r="UEF34" s="10"/>
      <c r="UEG34" s="10"/>
      <c r="UEH34" s="10"/>
      <c r="UEI34" s="10"/>
      <c r="UEJ34" s="10"/>
      <c r="UEK34" s="10"/>
      <c r="UEL34" s="10"/>
      <c r="UEM34" s="10"/>
      <c r="UEN34" s="10"/>
      <c r="UEO34" s="10"/>
      <c r="UEP34" s="10"/>
      <c r="UEQ34" s="10"/>
      <c r="UER34" s="10"/>
      <c r="UES34" s="10"/>
      <c r="UET34" s="10"/>
      <c r="UEU34" s="10"/>
      <c r="UEV34" s="10"/>
      <c r="UEW34" s="10"/>
      <c r="UEX34" s="10"/>
      <c r="UEY34" s="10"/>
      <c r="UEZ34" s="10"/>
      <c r="UFA34" s="10"/>
      <c r="UFB34" s="10"/>
      <c r="UFC34" s="10"/>
      <c r="UFD34" s="10"/>
      <c r="UFE34" s="10"/>
      <c r="UFF34" s="10"/>
      <c r="UFG34" s="10"/>
      <c r="UFH34" s="10"/>
      <c r="UFI34" s="10"/>
      <c r="UFJ34" s="10"/>
      <c r="UFK34" s="10"/>
      <c r="UFL34" s="10"/>
      <c r="UFM34" s="10"/>
      <c r="UFN34" s="10"/>
      <c r="UFO34" s="10"/>
      <c r="UFP34" s="10"/>
      <c r="UFQ34" s="10"/>
      <c r="UFR34" s="10"/>
      <c r="UFS34" s="10"/>
      <c r="UFT34" s="10"/>
      <c r="UFU34" s="10"/>
      <c r="UFV34" s="10"/>
      <c r="UFW34" s="10"/>
      <c r="UFX34" s="10"/>
      <c r="UFY34" s="10"/>
      <c r="UFZ34" s="10"/>
      <c r="UGA34" s="10"/>
      <c r="UGB34" s="10"/>
      <c r="UGC34" s="10"/>
      <c r="UGD34" s="10"/>
      <c r="UGE34" s="10"/>
      <c r="UGF34" s="10"/>
      <c r="UGG34" s="10"/>
      <c r="UGH34" s="10"/>
      <c r="UGI34" s="10"/>
      <c r="UGJ34" s="10"/>
      <c r="UGK34" s="10"/>
      <c r="UGL34" s="10"/>
      <c r="UGM34" s="10"/>
      <c r="UGN34" s="10"/>
      <c r="UGO34" s="10"/>
      <c r="UGP34" s="10"/>
      <c r="UGQ34" s="10"/>
      <c r="UGR34" s="10"/>
      <c r="UGS34" s="10"/>
      <c r="UGT34" s="10"/>
      <c r="UGU34" s="10"/>
      <c r="UGV34" s="10"/>
      <c r="UGW34" s="10"/>
      <c r="UGX34" s="10"/>
      <c r="UGY34" s="10"/>
      <c r="UGZ34" s="10"/>
      <c r="UHA34" s="10"/>
      <c r="UHB34" s="10"/>
      <c r="UHC34" s="10"/>
      <c r="UHD34" s="10"/>
      <c r="UHE34" s="10"/>
      <c r="UHF34" s="10"/>
      <c r="UHG34" s="10"/>
      <c r="UHH34" s="10"/>
      <c r="UHI34" s="10"/>
      <c r="UHJ34" s="10"/>
      <c r="UHK34" s="10"/>
      <c r="UHL34" s="10"/>
      <c r="UHM34" s="10"/>
      <c r="UHN34" s="10"/>
      <c r="UHO34" s="10"/>
      <c r="UHP34" s="10"/>
      <c r="UHQ34" s="10"/>
      <c r="UHR34" s="10"/>
      <c r="UHS34" s="10"/>
      <c r="UHT34" s="10"/>
      <c r="UHU34" s="10"/>
      <c r="UHV34" s="10"/>
      <c r="UHW34" s="10"/>
      <c r="UHX34" s="10"/>
      <c r="UHY34" s="10"/>
      <c r="UHZ34" s="10"/>
      <c r="UIA34" s="10"/>
      <c r="UIB34" s="10"/>
      <c r="UIC34" s="10"/>
      <c r="UID34" s="10"/>
      <c r="UIE34" s="10"/>
      <c r="UIF34" s="10"/>
      <c r="UIG34" s="10"/>
      <c r="UIH34" s="10"/>
      <c r="UII34" s="10"/>
      <c r="UIJ34" s="10"/>
      <c r="UIK34" s="10"/>
      <c r="UIL34" s="10"/>
      <c r="UIM34" s="10"/>
      <c r="UIN34" s="10"/>
      <c r="UIO34" s="10"/>
      <c r="UIP34" s="10"/>
      <c r="UIQ34" s="10"/>
      <c r="UIR34" s="10"/>
      <c r="UIS34" s="10"/>
      <c r="UIT34" s="10"/>
      <c r="UIU34" s="10"/>
      <c r="UIV34" s="10"/>
      <c r="UIW34" s="10"/>
      <c r="UIX34" s="10"/>
      <c r="UIY34" s="10"/>
      <c r="UIZ34" s="10"/>
      <c r="UJA34" s="10"/>
      <c r="UJB34" s="10"/>
      <c r="UJC34" s="10"/>
      <c r="UJD34" s="10"/>
      <c r="UJE34" s="10"/>
      <c r="UJF34" s="10"/>
      <c r="UJG34" s="10"/>
      <c r="UJH34" s="10"/>
      <c r="UJI34" s="10"/>
      <c r="UJJ34" s="10"/>
      <c r="UJK34" s="10"/>
      <c r="UJL34" s="10"/>
      <c r="UJM34" s="10"/>
      <c r="UJN34" s="10"/>
      <c r="UJO34" s="10"/>
      <c r="UJP34" s="10"/>
      <c r="UJQ34" s="10"/>
      <c r="UJR34" s="10"/>
      <c r="UJS34" s="10"/>
      <c r="UJT34" s="10"/>
      <c r="UJU34" s="10"/>
      <c r="UJV34" s="10"/>
      <c r="UJW34" s="10"/>
      <c r="UJX34" s="10"/>
      <c r="UJY34" s="10"/>
      <c r="UJZ34" s="10"/>
      <c r="UKA34" s="10"/>
      <c r="UKB34" s="10"/>
      <c r="UKC34" s="10"/>
      <c r="UKD34" s="10"/>
      <c r="UKE34" s="10"/>
      <c r="UKF34" s="10"/>
      <c r="UKG34" s="10"/>
      <c r="UKH34" s="10"/>
      <c r="UKI34" s="10"/>
      <c r="UKJ34" s="10"/>
      <c r="UKK34" s="10"/>
      <c r="UKL34" s="10"/>
      <c r="UKM34" s="10"/>
      <c r="UKN34" s="10"/>
      <c r="UKO34" s="10"/>
      <c r="UKP34" s="10"/>
      <c r="UKQ34" s="10"/>
      <c r="UKR34" s="10"/>
      <c r="UKS34" s="10"/>
      <c r="UKT34" s="10"/>
      <c r="UKU34" s="10"/>
      <c r="UKV34" s="10"/>
      <c r="UKW34" s="10"/>
      <c r="UKX34" s="10"/>
      <c r="UKY34" s="10"/>
      <c r="UKZ34" s="10"/>
      <c r="ULA34" s="10"/>
      <c r="ULB34" s="10"/>
      <c r="ULC34" s="10"/>
      <c r="ULD34" s="10"/>
      <c r="ULE34" s="10"/>
      <c r="ULF34" s="10"/>
      <c r="ULG34" s="10"/>
      <c r="ULH34" s="10"/>
      <c r="ULI34" s="10"/>
      <c r="ULJ34" s="10"/>
      <c r="ULK34" s="10"/>
      <c r="ULL34" s="10"/>
      <c r="ULM34" s="10"/>
      <c r="ULN34" s="10"/>
      <c r="ULO34" s="10"/>
      <c r="ULP34" s="10"/>
      <c r="ULQ34" s="10"/>
      <c r="ULR34" s="10"/>
      <c r="ULS34" s="10"/>
      <c r="ULT34" s="10"/>
      <c r="ULU34" s="10"/>
      <c r="ULV34" s="10"/>
      <c r="ULW34" s="10"/>
      <c r="ULX34" s="10"/>
      <c r="ULY34" s="10"/>
      <c r="ULZ34" s="10"/>
      <c r="UMA34" s="10"/>
      <c r="UMB34" s="10"/>
      <c r="UMC34" s="10"/>
      <c r="UMD34" s="10"/>
      <c r="UME34" s="10"/>
      <c r="UMF34" s="10"/>
      <c r="UMG34" s="10"/>
      <c r="UMH34" s="10"/>
      <c r="UMI34" s="10"/>
      <c r="UMJ34" s="10"/>
      <c r="UMK34" s="10"/>
      <c r="UML34" s="10"/>
      <c r="UMM34" s="10"/>
      <c r="UMN34" s="10"/>
      <c r="UMO34" s="10"/>
      <c r="UMP34" s="10"/>
      <c r="UMQ34" s="10"/>
      <c r="UMR34" s="10"/>
      <c r="UMS34" s="10"/>
      <c r="UMT34" s="10"/>
      <c r="UMU34" s="10"/>
      <c r="UMV34" s="10"/>
      <c r="UMW34" s="10"/>
      <c r="UMX34" s="10"/>
      <c r="UMY34" s="10"/>
      <c r="UMZ34" s="10"/>
      <c r="UNA34" s="10"/>
      <c r="UNB34" s="10"/>
      <c r="UNC34" s="10"/>
      <c r="UND34" s="10"/>
      <c r="UNE34" s="10"/>
      <c r="UNF34" s="10"/>
      <c r="UNG34" s="10"/>
      <c r="UNH34" s="10"/>
      <c r="UNI34" s="10"/>
      <c r="UNJ34" s="10"/>
      <c r="UNK34" s="10"/>
      <c r="UNL34" s="10"/>
      <c r="UNM34" s="10"/>
      <c r="UNN34" s="10"/>
      <c r="UNO34" s="10"/>
      <c r="UNP34" s="10"/>
      <c r="UNQ34" s="10"/>
      <c r="UNR34" s="10"/>
      <c r="UNS34" s="10"/>
      <c r="UNT34" s="10"/>
      <c r="UNU34" s="10"/>
      <c r="UNV34" s="10"/>
      <c r="UNW34" s="10"/>
      <c r="UNX34" s="10"/>
      <c r="UNY34" s="10"/>
      <c r="UNZ34" s="10"/>
      <c r="UOA34" s="10"/>
      <c r="UOB34" s="10"/>
      <c r="UOC34" s="10"/>
      <c r="UOD34" s="10"/>
      <c r="UOE34" s="10"/>
      <c r="UOF34" s="10"/>
      <c r="UOG34" s="10"/>
      <c r="UOH34" s="10"/>
      <c r="UOI34" s="10"/>
      <c r="UOJ34" s="10"/>
      <c r="UOK34" s="10"/>
      <c r="UOL34" s="10"/>
      <c r="UOM34" s="10"/>
      <c r="UON34" s="10"/>
      <c r="UOO34" s="10"/>
      <c r="UOP34" s="10"/>
      <c r="UOQ34" s="10"/>
      <c r="UOR34" s="10"/>
      <c r="UOS34" s="10"/>
      <c r="UOT34" s="10"/>
      <c r="UOU34" s="10"/>
      <c r="UOV34" s="10"/>
      <c r="UOW34" s="10"/>
      <c r="UOX34" s="10"/>
      <c r="UOY34" s="10"/>
      <c r="UOZ34" s="10"/>
      <c r="UPA34" s="10"/>
      <c r="UPB34" s="10"/>
      <c r="UPC34" s="10"/>
      <c r="UPD34" s="10"/>
      <c r="UPE34" s="10"/>
      <c r="UPF34" s="10"/>
      <c r="UPG34" s="10"/>
      <c r="UPH34" s="10"/>
      <c r="UPI34" s="10"/>
      <c r="UPJ34" s="10"/>
      <c r="UPK34" s="10"/>
      <c r="UPL34" s="10"/>
      <c r="UPM34" s="10"/>
      <c r="UPN34" s="10"/>
      <c r="UPO34" s="10"/>
      <c r="UPP34" s="10"/>
      <c r="UPQ34" s="10"/>
      <c r="UPR34" s="10"/>
      <c r="UPS34" s="10"/>
      <c r="UPT34" s="10"/>
      <c r="UPU34" s="10"/>
      <c r="UPV34" s="10"/>
      <c r="UPW34" s="10"/>
      <c r="UPX34" s="10"/>
      <c r="UPY34" s="10"/>
      <c r="UPZ34" s="10"/>
      <c r="UQA34" s="10"/>
      <c r="UQB34" s="10"/>
      <c r="UQC34" s="10"/>
      <c r="UQD34" s="10"/>
      <c r="UQE34" s="10"/>
      <c r="UQF34" s="10"/>
      <c r="UQG34" s="10"/>
      <c r="UQH34" s="10"/>
      <c r="UQI34" s="10"/>
      <c r="UQJ34" s="10"/>
      <c r="UQK34" s="10"/>
      <c r="UQL34" s="10"/>
      <c r="UQM34" s="10"/>
      <c r="UQN34" s="10"/>
      <c r="UQO34" s="10"/>
      <c r="UQP34" s="10"/>
      <c r="UQQ34" s="10"/>
      <c r="UQR34" s="10"/>
      <c r="UQS34" s="10"/>
      <c r="UQT34" s="10"/>
      <c r="UQU34" s="10"/>
      <c r="UQV34" s="10"/>
      <c r="UQW34" s="10"/>
      <c r="UQX34" s="10"/>
      <c r="UQY34" s="10"/>
      <c r="UQZ34" s="10"/>
      <c r="URA34" s="10"/>
      <c r="URB34" s="10"/>
      <c r="URC34" s="10"/>
      <c r="URD34" s="10"/>
      <c r="URE34" s="10"/>
      <c r="URF34" s="10"/>
      <c r="URG34" s="10"/>
      <c r="URH34" s="10"/>
      <c r="URI34" s="10"/>
      <c r="URJ34" s="10"/>
      <c r="URK34" s="10"/>
      <c r="URL34" s="10"/>
      <c r="URM34" s="10"/>
      <c r="URN34" s="10"/>
      <c r="URO34" s="10"/>
      <c r="URP34" s="10"/>
      <c r="URQ34" s="10"/>
      <c r="URR34" s="10"/>
      <c r="URS34" s="10"/>
      <c r="URT34" s="10"/>
      <c r="URU34" s="10"/>
      <c r="URV34" s="10"/>
      <c r="URW34" s="10"/>
      <c r="URX34" s="10"/>
      <c r="URY34" s="10"/>
      <c r="URZ34" s="10"/>
      <c r="USA34" s="10"/>
      <c r="USB34" s="10"/>
      <c r="USC34" s="10"/>
      <c r="USD34" s="10"/>
      <c r="USE34" s="10"/>
      <c r="USF34" s="10"/>
      <c r="USG34" s="10"/>
      <c r="USH34" s="10"/>
      <c r="USI34" s="10"/>
      <c r="USJ34" s="10"/>
      <c r="USK34" s="10"/>
      <c r="USL34" s="10"/>
      <c r="USM34" s="10"/>
      <c r="USN34" s="10"/>
      <c r="USO34" s="10"/>
      <c r="USP34" s="10"/>
      <c r="USQ34" s="10"/>
      <c r="USR34" s="10"/>
      <c r="USS34" s="10"/>
      <c r="UST34" s="10"/>
      <c r="USU34" s="10"/>
      <c r="USV34" s="10"/>
      <c r="USW34" s="10"/>
      <c r="USX34" s="10"/>
      <c r="USY34" s="10"/>
      <c r="USZ34" s="10"/>
      <c r="UTA34" s="10"/>
      <c r="UTB34" s="10"/>
      <c r="UTC34" s="10"/>
      <c r="UTD34" s="10"/>
      <c r="UTE34" s="10"/>
      <c r="UTF34" s="10"/>
      <c r="UTG34" s="10"/>
      <c r="UTH34" s="10"/>
      <c r="UTI34" s="10"/>
      <c r="UTJ34" s="10"/>
      <c r="UTK34" s="10"/>
      <c r="UTL34" s="10"/>
      <c r="UTM34" s="10"/>
      <c r="UTN34" s="10"/>
      <c r="UTO34" s="10"/>
      <c r="UTP34" s="10"/>
      <c r="UTQ34" s="10"/>
      <c r="UTR34" s="10"/>
      <c r="UTS34" s="10"/>
      <c r="UTT34" s="10"/>
      <c r="UTU34" s="10"/>
      <c r="UTV34" s="10"/>
      <c r="UTW34" s="10"/>
      <c r="UTX34" s="10"/>
      <c r="UTY34" s="10"/>
      <c r="UTZ34" s="10"/>
      <c r="UUA34" s="10"/>
      <c r="UUB34" s="10"/>
      <c r="UUC34" s="10"/>
      <c r="UUD34" s="10"/>
      <c r="UUE34" s="10"/>
      <c r="UUF34" s="10"/>
      <c r="UUG34" s="10"/>
      <c r="UUH34" s="10"/>
      <c r="UUI34" s="10"/>
      <c r="UUJ34" s="10"/>
      <c r="UUK34" s="10"/>
      <c r="UUL34" s="10"/>
      <c r="UUM34" s="10"/>
      <c r="UUN34" s="10"/>
      <c r="UUO34" s="10"/>
      <c r="UUP34" s="10"/>
      <c r="UUQ34" s="10"/>
      <c r="UUR34" s="10"/>
      <c r="UUS34" s="10"/>
      <c r="UUT34" s="10"/>
      <c r="UUU34" s="10"/>
      <c r="UUV34" s="10"/>
      <c r="UUW34" s="10"/>
      <c r="UUX34" s="10"/>
      <c r="UUY34" s="10"/>
      <c r="UUZ34" s="10"/>
      <c r="UVA34" s="10"/>
      <c r="UVB34" s="10"/>
      <c r="UVC34" s="10"/>
      <c r="UVD34" s="10"/>
      <c r="UVE34" s="10"/>
      <c r="UVF34" s="10"/>
      <c r="UVG34" s="10"/>
      <c r="UVH34" s="10"/>
      <c r="UVI34" s="10"/>
      <c r="UVJ34" s="10"/>
      <c r="UVK34" s="10"/>
      <c r="UVL34" s="10"/>
      <c r="UVM34" s="10"/>
      <c r="UVN34" s="10"/>
      <c r="UVO34" s="10"/>
      <c r="UVP34" s="10"/>
      <c r="UVQ34" s="10"/>
      <c r="UVR34" s="10"/>
      <c r="UVS34" s="10"/>
      <c r="UVT34" s="10"/>
      <c r="UVU34" s="10"/>
      <c r="UVV34" s="10"/>
      <c r="UVW34" s="10"/>
      <c r="UVX34" s="10"/>
      <c r="UVY34" s="10"/>
      <c r="UVZ34" s="10"/>
      <c r="UWA34" s="10"/>
      <c r="UWB34" s="10"/>
      <c r="UWC34" s="10"/>
      <c r="UWD34" s="10"/>
      <c r="UWE34" s="10"/>
      <c r="UWF34" s="10"/>
      <c r="UWG34" s="10"/>
      <c r="UWH34" s="10"/>
      <c r="UWI34" s="10"/>
      <c r="UWJ34" s="10"/>
      <c r="UWK34" s="10"/>
      <c r="UWL34" s="10"/>
      <c r="UWM34" s="10"/>
      <c r="UWN34" s="10"/>
      <c r="UWO34" s="10"/>
      <c r="UWP34" s="10"/>
      <c r="UWQ34" s="10"/>
      <c r="UWR34" s="10"/>
      <c r="UWS34" s="10"/>
      <c r="UWT34" s="10"/>
      <c r="UWU34" s="10"/>
      <c r="UWV34" s="10"/>
      <c r="UWW34" s="10"/>
      <c r="UWX34" s="10"/>
      <c r="UWY34" s="10"/>
      <c r="UWZ34" s="10"/>
      <c r="UXA34" s="10"/>
      <c r="UXB34" s="10"/>
      <c r="UXC34" s="10"/>
      <c r="UXD34" s="10"/>
      <c r="UXE34" s="10"/>
      <c r="UXF34" s="10"/>
      <c r="UXG34" s="10"/>
      <c r="UXH34" s="10"/>
      <c r="UXI34" s="10"/>
      <c r="UXJ34" s="10"/>
      <c r="UXK34" s="10"/>
      <c r="UXL34" s="10"/>
      <c r="UXM34" s="10"/>
      <c r="UXN34" s="10"/>
      <c r="UXO34" s="10"/>
      <c r="UXP34" s="10"/>
      <c r="UXQ34" s="10"/>
      <c r="UXR34" s="10"/>
      <c r="UXS34" s="10"/>
      <c r="UXT34" s="10"/>
      <c r="UXU34" s="10"/>
      <c r="UXV34" s="10"/>
      <c r="UXW34" s="10"/>
      <c r="UXX34" s="10"/>
      <c r="UXY34" s="10"/>
      <c r="UXZ34" s="10"/>
      <c r="UYA34" s="10"/>
      <c r="UYB34" s="10"/>
      <c r="UYC34" s="10"/>
      <c r="UYD34" s="10"/>
      <c r="UYE34" s="10"/>
      <c r="UYF34" s="10"/>
      <c r="UYG34" s="10"/>
      <c r="UYH34" s="10"/>
      <c r="UYI34" s="10"/>
      <c r="UYJ34" s="10"/>
      <c r="UYK34" s="10"/>
      <c r="UYL34" s="10"/>
      <c r="UYM34" s="10"/>
      <c r="UYN34" s="10"/>
      <c r="UYO34" s="10"/>
      <c r="UYP34" s="10"/>
      <c r="UYQ34" s="10"/>
      <c r="UYR34" s="10"/>
      <c r="UYS34" s="10"/>
      <c r="UYT34" s="10"/>
      <c r="UYU34" s="10"/>
      <c r="UYV34" s="10"/>
      <c r="UYW34" s="10"/>
      <c r="UYX34" s="10"/>
      <c r="UYY34" s="10"/>
      <c r="UYZ34" s="10"/>
      <c r="UZA34" s="10"/>
      <c r="UZB34" s="10"/>
      <c r="UZC34" s="10"/>
      <c r="UZD34" s="10"/>
      <c r="UZE34" s="10"/>
      <c r="UZF34" s="10"/>
      <c r="UZG34" s="10"/>
      <c r="UZH34" s="10"/>
      <c r="UZI34" s="10"/>
      <c r="UZJ34" s="10"/>
      <c r="UZK34" s="10"/>
      <c r="UZL34" s="10"/>
      <c r="UZM34" s="10"/>
      <c r="UZN34" s="10"/>
      <c r="UZO34" s="10"/>
      <c r="UZP34" s="10"/>
      <c r="UZQ34" s="10"/>
      <c r="UZR34" s="10"/>
      <c r="UZS34" s="10"/>
      <c r="UZT34" s="10"/>
      <c r="UZU34" s="10"/>
      <c r="UZV34" s="10"/>
      <c r="UZW34" s="10"/>
      <c r="UZX34" s="10"/>
      <c r="UZY34" s="10"/>
      <c r="UZZ34" s="10"/>
      <c r="VAA34" s="10"/>
      <c r="VAB34" s="10"/>
      <c r="VAC34" s="10"/>
      <c r="VAD34" s="10"/>
      <c r="VAE34" s="10"/>
      <c r="VAF34" s="10"/>
      <c r="VAG34" s="10"/>
      <c r="VAH34" s="10"/>
      <c r="VAI34" s="10"/>
      <c r="VAJ34" s="10"/>
      <c r="VAK34" s="10"/>
      <c r="VAL34" s="10"/>
      <c r="VAM34" s="10"/>
      <c r="VAN34" s="10"/>
      <c r="VAO34" s="10"/>
      <c r="VAP34" s="10"/>
      <c r="VAQ34" s="10"/>
      <c r="VAR34" s="10"/>
      <c r="VAS34" s="10"/>
      <c r="VAT34" s="10"/>
      <c r="VAU34" s="10"/>
      <c r="VAV34" s="10"/>
      <c r="VAW34" s="10"/>
      <c r="VAX34" s="10"/>
      <c r="VAY34" s="10"/>
      <c r="VAZ34" s="10"/>
      <c r="VBA34" s="10"/>
      <c r="VBB34" s="10"/>
      <c r="VBC34" s="10"/>
      <c r="VBD34" s="10"/>
      <c r="VBE34" s="10"/>
      <c r="VBF34" s="10"/>
      <c r="VBG34" s="10"/>
      <c r="VBH34" s="10"/>
      <c r="VBI34" s="10"/>
      <c r="VBJ34" s="10"/>
      <c r="VBK34" s="10"/>
      <c r="VBL34" s="10"/>
      <c r="VBM34" s="10"/>
      <c r="VBN34" s="10"/>
      <c r="VBO34" s="10"/>
      <c r="VBP34" s="10"/>
      <c r="VBQ34" s="10"/>
      <c r="VBR34" s="10"/>
      <c r="VBS34" s="10"/>
      <c r="VBT34" s="10"/>
      <c r="VBU34" s="10"/>
      <c r="VBV34" s="10"/>
      <c r="VBW34" s="10"/>
      <c r="VBX34" s="10"/>
      <c r="VBY34" s="10"/>
      <c r="VBZ34" s="10"/>
      <c r="VCA34" s="10"/>
      <c r="VCB34" s="10"/>
      <c r="VCC34" s="10"/>
      <c r="VCD34" s="10"/>
      <c r="VCE34" s="10"/>
      <c r="VCF34" s="10"/>
      <c r="VCG34" s="10"/>
      <c r="VCH34" s="10"/>
      <c r="VCI34" s="10"/>
      <c r="VCJ34" s="10"/>
      <c r="VCK34" s="10"/>
      <c r="VCL34" s="10"/>
      <c r="VCM34" s="10"/>
      <c r="VCN34" s="10"/>
      <c r="VCO34" s="10"/>
      <c r="VCP34" s="10"/>
      <c r="VCQ34" s="10"/>
      <c r="VCR34" s="10"/>
      <c r="VCS34" s="10"/>
      <c r="VCT34" s="10"/>
      <c r="VCU34" s="10"/>
      <c r="VCV34" s="10"/>
      <c r="VCW34" s="10"/>
      <c r="VCX34" s="10"/>
      <c r="VCY34" s="10"/>
      <c r="VCZ34" s="10"/>
      <c r="VDA34" s="10"/>
      <c r="VDB34" s="10"/>
      <c r="VDC34" s="10"/>
      <c r="VDD34" s="10"/>
      <c r="VDE34" s="10"/>
      <c r="VDF34" s="10"/>
      <c r="VDG34" s="10"/>
      <c r="VDH34" s="10"/>
      <c r="VDI34" s="10"/>
      <c r="VDJ34" s="10"/>
      <c r="VDK34" s="10"/>
      <c r="VDL34" s="10"/>
      <c r="VDM34" s="10"/>
      <c r="VDN34" s="10"/>
      <c r="VDO34" s="10"/>
      <c r="VDP34" s="10"/>
      <c r="VDQ34" s="10"/>
      <c r="VDR34" s="10"/>
      <c r="VDS34" s="10"/>
      <c r="VDT34" s="10"/>
      <c r="VDU34" s="10"/>
      <c r="VDV34" s="10"/>
      <c r="VDW34" s="10"/>
      <c r="VDX34" s="10"/>
      <c r="VDY34" s="10"/>
      <c r="VDZ34" s="10"/>
      <c r="VEA34" s="10"/>
      <c r="VEB34" s="10"/>
      <c r="VEC34" s="10"/>
      <c r="VED34" s="10"/>
      <c r="VEE34" s="10"/>
      <c r="VEF34" s="10"/>
      <c r="VEG34" s="10"/>
      <c r="VEH34" s="10"/>
      <c r="VEI34" s="10"/>
      <c r="VEJ34" s="10"/>
      <c r="VEK34" s="10"/>
      <c r="VEL34" s="10"/>
      <c r="VEM34" s="10"/>
      <c r="VEN34" s="10"/>
      <c r="VEO34" s="10"/>
      <c r="VEP34" s="10"/>
      <c r="VEQ34" s="10"/>
      <c r="VER34" s="10"/>
      <c r="VES34" s="10"/>
      <c r="VET34" s="10"/>
      <c r="VEU34" s="10"/>
      <c r="VEV34" s="10"/>
      <c r="VEW34" s="10"/>
      <c r="VEX34" s="10"/>
      <c r="VEY34" s="10"/>
      <c r="VEZ34" s="10"/>
      <c r="VFA34" s="10"/>
      <c r="VFB34" s="10"/>
      <c r="VFC34" s="10"/>
      <c r="VFD34" s="10"/>
      <c r="VFE34" s="10"/>
      <c r="VFF34" s="10"/>
      <c r="VFG34" s="10"/>
      <c r="VFH34" s="10"/>
      <c r="VFI34" s="10"/>
      <c r="VFJ34" s="10"/>
      <c r="VFK34" s="10"/>
      <c r="VFL34" s="10"/>
      <c r="VFM34" s="10"/>
      <c r="VFN34" s="10"/>
      <c r="VFO34" s="10"/>
      <c r="VFP34" s="10"/>
      <c r="VFQ34" s="10"/>
      <c r="VFR34" s="10"/>
      <c r="VFS34" s="10"/>
      <c r="VFT34" s="10"/>
      <c r="VFU34" s="10"/>
      <c r="VFV34" s="10"/>
      <c r="VFW34" s="10"/>
      <c r="VFX34" s="10"/>
      <c r="VFY34" s="10"/>
      <c r="VFZ34" s="10"/>
      <c r="VGA34" s="10"/>
      <c r="VGB34" s="10"/>
      <c r="VGC34" s="10"/>
      <c r="VGD34" s="10"/>
      <c r="VGE34" s="10"/>
      <c r="VGF34" s="10"/>
      <c r="VGG34" s="10"/>
      <c r="VGH34" s="10"/>
      <c r="VGI34" s="10"/>
      <c r="VGJ34" s="10"/>
      <c r="VGK34" s="10"/>
      <c r="VGL34" s="10"/>
      <c r="VGM34" s="10"/>
      <c r="VGN34" s="10"/>
      <c r="VGO34" s="10"/>
      <c r="VGP34" s="10"/>
      <c r="VGQ34" s="10"/>
      <c r="VGR34" s="10"/>
      <c r="VGS34" s="10"/>
      <c r="VGT34" s="10"/>
      <c r="VGU34" s="10"/>
      <c r="VGV34" s="10"/>
      <c r="VGW34" s="10"/>
      <c r="VGX34" s="10"/>
      <c r="VGY34" s="10"/>
      <c r="VGZ34" s="10"/>
      <c r="VHA34" s="10"/>
      <c r="VHB34" s="10"/>
      <c r="VHC34" s="10"/>
      <c r="VHD34" s="10"/>
      <c r="VHE34" s="10"/>
      <c r="VHF34" s="10"/>
      <c r="VHG34" s="10"/>
      <c r="VHH34" s="10"/>
      <c r="VHI34" s="10"/>
      <c r="VHJ34" s="10"/>
      <c r="VHK34" s="10"/>
      <c r="VHL34" s="10"/>
      <c r="VHM34" s="10"/>
      <c r="VHN34" s="10"/>
      <c r="VHO34" s="10"/>
      <c r="VHP34" s="10"/>
      <c r="VHQ34" s="10"/>
      <c r="VHR34" s="10"/>
      <c r="VHS34" s="10"/>
      <c r="VHT34" s="10"/>
      <c r="VHU34" s="10"/>
      <c r="VHV34" s="10"/>
      <c r="VHW34" s="10"/>
      <c r="VHX34" s="10"/>
      <c r="VHY34" s="10"/>
      <c r="VHZ34" s="10"/>
      <c r="VIA34" s="10"/>
      <c r="VIB34" s="10"/>
      <c r="VIC34" s="10"/>
      <c r="VID34" s="10"/>
      <c r="VIE34" s="10"/>
      <c r="VIF34" s="10"/>
      <c r="VIG34" s="10"/>
      <c r="VIH34" s="10"/>
      <c r="VII34" s="10"/>
      <c r="VIJ34" s="10"/>
      <c r="VIK34" s="10"/>
      <c r="VIL34" s="10"/>
      <c r="VIM34" s="10"/>
      <c r="VIN34" s="10"/>
      <c r="VIO34" s="10"/>
      <c r="VIP34" s="10"/>
      <c r="VIQ34" s="10"/>
      <c r="VIR34" s="10"/>
      <c r="VIS34" s="10"/>
      <c r="VIT34" s="10"/>
      <c r="VIU34" s="10"/>
      <c r="VIV34" s="10"/>
      <c r="VIW34" s="10"/>
      <c r="VIX34" s="10"/>
      <c r="VIY34" s="10"/>
      <c r="VIZ34" s="10"/>
      <c r="VJA34" s="10"/>
      <c r="VJB34" s="10"/>
      <c r="VJC34" s="10"/>
      <c r="VJD34" s="10"/>
      <c r="VJE34" s="10"/>
      <c r="VJF34" s="10"/>
      <c r="VJG34" s="10"/>
      <c r="VJH34" s="10"/>
      <c r="VJI34" s="10"/>
      <c r="VJJ34" s="10"/>
      <c r="VJK34" s="10"/>
      <c r="VJL34" s="10"/>
      <c r="VJM34" s="10"/>
      <c r="VJN34" s="10"/>
      <c r="VJO34" s="10"/>
      <c r="VJP34" s="10"/>
      <c r="VJQ34" s="10"/>
      <c r="VJR34" s="10"/>
      <c r="VJS34" s="10"/>
      <c r="VJT34" s="10"/>
      <c r="VJU34" s="10"/>
      <c r="VJV34" s="10"/>
      <c r="VJW34" s="10"/>
      <c r="VJX34" s="10"/>
      <c r="VJY34" s="10"/>
      <c r="VJZ34" s="10"/>
      <c r="VKA34" s="10"/>
      <c r="VKB34" s="10"/>
      <c r="VKC34" s="10"/>
      <c r="VKD34" s="10"/>
      <c r="VKE34" s="10"/>
      <c r="VKF34" s="10"/>
      <c r="VKG34" s="10"/>
      <c r="VKH34" s="10"/>
      <c r="VKI34" s="10"/>
      <c r="VKJ34" s="10"/>
      <c r="VKK34" s="10"/>
      <c r="VKL34" s="10"/>
      <c r="VKM34" s="10"/>
      <c r="VKN34" s="10"/>
      <c r="VKO34" s="10"/>
      <c r="VKP34" s="10"/>
      <c r="VKQ34" s="10"/>
      <c r="VKR34" s="10"/>
      <c r="VKS34" s="10"/>
      <c r="VKT34" s="10"/>
      <c r="VKU34" s="10"/>
      <c r="VKV34" s="10"/>
      <c r="VKW34" s="10"/>
      <c r="VKX34" s="10"/>
      <c r="VKY34" s="10"/>
      <c r="VKZ34" s="10"/>
      <c r="VLA34" s="10"/>
      <c r="VLB34" s="10"/>
      <c r="VLC34" s="10"/>
      <c r="VLD34" s="10"/>
      <c r="VLE34" s="10"/>
      <c r="VLF34" s="10"/>
      <c r="VLG34" s="10"/>
      <c r="VLH34" s="10"/>
      <c r="VLI34" s="10"/>
      <c r="VLJ34" s="10"/>
      <c r="VLK34" s="10"/>
      <c r="VLL34" s="10"/>
      <c r="VLM34" s="10"/>
      <c r="VLN34" s="10"/>
      <c r="VLO34" s="10"/>
      <c r="VLP34" s="10"/>
      <c r="VLQ34" s="10"/>
      <c r="VLR34" s="10"/>
      <c r="VLS34" s="10"/>
      <c r="VLT34" s="10"/>
      <c r="VLU34" s="10"/>
      <c r="VLV34" s="10"/>
      <c r="VLW34" s="10"/>
      <c r="VLX34" s="10"/>
      <c r="VLY34" s="10"/>
      <c r="VLZ34" s="10"/>
      <c r="VMA34" s="10"/>
      <c r="VMB34" s="10"/>
      <c r="VMC34" s="10"/>
      <c r="VMD34" s="10"/>
      <c r="VME34" s="10"/>
      <c r="VMF34" s="10"/>
      <c r="VMG34" s="10"/>
      <c r="VMH34" s="10"/>
      <c r="VMI34" s="10"/>
      <c r="VMJ34" s="10"/>
      <c r="VMK34" s="10"/>
      <c r="VML34" s="10"/>
      <c r="VMM34" s="10"/>
      <c r="VMN34" s="10"/>
      <c r="VMO34" s="10"/>
      <c r="VMP34" s="10"/>
      <c r="VMQ34" s="10"/>
      <c r="VMR34" s="10"/>
      <c r="VMS34" s="10"/>
      <c r="VMT34" s="10"/>
      <c r="VMU34" s="10"/>
      <c r="VMV34" s="10"/>
      <c r="VMW34" s="10"/>
      <c r="VMX34" s="10"/>
      <c r="VMY34" s="10"/>
      <c r="VMZ34" s="10"/>
      <c r="VNA34" s="10"/>
      <c r="VNB34" s="10"/>
      <c r="VNC34" s="10"/>
      <c r="VND34" s="10"/>
      <c r="VNE34" s="10"/>
      <c r="VNF34" s="10"/>
      <c r="VNG34" s="10"/>
      <c r="VNH34" s="10"/>
      <c r="VNI34" s="10"/>
      <c r="VNJ34" s="10"/>
      <c r="VNK34" s="10"/>
      <c r="VNL34" s="10"/>
      <c r="VNM34" s="10"/>
      <c r="VNN34" s="10"/>
      <c r="VNO34" s="10"/>
      <c r="VNP34" s="10"/>
      <c r="VNQ34" s="10"/>
      <c r="VNR34" s="10"/>
      <c r="VNS34" s="10"/>
      <c r="VNT34" s="10"/>
      <c r="VNU34" s="10"/>
      <c r="VNV34" s="10"/>
      <c r="VNW34" s="10"/>
      <c r="VNX34" s="10"/>
      <c r="VNY34" s="10"/>
      <c r="VNZ34" s="10"/>
      <c r="VOA34" s="10"/>
      <c r="VOB34" s="10"/>
      <c r="VOC34" s="10"/>
      <c r="VOD34" s="10"/>
      <c r="VOE34" s="10"/>
      <c r="VOF34" s="10"/>
      <c r="VOG34" s="10"/>
      <c r="VOH34" s="10"/>
      <c r="VOI34" s="10"/>
      <c r="VOJ34" s="10"/>
      <c r="VOK34" s="10"/>
      <c r="VOL34" s="10"/>
      <c r="VOM34" s="10"/>
      <c r="VON34" s="10"/>
      <c r="VOO34" s="10"/>
      <c r="VOP34" s="10"/>
      <c r="VOQ34" s="10"/>
      <c r="VOR34" s="10"/>
      <c r="VOS34" s="10"/>
      <c r="VOT34" s="10"/>
      <c r="VOU34" s="10"/>
      <c r="VOV34" s="10"/>
      <c r="VOW34" s="10"/>
      <c r="VOX34" s="10"/>
      <c r="VOY34" s="10"/>
      <c r="VOZ34" s="10"/>
      <c r="VPA34" s="10"/>
      <c r="VPB34" s="10"/>
      <c r="VPC34" s="10"/>
      <c r="VPD34" s="10"/>
      <c r="VPE34" s="10"/>
      <c r="VPF34" s="10"/>
      <c r="VPG34" s="10"/>
      <c r="VPH34" s="10"/>
      <c r="VPI34" s="10"/>
      <c r="VPJ34" s="10"/>
      <c r="VPK34" s="10"/>
      <c r="VPL34" s="10"/>
      <c r="VPM34" s="10"/>
      <c r="VPN34" s="10"/>
      <c r="VPO34" s="10"/>
      <c r="VPP34" s="10"/>
      <c r="VPQ34" s="10"/>
      <c r="VPR34" s="10"/>
      <c r="VPS34" s="10"/>
      <c r="VPT34" s="10"/>
      <c r="VPU34" s="10"/>
      <c r="VPV34" s="10"/>
      <c r="VPW34" s="10"/>
      <c r="VPX34" s="10"/>
      <c r="VPY34" s="10"/>
      <c r="VPZ34" s="10"/>
      <c r="VQA34" s="10"/>
      <c r="VQB34" s="10"/>
      <c r="VQC34" s="10"/>
      <c r="VQD34" s="10"/>
      <c r="VQE34" s="10"/>
      <c r="VQF34" s="10"/>
      <c r="VQG34" s="10"/>
      <c r="VQH34" s="10"/>
      <c r="VQI34" s="10"/>
      <c r="VQJ34" s="10"/>
      <c r="VQK34" s="10"/>
      <c r="VQL34" s="10"/>
      <c r="VQM34" s="10"/>
      <c r="VQN34" s="10"/>
      <c r="VQO34" s="10"/>
      <c r="VQP34" s="10"/>
      <c r="VQQ34" s="10"/>
      <c r="VQR34" s="10"/>
      <c r="VQS34" s="10"/>
      <c r="VQT34" s="10"/>
      <c r="VQU34" s="10"/>
      <c r="VQV34" s="10"/>
      <c r="VQW34" s="10"/>
      <c r="VQX34" s="10"/>
      <c r="VQY34" s="10"/>
      <c r="VQZ34" s="10"/>
      <c r="VRA34" s="10"/>
      <c r="VRB34" s="10"/>
      <c r="VRC34" s="10"/>
      <c r="VRD34" s="10"/>
      <c r="VRE34" s="10"/>
      <c r="VRF34" s="10"/>
      <c r="VRG34" s="10"/>
      <c r="VRH34" s="10"/>
      <c r="VRI34" s="10"/>
      <c r="VRJ34" s="10"/>
      <c r="VRK34" s="10"/>
      <c r="VRL34" s="10"/>
      <c r="VRM34" s="10"/>
      <c r="VRN34" s="10"/>
      <c r="VRO34" s="10"/>
      <c r="VRP34" s="10"/>
      <c r="VRQ34" s="10"/>
      <c r="VRR34" s="10"/>
      <c r="VRS34" s="10"/>
      <c r="VRT34" s="10"/>
      <c r="VRU34" s="10"/>
      <c r="VRV34" s="10"/>
      <c r="VRW34" s="10"/>
      <c r="VRX34" s="10"/>
      <c r="VRY34" s="10"/>
      <c r="VRZ34" s="10"/>
      <c r="VSA34" s="10"/>
      <c r="VSB34" s="10"/>
      <c r="VSC34" s="10"/>
      <c r="VSD34" s="10"/>
      <c r="VSE34" s="10"/>
      <c r="VSF34" s="10"/>
      <c r="VSG34" s="10"/>
      <c r="VSH34" s="10"/>
      <c r="VSI34" s="10"/>
      <c r="VSJ34" s="10"/>
      <c r="VSK34" s="10"/>
      <c r="VSL34" s="10"/>
      <c r="VSM34" s="10"/>
      <c r="VSN34" s="10"/>
      <c r="VSO34" s="10"/>
      <c r="VSP34" s="10"/>
      <c r="VSQ34" s="10"/>
      <c r="VSR34" s="10"/>
      <c r="VSS34" s="10"/>
      <c r="VST34" s="10"/>
      <c r="VSU34" s="10"/>
      <c r="VSV34" s="10"/>
      <c r="VSW34" s="10"/>
      <c r="VSX34" s="10"/>
      <c r="VSY34" s="10"/>
      <c r="VSZ34" s="10"/>
      <c r="VTA34" s="10"/>
      <c r="VTB34" s="10"/>
      <c r="VTC34" s="10"/>
      <c r="VTD34" s="10"/>
      <c r="VTE34" s="10"/>
      <c r="VTF34" s="10"/>
      <c r="VTG34" s="10"/>
      <c r="VTH34" s="10"/>
      <c r="VTI34" s="10"/>
      <c r="VTJ34" s="10"/>
      <c r="VTK34" s="10"/>
      <c r="VTL34" s="10"/>
      <c r="VTM34" s="10"/>
      <c r="VTN34" s="10"/>
      <c r="VTO34" s="10"/>
      <c r="VTP34" s="10"/>
      <c r="VTQ34" s="10"/>
      <c r="VTR34" s="10"/>
      <c r="VTS34" s="10"/>
      <c r="VTT34" s="10"/>
      <c r="VTU34" s="10"/>
      <c r="VTV34" s="10"/>
      <c r="VTW34" s="10"/>
      <c r="VTX34" s="10"/>
      <c r="VTY34" s="10"/>
      <c r="VTZ34" s="10"/>
      <c r="VUA34" s="10"/>
      <c r="VUB34" s="10"/>
      <c r="VUC34" s="10"/>
      <c r="VUD34" s="10"/>
      <c r="VUE34" s="10"/>
      <c r="VUF34" s="10"/>
      <c r="VUG34" s="10"/>
      <c r="VUH34" s="10"/>
      <c r="VUI34" s="10"/>
      <c r="VUJ34" s="10"/>
      <c r="VUK34" s="10"/>
      <c r="VUL34" s="10"/>
      <c r="VUM34" s="10"/>
      <c r="VUN34" s="10"/>
      <c r="VUO34" s="10"/>
      <c r="VUP34" s="10"/>
      <c r="VUQ34" s="10"/>
      <c r="VUR34" s="10"/>
      <c r="VUS34" s="10"/>
      <c r="VUT34" s="10"/>
      <c r="VUU34" s="10"/>
      <c r="VUV34" s="10"/>
      <c r="VUW34" s="10"/>
      <c r="VUX34" s="10"/>
      <c r="VUY34" s="10"/>
      <c r="VUZ34" s="10"/>
      <c r="VVA34" s="10"/>
      <c r="VVB34" s="10"/>
      <c r="VVC34" s="10"/>
      <c r="VVD34" s="10"/>
      <c r="VVE34" s="10"/>
      <c r="VVF34" s="10"/>
      <c r="VVG34" s="10"/>
      <c r="VVH34" s="10"/>
      <c r="VVI34" s="10"/>
      <c r="VVJ34" s="10"/>
      <c r="VVK34" s="10"/>
      <c r="VVL34" s="10"/>
      <c r="VVM34" s="10"/>
      <c r="VVN34" s="10"/>
      <c r="VVO34" s="10"/>
      <c r="VVP34" s="10"/>
      <c r="VVQ34" s="10"/>
      <c r="VVR34" s="10"/>
      <c r="VVS34" s="10"/>
      <c r="VVT34" s="10"/>
      <c r="VVU34" s="10"/>
      <c r="VVV34" s="10"/>
      <c r="VVW34" s="10"/>
      <c r="VVX34" s="10"/>
      <c r="VVY34" s="10"/>
      <c r="VVZ34" s="10"/>
      <c r="VWA34" s="10"/>
      <c r="VWB34" s="10"/>
      <c r="VWC34" s="10"/>
      <c r="VWD34" s="10"/>
      <c r="VWE34" s="10"/>
      <c r="VWF34" s="10"/>
      <c r="VWG34" s="10"/>
      <c r="VWH34" s="10"/>
      <c r="VWI34" s="10"/>
      <c r="VWJ34" s="10"/>
      <c r="VWK34" s="10"/>
      <c r="VWL34" s="10"/>
      <c r="VWM34" s="10"/>
      <c r="VWN34" s="10"/>
      <c r="VWO34" s="10"/>
      <c r="VWP34" s="10"/>
      <c r="VWQ34" s="10"/>
      <c r="VWR34" s="10"/>
      <c r="VWS34" s="10"/>
      <c r="VWT34" s="10"/>
      <c r="VWU34" s="10"/>
      <c r="VWV34" s="10"/>
      <c r="VWW34" s="10"/>
      <c r="VWX34" s="10"/>
      <c r="VWY34" s="10"/>
      <c r="VWZ34" s="10"/>
      <c r="VXA34" s="10"/>
      <c r="VXB34" s="10"/>
      <c r="VXC34" s="10"/>
      <c r="VXD34" s="10"/>
      <c r="VXE34" s="10"/>
      <c r="VXF34" s="10"/>
      <c r="VXG34" s="10"/>
      <c r="VXH34" s="10"/>
      <c r="VXI34" s="10"/>
      <c r="VXJ34" s="10"/>
      <c r="VXK34" s="10"/>
      <c r="VXL34" s="10"/>
      <c r="VXM34" s="10"/>
      <c r="VXN34" s="10"/>
      <c r="VXO34" s="10"/>
      <c r="VXP34" s="10"/>
      <c r="VXQ34" s="10"/>
      <c r="VXR34" s="10"/>
      <c r="VXS34" s="10"/>
      <c r="VXT34" s="10"/>
      <c r="VXU34" s="10"/>
      <c r="VXV34" s="10"/>
      <c r="VXW34" s="10"/>
      <c r="VXX34" s="10"/>
      <c r="VXY34" s="10"/>
      <c r="VXZ34" s="10"/>
      <c r="VYA34" s="10"/>
      <c r="VYB34" s="10"/>
      <c r="VYC34" s="10"/>
      <c r="VYD34" s="10"/>
      <c r="VYE34" s="10"/>
      <c r="VYF34" s="10"/>
      <c r="VYG34" s="10"/>
      <c r="VYH34" s="10"/>
      <c r="VYI34" s="10"/>
      <c r="VYJ34" s="10"/>
      <c r="VYK34" s="10"/>
      <c r="VYL34" s="10"/>
      <c r="VYM34" s="10"/>
      <c r="VYN34" s="10"/>
      <c r="VYO34" s="10"/>
      <c r="VYP34" s="10"/>
      <c r="VYQ34" s="10"/>
      <c r="VYR34" s="10"/>
      <c r="VYS34" s="10"/>
      <c r="VYT34" s="10"/>
      <c r="VYU34" s="10"/>
      <c r="VYV34" s="10"/>
      <c r="VYW34" s="10"/>
      <c r="VYX34" s="10"/>
      <c r="VYY34" s="10"/>
      <c r="VYZ34" s="10"/>
      <c r="VZA34" s="10"/>
      <c r="VZB34" s="10"/>
      <c r="VZC34" s="10"/>
      <c r="VZD34" s="10"/>
      <c r="VZE34" s="10"/>
      <c r="VZF34" s="10"/>
      <c r="VZG34" s="10"/>
      <c r="VZH34" s="10"/>
      <c r="VZI34" s="10"/>
      <c r="VZJ34" s="10"/>
      <c r="VZK34" s="10"/>
      <c r="VZL34" s="10"/>
      <c r="VZM34" s="10"/>
      <c r="VZN34" s="10"/>
      <c r="VZO34" s="10"/>
      <c r="VZP34" s="10"/>
      <c r="VZQ34" s="10"/>
      <c r="VZR34" s="10"/>
      <c r="VZS34" s="10"/>
      <c r="VZT34" s="10"/>
      <c r="VZU34" s="10"/>
      <c r="VZV34" s="10"/>
      <c r="VZW34" s="10"/>
      <c r="VZX34" s="10"/>
      <c r="VZY34" s="10"/>
      <c r="VZZ34" s="10"/>
      <c r="WAA34" s="10"/>
      <c r="WAB34" s="10"/>
      <c r="WAC34" s="10"/>
      <c r="WAD34" s="10"/>
      <c r="WAE34" s="10"/>
      <c r="WAF34" s="10"/>
      <c r="WAG34" s="10"/>
      <c r="WAH34" s="10"/>
      <c r="WAI34" s="10"/>
      <c r="WAJ34" s="10"/>
      <c r="WAK34" s="10"/>
      <c r="WAL34" s="10"/>
      <c r="WAM34" s="10"/>
      <c r="WAN34" s="10"/>
      <c r="WAO34" s="10"/>
      <c r="WAP34" s="10"/>
      <c r="WAQ34" s="10"/>
      <c r="WAR34" s="10"/>
      <c r="WAS34" s="10"/>
      <c r="WAT34" s="10"/>
      <c r="WAU34" s="10"/>
      <c r="WAV34" s="10"/>
      <c r="WAW34" s="10"/>
      <c r="WAX34" s="10"/>
      <c r="WAY34" s="10"/>
      <c r="WAZ34" s="10"/>
      <c r="WBA34" s="10"/>
      <c r="WBB34" s="10"/>
      <c r="WBC34" s="10"/>
      <c r="WBD34" s="10"/>
      <c r="WBE34" s="10"/>
      <c r="WBF34" s="10"/>
      <c r="WBG34" s="10"/>
      <c r="WBH34" s="10"/>
      <c r="WBI34" s="10"/>
      <c r="WBJ34" s="10"/>
      <c r="WBK34" s="10"/>
      <c r="WBL34" s="10"/>
      <c r="WBM34" s="10"/>
      <c r="WBN34" s="10"/>
      <c r="WBO34" s="10"/>
      <c r="WBP34" s="10"/>
      <c r="WBQ34" s="10"/>
      <c r="WBR34" s="10"/>
      <c r="WBS34" s="10"/>
      <c r="WBT34" s="10"/>
      <c r="WBU34" s="10"/>
      <c r="WBV34" s="10"/>
      <c r="WBW34" s="10"/>
      <c r="WBX34" s="10"/>
      <c r="WBY34" s="10"/>
      <c r="WBZ34" s="10"/>
      <c r="WCA34" s="10"/>
      <c r="WCB34" s="10"/>
      <c r="WCC34" s="10"/>
      <c r="WCD34" s="10"/>
      <c r="WCE34" s="10"/>
      <c r="WCF34" s="10"/>
      <c r="WCG34" s="10"/>
      <c r="WCH34" s="10"/>
      <c r="WCI34" s="10"/>
      <c r="WCJ34" s="10"/>
      <c r="WCK34" s="10"/>
      <c r="WCL34" s="10"/>
      <c r="WCM34" s="10"/>
      <c r="WCN34" s="10"/>
      <c r="WCO34" s="10"/>
      <c r="WCP34" s="10"/>
      <c r="WCQ34" s="10"/>
      <c r="WCR34" s="10"/>
      <c r="WCS34" s="10"/>
      <c r="WCT34" s="10"/>
      <c r="WCU34" s="10"/>
      <c r="WCV34" s="10"/>
      <c r="WCW34" s="10"/>
      <c r="WCX34" s="10"/>
      <c r="WCY34" s="10"/>
      <c r="WCZ34" s="10"/>
      <c r="WDA34" s="10"/>
      <c r="WDB34" s="10"/>
      <c r="WDC34" s="10"/>
      <c r="WDD34" s="10"/>
      <c r="WDE34" s="10"/>
      <c r="WDF34" s="10"/>
      <c r="WDG34" s="10"/>
      <c r="WDH34" s="10"/>
      <c r="WDI34" s="10"/>
      <c r="WDJ34" s="10"/>
      <c r="WDK34" s="10"/>
      <c r="WDL34" s="10"/>
      <c r="WDM34" s="10"/>
      <c r="WDN34" s="10"/>
      <c r="WDO34" s="10"/>
      <c r="WDP34" s="10"/>
      <c r="WDQ34" s="10"/>
      <c r="WDR34" s="10"/>
      <c r="WDS34" s="10"/>
      <c r="WDT34" s="10"/>
      <c r="WDU34" s="10"/>
      <c r="WDV34" s="10"/>
      <c r="WDW34" s="10"/>
      <c r="WDX34" s="10"/>
      <c r="WDY34" s="10"/>
      <c r="WDZ34" s="10"/>
      <c r="WEA34" s="10"/>
      <c r="WEB34" s="10"/>
      <c r="WEC34" s="10"/>
      <c r="WED34" s="10"/>
      <c r="WEE34" s="10"/>
      <c r="WEF34" s="10"/>
      <c r="WEG34" s="10"/>
      <c r="WEH34" s="10"/>
      <c r="WEI34" s="10"/>
      <c r="WEJ34" s="10"/>
      <c r="WEK34" s="10"/>
      <c r="WEL34" s="10"/>
      <c r="WEM34" s="10"/>
      <c r="WEN34" s="10"/>
      <c r="WEO34" s="10"/>
      <c r="WEP34" s="10"/>
      <c r="WEQ34" s="10"/>
      <c r="WER34" s="10"/>
      <c r="WES34" s="10"/>
      <c r="WET34" s="10"/>
      <c r="WEU34" s="10"/>
      <c r="WEV34" s="10"/>
      <c r="WEW34" s="10"/>
      <c r="WEX34" s="10"/>
      <c r="WEY34" s="10"/>
      <c r="WEZ34" s="10"/>
      <c r="WFA34" s="10"/>
      <c r="WFB34" s="10"/>
      <c r="WFC34" s="10"/>
      <c r="WFD34" s="10"/>
      <c r="WFE34" s="10"/>
      <c r="WFF34" s="10"/>
      <c r="WFG34" s="10"/>
      <c r="WFH34" s="10"/>
      <c r="WFI34" s="10"/>
      <c r="WFJ34" s="10"/>
      <c r="WFK34" s="10"/>
      <c r="WFL34" s="10"/>
      <c r="WFM34" s="10"/>
      <c r="WFN34" s="10"/>
      <c r="WFO34" s="10"/>
      <c r="WFP34" s="10"/>
      <c r="WFQ34" s="10"/>
      <c r="WFR34" s="10"/>
      <c r="WFS34" s="10"/>
      <c r="WFT34" s="10"/>
      <c r="WFU34" s="10"/>
      <c r="WFV34" s="10"/>
      <c r="WFW34" s="10"/>
      <c r="WFX34" s="10"/>
      <c r="WFY34" s="10"/>
      <c r="WFZ34" s="10"/>
      <c r="WGA34" s="10"/>
      <c r="WGB34" s="10"/>
      <c r="WGC34" s="10"/>
      <c r="WGD34" s="10"/>
      <c r="WGE34" s="10"/>
      <c r="WGF34" s="10"/>
      <c r="WGG34" s="10"/>
      <c r="WGH34" s="10"/>
      <c r="WGI34" s="10"/>
      <c r="WGJ34" s="10"/>
      <c r="WGK34" s="10"/>
      <c r="WGL34" s="10"/>
      <c r="WGM34" s="10"/>
      <c r="WGN34" s="10"/>
      <c r="WGO34" s="10"/>
      <c r="WGP34" s="10"/>
      <c r="WGQ34" s="10"/>
      <c r="WGR34" s="10"/>
      <c r="WGS34" s="10"/>
      <c r="WGT34" s="10"/>
      <c r="WGU34" s="10"/>
      <c r="WGV34" s="10"/>
      <c r="WGW34" s="10"/>
      <c r="WGX34" s="10"/>
      <c r="WGY34" s="10"/>
      <c r="WGZ34" s="10"/>
      <c r="WHA34" s="10"/>
      <c r="WHB34" s="10"/>
      <c r="WHC34" s="10"/>
      <c r="WHD34" s="10"/>
      <c r="WHE34" s="10"/>
      <c r="WHF34" s="10"/>
      <c r="WHG34" s="10"/>
      <c r="WHH34" s="10"/>
      <c r="WHI34" s="10"/>
      <c r="WHJ34" s="10"/>
      <c r="WHK34" s="10"/>
      <c r="WHL34" s="10"/>
      <c r="WHM34" s="10"/>
      <c r="WHN34" s="10"/>
      <c r="WHO34" s="10"/>
      <c r="WHP34" s="10"/>
      <c r="WHQ34" s="10"/>
      <c r="WHR34" s="10"/>
      <c r="WHS34" s="10"/>
      <c r="WHT34" s="10"/>
      <c r="WHU34" s="10"/>
      <c r="WHV34" s="10"/>
      <c r="WHW34" s="10"/>
      <c r="WHX34" s="10"/>
      <c r="WHY34" s="10"/>
      <c r="WHZ34" s="10"/>
      <c r="WIA34" s="10"/>
      <c r="WIB34" s="10"/>
      <c r="WIC34" s="10"/>
      <c r="WID34" s="10"/>
      <c r="WIE34" s="10"/>
      <c r="WIF34" s="10"/>
      <c r="WIG34" s="10"/>
      <c r="WIH34" s="10"/>
      <c r="WII34" s="10"/>
      <c r="WIJ34" s="10"/>
      <c r="WIK34" s="10"/>
      <c r="WIL34" s="10"/>
      <c r="WIM34" s="10"/>
      <c r="WIN34" s="10"/>
      <c r="WIO34" s="10"/>
      <c r="WIP34" s="10"/>
      <c r="WIQ34" s="10"/>
      <c r="WIR34" s="10"/>
      <c r="WIS34" s="10"/>
      <c r="WIT34" s="10"/>
      <c r="WIU34" s="10"/>
      <c r="WIV34" s="10"/>
      <c r="WIW34" s="10"/>
      <c r="WIX34" s="10"/>
      <c r="WIY34" s="10"/>
      <c r="WIZ34" s="10"/>
      <c r="WJA34" s="10"/>
      <c r="WJB34" s="10"/>
      <c r="WJC34" s="10"/>
      <c r="WJD34" s="10"/>
      <c r="WJE34" s="10"/>
      <c r="WJF34" s="10"/>
      <c r="WJG34" s="10"/>
      <c r="WJH34" s="10"/>
      <c r="WJI34" s="10"/>
      <c r="WJJ34" s="10"/>
      <c r="WJK34" s="10"/>
      <c r="WJL34" s="10"/>
      <c r="WJM34" s="10"/>
      <c r="WJN34" s="10"/>
      <c r="WJO34" s="10"/>
      <c r="WJP34" s="10"/>
      <c r="WJQ34" s="10"/>
      <c r="WJR34" s="10"/>
      <c r="WJS34" s="10"/>
      <c r="WJT34" s="10"/>
      <c r="WJU34" s="10"/>
      <c r="WJV34" s="10"/>
      <c r="WJW34" s="10"/>
      <c r="WJX34" s="10"/>
      <c r="WJY34" s="10"/>
      <c r="WJZ34" s="10"/>
      <c r="WKA34" s="10"/>
      <c r="WKB34" s="10"/>
      <c r="WKC34" s="10"/>
      <c r="WKD34" s="10"/>
      <c r="WKE34" s="10"/>
      <c r="WKF34" s="10"/>
      <c r="WKG34" s="10"/>
      <c r="WKH34" s="10"/>
      <c r="WKI34" s="10"/>
      <c r="WKJ34" s="10"/>
      <c r="WKK34" s="10"/>
      <c r="WKL34" s="10"/>
      <c r="WKM34" s="10"/>
      <c r="WKN34" s="10"/>
      <c r="WKO34" s="10"/>
      <c r="WKP34" s="10"/>
      <c r="WKQ34" s="10"/>
      <c r="WKR34" s="10"/>
      <c r="WKS34" s="10"/>
      <c r="WKT34" s="10"/>
      <c r="WKU34" s="10"/>
      <c r="WKV34" s="10"/>
      <c r="WKW34" s="10"/>
      <c r="WKX34" s="10"/>
      <c r="WKY34" s="10"/>
      <c r="WKZ34" s="10"/>
      <c r="WLA34" s="10"/>
      <c r="WLB34" s="10"/>
      <c r="WLC34" s="10"/>
      <c r="WLD34" s="10"/>
      <c r="WLE34" s="10"/>
      <c r="WLF34" s="10"/>
      <c r="WLG34" s="10"/>
      <c r="WLH34" s="10"/>
      <c r="WLI34" s="10"/>
      <c r="WLJ34" s="10"/>
      <c r="WLK34" s="10"/>
      <c r="WLL34" s="10"/>
      <c r="WLM34" s="10"/>
      <c r="WLN34" s="10"/>
      <c r="WLO34" s="10"/>
      <c r="WLP34" s="10"/>
      <c r="WLQ34" s="10"/>
      <c r="WLR34" s="10"/>
      <c r="WLS34" s="10"/>
      <c r="WLT34" s="10"/>
      <c r="WLU34" s="10"/>
      <c r="WLV34" s="10"/>
      <c r="WLW34" s="10"/>
      <c r="WLX34" s="10"/>
      <c r="WLY34" s="10"/>
      <c r="WLZ34" s="10"/>
      <c r="WMA34" s="10"/>
      <c r="WMB34" s="10"/>
      <c r="WMC34" s="10"/>
      <c r="WMD34" s="10"/>
      <c r="WME34" s="10"/>
      <c r="WMF34" s="10"/>
      <c r="WMG34" s="10"/>
      <c r="WMH34" s="10"/>
      <c r="WMI34" s="10"/>
      <c r="WMJ34" s="10"/>
      <c r="WMK34" s="10"/>
      <c r="WML34" s="10"/>
      <c r="WMM34" s="10"/>
      <c r="WMN34" s="10"/>
      <c r="WMO34" s="10"/>
      <c r="WMP34" s="10"/>
      <c r="WMQ34" s="10"/>
      <c r="WMR34" s="10"/>
      <c r="WMS34" s="10"/>
      <c r="WMT34" s="10"/>
      <c r="WMU34" s="10"/>
      <c r="WMV34" s="10"/>
      <c r="WMW34" s="10"/>
      <c r="WMX34" s="10"/>
      <c r="WMY34" s="10"/>
      <c r="WMZ34" s="10"/>
      <c r="WNA34" s="10"/>
      <c r="WNB34" s="10"/>
      <c r="WNC34" s="10"/>
      <c r="WND34" s="10"/>
      <c r="WNE34" s="10"/>
      <c r="WNF34" s="10"/>
      <c r="WNG34" s="10"/>
      <c r="WNH34" s="10"/>
      <c r="WNI34" s="10"/>
      <c r="WNJ34" s="10"/>
      <c r="WNK34" s="10"/>
      <c r="WNL34" s="10"/>
      <c r="WNM34" s="10"/>
      <c r="WNN34" s="10"/>
      <c r="WNO34" s="10"/>
      <c r="WNP34" s="10"/>
      <c r="WNQ34" s="10"/>
      <c r="WNR34" s="10"/>
      <c r="WNS34" s="10"/>
      <c r="WNT34" s="10"/>
      <c r="WNU34" s="10"/>
      <c r="WNV34" s="10"/>
      <c r="WNW34" s="10"/>
      <c r="WNX34" s="10"/>
      <c r="WNY34" s="10"/>
      <c r="WNZ34" s="10"/>
      <c r="WOA34" s="10"/>
      <c r="WOB34" s="10"/>
      <c r="WOC34" s="10"/>
      <c r="WOD34" s="10"/>
      <c r="WOE34" s="10"/>
      <c r="WOF34" s="10"/>
      <c r="WOG34" s="10"/>
      <c r="WOH34" s="10"/>
      <c r="WOI34" s="10"/>
      <c r="WOJ34" s="10"/>
      <c r="WOK34" s="10"/>
      <c r="WOL34" s="10"/>
      <c r="WOM34" s="10"/>
      <c r="WON34" s="10"/>
      <c r="WOO34" s="10"/>
      <c r="WOP34" s="10"/>
      <c r="WOQ34" s="10"/>
      <c r="WOR34" s="10"/>
      <c r="WOS34" s="10"/>
      <c r="WOT34" s="10"/>
      <c r="WOU34" s="10"/>
      <c r="WOV34" s="10"/>
      <c r="WOW34" s="10"/>
      <c r="WOX34" s="10"/>
      <c r="WOY34" s="10"/>
      <c r="WOZ34" s="10"/>
      <c r="WPA34" s="10"/>
      <c r="WPB34" s="10"/>
      <c r="WPC34" s="10"/>
      <c r="WPD34" s="10"/>
      <c r="WPE34" s="10"/>
      <c r="WPF34" s="10"/>
      <c r="WPG34" s="10"/>
      <c r="WPH34" s="10"/>
      <c r="WPI34" s="10"/>
      <c r="WPJ34" s="10"/>
      <c r="WPK34" s="10"/>
      <c r="WPL34" s="10"/>
      <c r="WPM34" s="10"/>
      <c r="WPN34" s="10"/>
      <c r="WPO34" s="10"/>
      <c r="WPP34" s="10"/>
      <c r="WPQ34" s="10"/>
      <c r="WPR34" s="10"/>
      <c r="WPS34" s="10"/>
      <c r="WPT34" s="10"/>
      <c r="WPU34" s="10"/>
      <c r="WPV34" s="10"/>
      <c r="WPW34" s="10"/>
      <c r="WPX34" s="10"/>
      <c r="WPY34" s="10"/>
      <c r="WPZ34" s="10"/>
      <c r="WQA34" s="10"/>
      <c r="WQB34" s="10"/>
      <c r="WQC34" s="10"/>
      <c r="WQD34" s="10"/>
      <c r="WQE34" s="10"/>
      <c r="WQF34" s="10"/>
      <c r="WQG34" s="10"/>
      <c r="WQH34" s="10"/>
      <c r="WQI34" s="10"/>
      <c r="WQJ34" s="10"/>
      <c r="WQK34" s="10"/>
      <c r="WQL34" s="10"/>
      <c r="WQM34" s="10"/>
      <c r="WQN34" s="10"/>
      <c r="WQO34" s="10"/>
      <c r="WQP34" s="10"/>
      <c r="WQQ34" s="10"/>
      <c r="WQR34" s="10"/>
      <c r="WQS34" s="10"/>
      <c r="WQT34" s="10"/>
      <c r="WQU34" s="10"/>
      <c r="WQV34" s="10"/>
      <c r="WQW34" s="10"/>
      <c r="WQX34" s="10"/>
      <c r="WQY34" s="10"/>
      <c r="WQZ34" s="10"/>
      <c r="WRA34" s="10"/>
      <c r="WRB34" s="10"/>
      <c r="WRC34" s="10"/>
      <c r="WRD34" s="10"/>
      <c r="WRE34" s="10"/>
      <c r="WRF34" s="10"/>
      <c r="WRG34" s="10"/>
      <c r="WRH34" s="10"/>
      <c r="WRI34" s="10"/>
      <c r="WRJ34" s="10"/>
      <c r="WRK34" s="10"/>
      <c r="WRL34" s="10"/>
      <c r="WRM34" s="10"/>
      <c r="WRN34" s="10"/>
      <c r="WRO34" s="10"/>
      <c r="WRP34" s="10"/>
      <c r="WRQ34" s="10"/>
      <c r="WRR34" s="10"/>
      <c r="WRS34" s="10"/>
      <c r="WRT34" s="10"/>
      <c r="WRU34" s="10"/>
      <c r="WRV34" s="10"/>
      <c r="WRW34" s="10"/>
      <c r="WRX34" s="10"/>
      <c r="WRY34" s="10"/>
      <c r="WRZ34" s="10"/>
      <c r="WSA34" s="10"/>
      <c r="WSB34" s="10"/>
      <c r="WSC34" s="10"/>
      <c r="WSD34" s="10"/>
      <c r="WSE34" s="10"/>
      <c r="WSF34" s="10"/>
      <c r="WSG34" s="10"/>
      <c r="WSH34" s="10"/>
      <c r="WSI34" s="10"/>
      <c r="WSJ34" s="10"/>
      <c r="WSK34" s="10"/>
      <c r="WSL34" s="10"/>
      <c r="WSM34" s="10"/>
      <c r="WSN34" s="10"/>
      <c r="WSO34" s="10"/>
      <c r="WSP34" s="10"/>
      <c r="WSQ34" s="10"/>
      <c r="WSR34" s="10"/>
      <c r="WSS34" s="10"/>
      <c r="WST34" s="10"/>
      <c r="WSU34" s="10"/>
      <c r="WSV34" s="10"/>
      <c r="WSW34" s="10"/>
      <c r="WSX34" s="10"/>
      <c r="WSY34" s="10"/>
      <c r="WSZ34" s="10"/>
      <c r="WTA34" s="10"/>
      <c r="WTB34" s="10"/>
      <c r="WTC34" s="10"/>
      <c r="WTD34" s="10"/>
      <c r="WTE34" s="10"/>
      <c r="WTF34" s="10"/>
      <c r="WTG34" s="10"/>
      <c r="WTH34" s="10"/>
      <c r="WTI34" s="10"/>
      <c r="WTJ34" s="10"/>
      <c r="WTK34" s="10"/>
      <c r="WTL34" s="10"/>
      <c r="WTM34" s="10"/>
      <c r="WTN34" s="10"/>
      <c r="WTO34" s="10"/>
      <c r="WTP34" s="10"/>
      <c r="WTQ34" s="10"/>
      <c r="WTR34" s="10"/>
      <c r="WTS34" s="10"/>
      <c r="WTT34" s="10"/>
      <c r="WTU34" s="10"/>
      <c r="WTV34" s="10"/>
      <c r="WTW34" s="10"/>
      <c r="WTX34" s="10"/>
      <c r="WTY34" s="10"/>
      <c r="WTZ34" s="10"/>
      <c r="WUA34" s="10"/>
      <c r="WUB34" s="10"/>
      <c r="WUC34" s="10"/>
      <c r="WUD34" s="10"/>
      <c r="WUE34" s="10"/>
      <c r="WUF34" s="10"/>
      <c r="WUG34" s="10"/>
      <c r="WUH34" s="10"/>
      <c r="WUI34" s="10"/>
      <c r="WUJ34" s="10"/>
      <c r="WUK34" s="10"/>
      <c r="WUL34" s="10"/>
      <c r="WUM34" s="10"/>
      <c r="WUN34" s="10"/>
      <c r="WUO34" s="10"/>
      <c r="WUP34" s="10"/>
      <c r="WUQ34" s="10"/>
      <c r="WUR34" s="10"/>
      <c r="WUS34" s="10"/>
      <c r="WUT34" s="10"/>
      <c r="WUU34" s="10"/>
      <c r="WUV34" s="10"/>
      <c r="WUW34" s="10"/>
      <c r="WUX34" s="10"/>
      <c r="WUY34" s="10"/>
      <c r="WUZ34" s="10"/>
      <c r="WVA34" s="10"/>
      <c r="WVB34" s="10"/>
      <c r="WVC34" s="10"/>
      <c r="WVD34" s="10"/>
      <c r="WVE34" s="10"/>
      <c r="WVF34" s="10"/>
      <c r="WVG34" s="10"/>
      <c r="WVH34" s="10"/>
      <c r="WVI34" s="10"/>
      <c r="WVJ34" s="10"/>
      <c r="WVK34" s="10"/>
      <c r="WVL34" s="10"/>
      <c r="WVM34" s="10"/>
      <c r="WVN34" s="10"/>
      <c r="WVO34" s="10"/>
      <c r="WVP34" s="10"/>
      <c r="WVQ34" s="10"/>
      <c r="WVR34" s="10"/>
      <c r="WVS34" s="10"/>
      <c r="WVT34" s="10"/>
      <c r="WVU34" s="10"/>
      <c r="WVV34" s="10"/>
      <c r="WVW34" s="10"/>
      <c r="WVX34" s="10"/>
      <c r="WVY34" s="10"/>
      <c r="WVZ34" s="10"/>
      <c r="WWA34" s="10"/>
      <c r="WWB34" s="10"/>
      <c r="WWC34" s="10"/>
      <c r="WWD34" s="10"/>
      <c r="WWE34" s="10"/>
      <c r="WWF34" s="10"/>
      <c r="WWG34" s="10"/>
      <c r="WWH34" s="10"/>
      <c r="WWI34" s="10"/>
      <c r="WWJ34" s="10"/>
      <c r="WWK34" s="10"/>
      <c r="WWL34" s="10"/>
      <c r="WWM34" s="10"/>
      <c r="WWN34" s="10"/>
      <c r="WWO34" s="10"/>
      <c r="WWP34" s="10"/>
      <c r="WWQ34" s="10"/>
      <c r="WWR34" s="10"/>
      <c r="WWS34" s="10"/>
      <c r="WWT34" s="10"/>
      <c r="WWU34" s="10"/>
      <c r="WWV34" s="10"/>
      <c r="WWW34" s="10"/>
      <c r="WWX34" s="10"/>
      <c r="WWY34" s="10"/>
      <c r="WWZ34" s="10"/>
      <c r="WXA34" s="10"/>
      <c r="WXB34" s="10"/>
      <c r="WXC34" s="10"/>
      <c r="WXD34" s="10"/>
      <c r="WXE34" s="10"/>
      <c r="WXF34" s="10"/>
      <c r="WXG34" s="10"/>
      <c r="WXH34" s="10"/>
      <c r="WXI34" s="10"/>
      <c r="WXJ34" s="10"/>
      <c r="WXK34" s="10"/>
      <c r="WXL34" s="10"/>
      <c r="WXM34" s="10"/>
      <c r="WXN34" s="10"/>
      <c r="WXO34" s="10"/>
      <c r="WXP34" s="10"/>
      <c r="WXQ34" s="10"/>
      <c r="WXR34" s="10"/>
      <c r="WXS34" s="10"/>
      <c r="WXT34" s="10"/>
      <c r="WXU34" s="10"/>
      <c r="WXV34" s="10"/>
      <c r="WXW34" s="10"/>
      <c r="WXX34" s="10"/>
      <c r="WXY34" s="10"/>
      <c r="WXZ34" s="10"/>
      <c r="WYA34" s="10"/>
      <c r="WYB34" s="10"/>
      <c r="WYC34" s="10"/>
      <c r="WYD34" s="10"/>
      <c r="WYE34" s="10"/>
      <c r="WYF34" s="10"/>
      <c r="WYG34" s="10"/>
      <c r="WYH34" s="10"/>
      <c r="WYI34" s="10"/>
      <c r="WYJ34" s="10"/>
      <c r="WYK34" s="10"/>
      <c r="WYL34" s="10"/>
      <c r="WYM34" s="10"/>
      <c r="WYN34" s="10"/>
      <c r="WYO34" s="10"/>
      <c r="WYP34" s="10"/>
      <c r="WYQ34" s="10"/>
      <c r="WYR34" s="10"/>
      <c r="WYS34" s="10"/>
      <c r="WYT34" s="10"/>
      <c r="WYU34" s="10"/>
      <c r="WYV34" s="10"/>
      <c r="WYW34" s="10"/>
      <c r="WYX34" s="10"/>
      <c r="WYY34" s="10"/>
      <c r="WYZ34" s="10"/>
      <c r="WZA34" s="10"/>
      <c r="WZB34" s="10"/>
      <c r="WZC34" s="10"/>
      <c r="WZD34" s="10"/>
      <c r="WZE34" s="10"/>
      <c r="WZF34" s="10"/>
      <c r="WZG34" s="10"/>
      <c r="WZH34" s="10"/>
      <c r="WZI34" s="10"/>
      <c r="WZJ34" s="10"/>
      <c r="WZK34" s="10"/>
      <c r="WZL34" s="10"/>
      <c r="WZM34" s="10"/>
      <c r="WZN34" s="10"/>
      <c r="WZO34" s="10"/>
      <c r="WZP34" s="10"/>
      <c r="WZQ34" s="10"/>
      <c r="WZR34" s="10"/>
      <c r="WZS34" s="10"/>
      <c r="WZT34" s="10"/>
      <c r="WZU34" s="10"/>
      <c r="WZV34" s="10"/>
      <c r="WZW34" s="10"/>
      <c r="WZX34" s="10"/>
      <c r="WZY34" s="10"/>
      <c r="WZZ34" s="10"/>
      <c r="XAA34" s="10"/>
      <c r="XAB34" s="10"/>
      <c r="XAC34" s="10"/>
      <c r="XAD34" s="10"/>
      <c r="XAE34" s="10"/>
      <c r="XAF34" s="10"/>
      <c r="XAG34" s="10"/>
      <c r="XAH34" s="10"/>
      <c r="XAI34" s="10"/>
      <c r="XAJ34" s="10"/>
      <c r="XAK34" s="10"/>
      <c r="XAL34" s="10"/>
      <c r="XAM34" s="10"/>
      <c r="XAN34" s="10"/>
      <c r="XAO34" s="10"/>
      <c r="XAP34" s="10"/>
      <c r="XAQ34" s="10"/>
      <c r="XAR34" s="10"/>
      <c r="XAS34" s="10"/>
      <c r="XAT34" s="10"/>
      <c r="XAU34" s="10"/>
      <c r="XAV34" s="10"/>
      <c r="XAW34" s="10"/>
      <c r="XAX34" s="10"/>
      <c r="XAY34" s="10"/>
      <c r="XAZ34" s="10"/>
      <c r="XBA34" s="10"/>
      <c r="XBB34" s="10"/>
      <c r="XBC34" s="10"/>
      <c r="XBD34" s="10"/>
      <c r="XBE34" s="10"/>
      <c r="XBF34" s="10"/>
      <c r="XBG34" s="10"/>
      <c r="XBH34" s="10"/>
      <c r="XBI34" s="10"/>
      <c r="XBJ34" s="10"/>
      <c r="XBK34" s="10"/>
      <c r="XBL34" s="10"/>
      <c r="XBM34" s="10"/>
      <c r="XBN34" s="10"/>
      <c r="XBO34" s="10"/>
      <c r="XBP34" s="10"/>
      <c r="XBQ34" s="10"/>
      <c r="XBR34" s="10"/>
      <c r="XBS34" s="10"/>
      <c r="XBT34" s="10"/>
      <c r="XBU34" s="10"/>
      <c r="XBV34" s="10"/>
      <c r="XBW34" s="10"/>
      <c r="XBX34" s="10"/>
      <c r="XBY34" s="10"/>
      <c r="XBZ34" s="10"/>
      <c r="XCA34" s="10"/>
      <c r="XCB34" s="10"/>
      <c r="XCC34" s="10"/>
      <c r="XCD34" s="10"/>
      <c r="XCE34" s="10"/>
      <c r="XCF34" s="10"/>
      <c r="XCG34" s="10"/>
      <c r="XCH34" s="10"/>
      <c r="XCI34" s="10"/>
      <c r="XCJ34" s="10"/>
      <c r="XCK34" s="10"/>
      <c r="XCL34" s="10"/>
      <c r="XCM34" s="10"/>
      <c r="XCN34" s="10"/>
      <c r="XCO34" s="10"/>
      <c r="XCP34" s="10"/>
      <c r="XCQ34" s="10"/>
      <c r="XCR34" s="10"/>
      <c r="XCS34" s="10"/>
      <c r="XCT34" s="10"/>
      <c r="XCU34" s="10"/>
      <c r="XCV34" s="10"/>
      <c r="XCW34" s="10"/>
      <c r="XCX34" s="10"/>
      <c r="XCY34" s="10"/>
      <c r="XCZ34" s="10"/>
      <c r="XDA34" s="10"/>
      <c r="XDB34" s="10"/>
      <c r="XDC34" s="10"/>
      <c r="XDD34" s="10"/>
      <c r="XDE34" s="10"/>
      <c r="XDF34" s="10"/>
      <c r="XDG34" s="10"/>
      <c r="XDH34" s="10"/>
      <c r="XDI34" s="10"/>
      <c r="XDJ34" s="10"/>
      <c r="XDK34" s="10"/>
      <c r="XDL34" s="10"/>
      <c r="XDM34" s="10"/>
      <c r="XDN34" s="10"/>
      <c r="XDO34" s="10"/>
      <c r="XDP34" s="10"/>
      <c r="XDQ34" s="10"/>
      <c r="XDR34" s="10"/>
      <c r="XDS34" s="10"/>
      <c r="XDT34" s="10"/>
      <c r="XDU34" s="10"/>
      <c r="XDV34" s="10"/>
      <c r="XDW34" s="10"/>
      <c r="XDX34" s="10"/>
      <c r="XDY34" s="10"/>
      <c r="XDZ34" s="10"/>
      <c r="XEA34" s="10"/>
      <c r="XEB34" s="10"/>
      <c r="XEC34" s="10"/>
      <c r="XED34" s="10"/>
      <c r="XEE34" s="10"/>
      <c r="XEF34" s="10"/>
      <c r="XEG34" s="10"/>
      <c r="XEH34" s="10"/>
      <c r="XEI34" s="10"/>
      <c r="XEJ34" s="10"/>
      <c r="XEK34" s="10"/>
      <c r="XEL34" s="10"/>
      <c r="XEM34" s="10"/>
      <c r="XEN34" s="10"/>
      <c r="XEO34" s="10"/>
      <c r="XEP34" s="10"/>
      <c r="XEQ34" s="10"/>
      <c r="XER34" s="10"/>
      <c r="XES34" s="10"/>
      <c r="XET34" s="10"/>
      <c r="XEU34" s="10"/>
      <c r="XEV34" s="10"/>
      <c r="XEW34" s="10"/>
      <c r="XEX34" s="10"/>
      <c r="XEY34" s="10"/>
      <c r="XEZ34" s="10"/>
      <c r="XFA34" s="10"/>
      <c r="XFB34" s="10"/>
      <c r="XFC34" s="10"/>
      <c r="XFD34" s="10"/>
    </row>
    <row r="35" spans="2:16384">
      <c r="B35" s="98" t="str">
        <f>J5</f>
        <v>Cheshire East</v>
      </c>
      <c r="C35" s="98"/>
      <c r="D35" s="98"/>
      <c r="E35" s="98"/>
      <c r="F35" s="98"/>
      <c r="G35" s="98"/>
      <c r="H35" s="98"/>
      <c r="I35" s="98"/>
      <c r="J35" s="98"/>
      <c r="K35" s="99" t="s">
        <v>357</v>
      </c>
      <c r="L35" s="282">
        <f>IF(ISERROR(IF('Filtered Data'!$H$8="%.",(VLOOKUP(J5,'Filtered Data'!C:H,4,FALSE))/100,(VLOOKUP(J5,'Filtered Data'!C:H,4,FALSE)))),"",(IF('Filtered Data'!$H$8="%.",(VLOOKUP(J5,'Filtered Data'!C:H,4,FALSE))/100,(VLOOKUP(J5,'Filtered Data'!C:H,4,FALSE)))))</f>
        <v>442.4</v>
      </c>
      <c r="M35" s="282"/>
      <c r="N35" s="282"/>
      <c r="O35" s="282"/>
      <c r="P35" s="100"/>
      <c r="Q35" s="282" t="s">
        <v>355</v>
      </c>
      <c r="R35" s="282"/>
      <c r="S35" s="282"/>
      <c r="T35" s="282"/>
      <c r="U35" s="282"/>
      <c r="V35" s="282"/>
      <c r="W35" s="282"/>
      <c r="AP35" s="60"/>
    </row>
    <row r="36" spans="2:16384" ht="12.75" customHeight="1">
      <c r="B36" s="281" t="str">
        <f>'Filtered Data'!R8&amp;" Quartile"</f>
        <v>Bottom Quartile</v>
      </c>
      <c r="C36" s="281"/>
      <c r="D36" s="281"/>
      <c r="E36" s="281"/>
      <c r="F36" s="281"/>
      <c r="G36" s="281"/>
      <c r="H36" s="281"/>
      <c r="I36" s="281"/>
      <c r="J36" s="281"/>
      <c r="K36" s="281"/>
      <c r="L36" s="281"/>
      <c r="M36" s="281"/>
      <c r="N36" s="281"/>
      <c r="O36" s="281"/>
      <c r="P36" s="281"/>
      <c r="Q36" s="281"/>
      <c r="R36" s="281"/>
      <c r="S36" s="281"/>
      <c r="T36" s="281"/>
      <c r="U36" s="281"/>
      <c r="V36" s="281"/>
      <c r="W36" s="281"/>
      <c r="Z36" s="17" t="s">
        <v>359</v>
      </c>
      <c r="AB36" s="265" t="s">
        <v>361</v>
      </c>
      <c r="AC36" s="265"/>
      <c r="AD36" s="265"/>
      <c r="AE36" s="265"/>
      <c r="AF36" s="265"/>
      <c r="AG36" s="265"/>
      <c r="AH36" s="265"/>
      <c r="AI36" s="265"/>
      <c r="AJ36" s="265"/>
      <c r="AK36" s="265"/>
      <c r="AL36" s="265"/>
      <c r="AM36" s="118"/>
      <c r="AP36" s="60"/>
    </row>
    <row r="37" spans="2:16384" ht="12.75" customHeight="1">
      <c r="B37" s="101" t="str">
        <f>VLOOKUP('Filtered Data'!D1,'Filtered Data'!L1:O6,2,FALSE)</f>
        <v>Unitaries</v>
      </c>
      <c r="C37" s="101"/>
      <c r="D37" s="101"/>
      <c r="E37" s="101"/>
      <c r="F37" s="101"/>
      <c r="G37" s="101"/>
      <c r="H37" s="101"/>
      <c r="I37" s="101"/>
      <c r="J37" s="266" t="s">
        <v>801</v>
      </c>
      <c r="K37" s="102" t="str">
        <f>IF(Q37="","",IF('Filtered Data'!I8="D",IF($L$35&gt;=L37,"J","L"),IF('Filtered Data'!I8="A",IF($L$35&lt;=L37,"J","L"))))</f>
        <v>L</v>
      </c>
      <c r="L37" s="239">
        <f>'Filtered Data'!M9</f>
        <v>394.4896551724139</v>
      </c>
      <c r="M37" s="239"/>
      <c r="N37" s="239"/>
      <c r="O37" s="239"/>
      <c r="P37" s="103"/>
      <c r="Q37" s="238">
        <f>VLOOKUP(J5,'Filtered Data'!C:I,7,FALSE)</f>
        <v>52</v>
      </c>
      <c r="R37" s="238"/>
      <c r="S37" s="104"/>
      <c r="T37" s="105" t="s">
        <v>356</v>
      </c>
      <c r="U37" s="106"/>
      <c r="V37" s="238">
        <f>COUNT('Filtered Data'!I11:I343)</f>
        <v>58</v>
      </c>
      <c r="W37" s="238"/>
      <c r="AB37" s="265"/>
      <c r="AC37" s="265"/>
      <c r="AD37" s="265"/>
      <c r="AE37" s="265"/>
      <c r="AF37" s="265"/>
      <c r="AG37" s="265"/>
      <c r="AH37" s="265"/>
      <c r="AI37" s="265"/>
      <c r="AJ37" s="265"/>
      <c r="AK37" s="265"/>
      <c r="AL37" s="265"/>
      <c r="AM37" s="118"/>
      <c r="AP37" s="60"/>
    </row>
    <row r="38" spans="2:16384">
      <c r="B38" s="101" t="str">
        <f>IF('Filtered Data'!D1="L","Family",IF('Filtered Data'!D1="SD",VLOOKUP(J5,classifications!C:J,6,FALSE),"Rural"))</f>
        <v>Rural</v>
      </c>
      <c r="C38" s="101"/>
      <c r="D38" s="101"/>
      <c r="E38" s="101"/>
      <c r="F38" s="101"/>
      <c r="G38" s="101"/>
      <c r="H38" s="101"/>
      <c r="I38" s="101"/>
      <c r="J38" s="267"/>
      <c r="K38" s="102" t="str">
        <f>IF(Q38="","",IF('Filtered Data'!I8="D",IF($L$35&gt;=L38,"J","L"),IF('Filtered Data'!I8="A",IF($L$35&lt;=L38,"J","L"))))</f>
        <v>L</v>
      </c>
      <c r="L38" s="239">
        <f>IF('Filtered Data'!D1="L",'Filtered Data'!AG9,'Filtered Data'!Y9)</f>
        <v>424.12499999999989</v>
      </c>
      <c r="M38" s="239"/>
      <c r="N38" s="239"/>
      <c r="O38" s="239"/>
      <c r="P38" s="103"/>
      <c r="Q38" s="264">
        <f>IF(ISERROR(IF('Filtered Data'!D1="L",VLOOKUP(J5,'Filtered Data'!AF11:AH26,3,FALSE),VLOOKUP(J5,'Filtered Data'!$L$11:$Z$355,15,FALSE))),"",(IF('Filtered Data'!D1="L",VLOOKUP(J5,'Filtered Data'!AF11:AH26,3,FALSE),VLOOKUP(J5,'Filtered Data'!$L$11:$Z$355,15,FALSE))))</f>
        <v>14</v>
      </c>
      <c r="R38" s="264"/>
      <c r="S38" s="239" t="s">
        <v>356</v>
      </c>
      <c r="T38" s="239"/>
      <c r="U38" s="239"/>
      <c r="V38" s="238">
        <f>IF('Filtered Data'!D1="L",16,COUNT('Filtered Data'!Z:Z))</f>
        <v>20</v>
      </c>
      <c r="W38" s="238"/>
      <c r="AB38" s="118"/>
      <c r="AC38" s="118"/>
      <c r="AD38" s="118"/>
      <c r="AE38" s="118"/>
      <c r="AF38" s="118"/>
      <c r="AG38" s="118"/>
      <c r="AH38" s="118"/>
      <c r="AI38" s="118"/>
      <c r="AJ38" s="118"/>
      <c r="AK38" s="118"/>
      <c r="AL38" s="118"/>
      <c r="AM38" s="118"/>
      <c r="AP38" s="60"/>
    </row>
    <row r="39" spans="2:16384">
      <c r="B39" s="101" t="str">
        <f>IF('Filtered Data'!D1="L","",IF('Filtered Data'!D1="SD",J10,"Regional"))</f>
        <v>Regional</v>
      </c>
      <c r="C39" s="101"/>
      <c r="D39" s="101"/>
      <c r="E39" s="101"/>
      <c r="F39" s="101"/>
      <c r="G39" s="101"/>
      <c r="H39" s="101"/>
      <c r="I39" s="101"/>
      <c r="J39" s="267"/>
      <c r="K39" s="102" t="str">
        <f>IF(Q39="","",IF('Filtered Data'!I8="D",IF($L$35&gt;=L39,"J","L"),IF('Filtered Data'!I8="A",IF($L$35&lt;=L39,"J","L"))))</f>
        <v>L</v>
      </c>
      <c r="L39" s="239">
        <f>IF('Filtered Data'!D1="L","",IF('Filtered Data'!D1="SD",'Filtered Data'!AJ9,'Filtered Data'!AQ9))</f>
        <v>414.13333333333338</v>
      </c>
      <c r="M39" s="239"/>
      <c r="N39" s="239"/>
      <c r="O39" s="239"/>
      <c r="P39" s="103"/>
      <c r="Q39" s="238">
        <f>IF(ISERROR(IF('Filtered Data'!D1="L","",IF('Filtered Data'!D1="SD",VLOOKUP(J5,'Filtered Data'!L:AK,26,FALSE),(VLOOKUP(J5,'Filtered Data'!L:AR,33,FALSE))))),"",(IF('Filtered Data'!D1="L","",IF('Filtered Data'!D1="SD",VLOOKUP(J5,'Filtered Data'!L:AK,26,FALSE),(VLOOKUP(J5,'Filtered Data'!L:AR,33,FALSE))))))</f>
        <v>6</v>
      </c>
      <c r="R39" s="238"/>
      <c r="S39" s="104"/>
      <c r="T39" s="106" t="str">
        <f>IF(B39="","","out of")</f>
        <v>out of</v>
      </c>
      <c r="U39" s="106"/>
      <c r="V39" s="238">
        <f>IF('Filtered Data'!D1="L","",IF('Filtered Data'!D1="SD",COUNT('Filtered Data'!AK11:AK343),(COUNT('Filtered Data'!AQ11:AQ343))))</f>
        <v>6</v>
      </c>
      <c r="W39" s="238"/>
      <c r="Z39" s="11" t="s">
        <v>360</v>
      </c>
      <c r="AB39" s="265" t="s">
        <v>362</v>
      </c>
      <c r="AC39" s="265"/>
      <c r="AD39" s="265"/>
      <c r="AE39" s="265"/>
      <c r="AF39" s="265"/>
      <c r="AG39" s="265"/>
      <c r="AH39" s="265"/>
      <c r="AI39" s="265"/>
      <c r="AJ39" s="265"/>
      <c r="AK39" s="265"/>
      <c r="AL39" s="265"/>
      <c r="AM39" s="265"/>
      <c r="AP39" s="60"/>
    </row>
    <row r="40" spans="2:16384" ht="12.75" customHeight="1">
      <c r="B40" s="114"/>
      <c r="C40" s="114"/>
      <c r="D40" s="114"/>
      <c r="E40" s="114"/>
      <c r="F40" s="114"/>
      <c r="G40" s="114"/>
      <c r="H40" s="114"/>
      <c r="I40" s="114"/>
      <c r="J40" s="113"/>
      <c r="K40" s="115"/>
      <c r="L40" s="258"/>
      <c r="M40" s="258"/>
      <c r="N40" s="258"/>
      <c r="O40" s="258"/>
      <c r="P40" s="116"/>
      <c r="Q40" s="228"/>
      <c r="R40" s="228"/>
      <c r="S40" s="258"/>
      <c r="T40" s="259"/>
      <c r="U40" s="259"/>
      <c r="V40" s="228"/>
      <c r="W40" s="228"/>
      <c r="AB40" s="265"/>
      <c r="AC40" s="265"/>
      <c r="AD40" s="265"/>
      <c r="AE40" s="265"/>
      <c r="AF40" s="265"/>
      <c r="AG40" s="265"/>
      <c r="AH40" s="265"/>
      <c r="AI40" s="265"/>
      <c r="AJ40" s="265"/>
      <c r="AK40" s="265"/>
      <c r="AL40" s="265"/>
      <c r="AM40" s="265"/>
      <c r="AP40" s="60"/>
    </row>
    <row r="41" spans="2:16384">
      <c r="B41" s="211"/>
      <c r="C41" s="211"/>
      <c r="D41" s="211"/>
      <c r="E41" s="211"/>
      <c r="F41" s="211"/>
      <c r="G41" s="211"/>
      <c r="H41" s="211"/>
      <c r="I41" s="211"/>
      <c r="J41" s="113"/>
      <c r="K41" s="212" t="str">
        <f>IF(B41="","",IF('Filtered Data'!D1="UA","",(IF($L$35&gt;=L41,"J","L"))))</f>
        <v/>
      </c>
      <c r="L41" s="249"/>
      <c r="M41" s="249"/>
      <c r="N41" s="249"/>
      <c r="O41" s="249"/>
      <c r="P41" s="213"/>
      <c r="Q41" s="268"/>
      <c r="R41" s="268"/>
      <c r="S41" s="263"/>
      <c r="T41" s="263"/>
      <c r="U41" s="263"/>
      <c r="V41" s="268"/>
      <c r="W41" s="268"/>
      <c r="AB41" s="118"/>
      <c r="AC41" s="118"/>
      <c r="AD41" s="118"/>
      <c r="AE41" s="118"/>
      <c r="AF41" s="118"/>
      <c r="AG41" s="118"/>
      <c r="AH41" s="118"/>
      <c r="AI41" s="118"/>
      <c r="AJ41" s="118"/>
      <c r="AK41" s="118"/>
      <c r="AL41" s="118"/>
      <c r="AM41" s="118"/>
      <c r="AP41" s="60"/>
    </row>
    <row r="42" spans="2:16384">
      <c r="J42" s="13"/>
      <c r="K42" s="14"/>
      <c r="L42" s="12"/>
      <c r="M42" s="12"/>
      <c r="N42" s="12"/>
      <c r="O42" s="12"/>
      <c r="P42" s="15"/>
      <c r="Q42" s="2"/>
      <c r="R42" s="2"/>
      <c r="S42" s="16"/>
      <c r="T42" s="2"/>
      <c r="U42" s="2"/>
      <c r="V42" s="2"/>
      <c r="W42" s="2"/>
      <c r="AB42" s="119"/>
      <c r="AC42" s="119"/>
      <c r="AD42" s="119"/>
      <c r="AE42" s="119"/>
      <c r="AF42" s="119"/>
      <c r="AG42" s="119"/>
      <c r="AH42" s="119"/>
      <c r="AI42" s="119"/>
      <c r="AJ42" s="119"/>
      <c r="AK42" s="119"/>
      <c r="AL42" s="119"/>
      <c r="AM42" s="119"/>
      <c r="AP42" s="60"/>
    </row>
    <row r="43" spans="2:16384">
      <c r="B43" s="245" t="s">
        <v>358</v>
      </c>
      <c r="C43" s="246"/>
      <c r="D43" s="246"/>
      <c r="E43" s="246"/>
      <c r="F43" s="246"/>
      <c r="G43" s="246"/>
      <c r="H43" s="246"/>
      <c r="I43" s="246"/>
      <c r="J43" s="246"/>
      <c r="K43" s="246"/>
      <c r="L43" s="246"/>
      <c r="M43" s="246"/>
      <c r="N43" s="246"/>
      <c r="O43" s="241" t="str">
        <f>W6&amp;" - "&amp;W12</f>
        <v>Collected household waste per person (kg) (Ex BVPI 84a) - 2022-23</v>
      </c>
      <c r="P43" s="241"/>
      <c r="Q43" s="241"/>
      <c r="R43" s="241"/>
      <c r="S43" s="241"/>
      <c r="T43" s="241"/>
      <c r="U43" s="241"/>
      <c r="V43" s="241"/>
      <c r="W43" s="241"/>
      <c r="X43" s="241"/>
      <c r="Y43" s="241"/>
      <c r="Z43" s="241"/>
      <c r="AA43" s="241"/>
      <c r="AB43" s="241"/>
      <c r="AC43" s="241"/>
      <c r="AD43" s="241"/>
      <c r="AE43" s="241"/>
      <c r="AF43" s="241"/>
      <c r="AG43" s="241"/>
      <c r="AH43" s="241"/>
      <c r="AI43" s="241"/>
      <c r="AJ43" s="241"/>
      <c r="AK43" s="241"/>
      <c r="AL43" s="241"/>
      <c r="AM43" s="242"/>
      <c r="AP43" s="60"/>
    </row>
    <row r="44" spans="2:16384">
      <c r="B44" s="247"/>
      <c r="C44" s="248"/>
      <c r="D44" s="248"/>
      <c r="E44" s="248"/>
      <c r="F44" s="248"/>
      <c r="G44" s="248"/>
      <c r="H44" s="248"/>
      <c r="I44" s="248"/>
      <c r="J44" s="248"/>
      <c r="K44" s="248"/>
      <c r="L44" s="248"/>
      <c r="M44" s="248"/>
      <c r="N44" s="248"/>
      <c r="O44" s="243"/>
      <c r="P44" s="243"/>
      <c r="Q44" s="243"/>
      <c r="R44" s="243"/>
      <c r="S44" s="243"/>
      <c r="T44" s="243"/>
      <c r="U44" s="243"/>
      <c r="V44" s="243"/>
      <c r="W44" s="243"/>
      <c r="X44" s="243"/>
      <c r="Y44" s="243"/>
      <c r="Z44" s="243"/>
      <c r="AA44" s="243"/>
      <c r="AB44" s="243"/>
      <c r="AC44" s="243"/>
      <c r="AD44" s="243"/>
      <c r="AE44" s="243"/>
      <c r="AF44" s="243"/>
      <c r="AG44" s="243"/>
      <c r="AH44" s="243"/>
      <c r="AI44" s="243"/>
      <c r="AJ44" s="243"/>
      <c r="AK44" s="243"/>
      <c r="AL44" s="243"/>
      <c r="AM44" s="244"/>
      <c r="AP44" s="60"/>
    </row>
    <row r="45" spans="2:16384">
      <c r="B45" s="5"/>
      <c r="K45" s="15"/>
      <c r="L45" s="15"/>
      <c r="M45" s="15"/>
      <c r="N45" s="15"/>
      <c r="AM45" s="6"/>
      <c r="AP45" s="60"/>
    </row>
    <row r="46" spans="2:16384">
      <c r="B46" s="5"/>
      <c r="K46" s="15"/>
      <c r="L46" s="15"/>
      <c r="M46" s="15"/>
      <c r="N46" s="15"/>
      <c r="AM46" s="6"/>
      <c r="AP46" s="60"/>
    </row>
    <row r="47" spans="2:16384">
      <c r="B47" s="5"/>
      <c r="D47" t="e">
        <f>IF((VLOOKUP(Profile!W6,'Indicator info'!B:C,4,FALSE))=".","",(VLOOKUP(Profile!W6,'Indicator info'!B:C,4,FALSE)))</f>
        <v>#REF!</v>
      </c>
      <c r="K47" s="15" t="s">
        <v>796</v>
      </c>
      <c r="L47" s="15"/>
      <c r="M47" s="15" t="s">
        <v>797</v>
      </c>
      <c r="N47" s="15"/>
      <c r="O47" t="s">
        <v>798</v>
      </c>
      <c r="AM47" s="6"/>
      <c r="AP47" s="60"/>
    </row>
    <row r="48" spans="2:16384">
      <c r="B48" s="5"/>
      <c r="D48" s="69" t="str">
        <f>B35</f>
        <v>Cheshire East</v>
      </c>
      <c r="E48" s="225">
        <f>IF('Filtered Data'!$H$8="..",L35,L35*100)</f>
        <v>442.4</v>
      </c>
      <c r="F48" s="225"/>
      <c r="G48" s="225"/>
      <c r="H48" s="225"/>
      <c r="K48" s="221">
        <f>IF('Filtered Data'!$H$8="..",K$32,K$32*100)</f>
        <v>365.57499999999999</v>
      </c>
      <c r="L48" s="221"/>
      <c r="M48" s="221">
        <f>IF('Filtered Data'!$H$8="..",T$32,T$32*100)</f>
        <v>393.15</v>
      </c>
      <c r="N48" s="221"/>
      <c r="O48" s="221">
        <f>IF('Filtered Data'!$H$8="..",AC$32,AC$32*100)</f>
        <v>425.45</v>
      </c>
      <c r="P48" s="221"/>
      <c r="AM48" s="6"/>
      <c r="AP48" s="60"/>
    </row>
    <row r="49" spans="2:42">
      <c r="B49" s="5"/>
      <c r="D49" t="str">
        <f>B37</f>
        <v>Unitaries</v>
      </c>
      <c r="E49" s="225">
        <f>IF('Filtered Data'!$H$8="..",L37,L37*100)</f>
        <v>394.4896551724139</v>
      </c>
      <c r="F49" s="225"/>
      <c r="G49" s="225"/>
      <c r="H49" s="225"/>
      <c r="K49" s="221">
        <f>IF('Filtered Data'!$H$8="..",K$32,K$32*100)</f>
        <v>365.57499999999999</v>
      </c>
      <c r="L49" s="221"/>
      <c r="M49" s="221">
        <f>IF('Filtered Data'!$H$8="..",T$32,T$32*100)</f>
        <v>393.15</v>
      </c>
      <c r="N49" s="221"/>
      <c r="O49" s="221">
        <f>IF('Filtered Data'!$H$8="..",AC$32,AC$32*100)</f>
        <v>425.45</v>
      </c>
      <c r="P49" s="221"/>
      <c r="AM49" s="6"/>
      <c r="AP49" s="60"/>
    </row>
    <row r="50" spans="2:42">
      <c r="B50" s="5"/>
      <c r="D50" s="69" t="str">
        <f>B39</f>
        <v>Regional</v>
      </c>
      <c r="E50" s="225">
        <f>IF('Filtered Data'!$H$8="..",L39,L39*100)</f>
        <v>414.13333333333338</v>
      </c>
      <c r="F50" s="225"/>
      <c r="G50" s="225"/>
      <c r="H50" s="225"/>
      <c r="K50" s="221">
        <f>IF('Filtered Data'!$H$8="..",K$32,K$32*100)</f>
        <v>365.57499999999999</v>
      </c>
      <c r="L50" s="221"/>
      <c r="M50" s="221">
        <f>IF('Filtered Data'!$H$8="..",T$32,T$32*100)</f>
        <v>393.15</v>
      </c>
      <c r="N50" s="221"/>
      <c r="O50" s="221">
        <f>IF('Filtered Data'!$H$8="..",AC$32,AC$32*100)</f>
        <v>425.45</v>
      </c>
      <c r="P50" s="221"/>
      <c r="AM50" s="6"/>
      <c r="AP50" s="60"/>
    </row>
    <row r="51" spans="2:42">
      <c r="B51" s="5"/>
      <c r="D51" s="214" t="str">
        <f>B38</f>
        <v>Rural</v>
      </c>
      <c r="E51" s="225">
        <f>IF('Filtered Data'!$H$8="..",L38,L38*100)</f>
        <v>424.12499999999989</v>
      </c>
      <c r="F51" s="225"/>
      <c r="G51" s="225"/>
      <c r="H51" s="225"/>
      <c r="K51" s="221">
        <f>IF('Filtered Data'!$H$8="..",K$32,K$32*100)</f>
        <v>365.57499999999999</v>
      </c>
      <c r="L51" s="221"/>
      <c r="M51" s="221">
        <f>IF('Filtered Data'!$H$8="..",T$32,T$32*100)</f>
        <v>393.15</v>
      </c>
      <c r="N51" s="221"/>
      <c r="O51" s="221">
        <f>IF('Filtered Data'!$H$8="..",AC$32,AC$32*100)</f>
        <v>425.45</v>
      </c>
      <c r="P51" s="221"/>
      <c r="AM51" s="6"/>
      <c r="AP51" s="60"/>
    </row>
    <row r="52" spans="2:42">
      <c r="B52" s="5"/>
      <c r="E52" s="225"/>
      <c r="F52" s="225"/>
      <c r="G52" s="225"/>
      <c r="H52" s="225"/>
      <c r="K52" s="221"/>
      <c r="L52" s="221"/>
      <c r="M52" s="221"/>
      <c r="N52" s="221"/>
      <c r="O52" s="221"/>
      <c r="P52" s="221"/>
      <c r="AM52" s="6"/>
      <c r="AP52" s="60"/>
    </row>
    <row r="53" spans="2:42">
      <c r="B53" s="5"/>
      <c r="E53" s="226"/>
      <c r="F53" s="226"/>
      <c r="G53" s="226"/>
      <c r="H53" s="226"/>
      <c r="K53" s="221"/>
      <c r="L53" s="221"/>
      <c r="M53" s="221"/>
      <c r="N53" s="221"/>
      <c r="O53" s="221"/>
      <c r="P53" s="221"/>
      <c r="AM53" s="6"/>
      <c r="AP53" s="60"/>
    </row>
    <row r="54" spans="2:42">
      <c r="B54" s="5"/>
      <c r="AM54" s="6"/>
      <c r="AP54" s="60"/>
    </row>
    <row r="55" spans="2:42">
      <c r="B55" s="5"/>
      <c r="AM55" s="6"/>
      <c r="AP55" s="60"/>
    </row>
    <row r="56" spans="2:42">
      <c r="B56" s="5"/>
      <c r="AM56" s="6"/>
      <c r="AP56" s="60"/>
    </row>
    <row r="57" spans="2:42">
      <c r="B57" s="7"/>
      <c r="C57" s="8"/>
      <c r="D57" s="8"/>
      <c r="E57" s="8"/>
      <c r="F57" s="8"/>
      <c r="G57" s="8"/>
      <c r="H57" s="8"/>
      <c r="I57" s="8"/>
      <c r="J57" s="8"/>
      <c r="K57" s="8"/>
      <c r="L57" s="8"/>
      <c r="M57" s="8"/>
      <c r="N57" s="8"/>
      <c r="O57" s="8"/>
      <c r="P57" s="8"/>
      <c r="Q57" s="8"/>
      <c r="R57" s="8"/>
      <c r="S57" s="8"/>
      <c r="T57" s="8"/>
      <c r="U57" s="8"/>
      <c r="V57" s="8"/>
      <c r="W57" s="8"/>
      <c r="X57" s="8"/>
      <c r="Y57" s="8"/>
      <c r="Z57" s="8"/>
      <c r="AA57" s="8"/>
      <c r="AB57" s="8"/>
      <c r="AC57" s="8"/>
      <c r="AD57" s="8"/>
      <c r="AE57" s="8"/>
      <c r="AF57" s="8"/>
      <c r="AG57" s="8"/>
      <c r="AH57" s="8"/>
      <c r="AI57" s="8"/>
      <c r="AJ57" s="8"/>
      <c r="AK57" s="8"/>
      <c r="AL57" s="8"/>
      <c r="AM57" s="9"/>
      <c r="AP57" s="60"/>
    </row>
    <row r="58" spans="2:42">
      <c r="AP58" s="60"/>
    </row>
    <row r="59" spans="2:42" ht="19.5" customHeight="1">
      <c r="B59" s="224" t="str">
        <f>B3</f>
        <v>Waste Management Indicators</v>
      </c>
      <c r="C59" s="224"/>
      <c r="D59" s="224"/>
      <c r="E59" s="224"/>
      <c r="F59" s="224"/>
      <c r="G59" s="224"/>
      <c r="H59" s="224"/>
      <c r="I59" s="224"/>
      <c r="J59" s="224"/>
      <c r="K59" s="224"/>
      <c r="L59" s="224"/>
      <c r="M59" s="224"/>
      <c r="N59" s="224"/>
      <c r="O59" s="224"/>
      <c r="P59" s="224"/>
      <c r="Q59" s="224"/>
      <c r="R59" s="224"/>
      <c r="S59" s="224"/>
      <c r="T59" s="224"/>
      <c r="U59" s="224"/>
      <c r="V59" s="224"/>
      <c r="W59" s="224"/>
      <c r="X59" s="224"/>
      <c r="Y59" s="224"/>
      <c r="Z59" s="224"/>
      <c r="AA59" s="224"/>
      <c r="AB59" s="224"/>
      <c r="AC59" s="224"/>
      <c r="AD59" s="224"/>
      <c r="AE59" s="224"/>
      <c r="AF59" s="224"/>
      <c r="AG59" s="224"/>
      <c r="AH59" s="224"/>
      <c r="AI59" s="224"/>
      <c r="AJ59" s="224"/>
      <c r="AK59" s="224"/>
      <c r="AL59" s="224"/>
      <c r="AM59" s="224"/>
      <c r="AN59" s="224"/>
      <c r="AP59" s="60"/>
    </row>
    <row r="60" spans="2:42">
      <c r="AP60" s="60"/>
    </row>
    <row r="61" spans="2:42" ht="12" customHeight="1">
      <c r="B61" s="1" t="str">
        <f>W6&amp;" - "&amp;W12</f>
        <v>Collected household waste per person (kg) (Ex BVPI 84a) - 2022-23</v>
      </c>
      <c r="AP61" s="60"/>
    </row>
    <row r="62" spans="2:42" ht="12" customHeight="1">
      <c r="AP62" s="60"/>
    </row>
    <row r="63" spans="2:42" ht="12" customHeight="1">
      <c r="B63" s="1" t="s">
        <v>364</v>
      </c>
      <c r="AP63" s="60"/>
    </row>
    <row r="64" spans="2:42" ht="12" customHeight="1">
      <c r="AP64" s="60"/>
    </row>
    <row r="65" spans="2:42" ht="12" customHeight="1">
      <c r="B65" s="219" t="s">
        <v>355</v>
      </c>
      <c r="C65" s="219"/>
      <c r="D65" s="219"/>
      <c r="E65" s="227" t="s">
        <v>334</v>
      </c>
      <c r="F65" s="227"/>
      <c r="G65" s="227"/>
      <c r="H65" s="227"/>
      <c r="I65" s="227"/>
      <c r="J65" s="227"/>
      <c r="K65" s="227"/>
      <c r="L65" s="227"/>
      <c r="M65" s="227"/>
      <c r="N65" s="227"/>
      <c r="O65" s="227"/>
      <c r="P65" s="227"/>
      <c r="Q65" s="227"/>
      <c r="R65" s="227"/>
      <c r="S65" s="227"/>
      <c r="T65" s="227"/>
      <c r="U65" s="219" t="s">
        <v>365</v>
      </c>
      <c r="V65" s="219"/>
      <c r="W65" s="219"/>
      <c r="X65" s="219"/>
      <c r="Y65" s="1"/>
      <c r="Z65" s="1"/>
      <c r="AA65" s="1"/>
      <c r="AB65" s="1"/>
      <c r="AC65" s="4"/>
      <c r="AD65" s="1"/>
      <c r="AE65" s="1"/>
      <c r="AF65" s="1"/>
      <c r="AG65" s="1"/>
      <c r="AI65" s="1"/>
      <c r="AJ65" s="1"/>
      <c r="AK65" s="1"/>
      <c r="AL65" s="1"/>
      <c r="AP65" s="60"/>
    </row>
    <row r="66" spans="2:42" ht="12" customHeight="1">
      <c r="B66" s="220">
        <v>1</v>
      </c>
      <c r="C66" s="221"/>
      <c r="D66" s="221"/>
      <c r="E66" s="218" t="str">
        <f>VLOOKUP(B66,'Filtered Data'!K:L,2,FALSE)</f>
        <v>Reading</v>
      </c>
      <c r="F66" s="218"/>
      <c r="G66" s="218"/>
      <c r="H66" s="218"/>
      <c r="I66" s="218"/>
      <c r="J66" s="218"/>
      <c r="K66" s="218"/>
      <c r="L66" s="218"/>
      <c r="M66" s="218"/>
      <c r="N66" s="218"/>
      <c r="O66" s="218"/>
      <c r="P66" s="218"/>
      <c r="Q66" s="218"/>
      <c r="R66" s="218"/>
      <c r="S66" s="218"/>
      <c r="T66" s="218"/>
      <c r="U66" s="217">
        <f>IF('Filtered Data'!$H$8="%.",(VLOOKUP(B66,'Filtered Data'!K:M,3,FALSE))/100,VLOOKUP(B66,'Filtered Data'!K:M,3,FALSE))</f>
        <v>302</v>
      </c>
      <c r="V66" s="217"/>
      <c r="W66" s="217"/>
      <c r="X66" s="217"/>
      <c r="Y66" s="136" t="str">
        <f>IF((VLOOKUP(E66,classifications!C:K,9,FALSE))="Sparse","S","")</f>
        <v/>
      </c>
      <c r="Z66" s="136"/>
      <c r="AA66" s="136"/>
      <c r="AB66" s="136"/>
      <c r="AC66" s="136"/>
      <c r="AD66" s="237"/>
      <c r="AE66" s="237"/>
      <c r="AF66" s="237"/>
      <c r="AG66" s="237"/>
      <c r="AH66" s="237"/>
      <c r="AI66" s="237"/>
      <c r="AJ66" s="237"/>
      <c r="AK66" s="237"/>
      <c r="AL66" s="237"/>
      <c r="AP66" s="60"/>
    </row>
    <row r="67" spans="2:42" ht="12" customHeight="1">
      <c r="B67" s="220">
        <v>2</v>
      </c>
      <c r="C67" s="221"/>
      <c r="D67" s="221"/>
      <c r="E67" s="218" t="str">
        <f>VLOOKUP(B67,'Filtered Data'!K:L,2,FALSE)</f>
        <v>Slough</v>
      </c>
      <c r="F67" s="218"/>
      <c r="G67" s="218"/>
      <c r="H67" s="218"/>
      <c r="I67" s="218"/>
      <c r="J67" s="218"/>
      <c r="K67" s="218"/>
      <c r="L67" s="218"/>
      <c r="M67" s="218"/>
      <c r="N67" s="218"/>
      <c r="O67" s="218"/>
      <c r="P67" s="218"/>
      <c r="Q67" s="218"/>
      <c r="R67" s="218"/>
      <c r="S67" s="218"/>
      <c r="T67" s="218"/>
      <c r="U67" s="217">
        <f>IF('Filtered Data'!$H$8="%.",(VLOOKUP(B67,'Filtered Data'!K:M,3,FALSE))/100,VLOOKUP(B67,'Filtered Data'!K:M,3,FALSE))</f>
        <v>310.8</v>
      </c>
      <c r="V67" s="217"/>
      <c r="W67" s="217"/>
      <c r="X67" s="217"/>
      <c r="Y67" s="136" t="str">
        <f>IF((VLOOKUP(E67,classifications!C:K,9,FALSE))="Sparse","S","")</f>
        <v/>
      </c>
      <c r="Z67" s="136"/>
      <c r="AA67" s="136"/>
      <c r="AB67" s="136"/>
      <c r="AC67" s="136"/>
      <c r="AD67" s="237"/>
      <c r="AE67" s="237"/>
      <c r="AF67" s="237"/>
      <c r="AG67" s="237"/>
      <c r="AH67" s="237"/>
      <c r="AI67" s="237"/>
      <c r="AJ67" s="237"/>
      <c r="AK67" s="237"/>
      <c r="AL67" s="237"/>
      <c r="AP67" s="60"/>
    </row>
    <row r="68" spans="2:42" ht="12" customHeight="1">
      <c r="B68" s="220">
        <v>3</v>
      </c>
      <c r="C68" s="221"/>
      <c r="D68" s="221"/>
      <c r="E68" s="218" t="str">
        <f>VLOOKUP(B68,'Filtered Data'!K:L,2,FALSE)</f>
        <v>Bristol</v>
      </c>
      <c r="F68" s="218"/>
      <c r="G68" s="218"/>
      <c r="H68" s="218"/>
      <c r="I68" s="218"/>
      <c r="J68" s="218"/>
      <c r="K68" s="218"/>
      <c r="L68" s="218"/>
      <c r="M68" s="218"/>
      <c r="N68" s="218"/>
      <c r="O68" s="218"/>
      <c r="P68" s="218"/>
      <c r="Q68" s="218"/>
      <c r="R68" s="218"/>
      <c r="S68" s="218"/>
      <c r="T68" s="218"/>
      <c r="U68" s="217">
        <f>IF('Filtered Data'!$H$8="%.",(VLOOKUP(B68,'Filtered Data'!K:M,3,FALSE))/100,VLOOKUP(B68,'Filtered Data'!K:M,3,FALSE))</f>
        <v>322</v>
      </c>
      <c r="V68" s="217"/>
      <c r="W68" s="217"/>
      <c r="X68" s="217"/>
      <c r="Y68" s="136" t="str">
        <f>IF((VLOOKUP(E68,classifications!C:K,9,FALSE))="Sparse","S","")</f>
        <v/>
      </c>
      <c r="Z68" s="136"/>
      <c r="AA68" s="136"/>
      <c r="AB68" s="136"/>
      <c r="AC68" s="136"/>
      <c r="AD68" s="237"/>
      <c r="AE68" s="237"/>
      <c r="AF68" s="237"/>
      <c r="AG68" s="237"/>
      <c r="AH68" s="237"/>
      <c r="AI68" s="237"/>
      <c r="AJ68" s="237"/>
      <c r="AK68" s="237"/>
      <c r="AL68" s="237"/>
      <c r="AP68" s="60"/>
    </row>
    <row r="69" spans="2:42" ht="12" customHeight="1">
      <c r="B69" s="220">
        <v>4</v>
      </c>
      <c r="C69" s="221"/>
      <c r="D69" s="221"/>
      <c r="E69" s="218" t="str">
        <f>VLOOKUP(B69,'Filtered Data'!K:L,2,FALSE)</f>
        <v>Luton</v>
      </c>
      <c r="F69" s="218"/>
      <c r="G69" s="218"/>
      <c r="H69" s="218"/>
      <c r="I69" s="218"/>
      <c r="J69" s="218"/>
      <c r="K69" s="218"/>
      <c r="L69" s="218"/>
      <c r="M69" s="218"/>
      <c r="N69" s="218"/>
      <c r="O69" s="218"/>
      <c r="P69" s="218"/>
      <c r="Q69" s="218"/>
      <c r="R69" s="218"/>
      <c r="S69" s="218"/>
      <c r="T69" s="218"/>
      <c r="U69" s="217">
        <f>IF('Filtered Data'!$H$8="%.",(VLOOKUP(B69,'Filtered Data'!K:M,3,FALSE))/100,VLOOKUP(B69,'Filtered Data'!K:M,3,FALSE))</f>
        <v>328.3</v>
      </c>
      <c r="V69" s="217"/>
      <c r="W69" s="217"/>
      <c r="X69" s="217"/>
      <c r="Y69" s="136" t="str">
        <f>IF((VLOOKUP(E69,classifications!C:K,9,FALSE))="Sparse","S","")</f>
        <v/>
      </c>
      <c r="Z69" s="136"/>
      <c r="AA69" s="136"/>
      <c r="AB69" s="136"/>
      <c r="AC69" s="136"/>
      <c r="AD69" s="237"/>
      <c r="AE69" s="237"/>
      <c r="AF69" s="237"/>
      <c r="AG69" s="237"/>
      <c r="AH69" s="237"/>
      <c r="AI69" s="237"/>
      <c r="AJ69" s="237"/>
      <c r="AK69" s="237"/>
      <c r="AL69" s="237"/>
      <c r="AP69" s="60"/>
    </row>
    <row r="70" spans="2:42" ht="12" customHeight="1">
      <c r="B70" s="220">
        <v>5</v>
      </c>
      <c r="C70" s="221"/>
      <c r="D70" s="221"/>
      <c r="E70" s="218" t="str">
        <f>VLOOKUP(B70,'Filtered Data'!K:L,2,FALSE)</f>
        <v>Leicester</v>
      </c>
      <c r="F70" s="218"/>
      <c r="G70" s="218"/>
      <c r="H70" s="218"/>
      <c r="I70" s="218"/>
      <c r="J70" s="218"/>
      <c r="K70" s="218"/>
      <c r="L70" s="218"/>
      <c r="M70" s="218"/>
      <c r="N70" s="218"/>
      <c r="O70" s="218"/>
      <c r="P70" s="218"/>
      <c r="Q70" s="218"/>
      <c r="R70" s="218"/>
      <c r="S70" s="218"/>
      <c r="T70" s="218"/>
      <c r="U70" s="217">
        <f>IF('Filtered Data'!$H$8="%.",(VLOOKUP(B70,'Filtered Data'!K:M,3,FALSE))/100,VLOOKUP(B70,'Filtered Data'!K:M,3,FALSE))</f>
        <v>329.6</v>
      </c>
      <c r="V70" s="217"/>
      <c r="W70" s="217"/>
      <c r="X70" s="217"/>
      <c r="Y70" s="136" t="str">
        <f>IF((VLOOKUP(E70,classifications!C:K,9,FALSE))="Sparse","S","")</f>
        <v/>
      </c>
      <c r="Z70" s="136"/>
      <c r="AA70" s="136"/>
      <c r="AB70" s="136"/>
      <c r="AC70" s="136"/>
      <c r="AD70" s="237"/>
      <c r="AE70" s="237"/>
      <c r="AF70" s="237"/>
      <c r="AG70" s="237"/>
      <c r="AH70" s="237"/>
      <c r="AI70" s="237"/>
      <c r="AJ70" s="237"/>
      <c r="AK70" s="237"/>
      <c r="AL70" s="237"/>
      <c r="AP70" s="60"/>
    </row>
    <row r="71" spans="2:42" ht="12" customHeight="1">
      <c r="B71" s="220">
        <v>6</v>
      </c>
      <c r="C71" s="221"/>
      <c r="D71" s="221"/>
      <c r="E71" s="218" t="str">
        <f>VLOOKUP(B71,'Filtered Data'!K:L,2,FALSE)</f>
        <v>Portsmouth</v>
      </c>
      <c r="F71" s="218"/>
      <c r="G71" s="218"/>
      <c r="H71" s="218"/>
      <c r="I71" s="218"/>
      <c r="J71" s="218"/>
      <c r="K71" s="218"/>
      <c r="L71" s="218"/>
      <c r="M71" s="218"/>
      <c r="N71" s="218"/>
      <c r="O71" s="218"/>
      <c r="P71" s="218"/>
      <c r="Q71" s="218"/>
      <c r="R71" s="218"/>
      <c r="S71" s="218"/>
      <c r="T71" s="218"/>
      <c r="U71" s="217">
        <f>IF('Filtered Data'!$H$8="%.",(VLOOKUP(B71,'Filtered Data'!K:M,3,FALSE))/100,VLOOKUP(B71,'Filtered Data'!K:M,3,FALSE))</f>
        <v>332</v>
      </c>
      <c r="V71" s="217"/>
      <c r="W71" s="217"/>
      <c r="X71" s="217"/>
      <c r="Y71" s="136" t="str">
        <f>IF((VLOOKUP(E71,classifications!C:K,9,FALSE))="Sparse","S","")</f>
        <v/>
      </c>
      <c r="Z71" s="136"/>
      <c r="AA71" s="136"/>
      <c r="AB71" s="136"/>
      <c r="AC71" s="136"/>
      <c r="AD71" s="237"/>
      <c r="AE71" s="237"/>
      <c r="AF71" s="237"/>
      <c r="AG71" s="237"/>
      <c r="AH71" s="237"/>
      <c r="AI71" s="237"/>
      <c r="AJ71" s="237"/>
      <c r="AK71" s="237"/>
      <c r="AL71" s="237"/>
      <c r="AP71" s="60"/>
    </row>
    <row r="72" spans="2:42" ht="12" customHeight="1">
      <c r="B72" s="220">
        <v>7</v>
      </c>
      <c r="C72" s="221"/>
      <c r="D72" s="221"/>
      <c r="E72" s="218" t="str">
        <f>VLOOKUP(B72,'Filtered Data'!K:L,2,FALSE)</f>
        <v>Blackburn with Darwen</v>
      </c>
      <c r="F72" s="218"/>
      <c r="G72" s="218"/>
      <c r="H72" s="218"/>
      <c r="I72" s="218"/>
      <c r="J72" s="218"/>
      <c r="K72" s="218"/>
      <c r="L72" s="218"/>
      <c r="M72" s="218"/>
      <c r="N72" s="218"/>
      <c r="O72" s="218"/>
      <c r="P72" s="218"/>
      <c r="Q72" s="218"/>
      <c r="R72" s="218"/>
      <c r="S72" s="218"/>
      <c r="T72" s="218"/>
      <c r="U72" s="217">
        <f>IF('Filtered Data'!$H$8="%.",(VLOOKUP(B72,'Filtered Data'!K:M,3,FALSE))/100,VLOOKUP(B72,'Filtered Data'!K:M,3,FALSE))</f>
        <v>339.7</v>
      </c>
      <c r="V72" s="217"/>
      <c r="W72" s="217"/>
      <c r="X72" s="217"/>
      <c r="Y72" s="136" t="str">
        <f>IF((VLOOKUP(E72,classifications!C:K,9,FALSE))="Sparse","S","")</f>
        <v/>
      </c>
      <c r="Z72" s="136"/>
      <c r="AA72" s="136"/>
      <c r="AB72" s="136"/>
      <c r="AC72" s="136"/>
      <c r="AD72" s="237"/>
      <c r="AE72" s="237"/>
      <c r="AF72" s="237"/>
      <c r="AG72" s="237"/>
      <c r="AH72" s="237"/>
      <c r="AI72" s="237"/>
      <c r="AJ72" s="237"/>
      <c r="AK72" s="237"/>
      <c r="AL72" s="237"/>
      <c r="AP72" s="60"/>
    </row>
    <row r="73" spans="2:42" ht="12" customHeight="1">
      <c r="B73" s="220">
        <v>8</v>
      </c>
      <c r="C73" s="221"/>
      <c r="D73" s="221"/>
      <c r="E73" s="218" t="str">
        <f>VLOOKUP(B73,'Filtered Data'!K:L,2,FALSE)</f>
        <v>Southampton</v>
      </c>
      <c r="F73" s="218"/>
      <c r="G73" s="218"/>
      <c r="H73" s="218"/>
      <c r="I73" s="218"/>
      <c r="J73" s="218"/>
      <c r="K73" s="218"/>
      <c r="L73" s="218"/>
      <c r="M73" s="218"/>
      <c r="N73" s="218"/>
      <c r="O73" s="218"/>
      <c r="P73" s="218"/>
      <c r="Q73" s="218"/>
      <c r="R73" s="218"/>
      <c r="S73" s="218"/>
      <c r="T73" s="218"/>
      <c r="U73" s="217">
        <f>IF('Filtered Data'!$H$8="%.",(VLOOKUP(B73,'Filtered Data'!K:M,3,FALSE))/100,VLOOKUP(B73,'Filtered Data'!K:M,3,FALSE))</f>
        <v>340.8</v>
      </c>
      <c r="V73" s="217"/>
      <c r="W73" s="217"/>
      <c r="X73" s="217"/>
      <c r="Y73" s="136" t="str">
        <f>IF((VLOOKUP(E73,classifications!C:K,9,FALSE))="Sparse","S","")</f>
        <v/>
      </c>
      <c r="Z73" s="136"/>
      <c r="AA73" s="136"/>
      <c r="AB73" s="136"/>
      <c r="AC73" s="136"/>
      <c r="AD73" s="237"/>
      <c r="AE73" s="237"/>
      <c r="AF73" s="237"/>
      <c r="AG73" s="237"/>
      <c r="AH73" s="237"/>
      <c r="AI73" s="237"/>
      <c r="AJ73" s="237"/>
      <c r="AK73" s="237"/>
      <c r="AL73" s="237"/>
      <c r="AP73" s="60"/>
    </row>
    <row r="74" spans="2:42" ht="12" customHeight="1">
      <c r="B74" s="220">
        <v>9</v>
      </c>
      <c r="C74" s="221"/>
      <c r="D74" s="221"/>
      <c r="E74" s="218" t="str">
        <f>VLOOKUP(B74,'Filtered Data'!K:L,2,FALSE)</f>
        <v>Nottingham</v>
      </c>
      <c r="F74" s="218"/>
      <c r="G74" s="218"/>
      <c r="H74" s="218"/>
      <c r="I74" s="218"/>
      <c r="J74" s="218"/>
      <c r="K74" s="218"/>
      <c r="L74" s="218"/>
      <c r="M74" s="218"/>
      <c r="N74" s="218"/>
      <c r="O74" s="218"/>
      <c r="P74" s="218"/>
      <c r="Q74" s="218"/>
      <c r="R74" s="218"/>
      <c r="S74" s="218"/>
      <c r="T74" s="218"/>
      <c r="U74" s="217">
        <f>IF('Filtered Data'!$H$8="%.",(VLOOKUP(B74,'Filtered Data'!K:M,3,FALSE))/100,VLOOKUP(B74,'Filtered Data'!K:M,3,FALSE))</f>
        <v>340.9</v>
      </c>
      <c r="V74" s="217"/>
      <c r="W74" s="217"/>
      <c r="X74" s="217"/>
      <c r="Y74" s="136" t="str">
        <f>IF((VLOOKUP(E74,classifications!C:K,9,FALSE))="Sparse","S","")</f>
        <v/>
      </c>
      <c r="Z74" s="136"/>
      <c r="AA74" s="136"/>
      <c r="AB74" s="136"/>
      <c r="AC74" s="136"/>
      <c r="AD74" s="237"/>
      <c r="AE74" s="237"/>
      <c r="AF74" s="237"/>
      <c r="AG74" s="237"/>
      <c r="AH74" s="237"/>
      <c r="AI74" s="237"/>
      <c r="AJ74" s="237"/>
      <c r="AK74" s="237"/>
      <c r="AL74" s="237"/>
      <c r="AP74" s="60"/>
    </row>
    <row r="75" spans="2:42" ht="12" customHeight="1">
      <c r="B75" s="220">
        <v>10</v>
      </c>
      <c r="C75" s="221"/>
      <c r="D75" s="221"/>
      <c r="E75" s="218" t="str">
        <f>VLOOKUP(B75,'Filtered Data'!K:L,2,FALSE)</f>
        <v>Bath &amp; North East Somerset</v>
      </c>
      <c r="F75" s="218"/>
      <c r="G75" s="218"/>
      <c r="H75" s="218"/>
      <c r="I75" s="218"/>
      <c r="J75" s="218"/>
      <c r="K75" s="218"/>
      <c r="L75" s="218"/>
      <c r="M75" s="218"/>
      <c r="N75" s="218"/>
      <c r="O75" s="218"/>
      <c r="P75" s="218"/>
      <c r="Q75" s="218"/>
      <c r="R75" s="218"/>
      <c r="S75" s="218"/>
      <c r="T75" s="218"/>
      <c r="U75" s="217">
        <f>IF('Filtered Data'!$H$8="%.",(VLOOKUP(B75,'Filtered Data'!K:M,3,FALSE))/100,VLOOKUP(B75,'Filtered Data'!K:M,3,FALSE))</f>
        <v>360.1</v>
      </c>
      <c r="V75" s="217"/>
      <c r="W75" s="217"/>
      <c r="X75" s="217"/>
      <c r="Y75" s="136" t="str">
        <f>IF((VLOOKUP(E75,classifications!C:K,9,FALSE))="Sparse","S","")</f>
        <v/>
      </c>
      <c r="Z75" s="136"/>
      <c r="AA75" s="136"/>
      <c r="AB75" s="136"/>
      <c r="AC75" s="136"/>
      <c r="AD75" s="237"/>
      <c r="AE75" s="237"/>
      <c r="AF75" s="237"/>
      <c r="AG75" s="237"/>
      <c r="AH75" s="237"/>
      <c r="AI75" s="237"/>
      <c r="AJ75" s="237"/>
      <c r="AK75" s="237"/>
      <c r="AL75" s="237"/>
      <c r="AP75" s="60"/>
    </row>
    <row r="76" spans="2:42" ht="12" customHeight="1">
      <c r="B76" s="220">
        <v>11</v>
      </c>
      <c r="C76" s="221"/>
      <c r="D76" s="221"/>
      <c r="E76" s="218" t="str">
        <f>VLOOKUP(B76,'Filtered Data'!K:L,2,FALSE)</f>
        <v>Wokingham</v>
      </c>
      <c r="F76" s="218"/>
      <c r="G76" s="218"/>
      <c r="H76" s="218"/>
      <c r="I76" s="218"/>
      <c r="J76" s="218"/>
      <c r="K76" s="218"/>
      <c r="L76" s="218"/>
      <c r="M76" s="218"/>
      <c r="N76" s="218"/>
      <c r="O76" s="218"/>
      <c r="P76" s="218"/>
      <c r="Q76" s="218"/>
      <c r="R76" s="218"/>
      <c r="S76" s="218"/>
      <c r="T76" s="218"/>
      <c r="U76" s="217">
        <f>IF('Filtered Data'!$H$8="%.",(VLOOKUP(B76,'Filtered Data'!K:M,3,FALSE))/100,VLOOKUP(B76,'Filtered Data'!K:M,3,FALSE))</f>
        <v>361.1</v>
      </c>
      <c r="V76" s="217"/>
      <c r="W76" s="217"/>
      <c r="X76" s="217"/>
      <c r="Y76" s="136" t="str">
        <f>IF((VLOOKUP(E76,classifications!C:K,9,FALSE))="Sparse","S","")</f>
        <v/>
      </c>
      <c r="Z76" s="136"/>
      <c r="AA76" s="136"/>
      <c r="AB76" s="136"/>
      <c r="AC76" s="136"/>
      <c r="AD76" s="237"/>
      <c r="AE76" s="237"/>
      <c r="AF76" s="237"/>
      <c r="AG76" s="237"/>
      <c r="AH76" s="237"/>
      <c r="AI76" s="237"/>
      <c r="AJ76" s="237"/>
      <c r="AK76" s="237"/>
      <c r="AL76" s="237"/>
      <c r="AP76" s="60"/>
    </row>
    <row r="77" spans="2:42" ht="12" customHeight="1">
      <c r="B77" s="220">
        <v>12</v>
      </c>
      <c r="C77" s="221"/>
      <c r="D77" s="221"/>
      <c r="E77" s="218" t="str">
        <f>VLOOKUP(B77,'Filtered Data'!K:L,2,FALSE)</f>
        <v>Bracknell Forest</v>
      </c>
      <c r="F77" s="218"/>
      <c r="G77" s="218"/>
      <c r="H77" s="218"/>
      <c r="I77" s="218"/>
      <c r="J77" s="218"/>
      <c r="K77" s="218"/>
      <c r="L77" s="218"/>
      <c r="M77" s="218"/>
      <c r="N77" s="218"/>
      <c r="O77" s="218"/>
      <c r="P77" s="218"/>
      <c r="Q77" s="218"/>
      <c r="R77" s="218"/>
      <c r="S77" s="218"/>
      <c r="T77" s="218"/>
      <c r="U77" s="217">
        <f>IF('Filtered Data'!$H$8="%.",(VLOOKUP(B77,'Filtered Data'!K:M,3,FALSE))/100,VLOOKUP(B77,'Filtered Data'!K:M,3,FALSE))</f>
        <v>362.3</v>
      </c>
      <c r="V77" s="217"/>
      <c r="W77" s="217"/>
      <c r="X77" s="217"/>
      <c r="Y77" s="136" t="str">
        <f>IF((VLOOKUP(E77,classifications!C:K,9,FALSE))="Sparse","S","")</f>
        <v/>
      </c>
      <c r="Z77" s="136"/>
      <c r="AA77" s="136"/>
      <c r="AB77" s="136"/>
      <c r="AC77" s="136"/>
      <c r="AD77" s="237"/>
      <c r="AE77" s="237"/>
      <c r="AF77" s="237"/>
      <c r="AG77" s="237"/>
      <c r="AH77" s="237"/>
      <c r="AI77" s="237"/>
      <c r="AJ77" s="237"/>
      <c r="AK77" s="237"/>
      <c r="AL77" s="237"/>
      <c r="AP77" s="60"/>
    </row>
    <row r="78" spans="2:42" ht="12" customHeight="1">
      <c r="B78" s="220">
        <v>13</v>
      </c>
      <c r="C78" s="221"/>
      <c r="D78" s="221"/>
      <c r="E78" s="218" t="str">
        <f>VLOOKUP(B78,'Filtered Data'!K:L,2,FALSE)</f>
        <v>Swindon</v>
      </c>
      <c r="F78" s="218"/>
      <c r="G78" s="218"/>
      <c r="H78" s="218"/>
      <c r="I78" s="218"/>
      <c r="J78" s="218"/>
      <c r="K78" s="218"/>
      <c r="L78" s="218"/>
      <c r="M78" s="218"/>
      <c r="N78" s="218"/>
      <c r="O78" s="218"/>
      <c r="P78" s="218"/>
      <c r="Q78" s="218"/>
      <c r="R78" s="218"/>
      <c r="S78" s="218"/>
      <c r="T78" s="218"/>
      <c r="U78" s="217">
        <f>IF('Filtered Data'!$H$8="%.",(VLOOKUP(B78,'Filtered Data'!K:M,3,FALSE))/100,VLOOKUP(B78,'Filtered Data'!K:M,3,FALSE))</f>
        <v>362.9</v>
      </c>
      <c r="V78" s="217"/>
      <c r="W78" s="217"/>
      <c r="X78" s="217"/>
      <c r="Y78" s="136" t="str">
        <f>IF((VLOOKUP(E78,classifications!C:K,9,FALSE))="Sparse","S","")</f>
        <v/>
      </c>
      <c r="Z78" s="136"/>
      <c r="AA78" s="136"/>
      <c r="AB78" s="136"/>
      <c r="AC78" s="136"/>
      <c r="AD78" s="237"/>
      <c r="AE78" s="237"/>
      <c r="AF78" s="237"/>
      <c r="AG78" s="237"/>
      <c r="AH78" s="237"/>
      <c r="AI78" s="237"/>
      <c r="AJ78" s="237"/>
      <c r="AK78" s="237"/>
      <c r="AL78" s="237"/>
      <c r="AP78" s="60"/>
    </row>
    <row r="79" spans="2:42" ht="12" customHeight="1">
      <c r="B79" s="220">
        <v>14</v>
      </c>
      <c r="C79" s="221"/>
      <c r="D79" s="221"/>
      <c r="E79" s="218" t="str">
        <f>VLOOKUP(B79,'Filtered Data'!K:L,2,FALSE)</f>
        <v>Brighton &amp; Hove</v>
      </c>
      <c r="F79" s="218"/>
      <c r="G79" s="218"/>
      <c r="H79" s="218"/>
      <c r="I79" s="218"/>
      <c r="J79" s="218"/>
      <c r="K79" s="218"/>
      <c r="L79" s="218"/>
      <c r="M79" s="218"/>
      <c r="N79" s="218"/>
      <c r="O79" s="218"/>
      <c r="P79" s="218"/>
      <c r="Q79" s="218"/>
      <c r="R79" s="218"/>
      <c r="S79" s="218"/>
      <c r="T79" s="218"/>
      <c r="U79" s="217">
        <f>IF('Filtered Data'!$H$8="%.",(VLOOKUP(B79,'Filtered Data'!K:M,3,FALSE))/100,VLOOKUP(B79,'Filtered Data'!K:M,3,FALSE))</f>
        <v>363.3</v>
      </c>
      <c r="V79" s="217"/>
      <c r="W79" s="217"/>
      <c r="X79" s="217"/>
      <c r="Y79" s="136" t="str">
        <f>IF((VLOOKUP(E79,classifications!C:K,9,FALSE))="Sparse","S","")</f>
        <v/>
      </c>
      <c r="Z79" s="136"/>
      <c r="AA79" s="136"/>
      <c r="AB79" s="136"/>
      <c r="AC79" s="136"/>
      <c r="AD79" s="237"/>
      <c r="AE79" s="237"/>
      <c r="AF79" s="237"/>
      <c r="AG79" s="237"/>
      <c r="AH79" s="237"/>
      <c r="AI79" s="237"/>
      <c r="AJ79" s="237"/>
      <c r="AK79" s="237"/>
      <c r="AL79" s="237"/>
      <c r="AP79" s="60"/>
    </row>
    <row r="80" spans="2:42" ht="12" customHeight="1">
      <c r="B80" s="220">
        <v>15</v>
      </c>
      <c r="C80" s="221"/>
      <c r="D80" s="221"/>
      <c r="E80" s="218" t="str">
        <f>VLOOKUP(B80,'Filtered Data'!K:L,2,FALSE)</f>
        <v>Herefordshire</v>
      </c>
      <c r="F80" s="218"/>
      <c r="G80" s="218"/>
      <c r="H80" s="218"/>
      <c r="I80" s="218"/>
      <c r="J80" s="218"/>
      <c r="K80" s="218"/>
      <c r="L80" s="218"/>
      <c r="M80" s="218"/>
      <c r="N80" s="218"/>
      <c r="O80" s="218"/>
      <c r="P80" s="218"/>
      <c r="Q80" s="218"/>
      <c r="R80" s="218"/>
      <c r="S80" s="218"/>
      <c r="T80" s="218"/>
      <c r="U80" s="217">
        <f>IF('Filtered Data'!$H$8="%.",(VLOOKUP(B80,'Filtered Data'!K:M,3,FALSE))/100,VLOOKUP(B80,'Filtered Data'!K:M,3,FALSE))</f>
        <v>363.4</v>
      </c>
      <c r="V80" s="217"/>
      <c r="W80" s="217"/>
      <c r="X80" s="217"/>
      <c r="Y80" s="136" t="str">
        <f>IF((VLOOKUP(E80,classifications!C:K,9,FALSE))="Sparse","S","")</f>
        <v>S</v>
      </c>
      <c r="Z80" s="136"/>
      <c r="AA80" s="136"/>
      <c r="AB80" s="136"/>
      <c r="AC80" s="136"/>
      <c r="AD80" s="237"/>
      <c r="AE80" s="237"/>
      <c r="AF80" s="237"/>
      <c r="AG80" s="237"/>
      <c r="AH80" s="237"/>
      <c r="AI80" s="237"/>
      <c r="AJ80" s="237"/>
      <c r="AK80" s="237"/>
      <c r="AL80" s="237"/>
      <c r="AP80" s="60"/>
    </row>
    <row r="81" spans="1:48" ht="12" customHeight="1">
      <c r="B81" s="220">
        <v>16</v>
      </c>
      <c r="C81" s="221"/>
      <c r="D81" s="221"/>
      <c r="E81" s="218" t="str">
        <f>VLOOKUP(B81,'Filtered Data'!K:L,2,FALSE)</f>
        <v>Derby</v>
      </c>
      <c r="F81" s="218"/>
      <c r="G81" s="218"/>
      <c r="H81" s="218"/>
      <c r="I81" s="218"/>
      <c r="J81" s="218"/>
      <c r="K81" s="218"/>
      <c r="L81" s="218"/>
      <c r="M81" s="218"/>
      <c r="N81" s="218"/>
      <c r="O81" s="218"/>
      <c r="P81" s="218"/>
      <c r="Q81" s="218"/>
      <c r="R81" s="218"/>
      <c r="S81" s="218"/>
      <c r="T81" s="218"/>
      <c r="U81" s="217">
        <f>IF('Filtered Data'!$H$8="%.",(VLOOKUP(B81,'Filtered Data'!K:M,3,FALSE))/100,VLOOKUP(B81,'Filtered Data'!K:M,3,FALSE))</f>
        <v>372.1</v>
      </c>
      <c r="V81" s="217"/>
      <c r="W81" s="217"/>
      <c r="X81" s="217"/>
      <c r="Y81" s="136" t="str">
        <f>IF((VLOOKUP(E81,classifications!C:K,9,FALSE))="Sparse","S","")</f>
        <v/>
      </c>
      <c r="Z81" s="136"/>
      <c r="AA81" s="136"/>
      <c r="AB81" s="136"/>
      <c r="AC81" s="136"/>
      <c r="AD81" s="237"/>
      <c r="AE81" s="237"/>
      <c r="AF81" s="237"/>
      <c r="AG81" s="237"/>
      <c r="AH81" s="237"/>
      <c r="AI81" s="237"/>
      <c r="AJ81" s="237"/>
      <c r="AK81" s="237"/>
      <c r="AL81" s="237"/>
      <c r="AP81" s="60"/>
    </row>
    <row r="82" spans="1:48" ht="12" customHeight="1">
      <c r="B82" s="220">
        <v>17</v>
      </c>
      <c r="C82" s="221"/>
      <c r="D82" s="221"/>
      <c r="E82" s="218" t="str">
        <f>VLOOKUP(B82,'Filtered Data'!K:L,2,FALSE)</f>
        <v>Plymouth</v>
      </c>
      <c r="F82" s="218"/>
      <c r="G82" s="218"/>
      <c r="H82" s="218"/>
      <c r="I82" s="218"/>
      <c r="J82" s="218"/>
      <c r="K82" s="218"/>
      <c r="L82" s="218"/>
      <c r="M82" s="218"/>
      <c r="N82" s="218"/>
      <c r="O82" s="218"/>
      <c r="P82" s="218"/>
      <c r="Q82" s="218"/>
      <c r="R82" s="218"/>
      <c r="S82" s="218"/>
      <c r="T82" s="218"/>
      <c r="U82" s="217">
        <f>IF('Filtered Data'!$H$8="%.",(VLOOKUP(B82,'Filtered Data'!K:M,3,FALSE))/100,VLOOKUP(B82,'Filtered Data'!K:M,3,FALSE))</f>
        <v>374.6</v>
      </c>
      <c r="V82" s="217"/>
      <c r="W82" s="217"/>
      <c r="X82" s="217"/>
      <c r="Y82" s="136" t="str">
        <f>IF((VLOOKUP(E82,classifications!C:K,9,FALSE))="Sparse","S","")</f>
        <v/>
      </c>
      <c r="Z82" s="136"/>
      <c r="AA82" s="136"/>
      <c r="AB82" s="136"/>
      <c r="AC82" s="136"/>
      <c r="AD82" s="237"/>
      <c r="AE82" s="237"/>
      <c r="AF82" s="237"/>
      <c r="AG82" s="237"/>
      <c r="AH82" s="237"/>
      <c r="AI82" s="237"/>
      <c r="AJ82" s="237"/>
      <c r="AK82" s="237"/>
      <c r="AL82" s="237"/>
      <c r="AP82" s="60"/>
    </row>
    <row r="83" spans="1:48" ht="12" customHeight="1">
      <c r="B83" s="220">
        <v>18</v>
      </c>
      <c r="C83" s="221"/>
      <c r="D83" s="221"/>
      <c r="E83" s="218" t="str">
        <f>VLOOKUP(B83,'Filtered Data'!K:L,2,FALSE)</f>
        <v>Peterborough</v>
      </c>
      <c r="F83" s="218"/>
      <c r="G83" s="218"/>
      <c r="H83" s="218"/>
      <c r="I83" s="218"/>
      <c r="J83" s="218"/>
      <c r="K83" s="218"/>
      <c r="L83" s="218"/>
      <c r="M83" s="218"/>
      <c r="N83" s="218"/>
      <c r="O83" s="218"/>
      <c r="P83" s="218"/>
      <c r="Q83" s="218"/>
      <c r="R83" s="218"/>
      <c r="S83" s="218"/>
      <c r="T83" s="218"/>
      <c r="U83" s="217">
        <f>IF('Filtered Data'!$H$8="%.",(VLOOKUP(B83,'Filtered Data'!K:M,3,FALSE))/100,VLOOKUP(B83,'Filtered Data'!K:M,3,FALSE))</f>
        <v>375.8</v>
      </c>
      <c r="V83" s="217"/>
      <c r="W83" s="217"/>
      <c r="X83" s="217"/>
      <c r="Y83" s="136" t="str">
        <f>IF((VLOOKUP(E83,classifications!C:K,9,FALSE))="Sparse","S","")</f>
        <v/>
      </c>
      <c r="Z83" s="136"/>
      <c r="AA83" s="136"/>
      <c r="AB83" s="136"/>
      <c r="AC83" s="136"/>
      <c r="AD83" s="237"/>
      <c r="AE83" s="237"/>
      <c r="AF83" s="237"/>
      <c r="AG83" s="237"/>
      <c r="AH83" s="237"/>
      <c r="AI83" s="237"/>
      <c r="AJ83" s="237"/>
      <c r="AK83" s="237"/>
      <c r="AL83" s="237"/>
      <c r="AP83" s="60"/>
    </row>
    <row r="84" spans="1:48" ht="12" customHeight="1">
      <c r="B84" s="220">
        <v>19</v>
      </c>
      <c r="C84" s="221"/>
      <c r="D84" s="221"/>
      <c r="E84" s="218" t="str">
        <f>VLOOKUP(B84,'Filtered Data'!K:L,2,FALSE)</f>
        <v>Windsor &amp; Maidenhead</v>
      </c>
      <c r="F84" s="218"/>
      <c r="G84" s="218"/>
      <c r="H84" s="218"/>
      <c r="I84" s="218"/>
      <c r="J84" s="218"/>
      <c r="K84" s="218"/>
      <c r="L84" s="218"/>
      <c r="M84" s="218"/>
      <c r="N84" s="218"/>
      <c r="O84" s="218"/>
      <c r="P84" s="218"/>
      <c r="Q84" s="218"/>
      <c r="R84" s="218"/>
      <c r="S84" s="218"/>
      <c r="T84" s="218"/>
      <c r="U84" s="217">
        <f>IF('Filtered Data'!$H$8="%.",(VLOOKUP(B84,'Filtered Data'!K:M,3,FALSE))/100,VLOOKUP(B84,'Filtered Data'!K:M,3,FALSE))</f>
        <v>380.5</v>
      </c>
      <c r="V84" s="217"/>
      <c r="W84" s="217"/>
      <c r="X84" s="217"/>
      <c r="Y84" s="136" t="str">
        <f>IF((VLOOKUP(E84,classifications!C:K,9,FALSE))="Sparse","S","")</f>
        <v/>
      </c>
      <c r="Z84" s="136"/>
      <c r="AA84" s="136"/>
      <c r="AB84" s="136"/>
      <c r="AC84" s="136"/>
      <c r="AD84" s="237"/>
      <c r="AE84" s="237"/>
      <c r="AF84" s="237"/>
      <c r="AG84" s="237"/>
      <c r="AH84" s="237"/>
      <c r="AI84" s="237"/>
      <c r="AJ84" s="237"/>
      <c r="AK84" s="237"/>
      <c r="AL84" s="237"/>
      <c r="AP84" s="60"/>
    </row>
    <row r="85" spans="1:48" ht="12" customHeight="1">
      <c r="B85" s="220">
        <v>20</v>
      </c>
      <c r="C85" s="220"/>
      <c r="D85" s="220"/>
      <c r="E85" s="218" t="str">
        <f>VLOOKUP(B85,'Filtered Data'!K:L,2,FALSE)</f>
        <v>Bedford</v>
      </c>
      <c r="F85" s="218"/>
      <c r="G85" s="218"/>
      <c r="H85" s="218"/>
      <c r="I85" s="218"/>
      <c r="J85" s="218"/>
      <c r="K85" s="218"/>
      <c r="L85" s="218"/>
      <c r="M85" s="218"/>
      <c r="N85" s="218"/>
      <c r="O85" s="218"/>
      <c r="P85" s="218"/>
      <c r="Q85" s="218"/>
      <c r="R85" s="218"/>
      <c r="S85" s="218"/>
      <c r="T85" s="218"/>
      <c r="U85" s="217">
        <f>IF('Filtered Data'!$H$8="%.",(VLOOKUP(B85,'Filtered Data'!K:M,3,FALSE))/100,VLOOKUP(B85,'Filtered Data'!K:M,3,FALSE))</f>
        <v>382.5</v>
      </c>
      <c r="V85" s="217"/>
      <c r="W85" s="217"/>
      <c r="X85" s="217"/>
      <c r="Y85" s="136" t="str">
        <f>IF((VLOOKUP(E85,classifications!C:K,9,FALSE))="Sparse","S","")</f>
        <v/>
      </c>
      <c r="Z85" s="136"/>
      <c r="AA85" s="136"/>
      <c r="AB85" s="136"/>
      <c r="AC85" s="136"/>
      <c r="AD85" s="237"/>
      <c r="AE85" s="237"/>
      <c r="AF85" s="237"/>
      <c r="AG85" s="237"/>
      <c r="AH85" s="237"/>
      <c r="AI85" s="237"/>
      <c r="AJ85" s="237"/>
      <c r="AK85" s="237"/>
      <c r="AL85" s="237"/>
      <c r="AP85" s="60"/>
    </row>
    <row r="86" spans="1:48" ht="12" customHeight="1">
      <c r="A86" s="55"/>
      <c r="B86" s="222">
        <f>IF(Q37&lt;=MAX(B66:D85),"",Q37)</f>
        <v>52</v>
      </c>
      <c r="C86" s="222"/>
      <c r="D86" s="222"/>
      <c r="E86" s="215" t="str">
        <f>IF(B86="","",VLOOKUP(B86,'Filtered Data'!K:L,2,FALSE))</f>
        <v>Cheshire East</v>
      </c>
      <c r="F86" s="215"/>
      <c r="G86" s="215"/>
      <c r="H86" s="215"/>
      <c r="I86" s="215"/>
      <c r="J86" s="215"/>
      <c r="K86" s="215"/>
      <c r="L86" s="215"/>
      <c r="M86" s="215"/>
      <c r="N86" s="215"/>
      <c r="O86" s="215"/>
      <c r="P86" s="215"/>
      <c r="Q86" s="215"/>
      <c r="R86" s="215"/>
      <c r="S86" s="215"/>
      <c r="T86" s="215"/>
      <c r="U86" s="291">
        <f>IF(B86="","",L35)</f>
        <v>442.4</v>
      </c>
      <c r="V86" s="291"/>
      <c r="W86" s="291"/>
      <c r="X86" s="291"/>
      <c r="Y86" s="136" t="str">
        <f>IF(B86="","",IF((VLOOKUP(E86,classifications!C:K,9,FALSE))="Sparse","S",""))</f>
        <v>S</v>
      </c>
      <c r="Z86" s="136"/>
      <c r="AA86" s="136"/>
      <c r="AB86" s="136"/>
      <c r="AC86" s="136"/>
      <c r="AD86" s="290"/>
      <c r="AE86" s="290"/>
      <c r="AF86" s="290"/>
      <c r="AG86" s="290"/>
      <c r="AH86" s="290"/>
      <c r="AI86" s="290"/>
      <c r="AJ86" s="290"/>
      <c r="AK86" s="290"/>
      <c r="AL86" s="290"/>
      <c r="AP86" s="60"/>
    </row>
    <row r="87" spans="1:48" ht="12" customHeight="1">
      <c r="B87" s="2"/>
      <c r="C87" s="2"/>
      <c r="D87" s="2"/>
      <c r="E87" s="3"/>
      <c r="F87" s="3"/>
      <c r="G87" s="3"/>
      <c r="H87" s="3"/>
      <c r="I87" s="3"/>
      <c r="J87" s="3"/>
      <c r="K87" s="3"/>
      <c r="L87" s="3"/>
      <c r="M87" s="3"/>
      <c r="N87" s="3"/>
      <c r="O87" s="3"/>
      <c r="P87" s="3"/>
      <c r="Q87" s="3"/>
      <c r="R87" s="3"/>
      <c r="S87" s="3"/>
      <c r="T87" s="3"/>
      <c r="U87" s="12"/>
      <c r="V87" s="12"/>
      <c r="W87" s="12"/>
      <c r="X87" s="12"/>
      <c r="AP87" s="60"/>
    </row>
    <row r="88" spans="1:48" ht="12" customHeight="1">
      <c r="AP88" s="60"/>
    </row>
    <row r="89" spans="1:48" ht="12" customHeight="1">
      <c r="B89" s="1" t="str">
        <f>IF('Filtered Data'!D1="MD","",IF('Filtered Data'!D1="SC","",IF('Filtered Data'!D1="UA","Regional Authorites:","County Authorities:")))</f>
        <v>Regional Authorites:</v>
      </c>
      <c r="K89" s="1" t="str">
        <f>IF('Filtered Data'!D1="UA",J9,J10)</f>
        <v>North West</v>
      </c>
      <c r="U89" s="1"/>
      <c r="AD89" s="1"/>
      <c r="AP89" s="60"/>
    </row>
    <row r="90" spans="1:48" ht="12" customHeight="1">
      <c r="B90" s="1"/>
      <c r="AV90" s="60"/>
    </row>
    <row r="91" spans="1:48" ht="12" customHeight="1">
      <c r="B91" s="219" t="str">
        <f>IF('Filtered Data'!D1="MD","",IF('Filtered Data'!D1="SC","","Rank"))</f>
        <v>Rank</v>
      </c>
      <c r="C91" s="219"/>
      <c r="D91" s="219"/>
      <c r="E91" s="227" t="str">
        <f>IF('Filtered Data'!D1="MD","",IF('Filtered Data'!D1="SC","","Authority"))</f>
        <v>Authority</v>
      </c>
      <c r="F91" s="227"/>
      <c r="G91" s="227"/>
      <c r="H91" s="227"/>
      <c r="I91" s="227"/>
      <c r="J91" s="227"/>
      <c r="K91" s="227"/>
      <c r="L91" s="227"/>
      <c r="M91" s="227"/>
      <c r="N91" s="227"/>
      <c r="O91" s="210"/>
      <c r="P91" s="210"/>
      <c r="Q91" s="210"/>
      <c r="R91" s="210"/>
      <c r="S91" s="210"/>
      <c r="T91" s="210"/>
      <c r="U91" s="219" t="str">
        <f>IF('Filtered Data'!D1="MD","",IF('Filtered Data'!D1="SC","","Value"))</f>
        <v>Value</v>
      </c>
      <c r="V91" s="219"/>
      <c r="W91" s="219"/>
      <c r="AA91" s="219"/>
      <c r="AB91" s="219"/>
      <c r="AC91" s="219"/>
      <c r="AD91" s="227"/>
      <c r="AE91" s="227"/>
      <c r="AF91" s="227"/>
      <c r="AG91" s="227"/>
      <c r="AH91" s="227"/>
      <c r="AI91" s="227"/>
      <c r="AJ91" s="227"/>
      <c r="AK91" s="227"/>
      <c r="AL91" s="227"/>
      <c r="AM91" s="227"/>
      <c r="AN91" s="219"/>
      <c r="AO91" s="219"/>
      <c r="AP91" s="219"/>
      <c r="AV91" s="60"/>
    </row>
    <row r="92" spans="1:48" ht="12" customHeight="1">
      <c r="B92" s="216">
        <f>IF('Filtered Data'!$D$1="MD","",IF('Filtered Data'!$D$1="SC","",IF('Filtered Data'!$D$1="UA",'Filtered Data'!AS11,'Filtered Data'!AL11)))</f>
        <v>1</v>
      </c>
      <c r="C92" s="216"/>
      <c r="D92" s="216"/>
      <c r="E92" s="215" t="str">
        <f>IF(B92="","",IF('Filtered Data'!$D$1="UA",VLOOKUP(B92,'Filtered Data'!AS:AU,2,FALSE),VLOOKUP(B92,'Filtered Data'!AL:AN,2,FALSE)))</f>
        <v>Blackburn with Darwen</v>
      </c>
      <c r="F92" s="215"/>
      <c r="G92" s="215"/>
      <c r="H92" s="215"/>
      <c r="I92" s="215"/>
      <c r="J92" s="215"/>
      <c r="K92" s="215"/>
      <c r="L92" s="215"/>
      <c r="M92" s="215"/>
      <c r="N92" s="215"/>
      <c r="O92" s="215"/>
      <c r="P92" s="215"/>
      <c r="Q92" s="215"/>
      <c r="R92" s="215"/>
      <c r="S92" s="215"/>
      <c r="T92" s="215"/>
      <c r="U92" s="217">
        <f>IF(B92="","",IF('Filtered Data'!$D$1&amp;'Filtered Data'!$H$8="UA%.",(VLOOKUP(B92,'Filtered Data'!AS:AU,3,FALSE))/100,IF('Filtered Data'!$D$1&amp;'Filtered Data'!$H$8="UA%%",(VLOOKUP(B92,'Filtered Data'!AS:AU,3,FALSE)),IF('Filtered Data'!$D$1&amp;'Filtered Data'!$H$8="UA..",(VLOOKUP(B92,'Filtered Data'!AS:AU,3,FALSE)),IF('Filtered Data'!$H$8="%.",VLOOKUP(B92,'Filtered Data'!AL:AN,3,FALSE)/100,VLOOKUP(B92,'Filtered Data'!AL:AN,3,FALSE))))))</f>
        <v>339.7</v>
      </c>
      <c r="V92" s="217"/>
      <c r="W92" s="217"/>
      <c r="X92" s="217"/>
      <c r="Y92" s="137" t="str">
        <f>IF(E92="","",IF((VLOOKUP(E92,classifications!C:K,9,FALSE))="Sparse","S",""))</f>
        <v/>
      </c>
      <c r="AA92" s="235"/>
      <c r="AB92" s="221"/>
      <c r="AC92" s="221"/>
      <c r="AD92" s="218"/>
      <c r="AE92" s="218"/>
      <c r="AF92" s="218"/>
      <c r="AG92" s="218"/>
      <c r="AH92" s="218"/>
      <c r="AI92" s="218"/>
      <c r="AJ92" s="218"/>
      <c r="AK92" s="218"/>
      <c r="AL92" s="218"/>
      <c r="AM92" s="218"/>
      <c r="AN92" s="236"/>
      <c r="AO92" s="236"/>
      <c r="AP92" s="236"/>
      <c r="AQ92" s="236"/>
      <c r="AR92" s="137"/>
      <c r="AV92" s="60"/>
    </row>
    <row r="93" spans="1:48" ht="12" customHeight="1">
      <c r="B93" s="216">
        <f>IF('Filtered Data'!$D$1="MD","",IF('Filtered Data'!$D$1="SC","",IF('Filtered Data'!$D$1="UA",'Filtered Data'!AS12,'Filtered Data'!AL12)))</f>
        <v>2</v>
      </c>
      <c r="C93" s="216"/>
      <c r="D93" s="216"/>
      <c r="E93" s="215" t="str">
        <f>IF(B93="","",IF('Filtered Data'!$D$1="UA",VLOOKUP(B93,'Filtered Data'!AS:AU,2,FALSE),VLOOKUP(B93,'Filtered Data'!AL:AN,2,FALSE)))</f>
        <v>Warrington</v>
      </c>
      <c r="F93" s="215"/>
      <c r="G93" s="215"/>
      <c r="H93" s="215"/>
      <c r="I93" s="215"/>
      <c r="J93" s="215"/>
      <c r="K93" s="215"/>
      <c r="L93" s="215"/>
      <c r="M93" s="215"/>
      <c r="N93" s="215"/>
      <c r="O93" s="215"/>
      <c r="P93" s="215"/>
      <c r="Q93" s="215"/>
      <c r="R93" s="215"/>
      <c r="S93" s="215"/>
      <c r="T93" s="215"/>
      <c r="U93" s="217">
        <f>IF(B93="","",IF('Filtered Data'!$D$1&amp;'Filtered Data'!$H$8="UA%.",(VLOOKUP(B93,'Filtered Data'!AS:AU,3,FALSE))/100,IF('Filtered Data'!$D$1&amp;'Filtered Data'!$H$8="UA%%",(VLOOKUP(B93,'Filtered Data'!AS:AU,3,FALSE)),IF('Filtered Data'!$D$1&amp;'Filtered Data'!$H$8="UA..",(VLOOKUP(B93,'Filtered Data'!AS:AU,3,FALSE)),IF('Filtered Data'!$H$8="%.",VLOOKUP(B93,'Filtered Data'!AL:AN,3,FALSE)/100,VLOOKUP(B93,'Filtered Data'!AL:AN,3,FALSE))))))</f>
        <v>411.3</v>
      </c>
      <c r="V93" s="217"/>
      <c r="W93" s="217"/>
      <c r="X93" s="217"/>
      <c r="Y93" s="137" t="str">
        <f>IF(E93="","",IF((VLOOKUP(E93,classifications!C:K,9,FALSE))="Sparse","S",""))</f>
        <v/>
      </c>
      <c r="AA93" s="235"/>
      <c r="AB93" s="235"/>
      <c r="AC93" s="235"/>
      <c r="AD93" s="218"/>
      <c r="AE93" s="218"/>
      <c r="AF93" s="218"/>
      <c r="AG93" s="218"/>
      <c r="AH93" s="218"/>
      <c r="AI93" s="218"/>
      <c r="AJ93" s="218"/>
      <c r="AK93" s="218"/>
      <c r="AL93" s="218"/>
      <c r="AM93" s="218"/>
      <c r="AN93" s="236"/>
      <c r="AO93" s="236"/>
      <c r="AP93" s="236"/>
      <c r="AQ93" s="236"/>
      <c r="AR93" s="137"/>
      <c r="AV93" s="60"/>
    </row>
    <row r="94" spans="1:48" ht="12" customHeight="1">
      <c r="B94" s="216">
        <f>IF('Filtered Data'!$D$1="MD","",IF('Filtered Data'!$D$1="SC","",IF('Filtered Data'!$D$1="UA",'Filtered Data'!AS13,'Filtered Data'!AL13)))</f>
        <v>3</v>
      </c>
      <c r="C94" s="216"/>
      <c r="D94" s="216"/>
      <c r="E94" s="215" t="str">
        <f>IF(B94="","",IF('Filtered Data'!$D$1="UA",VLOOKUP(B94,'Filtered Data'!AS:AU,2,FALSE),VLOOKUP(B94,'Filtered Data'!AL:AN,2,FALSE)))</f>
        <v>Halton</v>
      </c>
      <c r="F94" s="215"/>
      <c r="G94" s="215"/>
      <c r="H94" s="215"/>
      <c r="I94" s="215"/>
      <c r="J94" s="215"/>
      <c r="K94" s="215"/>
      <c r="L94" s="215"/>
      <c r="M94" s="215"/>
      <c r="N94" s="215"/>
      <c r="O94" s="215"/>
      <c r="P94" s="215"/>
      <c r="Q94" s="215"/>
      <c r="R94" s="215"/>
      <c r="S94" s="215"/>
      <c r="T94" s="215"/>
      <c r="U94" s="217">
        <f>IF(B94="","",IF('Filtered Data'!$D$1&amp;'Filtered Data'!$H$8="UA%.",(VLOOKUP(B94,'Filtered Data'!AS:AU,3,FALSE))/100,IF('Filtered Data'!$D$1&amp;'Filtered Data'!$H$8="UA%%",(VLOOKUP(B94,'Filtered Data'!AS:AU,3,FALSE)),IF('Filtered Data'!$D$1&amp;'Filtered Data'!$H$8="UA..",(VLOOKUP(B94,'Filtered Data'!AS:AU,3,FALSE)),IF('Filtered Data'!$H$8="%.",VLOOKUP(B94,'Filtered Data'!AL:AN,3,FALSE)/100,VLOOKUP(B94,'Filtered Data'!AL:AN,3,FALSE))))))</f>
        <v>422.3</v>
      </c>
      <c r="V94" s="217"/>
      <c r="W94" s="217"/>
      <c r="X94" s="217"/>
      <c r="Y94" s="137" t="str">
        <f>IF(E94="","",IF((VLOOKUP(E94,classifications!C:K,9,FALSE))="Sparse","S",""))</f>
        <v/>
      </c>
      <c r="AA94" s="235"/>
      <c r="AB94" s="235"/>
      <c r="AC94" s="235"/>
      <c r="AD94" s="218"/>
      <c r="AE94" s="218"/>
      <c r="AF94" s="218"/>
      <c r="AG94" s="218"/>
      <c r="AH94" s="218"/>
      <c r="AI94" s="218"/>
      <c r="AJ94" s="218"/>
      <c r="AK94" s="218"/>
      <c r="AL94" s="218"/>
      <c r="AM94" s="218"/>
      <c r="AN94" s="236"/>
      <c r="AO94" s="236"/>
      <c r="AP94" s="236"/>
      <c r="AQ94" s="236"/>
      <c r="AR94" s="137"/>
      <c r="AV94" s="60"/>
    </row>
    <row r="95" spans="1:48" ht="12" customHeight="1">
      <c r="B95" s="216">
        <f>IF('Filtered Data'!$D$1="MD","",IF('Filtered Data'!$D$1="SC","",IF('Filtered Data'!$D$1="UA",'Filtered Data'!AS14,'Filtered Data'!AL14)))</f>
        <v>4</v>
      </c>
      <c r="C95" s="216"/>
      <c r="D95" s="216"/>
      <c r="E95" s="215" t="str">
        <f>IF(B95="","",IF('Filtered Data'!$D$1="UA",VLOOKUP(B95,'Filtered Data'!AS:AU,2,FALSE),VLOOKUP(B95,'Filtered Data'!AL:AN,2,FALSE)))</f>
        <v>Cheshire West &amp; Chester</v>
      </c>
      <c r="F95" s="215"/>
      <c r="G95" s="215"/>
      <c r="H95" s="215"/>
      <c r="I95" s="215"/>
      <c r="J95" s="215"/>
      <c r="K95" s="215"/>
      <c r="L95" s="215"/>
      <c r="M95" s="215"/>
      <c r="N95" s="215"/>
      <c r="O95" s="215"/>
      <c r="P95" s="215"/>
      <c r="Q95" s="215"/>
      <c r="R95" s="215"/>
      <c r="S95" s="215"/>
      <c r="T95" s="215"/>
      <c r="U95" s="217">
        <f>IF(B95="","",IF('Filtered Data'!$D$1&amp;'Filtered Data'!$H$8="UA%.",(VLOOKUP(B95,'Filtered Data'!AS:AU,3,FALSE))/100,IF('Filtered Data'!$D$1&amp;'Filtered Data'!$H$8="UA%%",(VLOOKUP(B95,'Filtered Data'!AS:AU,3,FALSE)),IF('Filtered Data'!$D$1&amp;'Filtered Data'!$H$8="UA..",(VLOOKUP(B95,'Filtered Data'!AS:AU,3,FALSE)),IF('Filtered Data'!$H$8="%.",VLOOKUP(B95,'Filtered Data'!AL:AN,3,FALSE)/100,VLOOKUP(B95,'Filtered Data'!AL:AN,3,FALSE))))))</f>
        <v>429.7</v>
      </c>
      <c r="V95" s="217"/>
      <c r="W95" s="217"/>
      <c r="X95" s="217"/>
      <c r="Y95" s="137" t="str">
        <f>IF(E95="","",IF((VLOOKUP(E95,classifications!C:K,9,FALSE))="Sparse","S",""))</f>
        <v/>
      </c>
      <c r="AA95" s="235"/>
      <c r="AB95" s="235"/>
      <c r="AC95" s="235"/>
      <c r="AD95" s="218"/>
      <c r="AE95" s="218"/>
      <c r="AF95" s="218"/>
      <c r="AG95" s="218"/>
      <c r="AH95" s="218"/>
      <c r="AI95" s="218"/>
      <c r="AJ95" s="218"/>
      <c r="AK95" s="218"/>
      <c r="AL95" s="218"/>
      <c r="AM95" s="218"/>
      <c r="AN95" s="236"/>
      <c r="AO95" s="236"/>
      <c r="AP95" s="236"/>
      <c r="AQ95" s="236"/>
      <c r="AR95" s="137"/>
      <c r="AV95" s="60"/>
    </row>
    <row r="96" spans="1:48" ht="12" customHeight="1">
      <c r="B96" s="216">
        <f>IF('Filtered Data'!$D$1="MD","",IF('Filtered Data'!$D$1="SC","",IF('Filtered Data'!$D$1="UA",'Filtered Data'!AS15,'Filtered Data'!AL15)))</f>
        <v>5</v>
      </c>
      <c r="C96" s="216"/>
      <c r="D96" s="216"/>
      <c r="E96" s="215" t="str">
        <f>IF(B96="","",IF('Filtered Data'!$D$1="UA",VLOOKUP(B96,'Filtered Data'!AS:AU,2,FALSE),VLOOKUP(B96,'Filtered Data'!AL:AN,2,FALSE)))</f>
        <v>Blackpool</v>
      </c>
      <c r="F96" s="215"/>
      <c r="G96" s="215"/>
      <c r="H96" s="215"/>
      <c r="I96" s="215"/>
      <c r="J96" s="215"/>
      <c r="K96" s="215"/>
      <c r="L96" s="215"/>
      <c r="M96" s="215"/>
      <c r="N96" s="215"/>
      <c r="O96" s="215"/>
      <c r="P96" s="215"/>
      <c r="Q96" s="215"/>
      <c r="R96" s="215"/>
      <c r="S96" s="215"/>
      <c r="T96" s="215"/>
      <c r="U96" s="217">
        <f>IF(B96="","",IF('Filtered Data'!$D$1&amp;'Filtered Data'!$H$8="UA%.",(VLOOKUP(B96,'Filtered Data'!AS:AU,3,FALSE))/100,IF('Filtered Data'!$D$1&amp;'Filtered Data'!$H$8="UA%%",(VLOOKUP(B96,'Filtered Data'!AS:AU,3,FALSE)),IF('Filtered Data'!$D$1&amp;'Filtered Data'!$H$8="UA..",(VLOOKUP(B96,'Filtered Data'!AS:AU,3,FALSE)),IF('Filtered Data'!$H$8="%.",VLOOKUP(B96,'Filtered Data'!AL:AN,3,FALSE)/100,VLOOKUP(B96,'Filtered Data'!AL:AN,3,FALSE))))))</f>
        <v>439.4</v>
      </c>
      <c r="V96" s="217"/>
      <c r="W96" s="217"/>
      <c r="X96" s="217"/>
      <c r="Y96" s="137" t="str">
        <f>IF(E96="","",IF((VLOOKUP(E96,classifications!C:K,9,FALSE))="Sparse","S",""))</f>
        <v/>
      </c>
      <c r="AA96" s="235"/>
      <c r="AB96" s="235"/>
      <c r="AC96" s="235"/>
      <c r="AD96" s="218"/>
      <c r="AE96" s="218"/>
      <c r="AF96" s="218"/>
      <c r="AG96" s="218"/>
      <c r="AH96" s="218"/>
      <c r="AI96" s="218"/>
      <c r="AJ96" s="218"/>
      <c r="AK96" s="218"/>
      <c r="AL96" s="218"/>
      <c r="AM96" s="218"/>
      <c r="AN96" s="236"/>
      <c r="AO96" s="236"/>
      <c r="AP96" s="236"/>
      <c r="AQ96" s="236"/>
      <c r="AR96" s="137"/>
      <c r="AV96" s="60"/>
    </row>
    <row r="97" spans="2:48" ht="12" customHeight="1">
      <c r="B97" s="216">
        <f>IF('Filtered Data'!$D$1="MD","",IF('Filtered Data'!$D$1="SC","",IF('Filtered Data'!$D$1="UA",'Filtered Data'!AS16,'Filtered Data'!AL16)))</f>
        <v>6</v>
      </c>
      <c r="C97" s="216"/>
      <c r="D97" s="216"/>
      <c r="E97" s="215" t="str">
        <f>IF(B97="","",IF('Filtered Data'!$D$1="UA",VLOOKUP(B97,'Filtered Data'!AS:AU,2,FALSE),VLOOKUP(B97,'Filtered Data'!AL:AN,2,FALSE)))</f>
        <v>Cheshire East</v>
      </c>
      <c r="F97" s="215"/>
      <c r="G97" s="215"/>
      <c r="H97" s="215"/>
      <c r="I97" s="215"/>
      <c r="J97" s="215"/>
      <c r="K97" s="215"/>
      <c r="L97" s="215"/>
      <c r="M97" s="215"/>
      <c r="N97" s="215"/>
      <c r="O97" s="215"/>
      <c r="P97" s="215"/>
      <c r="Q97" s="215"/>
      <c r="R97" s="215"/>
      <c r="S97" s="215"/>
      <c r="T97" s="215"/>
      <c r="U97" s="217">
        <f>IF(B97="","",IF('Filtered Data'!$D$1&amp;'Filtered Data'!$H$8="UA%.",(VLOOKUP(B97,'Filtered Data'!AS:AU,3,FALSE))/100,IF('Filtered Data'!$D$1&amp;'Filtered Data'!$H$8="UA%%",(VLOOKUP(B97,'Filtered Data'!AS:AU,3,FALSE)),IF('Filtered Data'!$D$1&amp;'Filtered Data'!$H$8="UA..",(VLOOKUP(B97,'Filtered Data'!AS:AU,3,FALSE)),IF('Filtered Data'!$H$8="%.",VLOOKUP(B97,'Filtered Data'!AL:AN,3,FALSE)/100,VLOOKUP(B97,'Filtered Data'!AL:AN,3,FALSE))))))</f>
        <v>442.4</v>
      </c>
      <c r="V97" s="217"/>
      <c r="W97" s="217"/>
      <c r="X97" s="217"/>
      <c r="Y97" s="137" t="str">
        <f>IF(E97="","",IF((VLOOKUP(E97,classifications!C:K,9,FALSE))="Sparse","S",""))</f>
        <v>S</v>
      </c>
      <c r="AA97" s="235"/>
      <c r="AB97" s="235"/>
      <c r="AC97" s="235"/>
      <c r="AD97" s="218"/>
      <c r="AE97" s="218"/>
      <c r="AF97" s="218"/>
      <c r="AG97" s="218"/>
      <c r="AH97" s="218"/>
      <c r="AI97" s="218"/>
      <c r="AJ97" s="218"/>
      <c r="AK97" s="218"/>
      <c r="AL97" s="218"/>
      <c r="AM97" s="218"/>
      <c r="AN97" s="236"/>
      <c r="AO97" s="236"/>
      <c r="AP97" s="236"/>
      <c r="AQ97" s="236"/>
      <c r="AR97" s="137"/>
      <c r="AV97" s="60"/>
    </row>
    <row r="98" spans="2:48" ht="12" customHeight="1">
      <c r="B98" s="216" t="str">
        <f>IF('Filtered Data'!$D$1="MD","",IF('Filtered Data'!$D$1="SC","",IF('Filtered Data'!$D$1="UA",'Filtered Data'!AS17,'Filtered Data'!AL17)))</f>
        <v/>
      </c>
      <c r="C98" s="216"/>
      <c r="D98" s="216"/>
      <c r="E98" s="215" t="str">
        <f>IF(B98="","",IF('Filtered Data'!$D$1="UA",VLOOKUP(B98,'Filtered Data'!AS:AU,2,FALSE),VLOOKUP(B98,'Filtered Data'!AL:AN,2,FALSE)))</f>
        <v/>
      </c>
      <c r="F98" s="215"/>
      <c r="G98" s="215"/>
      <c r="H98" s="215"/>
      <c r="I98" s="215"/>
      <c r="J98" s="215"/>
      <c r="K98" s="215"/>
      <c r="L98" s="215"/>
      <c r="M98" s="215"/>
      <c r="N98" s="215"/>
      <c r="O98" s="215"/>
      <c r="P98" s="215"/>
      <c r="Q98" s="215"/>
      <c r="R98" s="215"/>
      <c r="S98" s="215"/>
      <c r="T98" s="215"/>
      <c r="U98" s="217" t="str">
        <f>IF(B98="","",IF('Filtered Data'!$D$1&amp;'Filtered Data'!$H$8="UA%.",(VLOOKUP(B98,'Filtered Data'!AS:AU,3,FALSE))/100,IF('Filtered Data'!$D$1&amp;'Filtered Data'!$H$8="UA%%",(VLOOKUP(B98,'Filtered Data'!AS:AU,3,FALSE)),IF('Filtered Data'!$D$1&amp;'Filtered Data'!$H$8="UA..",(VLOOKUP(B98,'Filtered Data'!AS:AU,3,FALSE)),IF('Filtered Data'!$H$8="%.",VLOOKUP(B98,'Filtered Data'!AL:AN,3,FALSE)/100,VLOOKUP(B98,'Filtered Data'!AL:AN,3,FALSE))))))</f>
        <v/>
      </c>
      <c r="V98" s="217"/>
      <c r="W98" s="217"/>
      <c r="X98" s="217"/>
      <c r="Y98" s="137" t="str">
        <f>IF(E98="","",IF((VLOOKUP(E98,classifications!C:K,9,FALSE))="Sparse","S",""))</f>
        <v/>
      </c>
      <c r="AA98" s="235"/>
      <c r="AB98" s="235"/>
      <c r="AC98" s="235"/>
      <c r="AD98" s="218"/>
      <c r="AE98" s="218"/>
      <c r="AF98" s="218"/>
      <c r="AG98" s="218"/>
      <c r="AH98" s="218"/>
      <c r="AI98" s="218"/>
      <c r="AJ98" s="218"/>
      <c r="AK98" s="218"/>
      <c r="AL98" s="218"/>
      <c r="AM98" s="218"/>
      <c r="AN98" s="236"/>
      <c r="AO98" s="236"/>
      <c r="AP98" s="236"/>
      <c r="AQ98" s="236"/>
      <c r="AR98" s="137"/>
      <c r="AV98" s="60"/>
    </row>
    <row r="99" spans="2:48" ht="12" customHeight="1">
      <c r="B99" s="216" t="str">
        <f>IF('Filtered Data'!$D$1="MD","",IF('Filtered Data'!$D$1="SC","",IF('Filtered Data'!$D$1="UA",'Filtered Data'!AS18,'Filtered Data'!AL18)))</f>
        <v/>
      </c>
      <c r="C99" s="216"/>
      <c r="D99" s="216"/>
      <c r="E99" s="215" t="str">
        <f>IF(B99="","",IF('Filtered Data'!$D$1="UA",VLOOKUP(B99,'Filtered Data'!AS:AU,2,FALSE),VLOOKUP(B99,'Filtered Data'!AL:AN,2,FALSE)))</f>
        <v/>
      </c>
      <c r="F99" s="215"/>
      <c r="G99" s="215"/>
      <c r="H99" s="215"/>
      <c r="I99" s="215"/>
      <c r="J99" s="215"/>
      <c r="K99" s="215"/>
      <c r="L99" s="215"/>
      <c r="M99" s="215"/>
      <c r="N99" s="215"/>
      <c r="O99" s="215"/>
      <c r="P99" s="215"/>
      <c r="Q99" s="215"/>
      <c r="R99" s="215"/>
      <c r="S99" s="215"/>
      <c r="T99" s="215"/>
      <c r="U99" s="217" t="str">
        <f>IF(B99="","",IF('Filtered Data'!$D$1&amp;'Filtered Data'!$H$8="UA%.",(VLOOKUP(B99,'Filtered Data'!AS:AU,3,FALSE))/100,IF('Filtered Data'!$D$1&amp;'Filtered Data'!$H$8="UA%%",(VLOOKUP(B99,'Filtered Data'!AS:AU,3,FALSE)),IF('Filtered Data'!$D$1&amp;'Filtered Data'!$H$8="UA..",(VLOOKUP(B99,'Filtered Data'!AS:AU,3,FALSE)),IF('Filtered Data'!$H$8="%.",VLOOKUP(B99,'Filtered Data'!AL:AN,3,FALSE)/100,VLOOKUP(B99,'Filtered Data'!AL:AN,3,FALSE))))))</f>
        <v/>
      </c>
      <c r="V99" s="217"/>
      <c r="W99" s="217"/>
      <c r="X99" s="217"/>
      <c r="Y99" s="137" t="str">
        <f>IF(E99="","",IF((VLOOKUP(E99,classifications!C:K,9,FALSE))="Sparse","S",""))</f>
        <v/>
      </c>
      <c r="AA99" s="235"/>
      <c r="AB99" s="235"/>
      <c r="AC99" s="235"/>
      <c r="AD99" s="218"/>
      <c r="AE99" s="218"/>
      <c r="AF99" s="218"/>
      <c r="AG99" s="218"/>
      <c r="AH99" s="218"/>
      <c r="AI99" s="218"/>
      <c r="AJ99" s="218"/>
      <c r="AK99" s="218"/>
      <c r="AL99" s="218"/>
      <c r="AM99" s="218"/>
      <c r="AN99" s="236"/>
      <c r="AO99" s="236"/>
      <c r="AP99" s="236"/>
      <c r="AQ99" s="236"/>
      <c r="AR99" s="137"/>
      <c r="AV99" s="60"/>
    </row>
    <row r="100" spans="2:48" ht="12" customHeight="1">
      <c r="B100" s="216" t="str">
        <f>IF('Filtered Data'!$D$1="MD","",IF('Filtered Data'!$D$1="SC","",IF('Filtered Data'!$D$1="UA",'Filtered Data'!AS19,'Filtered Data'!AL19)))</f>
        <v/>
      </c>
      <c r="C100" s="216"/>
      <c r="D100" s="216"/>
      <c r="E100" s="215" t="str">
        <f>IF(B100="","",IF('Filtered Data'!$D$1="UA",VLOOKUP(B100,'Filtered Data'!AS:AU,2,FALSE),VLOOKUP(B100,'Filtered Data'!AL:AN,2,FALSE)))</f>
        <v/>
      </c>
      <c r="F100" s="215"/>
      <c r="G100" s="215"/>
      <c r="H100" s="215"/>
      <c r="I100" s="215"/>
      <c r="J100" s="215"/>
      <c r="K100" s="215"/>
      <c r="L100" s="215"/>
      <c r="M100" s="215"/>
      <c r="N100" s="215"/>
      <c r="O100" s="215"/>
      <c r="P100" s="215"/>
      <c r="Q100" s="215"/>
      <c r="R100" s="215"/>
      <c r="S100" s="215"/>
      <c r="T100" s="215"/>
      <c r="U100" s="217" t="str">
        <f>IF(B100="","",IF('Filtered Data'!$D$1&amp;'Filtered Data'!$H$8="UA%.",(VLOOKUP(B100,'Filtered Data'!AS:AU,3,FALSE))/100,IF('Filtered Data'!$D$1&amp;'Filtered Data'!$H$8="UA%%",(VLOOKUP(B100,'Filtered Data'!AS:AU,3,FALSE)),IF('Filtered Data'!$D$1&amp;'Filtered Data'!$H$8="UA..",(VLOOKUP(B100,'Filtered Data'!AS:AU,3,FALSE)),IF('Filtered Data'!$H$8="%.",VLOOKUP(B100,'Filtered Data'!AL:AN,3,FALSE)/100,VLOOKUP(B100,'Filtered Data'!AL:AN,3,FALSE))))))</f>
        <v/>
      </c>
      <c r="V100" s="217"/>
      <c r="W100" s="217"/>
      <c r="X100" s="217"/>
      <c r="Y100" s="137" t="str">
        <f>IF(E100="","",IF((VLOOKUP(E100,classifications!C:K,9,FALSE))="Sparse","S",""))</f>
        <v/>
      </c>
      <c r="AA100" s="235"/>
      <c r="AB100" s="235"/>
      <c r="AC100" s="235"/>
      <c r="AD100" s="218"/>
      <c r="AE100" s="218"/>
      <c r="AF100" s="218"/>
      <c r="AG100" s="218"/>
      <c r="AH100" s="218"/>
      <c r="AI100" s="218"/>
      <c r="AJ100" s="218"/>
      <c r="AK100" s="218"/>
      <c r="AL100" s="218"/>
      <c r="AM100" s="218"/>
      <c r="AN100" s="236"/>
      <c r="AO100" s="236"/>
      <c r="AP100" s="236"/>
      <c r="AQ100" s="236"/>
      <c r="AR100" s="137"/>
      <c r="AV100" s="60"/>
    </row>
    <row r="101" spans="2:48" ht="12" customHeight="1">
      <c r="B101" s="216" t="str">
        <f>IF('Filtered Data'!$D$1="MD","",IF('Filtered Data'!$D$1="SC","",IF('Filtered Data'!$D$1="UA",'Filtered Data'!AS20,'Filtered Data'!AL20)))</f>
        <v/>
      </c>
      <c r="C101" s="216"/>
      <c r="D101" s="216"/>
      <c r="E101" s="215" t="str">
        <f>IF(B101="","",IF('Filtered Data'!$D$1="UA",VLOOKUP(B101,'Filtered Data'!AS:AU,2,FALSE),VLOOKUP(B101,'Filtered Data'!AL:AN,2,FALSE)))</f>
        <v/>
      </c>
      <c r="F101" s="215"/>
      <c r="G101" s="215"/>
      <c r="H101" s="215"/>
      <c r="I101" s="215"/>
      <c r="J101" s="215"/>
      <c r="K101" s="215"/>
      <c r="L101" s="215"/>
      <c r="M101" s="215"/>
      <c r="N101" s="215"/>
      <c r="O101" s="215"/>
      <c r="P101" s="215"/>
      <c r="Q101" s="215"/>
      <c r="R101" s="215"/>
      <c r="S101" s="215"/>
      <c r="T101" s="215"/>
      <c r="U101" s="217" t="str">
        <f>IF(B101="","",IF('Filtered Data'!$D$1&amp;'Filtered Data'!$H$8="UA%.",(VLOOKUP(B101,'Filtered Data'!AS:AU,3,FALSE))/100,IF('Filtered Data'!$D$1&amp;'Filtered Data'!$H$8="UA%%",(VLOOKUP(B101,'Filtered Data'!AS:AU,3,FALSE)),IF('Filtered Data'!$D$1&amp;'Filtered Data'!$H$8="UA..",(VLOOKUP(B101,'Filtered Data'!AS:AU,3,FALSE)),IF('Filtered Data'!$H$8="%.",VLOOKUP(B101,'Filtered Data'!AL:AN,3,FALSE)/100,VLOOKUP(B101,'Filtered Data'!AL:AN,3,FALSE))))))</f>
        <v/>
      </c>
      <c r="V101" s="217"/>
      <c r="W101" s="217"/>
      <c r="X101" s="217"/>
      <c r="Y101" s="137" t="str">
        <f>IF(E101="","",IF((VLOOKUP(E101,classifications!C:K,9,FALSE))="Sparse","S",""))</f>
        <v/>
      </c>
      <c r="AA101" s="235"/>
      <c r="AB101" s="235"/>
      <c r="AC101" s="235"/>
      <c r="AD101" s="218"/>
      <c r="AE101" s="218"/>
      <c r="AF101" s="218"/>
      <c r="AG101" s="218"/>
      <c r="AH101" s="218"/>
      <c r="AI101" s="218"/>
      <c r="AJ101" s="218"/>
      <c r="AK101" s="218"/>
      <c r="AL101" s="218"/>
      <c r="AM101" s="218"/>
      <c r="AN101" s="236"/>
      <c r="AO101" s="236"/>
      <c r="AP101" s="236"/>
      <c r="AQ101" s="236"/>
      <c r="AR101" s="137"/>
      <c r="AV101" s="60"/>
    </row>
    <row r="102" spans="2:48" ht="12" customHeight="1">
      <c r="B102" s="216" t="str">
        <f>IF('Filtered Data'!$D$1="MD","",IF('Filtered Data'!$D$1="SC","",IF('Filtered Data'!$D$1="UA",'Filtered Data'!AS21,'Filtered Data'!AL21)))</f>
        <v/>
      </c>
      <c r="C102" s="216"/>
      <c r="D102" s="216"/>
      <c r="E102" s="215" t="str">
        <f>IF(B102="","",IF('Filtered Data'!$D$1="UA",VLOOKUP(B102,'Filtered Data'!AS:AU,2,FALSE),VLOOKUP(B102,'Filtered Data'!AL:AN,2,FALSE)))</f>
        <v/>
      </c>
      <c r="F102" s="215"/>
      <c r="G102" s="215"/>
      <c r="H102" s="215"/>
      <c r="I102" s="215"/>
      <c r="J102" s="215"/>
      <c r="K102" s="215"/>
      <c r="L102" s="215"/>
      <c r="M102" s="215"/>
      <c r="N102" s="215"/>
      <c r="O102" s="215"/>
      <c r="P102" s="215"/>
      <c r="Q102" s="215"/>
      <c r="R102" s="215"/>
      <c r="S102" s="215"/>
      <c r="T102" s="215"/>
      <c r="U102" s="217" t="str">
        <f>IF(B102="","",IF('Filtered Data'!$D$1&amp;'Filtered Data'!$H$8="UA%.",(VLOOKUP(B102,'Filtered Data'!AS:AU,3,FALSE))/100,IF('Filtered Data'!$D$1&amp;'Filtered Data'!$H$8="UA%%",(VLOOKUP(B102,'Filtered Data'!AS:AU,3,FALSE)),IF('Filtered Data'!$D$1&amp;'Filtered Data'!$H$8="UA..",(VLOOKUP(B102,'Filtered Data'!AS:AU,3,FALSE)),IF('Filtered Data'!$H$8="%.",VLOOKUP(B102,'Filtered Data'!AL:AN,3,FALSE)/100,VLOOKUP(B102,'Filtered Data'!AL:AN,3,FALSE))))))</f>
        <v/>
      </c>
      <c r="V102" s="217"/>
      <c r="W102" s="217"/>
      <c r="X102" s="217"/>
      <c r="Y102" s="137" t="str">
        <f>IF(E102="","",IF((VLOOKUP(E102,classifications!C:K,9,FALSE))="Sparse","S",""))</f>
        <v/>
      </c>
      <c r="AA102" s="235"/>
      <c r="AB102" s="235"/>
      <c r="AC102" s="235"/>
      <c r="AD102" s="218"/>
      <c r="AE102" s="218"/>
      <c r="AF102" s="218"/>
      <c r="AG102" s="218"/>
      <c r="AH102" s="218"/>
      <c r="AI102" s="218"/>
      <c r="AJ102" s="218"/>
      <c r="AK102" s="218"/>
      <c r="AL102" s="218"/>
      <c r="AM102" s="218"/>
      <c r="AN102" s="236"/>
      <c r="AO102" s="236"/>
      <c r="AP102" s="236"/>
      <c r="AQ102" s="236"/>
      <c r="AR102" s="137"/>
      <c r="AV102" s="60"/>
    </row>
    <row r="103" spans="2:48" ht="12" customHeight="1">
      <c r="B103" s="216" t="str">
        <f>IF('Filtered Data'!$D$1="MD","",IF('Filtered Data'!$D$1="SC","",IF('Filtered Data'!$D$1="UA",'Filtered Data'!AS22,'Filtered Data'!AL22)))</f>
        <v/>
      </c>
      <c r="C103" s="216"/>
      <c r="D103" s="216"/>
      <c r="E103" s="215" t="str">
        <f>IF(B103="","",IF('Filtered Data'!$D$1="UA",VLOOKUP(B103,'Filtered Data'!AS:AU,2,FALSE),VLOOKUP(B103,'Filtered Data'!AL:AN,2,FALSE)))</f>
        <v/>
      </c>
      <c r="F103" s="215"/>
      <c r="G103" s="215"/>
      <c r="H103" s="215"/>
      <c r="I103" s="215"/>
      <c r="J103" s="215"/>
      <c r="K103" s="215"/>
      <c r="L103" s="215"/>
      <c r="M103" s="215"/>
      <c r="N103" s="215"/>
      <c r="O103" s="215"/>
      <c r="P103" s="215"/>
      <c r="Q103" s="215"/>
      <c r="R103" s="215"/>
      <c r="S103" s="215"/>
      <c r="T103" s="215"/>
      <c r="U103" s="217" t="str">
        <f>IF(B103="","",IF('Filtered Data'!$D$1&amp;'Filtered Data'!$H$8="UA%.",(VLOOKUP(B103,'Filtered Data'!AS:AU,3,FALSE))/100,IF('Filtered Data'!$D$1&amp;'Filtered Data'!$H$8="UA%%",(VLOOKUP(B103,'Filtered Data'!AS:AU,3,FALSE)),IF('Filtered Data'!$D$1&amp;'Filtered Data'!$H$8="UA..",(VLOOKUP(B103,'Filtered Data'!AS:AU,3,FALSE)),IF('Filtered Data'!$H$8="%.",VLOOKUP(B103,'Filtered Data'!AL:AN,3,FALSE)/100,VLOOKUP(B103,'Filtered Data'!AL:AN,3,FALSE))))))</f>
        <v/>
      </c>
      <c r="V103" s="217"/>
      <c r="W103" s="217"/>
      <c r="X103" s="217"/>
      <c r="Y103" s="137" t="str">
        <f>IF(E103="","",IF((VLOOKUP(E103,classifications!C:K,9,FALSE))="Sparse","S",""))</f>
        <v/>
      </c>
      <c r="AA103" s="235"/>
      <c r="AB103" s="235"/>
      <c r="AC103" s="235"/>
      <c r="AD103" s="218"/>
      <c r="AE103" s="218"/>
      <c r="AF103" s="218"/>
      <c r="AG103" s="218"/>
      <c r="AH103" s="218"/>
      <c r="AI103" s="218"/>
      <c r="AJ103" s="218"/>
      <c r="AK103" s="218"/>
      <c r="AL103" s="218"/>
      <c r="AM103" s="218"/>
      <c r="AN103" s="236"/>
      <c r="AO103" s="236"/>
      <c r="AP103" s="236"/>
      <c r="AQ103" s="236"/>
      <c r="AR103" s="137"/>
      <c r="AV103" s="60"/>
    </row>
    <row r="104" spans="2:48" ht="12" customHeight="1">
      <c r="B104" s="216" t="str">
        <f>IF('Filtered Data'!$D$1="MD","",IF('Filtered Data'!$D$1="SC","",IF('Filtered Data'!$D$1="UA",'Filtered Data'!AS23,'Filtered Data'!AL23)))</f>
        <v/>
      </c>
      <c r="C104" s="216"/>
      <c r="D104" s="216"/>
      <c r="E104" s="215" t="str">
        <f>IF(B104="","",IF('Filtered Data'!$D$1="UA",VLOOKUP(B104,'Filtered Data'!AS:AU,2,FALSE),VLOOKUP(B104,'Filtered Data'!AL:AN,2,FALSE)))</f>
        <v/>
      </c>
      <c r="F104" s="215"/>
      <c r="G104" s="215"/>
      <c r="H104" s="215"/>
      <c r="I104" s="215"/>
      <c r="J104" s="215"/>
      <c r="K104" s="215"/>
      <c r="L104" s="215"/>
      <c r="M104" s="215"/>
      <c r="N104" s="215"/>
      <c r="O104" s="215"/>
      <c r="P104" s="215"/>
      <c r="Q104" s="215"/>
      <c r="R104" s="215"/>
      <c r="S104" s="215"/>
      <c r="T104" s="215"/>
      <c r="U104" s="217" t="str">
        <f>IF(B104="","",IF('Filtered Data'!$D$1&amp;'Filtered Data'!$H$8="UA%.",(VLOOKUP(B104,'Filtered Data'!AS:AU,3,FALSE))/100,IF('Filtered Data'!$D$1&amp;'Filtered Data'!$H$8="UA%%",(VLOOKUP(B104,'Filtered Data'!AS:AU,3,FALSE)),IF('Filtered Data'!$D$1&amp;'Filtered Data'!$H$8="UA..",(VLOOKUP(B104,'Filtered Data'!AS:AU,3,FALSE)),IF('Filtered Data'!$H$8="%.",VLOOKUP(B104,'Filtered Data'!AL:AN,3,FALSE)/100,VLOOKUP(B104,'Filtered Data'!AL:AN,3,FALSE))))))</f>
        <v/>
      </c>
      <c r="V104" s="217"/>
      <c r="W104" s="217"/>
      <c r="X104" s="217"/>
      <c r="Y104" s="137" t="str">
        <f>IF(E104="","",IF((VLOOKUP(E104,classifications!C:K,9,FALSE))="Sparse","S",""))</f>
        <v/>
      </c>
      <c r="AA104" s="235"/>
      <c r="AB104" s="235"/>
      <c r="AC104" s="235"/>
      <c r="AD104" s="218"/>
      <c r="AE104" s="218"/>
      <c r="AF104" s="218"/>
      <c r="AG104" s="218"/>
      <c r="AH104" s="218"/>
      <c r="AI104" s="218"/>
      <c r="AJ104" s="218"/>
      <c r="AK104" s="218"/>
      <c r="AL104" s="218"/>
      <c r="AM104" s="218"/>
      <c r="AN104" s="236"/>
      <c r="AO104" s="236"/>
      <c r="AP104" s="236"/>
      <c r="AQ104" s="236"/>
      <c r="AR104" s="137"/>
      <c r="AV104" s="60"/>
    </row>
    <row r="105" spans="2:48" ht="12" customHeight="1">
      <c r="B105" s="216" t="str">
        <f>IF('Filtered Data'!$D$1="MD","",IF('Filtered Data'!$D$1="SC","",IF('Filtered Data'!$D$1="UA",'Filtered Data'!AS24,'Filtered Data'!AL24)))</f>
        <v/>
      </c>
      <c r="C105" s="216"/>
      <c r="D105" s="216"/>
      <c r="E105" s="215" t="str">
        <f>IF(B105="","",IF('Filtered Data'!$D$1="UA",VLOOKUP(B105,'Filtered Data'!AS:AU,2,FALSE),VLOOKUP(B105,'Filtered Data'!AL:AN,2,FALSE)))</f>
        <v/>
      </c>
      <c r="F105" s="215"/>
      <c r="G105" s="215"/>
      <c r="H105" s="215"/>
      <c r="I105" s="215"/>
      <c r="J105" s="215"/>
      <c r="K105" s="215"/>
      <c r="L105" s="215"/>
      <c r="M105" s="215"/>
      <c r="N105" s="215"/>
      <c r="O105" s="215"/>
      <c r="P105" s="215"/>
      <c r="Q105" s="215"/>
      <c r="R105" s="215"/>
      <c r="S105" s="215"/>
      <c r="T105" s="215"/>
      <c r="U105" s="217" t="str">
        <f>IF(B105="","",IF('Filtered Data'!$D$1&amp;'Filtered Data'!$H$8="UA%.",(VLOOKUP(B105,'Filtered Data'!AS:AU,3,FALSE))/100,IF('Filtered Data'!$D$1&amp;'Filtered Data'!$H$8="UA%%",(VLOOKUP(B105,'Filtered Data'!AS:AU,3,FALSE)),IF('Filtered Data'!$D$1&amp;'Filtered Data'!$H$8="UA..",(VLOOKUP(B105,'Filtered Data'!AS:AU,3,FALSE)),IF('Filtered Data'!$H$8="%.",VLOOKUP(B105,'Filtered Data'!AL:AN,3,FALSE)/100,VLOOKUP(B105,'Filtered Data'!AL:AN,3,FALSE))))))</f>
        <v/>
      </c>
      <c r="V105" s="217"/>
      <c r="W105" s="217"/>
      <c r="X105" s="217"/>
      <c r="Y105" s="137" t="str">
        <f>IF(E105="","",IF((VLOOKUP(E105,classifications!C:K,9,FALSE))="Sparse","S",""))</f>
        <v/>
      </c>
      <c r="AA105" s="235"/>
      <c r="AB105" s="235"/>
      <c r="AC105" s="235"/>
      <c r="AD105" s="218"/>
      <c r="AE105" s="218"/>
      <c r="AF105" s="218"/>
      <c r="AG105" s="218"/>
      <c r="AH105" s="218"/>
      <c r="AI105" s="218"/>
      <c r="AJ105" s="218"/>
      <c r="AK105" s="218"/>
      <c r="AL105" s="218"/>
      <c r="AM105" s="218"/>
      <c r="AN105" s="236"/>
      <c r="AO105" s="236"/>
      <c r="AP105" s="236"/>
      <c r="AQ105" s="236"/>
      <c r="AR105" s="137"/>
      <c r="AV105" s="60"/>
    </row>
    <row r="106" spans="2:48" ht="12" customHeight="1">
      <c r="B106" s="216" t="str">
        <f>IF('Filtered Data'!$D$1="MD","",IF('Filtered Data'!$D$1="SC","",IF('Filtered Data'!$D$1="UA",'Filtered Data'!AS25,'Filtered Data'!AL25)))</f>
        <v/>
      </c>
      <c r="C106" s="216"/>
      <c r="D106" s="216"/>
      <c r="E106" s="215" t="str">
        <f>IF(B106="","",IF('Filtered Data'!$D$1="UA",VLOOKUP(B106,'Filtered Data'!AS:AU,2,FALSE),VLOOKUP(B106,'Filtered Data'!AL:AN,2,FALSE)))</f>
        <v/>
      </c>
      <c r="F106" s="215"/>
      <c r="G106" s="215"/>
      <c r="H106" s="215"/>
      <c r="I106" s="215"/>
      <c r="J106" s="215"/>
      <c r="K106" s="215"/>
      <c r="L106" s="215"/>
      <c r="M106" s="215"/>
      <c r="N106" s="215"/>
      <c r="O106" s="215"/>
      <c r="P106" s="215"/>
      <c r="Q106" s="215"/>
      <c r="R106" s="215"/>
      <c r="S106" s="215"/>
      <c r="T106" s="215"/>
      <c r="U106" s="217" t="str">
        <f>IF(B106="","",IF('Filtered Data'!$D$1&amp;'Filtered Data'!$H$8="UA%.",(VLOOKUP(B106,'Filtered Data'!AS:AU,3,FALSE))/100,IF('Filtered Data'!$D$1&amp;'Filtered Data'!$H$8="UA%%",(VLOOKUP(B106,'Filtered Data'!AS:AU,3,FALSE)),IF('Filtered Data'!$D$1&amp;'Filtered Data'!$H$8="UA..",(VLOOKUP(B106,'Filtered Data'!AS:AU,3,FALSE)),IF('Filtered Data'!$H$8="%.",VLOOKUP(B106,'Filtered Data'!AL:AN,3,FALSE)/100,VLOOKUP(B106,'Filtered Data'!AL:AN,3,FALSE))))))</f>
        <v/>
      </c>
      <c r="V106" s="217"/>
      <c r="W106" s="217"/>
      <c r="X106" s="217"/>
      <c r="Y106" s="137" t="str">
        <f>IF(E106="","",IF((VLOOKUP(E106,classifications!C:K,9,FALSE))="Sparse","S",""))</f>
        <v/>
      </c>
      <c r="AA106" s="235"/>
      <c r="AB106" s="235"/>
      <c r="AC106" s="235"/>
      <c r="AD106" s="218"/>
      <c r="AE106" s="218"/>
      <c r="AF106" s="218"/>
      <c r="AG106" s="218"/>
      <c r="AH106" s="218"/>
      <c r="AI106" s="218"/>
      <c r="AJ106" s="218"/>
      <c r="AK106" s="218"/>
      <c r="AL106" s="218"/>
      <c r="AM106" s="218"/>
      <c r="AN106" s="236"/>
      <c r="AO106" s="236"/>
      <c r="AP106" s="236"/>
      <c r="AQ106" s="236"/>
      <c r="AR106" s="137"/>
      <c r="AV106" s="60"/>
    </row>
    <row r="107" spans="2:48" ht="12" customHeight="1">
      <c r="B107" s="216" t="str">
        <f>IF('Filtered Data'!$D$1="MD","",IF('Filtered Data'!$D$1="SC","",IF('Filtered Data'!$D$1="UA",'Filtered Data'!AS26,'Filtered Data'!AL26)))</f>
        <v/>
      </c>
      <c r="C107" s="216"/>
      <c r="D107" s="216"/>
      <c r="E107" s="215" t="str">
        <f>IF(B107="","",IF('Filtered Data'!$D$1="UA",VLOOKUP(B107,'Filtered Data'!AS:AU,2,FALSE),VLOOKUP(B107,'Filtered Data'!AL:AN,2,FALSE)))</f>
        <v/>
      </c>
      <c r="F107" s="215"/>
      <c r="G107" s="215"/>
      <c r="H107" s="215"/>
      <c r="I107" s="215"/>
      <c r="J107" s="215"/>
      <c r="K107" s="215"/>
      <c r="L107" s="215"/>
      <c r="M107" s="215"/>
      <c r="N107" s="215"/>
      <c r="O107" s="215"/>
      <c r="P107" s="215"/>
      <c r="Q107" s="215"/>
      <c r="R107" s="215"/>
      <c r="S107" s="215"/>
      <c r="T107" s="215"/>
      <c r="U107" s="217" t="str">
        <f>IF(B107="","",IF('Filtered Data'!$D$1&amp;'Filtered Data'!$H$8="UA%.",(VLOOKUP(B107,'Filtered Data'!AS:AU,3,FALSE))/100,IF('Filtered Data'!$D$1&amp;'Filtered Data'!$H$8="UA%%",(VLOOKUP(B107,'Filtered Data'!AS:AU,3,FALSE)),IF('Filtered Data'!$D$1&amp;'Filtered Data'!$H$8="UA..",(VLOOKUP(B107,'Filtered Data'!AS:AU,3,FALSE)),IF('Filtered Data'!$H$8="%.",VLOOKUP(B107,'Filtered Data'!AL:AN,3,FALSE)/100,VLOOKUP(B107,'Filtered Data'!AL:AN,3,FALSE))))))</f>
        <v/>
      </c>
      <c r="V107" s="217"/>
      <c r="W107" s="217"/>
      <c r="X107" s="217"/>
      <c r="Y107" s="137" t="str">
        <f>IF(E107="","",IF((VLOOKUP(E107,classifications!C:K,9,FALSE))="Sparse","S",""))</f>
        <v/>
      </c>
      <c r="AA107" s="235"/>
      <c r="AB107" s="235"/>
      <c r="AC107" s="235"/>
      <c r="AD107" s="218"/>
      <c r="AE107" s="218"/>
      <c r="AF107" s="218"/>
      <c r="AG107" s="218"/>
      <c r="AH107" s="218"/>
      <c r="AI107" s="218"/>
      <c r="AJ107" s="218"/>
      <c r="AK107" s="218"/>
      <c r="AL107" s="218"/>
      <c r="AM107" s="218"/>
      <c r="AN107" s="236"/>
      <c r="AO107" s="236"/>
      <c r="AP107" s="236"/>
      <c r="AQ107" s="236"/>
      <c r="AR107" s="137"/>
      <c r="AV107" s="60"/>
    </row>
    <row r="108" spans="2:48" ht="12" customHeight="1">
      <c r="B108" s="221"/>
      <c r="C108" s="221"/>
      <c r="D108" s="221"/>
      <c r="E108" s="227" t="s">
        <v>341</v>
      </c>
      <c r="F108" s="227"/>
      <c r="G108" s="227"/>
      <c r="H108" s="227"/>
      <c r="I108" s="227"/>
      <c r="J108" s="227"/>
      <c r="K108" s="227"/>
      <c r="L108" s="227"/>
      <c r="M108" s="227"/>
      <c r="N108" s="227"/>
      <c r="O108" s="210"/>
      <c r="P108" s="210"/>
      <c r="Q108" s="210"/>
      <c r="R108" s="210"/>
      <c r="S108" s="210"/>
      <c r="T108" s="210"/>
      <c r="U108" s="234">
        <f>L39</f>
        <v>414.13333333333338</v>
      </c>
      <c r="V108" s="234"/>
      <c r="W108" s="234"/>
      <c r="X108" s="234"/>
      <c r="Y108" s="137"/>
      <c r="AA108" s="221"/>
      <c r="AB108" s="221"/>
      <c r="AC108" s="221"/>
      <c r="AD108" s="1"/>
      <c r="AE108" s="1"/>
      <c r="AF108" s="1"/>
      <c r="AG108" s="1"/>
      <c r="AH108" s="1"/>
      <c r="AI108" s="1"/>
      <c r="AJ108" s="1"/>
      <c r="AK108" s="1"/>
      <c r="AL108" s="1"/>
      <c r="AM108" s="21"/>
      <c r="AN108" s="223"/>
      <c r="AO108" s="223"/>
      <c r="AP108" s="223"/>
      <c r="AQ108" s="223"/>
      <c r="AV108" s="60"/>
    </row>
    <row r="109" spans="2:48" ht="12" customHeight="1">
      <c r="W109" s="18">
        <f>COUNT(AA92:AB107)</f>
        <v>0</v>
      </c>
    </row>
    <row r="110" spans="2:48" ht="19.5" customHeight="1">
      <c r="B110" s="224" t="str">
        <f>B3</f>
        <v>Waste Management Indicators</v>
      </c>
      <c r="C110" s="224"/>
      <c r="D110" s="224"/>
      <c r="E110" s="224"/>
      <c r="F110" s="224"/>
      <c r="G110" s="224"/>
      <c r="H110" s="224"/>
      <c r="I110" s="224"/>
      <c r="J110" s="224"/>
      <c r="K110" s="224"/>
      <c r="L110" s="224"/>
      <c r="M110" s="224"/>
      <c r="N110" s="224"/>
      <c r="O110" s="224"/>
      <c r="P110" s="224"/>
      <c r="Q110" s="224"/>
      <c r="R110" s="224"/>
      <c r="S110" s="224"/>
      <c r="T110" s="224"/>
      <c r="U110" s="224"/>
      <c r="V110" s="224"/>
      <c r="W110" s="224"/>
      <c r="X110" s="224"/>
      <c r="Y110" s="224"/>
      <c r="Z110" s="224"/>
      <c r="AA110" s="224"/>
      <c r="AB110" s="224"/>
      <c r="AC110" s="224"/>
      <c r="AD110" s="224"/>
      <c r="AE110" s="224"/>
      <c r="AF110" s="224"/>
      <c r="AG110" s="224"/>
      <c r="AH110" s="224"/>
      <c r="AI110" s="224"/>
      <c r="AJ110" s="224"/>
      <c r="AK110" s="224"/>
      <c r="AL110" s="224"/>
      <c r="AM110" s="224"/>
      <c r="AN110" s="224"/>
    </row>
    <row r="111" spans="2:48" ht="12" customHeight="1"/>
    <row r="112" spans="2:48" ht="12" customHeight="1">
      <c r="B112" s="227" t="s">
        <v>373</v>
      </c>
      <c r="C112" s="227"/>
      <c r="D112" s="227"/>
      <c r="E112" s="227"/>
      <c r="F112" s="227"/>
      <c r="G112" s="227"/>
      <c r="H112" s="227"/>
      <c r="I112" s="227"/>
      <c r="J112" s="227"/>
      <c r="K112" s="227"/>
      <c r="L112" s="227"/>
      <c r="M112" s="227"/>
      <c r="N112" s="227"/>
      <c r="O112" s="227"/>
      <c r="P112" s="227"/>
      <c r="Q112" s="227"/>
      <c r="R112" s="227"/>
      <c r="S112" s="227"/>
      <c r="T112" s="227"/>
      <c r="U112" s="227"/>
      <c r="V112" s="227"/>
      <c r="W112" s="227"/>
      <c r="X112" s="227"/>
      <c r="Y112" s="227"/>
      <c r="Z112" s="227"/>
      <c r="AA112" s="227"/>
      <c r="AB112" s="227"/>
      <c r="AC112" s="227"/>
      <c r="AD112" s="227"/>
      <c r="AE112" s="227"/>
      <c r="AF112" s="227"/>
      <c r="AG112" s="227"/>
      <c r="AH112" s="227"/>
      <c r="AI112" s="227"/>
      <c r="AJ112" s="227"/>
      <c r="AK112" s="227"/>
      <c r="AL112" s="227"/>
      <c r="AM112" s="227"/>
      <c r="AN112" s="227"/>
    </row>
    <row r="113" spans="2:40" ht="12" customHeight="1"/>
    <row r="114" spans="2:40" ht="12" customHeight="1">
      <c r="B114" s="230" t="str">
        <f>W6&amp;" - "&amp;W12</f>
        <v>Collected household waste per person (kg) (Ex BVPI 84a) - 2022-23</v>
      </c>
      <c r="C114" s="231"/>
      <c r="D114" s="231"/>
      <c r="E114" s="231"/>
      <c r="F114" s="231"/>
      <c r="G114" s="231"/>
      <c r="H114" s="231"/>
      <c r="I114" s="231"/>
      <c r="J114" s="231"/>
      <c r="K114" s="231"/>
      <c r="L114" s="231"/>
      <c r="M114" s="231"/>
      <c r="N114" s="231"/>
      <c r="O114" s="231"/>
      <c r="P114" s="231"/>
      <c r="Q114" s="231"/>
      <c r="R114" s="231"/>
      <c r="S114" s="231"/>
      <c r="T114" s="231"/>
      <c r="U114" s="231"/>
      <c r="V114" s="231"/>
      <c r="W114" s="231"/>
      <c r="X114" s="231"/>
      <c r="Y114" s="231"/>
      <c r="Z114" s="231"/>
      <c r="AA114" s="231"/>
      <c r="AB114" s="231"/>
      <c r="AC114" s="231"/>
      <c r="AD114" s="231"/>
      <c r="AE114" s="231"/>
      <c r="AF114" s="231"/>
      <c r="AG114" s="231"/>
      <c r="AH114" s="231"/>
      <c r="AI114" s="231"/>
      <c r="AJ114" s="231"/>
      <c r="AK114" s="231"/>
      <c r="AL114" s="231"/>
      <c r="AM114" s="231"/>
      <c r="AN114" s="20"/>
    </row>
    <row r="115" spans="2:40" ht="12" customHeight="1">
      <c r="B115" s="232"/>
      <c r="C115" s="233"/>
      <c r="D115" s="233"/>
      <c r="E115" s="233"/>
      <c r="F115" s="233"/>
      <c r="G115" s="233"/>
      <c r="H115" s="233"/>
      <c r="I115" s="233"/>
      <c r="J115" s="233"/>
      <c r="K115" s="233"/>
      <c r="L115" s="233"/>
      <c r="M115" s="233"/>
      <c r="N115" s="233"/>
      <c r="O115" s="233"/>
      <c r="P115" s="233"/>
      <c r="Q115" s="233"/>
      <c r="R115" s="233"/>
      <c r="S115" s="233"/>
      <c r="T115" s="233"/>
      <c r="U115" s="233"/>
      <c r="V115" s="233"/>
      <c r="W115" s="233"/>
      <c r="X115" s="233"/>
      <c r="Y115" s="233"/>
      <c r="Z115" s="233"/>
      <c r="AA115" s="233"/>
      <c r="AB115" s="233"/>
      <c r="AC115" s="233"/>
      <c r="AD115" s="233"/>
      <c r="AE115" s="233"/>
      <c r="AF115" s="233"/>
      <c r="AG115" s="233"/>
      <c r="AH115" s="233"/>
      <c r="AI115" s="233"/>
      <c r="AJ115" s="233"/>
      <c r="AK115" s="233"/>
      <c r="AL115" s="233"/>
      <c r="AM115" s="233"/>
      <c r="AN115" s="6"/>
    </row>
    <row r="116" spans="2:40" ht="12" customHeight="1">
      <c r="B116" s="5"/>
      <c r="AN116" s="6"/>
    </row>
    <row r="117" spans="2:40" ht="12" customHeight="1">
      <c r="B117" s="5"/>
      <c r="M117" s="15" t="s">
        <v>796</v>
      </c>
      <c r="N117" s="15"/>
      <c r="O117" s="15" t="s">
        <v>797</v>
      </c>
      <c r="P117" s="15"/>
      <c r="Q117" t="s">
        <v>798</v>
      </c>
      <c r="AN117" s="6"/>
    </row>
    <row r="118" spans="2:40" ht="12" customHeight="1">
      <c r="B118" s="5"/>
      <c r="F118" t="str">
        <f>J5</f>
        <v>Cheshire East</v>
      </c>
      <c r="G118" s="229">
        <f>IF('Filtered Data'!H8="..",L35,L35*100)</f>
        <v>442.4</v>
      </c>
      <c r="H118" s="229"/>
      <c r="I118" s="229"/>
      <c r="J118" s="229"/>
      <c r="K118" s="229"/>
      <c r="M118" s="221">
        <f>K$48</f>
        <v>365.57499999999999</v>
      </c>
      <c r="N118" s="221"/>
      <c r="O118" s="221">
        <f>M$48</f>
        <v>393.15</v>
      </c>
      <c r="P118" s="221"/>
      <c r="Q118" s="221">
        <f>O$48</f>
        <v>425.45</v>
      </c>
      <c r="R118" s="221"/>
      <c r="AN118" s="6"/>
    </row>
    <row r="119" spans="2:40" ht="12" customHeight="1">
      <c r="B119" s="5"/>
      <c r="F119" t="s">
        <v>383</v>
      </c>
      <c r="G119" s="229">
        <f>IF('Filtered Data'!H8="%%",(AVERAGEIF('Filtered Data'!AA$10:AA$480,$F119,'Filtered Data'!M$10:M$480))*100,(AVERAGEIF('Filtered Data'!AA$10:AA$480,$F119,'Filtered Data'!M$10:M$480)))</f>
        <v>432.73636363636365</v>
      </c>
      <c r="H119" s="229"/>
      <c r="I119" s="229"/>
      <c r="J119" s="229"/>
      <c r="K119" s="229"/>
      <c r="M119" s="221">
        <f>K$48</f>
        <v>365.57499999999999</v>
      </c>
      <c r="N119" s="221"/>
      <c r="O119" s="221">
        <f>M$48</f>
        <v>393.15</v>
      </c>
      <c r="P119" s="221"/>
      <c r="Q119" s="221">
        <f>O$48</f>
        <v>425.45</v>
      </c>
      <c r="R119" s="221"/>
      <c r="AN119" s="6"/>
    </row>
    <row r="120" spans="2:40" ht="12" customHeight="1">
      <c r="B120" s="5"/>
      <c r="F120" t="s">
        <v>385</v>
      </c>
      <c r="G120" s="229">
        <f>IF('Filtered Data'!H8="%%",(AVERAGEIF('Filtered Data'!AA$10:AA$480,$F120,'Filtered Data'!M$10:M$480))*100,(AVERAGEIF('Filtered Data'!AA$10:AA$480,$F120,'Filtered Data'!M$10:M$480)))</f>
        <v>378.12499999999994</v>
      </c>
      <c r="H120" s="229"/>
      <c r="I120" s="229"/>
      <c r="J120" s="229"/>
      <c r="K120" s="229"/>
      <c r="M120" s="221">
        <f>K$48</f>
        <v>365.57499999999999</v>
      </c>
      <c r="N120" s="221"/>
      <c r="O120" s="221">
        <f>M$48</f>
        <v>393.15</v>
      </c>
      <c r="P120" s="221"/>
      <c r="Q120" s="221">
        <f>O$48</f>
        <v>425.45</v>
      </c>
      <c r="R120" s="221"/>
      <c r="AN120" s="6"/>
    </row>
    <row r="121" spans="2:40" ht="12" customHeight="1">
      <c r="B121" s="5"/>
      <c r="F121" t="s">
        <v>372</v>
      </c>
      <c r="G121" s="229">
        <f>IF('Filtered Data'!H8="%%",(AVERAGEIF('Filtered Data'!AA$10:AA$480,$F121,'Filtered Data'!M$10:M$480))*100,(AVERAGEIF('Filtered Data'!AA$10:AA$480,$F121,'Filtered Data'!M$10:M$480)))</f>
        <v>411.56000000000006</v>
      </c>
      <c r="H121" s="229"/>
      <c r="I121" s="229"/>
      <c r="J121" s="229"/>
      <c r="K121" s="229"/>
      <c r="M121" s="221">
        <f>K$48</f>
        <v>365.57499999999999</v>
      </c>
      <c r="N121" s="221"/>
      <c r="O121" s="221">
        <f>M$48</f>
        <v>393.15</v>
      </c>
      <c r="P121" s="221"/>
      <c r="Q121" s="221">
        <f>O$48</f>
        <v>425.45</v>
      </c>
      <c r="R121" s="221"/>
      <c r="AN121" s="6"/>
    </row>
    <row r="122" spans="2:40" ht="12" customHeight="1">
      <c r="B122" s="5"/>
      <c r="G122" s="229"/>
      <c r="H122" s="229"/>
      <c r="I122" s="229"/>
      <c r="J122" s="229"/>
      <c r="K122" s="229"/>
      <c r="M122" s="221"/>
      <c r="N122" s="221"/>
      <c r="O122" s="221"/>
      <c r="P122" s="221"/>
      <c r="Q122" s="221"/>
      <c r="R122" s="221"/>
      <c r="AN122" s="6"/>
    </row>
    <row r="123" spans="2:40" ht="12" customHeight="1">
      <c r="B123" s="5"/>
      <c r="G123" s="229"/>
      <c r="H123" s="229"/>
      <c r="I123" s="229"/>
      <c r="J123" s="229"/>
      <c r="K123" s="229"/>
      <c r="M123" s="221"/>
      <c r="N123" s="221"/>
      <c r="O123" s="221"/>
      <c r="P123" s="221"/>
      <c r="Q123" s="221"/>
      <c r="R123" s="221"/>
      <c r="AN123" s="6"/>
    </row>
    <row r="124" spans="2:40" ht="12" customHeight="1">
      <c r="B124" s="5"/>
      <c r="G124" s="229"/>
      <c r="H124" s="229"/>
      <c r="I124" s="229"/>
      <c r="J124" s="229"/>
      <c r="K124" s="229"/>
      <c r="M124" s="221"/>
      <c r="N124" s="221"/>
      <c r="O124" s="221"/>
      <c r="P124" s="221"/>
      <c r="Q124" s="221"/>
      <c r="R124" s="221"/>
      <c r="AN124" s="6"/>
    </row>
    <row r="125" spans="2:40" ht="12" customHeight="1">
      <c r="B125" s="5"/>
      <c r="AN125" s="6"/>
    </row>
    <row r="126" spans="2:40" ht="12" customHeight="1">
      <c r="B126" s="5"/>
      <c r="AN126" s="6"/>
    </row>
    <row r="127" spans="2:40" ht="12" customHeight="1">
      <c r="B127" s="5"/>
      <c r="AN127" s="6"/>
    </row>
    <row r="128" spans="2:40" ht="12" customHeight="1">
      <c r="B128" s="5"/>
      <c r="AN128" s="6"/>
    </row>
    <row r="129" spans="2:40" ht="12" customHeight="1">
      <c r="B129" s="5"/>
      <c r="AN129" s="6"/>
    </row>
    <row r="130" spans="2:40" ht="12" customHeight="1">
      <c r="B130" s="5"/>
      <c r="AN130" s="6"/>
    </row>
    <row r="131" spans="2:40" ht="12" customHeight="1">
      <c r="B131" s="5"/>
      <c r="AN131" s="6"/>
    </row>
    <row r="132" spans="2:40" ht="12" customHeight="1">
      <c r="B132" s="5"/>
      <c r="AN132" s="6"/>
    </row>
    <row r="133" spans="2:40" ht="12" customHeight="1">
      <c r="B133" s="5"/>
      <c r="AN133" s="6"/>
    </row>
    <row r="134" spans="2:40" ht="12" customHeight="1">
      <c r="B134" s="7"/>
      <c r="C134" s="8"/>
      <c r="D134" s="8"/>
      <c r="E134" s="8"/>
      <c r="F134" s="8"/>
      <c r="G134" s="8"/>
      <c r="H134" s="8"/>
      <c r="I134" s="8"/>
      <c r="J134" s="8"/>
      <c r="K134" s="8"/>
      <c r="L134" s="8"/>
      <c r="M134" s="8"/>
      <c r="N134" s="8"/>
      <c r="O134" s="8"/>
      <c r="P134" s="8"/>
      <c r="Q134" s="8"/>
      <c r="R134" s="8"/>
      <c r="S134" s="8"/>
      <c r="T134" s="8"/>
      <c r="U134" s="8"/>
      <c r="V134" s="8"/>
      <c r="W134" s="8"/>
      <c r="X134" s="8"/>
      <c r="Y134" s="8"/>
      <c r="Z134" s="8"/>
      <c r="AA134" s="8"/>
      <c r="AB134" s="8"/>
      <c r="AC134" s="8"/>
      <c r="AD134" s="8"/>
      <c r="AE134" s="8"/>
      <c r="AF134" s="8"/>
      <c r="AG134" s="8"/>
      <c r="AH134" s="8"/>
      <c r="AI134" s="8"/>
      <c r="AJ134" s="8"/>
      <c r="AK134" s="8"/>
      <c r="AL134" s="8"/>
      <c r="AM134" s="8"/>
      <c r="AN134" s="9"/>
    </row>
    <row r="135" spans="2:40" ht="12" customHeight="1"/>
    <row r="136" spans="2:40" ht="12" customHeight="1"/>
  </sheetData>
  <sheetProtection algorithmName="SHA-512" hashValue="eFoZyuqmUNBYjQ1fBOrWd+NbXWCiFkY62NLLOGOEpPC2QczjXx3oH4PP8fktsK2aZ6t9A8cj9eev1zBnse5KSg==" saltValue="XWoIeQCkcE4WqeGB2XuuyQ==" spinCount="100000" sheet="1" selectLockedCells="1"/>
  <protectedRanges>
    <protectedRange sqref="W12" name="Range3"/>
    <protectedRange sqref="W6" name="Range2"/>
    <protectedRange sqref="J5:S6" name="Range1"/>
  </protectedRanges>
  <mergeCells count="299">
    <mergeCell ref="G119:K119"/>
    <mergeCell ref="G120:K120"/>
    <mergeCell ref="G121:K121"/>
    <mergeCell ref="G122:K122"/>
    <mergeCell ref="G123:K123"/>
    <mergeCell ref="G124:K124"/>
    <mergeCell ref="M119:N119"/>
    <mergeCell ref="O119:P119"/>
    <mergeCell ref="Q119:R119"/>
    <mergeCell ref="M120:N120"/>
    <mergeCell ref="O120:P120"/>
    <mergeCell ref="Q120:R120"/>
    <mergeCell ref="M124:N124"/>
    <mergeCell ref="O124:P124"/>
    <mergeCell ref="Q124:R124"/>
    <mergeCell ref="M121:N121"/>
    <mergeCell ref="O121:P121"/>
    <mergeCell ref="Q121:R121"/>
    <mergeCell ref="M122:N122"/>
    <mergeCell ref="O122:P122"/>
    <mergeCell ref="Q122:R122"/>
    <mergeCell ref="M123:N123"/>
    <mergeCell ref="O123:P123"/>
    <mergeCell ref="Q123:R123"/>
    <mergeCell ref="AN106:AQ106"/>
    <mergeCell ref="U107:X107"/>
    <mergeCell ref="M118:N118"/>
    <mergeCell ref="O118:P118"/>
    <mergeCell ref="Q118:R118"/>
    <mergeCell ref="U104:X104"/>
    <mergeCell ref="AA97:AC97"/>
    <mergeCell ref="AA93:AC93"/>
    <mergeCell ref="U103:X103"/>
    <mergeCell ref="AD102:AM102"/>
    <mergeCell ref="U94:X94"/>
    <mergeCell ref="AA102:AC102"/>
    <mergeCell ref="U99:X99"/>
    <mergeCell ref="AA99:AC99"/>
    <mergeCell ref="AA101:AC101"/>
    <mergeCell ref="U96:X96"/>
    <mergeCell ref="E108:N108"/>
    <mergeCell ref="AA107:AC107"/>
    <mergeCell ref="U102:X102"/>
    <mergeCell ref="AN104:AQ104"/>
    <mergeCell ref="AA103:AC103"/>
    <mergeCell ref="AN97:AQ97"/>
    <mergeCell ref="AN99:AQ99"/>
    <mergeCell ref="AN105:AQ105"/>
    <mergeCell ref="AN103:AQ103"/>
    <mergeCell ref="AN93:AQ93"/>
    <mergeCell ref="AN94:AQ94"/>
    <mergeCell ref="AN95:AQ95"/>
    <mergeCell ref="AN96:AQ96"/>
    <mergeCell ref="AN98:AQ98"/>
    <mergeCell ref="AA100:AC100"/>
    <mergeCell ref="AD101:AM101"/>
    <mergeCell ref="U100:X100"/>
    <mergeCell ref="AA95:AC95"/>
    <mergeCell ref="U95:X95"/>
    <mergeCell ref="AD100:AM100"/>
    <mergeCell ref="AA96:AC96"/>
    <mergeCell ref="AD99:AM99"/>
    <mergeCell ref="AD97:AM97"/>
    <mergeCell ref="U101:X101"/>
    <mergeCell ref="AD94:AM94"/>
    <mergeCell ref="AD93:AM93"/>
    <mergeCell ref="AA94:AC94"/>
    <mergeCell ref="U93:X93"/>
    <mergeCell ref="U97:X97"/>
    <mergeCell ref="AA98:AC98"/>
    <mergeCell ref="AD98:AM98"/>
    <mergeCell ref="AD95:AM95"/>
    <mergeCell ref="U80:X80"/>
    <mergeCell ref="U76:X76"/>
    <mergeCell ref="U79:X79"/>
    <mergeCell ref="AD82:AL82"/>
    <mergeCell ref="AD83:AL83"/>
    <mergeCell ref="U81:X81"/>
    <mergeCell ref="AN100:AQ100"/>
    <mergeCell ref="AN101:AQ101"/>
    <mergeCell ref="AN102:AQ102"/>
    <mergeCell ref="AD85:AL85"/>
    <mergeCell ref="AD86:AL86"/>
    <mergeCell ref="AD84:AL84"/>
    <mergeCell ref="AD92:AM92"/>
    <mergeCell ref="U92:X92"/>
    <mergeCell ref="AD96:AM96"/>
    <mergeCell ref="AA92:AC92"/>
    <mergeCell ref="AN91:AP91"/>
    <mergeCell ref="U86:X86"/>
    <mergeCell ref="AN92:AQ92"/>
    <mergeCell ref="AA91:AC91"/>
    <mergeCell ref="AD91:AM91"/>
    <mergeCell ref="U83:X83"/>
    <mergeCell ref="U85:X85"/>
    <mergeCell ref="AD81:AL81"/>
    <mergeCell ref="AD79:AL79"/>
    <mergeCell ref="AD80:AL80"/>
    <mergeCell ref="U84:X84"/>
    <mergeCell ref="W5:AM5"/>
    <mergeCell ref="W6:AM10"/>
    <mergeCell ref="W14:AM14"/>
    <mergeCell ref="W11:AM11"/>
    <mergeCell ref="B36:W36"/>
    <mergeCell ref="AD67:AL67"/>
    <mergeCell ref="L35:O35"/>
    <mergeCell ref="B16:AM17"/>
    <mergeCell ref="X32:AB32"/>
    <mergeCell ref="Q35:W35"/>
    <mergeCell ref="B5:E5"/>
    <mergeCell ref="J10:R10"/>
    <mergeCell ref="K32:M32"/>
    <mergeCell ref="T32:W32"/>
    <mergeCell ref="E32:J32"/>
    <mergeCell ref="J5:S6"/>
    <mergeCell ref="B8:I8"/>
    <mergeCell ref="B9:I9"/>
    <mergeCell ref="B11:I11"/>
    <mergeCell ref="E48:H48"/>
    <mergeCell ref="AD75:AL75"/>
    <mergeCell ref="U74:X74"/>
    <mergeCell ref="E78:T78"/>
    <mergeCell ref="U75:X75"/>
    <mergeCell ref="E74:T74"/>
    <mergeCell ref="AD72:AL72"/>
    <mergeCell ref="AD74:AL74"/>
    <mergeCell ref="AD77:AL77"/>
    <mergeCell ref="E73:T73"/>
    <mergeCell ref="U77:X77"/>
    <mergeCell ref="AD73:AL73"/>
    <mergeCell ref="U73:X73"/>
    <mergeCell ref="E75:T75"/>
    <mergeCell ref="E76:T76"/>
    <mergeCell ref="AD78:AL78"/>
    <mergeCell ref="AD76:AL76"/>
    <mergeCell ref="U78:X78"/>
    <mergeCell ref="U72:X72"/>
    <mergeCell ref="B74:D74"/>
    <mergeCell ref="B75:D75"/>
    <mergeCell ref="E81:T81"/>
    <mergeCell ref="E91:N91"/>
    <mergeCell ref="B92:D92"/>
    <mergeCell ref="B80:D80"/>
    <mergeCell ref="E77:T77"/>
    <mergeCell ref="B82:D82"/>
    <mergeCell ref="B78:D78"/>
    <mergeCell ref="B84:D84"/>
    <mergeCell ref="B85:D85"/>
    <mergeCell ref="E85:T85"/>
    <mergeCell ref="E82:T82"/>
    <mergeCell ref="B79:D79"/>
    <mergeCell ref="E86:T86"/>
    <mergeCell ref="B77:D77"/>
    <mergeCell ref="B91:D91"/>
    <mergeCell ref="U71:X71"/>
    <mergeCell ref="V39:W39"/>
    <mergeCell ref="S41:U41"/>
    <mergeCell ref="Q38:R38"/>
    <mergeCell ref="U68:X68"/>
    <mergeCell ref="AB39:AM40"/>
    <mergeCell ref="AB36:AL37"/>
    <mergeCell ref="E49:H49"/>
    <mergeCell ref="U67:X67"/>
    <mergeCell ref="E71:T71"/>
    <mergeCell ref="U65:X65"/>
    <mergeCell ref="J37:J39"/>
    <mergeCell ref="E69:T69"/>
    <mergeCell ref="E70:T70"/>
    <mergeCell ref="S38:U38"/>
    <mergeCell ref="Q41:R41"/>
    <mergeCell ref="V41:W41"/>
    <mergeCell ref="L38:O38"/>
    <mergeCell ref="V40:W40"/>
    <mergeCell ref="U70:X70"/>
    <mergeCell ref="U69:X69"/>
    <mergeCell ref="K53:L53"/>
    <mergeCell ref="AD70:AL70"/>
    <mergeCell ref="AD68:AL68"/>
    <mergeCell ref="B3:AN3"/>
    <mergeCell ref="N32:S32"/>
    <mergeCell ref="AC32:AE32"/>
    <mergeCell ref="B10:I10"/>
    <mergeCell ref="W13:AM13"/>
    <mergeCell ref="AF32:AL32"/>
    <mergeCell ref="L40:O40"/>
    <mergeCell ref="L39:O39"/>
    <mergeCell ref="S40:U40"/>
    <mergeCell ref="W12:AM12"/>
    <mergeCell ref="AD69:AL69"/>
    <mergeCell ref="Q39:R39"/>
    <mergeCell ref="Q37:R37"/>
    <mergeCell ref="V37:W37"/>
    <mergeCell ref="L37:O37"/>
    <mergeCell ref="B1:AN1"/>
    <mergeCell ref="AD71:AL71"/>
    <mergeCell ref="B70:D70"/>
    <mergeCell ref="B66:D66"/>
    <mergeCell ref="B67:D67"/>
    <mergeCell ref="B68:D68"/>
    <mergeCell ref="E66:T66"/>
    <mergeCell ref="E67:T67"/>
    <mergeCell ref="O43:AM44"/>
    <mergeCell ref="B43:N44"/>
    <mergeCell ref="B65:D65"/>
    <mergeCell ref="B69:D69"/>
    <mergeCell ref="AD66:AL66"/>
    <mergeCell ref="U66:X66"/>
    <mergeCell ref="V38:W38"/>
    <mergeCell ref="L41:O41"/>
    <mergeCell ref="B59:AN59"/>
    <mergeCell ref="K48:L48"/>
    <mergeCell ref="K49:L49"/>
    <mergeCell ref="K50:L50"/>
    <mergeCell ref="K51:L51"/>
    <mergeCell ref="K52:L52"/>
    <mergeCell ref="Q40:R40"/>
    <mergeCell ref="G118:K118"/>
    <mergeCell ref="B114:AM115"/>
    <mergeCell ref="B112:AN112"/>
    <mergeCell ref="B108:D108"/>
    <mergeCell ref="AD103:AM103"/>
    <mergeCell ref="AD104:AM104"/>
    <mergeCell ref="AD105:AM105"/>
    <mergeCell ref="AA108:AC108"/>
    <mergeCell ref="U108:X108"/>
    <mergeCell ref="B107:D107"/>
    <mergeCell ref="B103:D103"/>
    <mergeCell ref="B104:D104"/>
    <mergeCell ref="B105:D105"/>
    <mergeCell ref="B106:D106"/>
    <mergeCell ref="AA106:AC106"/>
    <mergeCell ref="AD106:AM106"/>
    <mergeCell ref="U105:X105"/>
    <mergeCell ref="AA104:AC104"/>
    <mergeCell ref="AA105:AC105"/>
    <mergeCell ref="AN107:AQ107"/>
    <mergeCell ref="AN108:AQ108"/>
    <mergeCell ref="B110:AN110"/>
    <mergeCell ref="U106:X106"/>
    <mergeCell ref="AD107:AM107"/>
    <mergeCell ref="B73:D73"/>
    <mergeCell ref="E68:T68"/>
    <mergeCell ref="M48:N48"/>
    <mergeCell ref="M49:N49"/>
    <mergeCell ref="M50:N50"/>
    <mergeCell ref="M51:N51"/>
    <mergeCell ref="M52:N52"/>
    <mergeCell ref="M53:N53"/>
    <mergeCell ref="O48:P48"/>
    <mergeCell ref="O49:P49"/>
    <mergeCell ref="O50:P50"/>
    <mergeCell ref="O51:P51"/>
    <mergeCell ref="O52:P52"/>
    <mergeCell ref="O53:P53"/>
    <mergeCell ref="E50:H50"/>
    <mergeCell ref="E51:H51"/>
    <mergeCell ref="E52:H52"/>
    <mergeCell ref="E53:H53"/>
    <mergeCell ref="E65:T65"/>
    <mergeCell ref="B71:D71"/>
    <mergeCell ref="U82:X82"/>
    <mergeCell ref="B98:D98"/>
    <mergeCell ref="B97:D97"/>
    <mergeCell ref="E84:T84"/>
    <mergeCell ref="U98:X98"/>
    <mergeCell ref="U91:W91"/>
    <mergeCell ref="E101:T101"/>
    <mergeCell ref="E102:T102"/>
    <mergeCell ref="B72:D72"/>
    <mergeCell ref="E72:T72"/>
    <mergeCell ref="B86:D86"/>
    <mergeCell ref="E92:T92"/>
    <mergeCell ref="E93:T93"/>
    <mergeCell ref="E94:T94"/>
    <mergeCell ref="E95:T95"/>
    <mergeCell ref="E96:T96"/>
    <mergeCell ref="E97:T97"/>
    <mergeCell ref="B81:D81"/>
    <mergeCell ref="B83:D83"/>
    <mergeCell ref="E79:T79"/>
    <mergeCell ref="B93:D93"/>
    <mergeCell ref="E80:T80"/>
    <mergeCell ref="E83:T83"/>
    <mergeCell ref="B76:D76"/>
    <mergeCell ref="E103:T103"/>
    <mergeCell ref="E104:T104"/>
    <mergeCell ref="E105:T105"/>
    <mergeCell ref="E106:T106"/>
    <mergeCell ref="E107:T107"/>
    <mergeCell ref="B94:D94"/>
    <mergeCell ref="B95:D95"/>
    <mergeCell ref="B96:D96"/>
    <mergeCell ref="B99:D99"/>
    <mergeCell ref="E99:T99"/>
    <mergeCell ref="E100:T100"/>
    <mergeCell ref="B102:D102"/>
    <mergeCell ref="B100:D100"/>
    <mergeCell ref="B101:D101"/>
    <mergeCell ref="E98:T98"/>
  </mergeCells>
  <phoneticPr fontId="24" type="noConversion"/>
  <conditionalFormatting sqref="B36">
    <cfRule type="containsText" dxfId="26" priority="1" operator="containsText" text="Bottom Quartile">
      <formula>NOT(ISERROR(SEARCH("Bottom Quartile",B36)))</formula>
    </cfRule>
    <cfRule type="containsText" dxfId="25" priority="86" operator="containsText" text="third quartile">
      <formula>NOT(ISERROR(SEARCH("third quartile",B36)))</formula>
    </cfRule>
    <cfRule type="containsText" dxfId="24" priority="87" operator="containsText" text="second quartile">
      <formula>NOT(ISERROR(SEARCH("second quartile",B36)))</formula>
    </cfRule>
    <cfRule type="containsText" dxfId="23" priority="88" operator="containsText" text="top quartile">
      <formula>NOT(ISERROR(SEARCH("top quartile",B36)))</formula>
    </cfRule>
  </conditionalFormatting>
  <conditionalFormatting sqref="B86:D86">
    <cfRule type="expression" dxfId="22" priority="2">
      <formula>IF($U$86="",TRUE,FALSE)</formula>
    </cfRule>
  </conditionalFormatting>
  <conditionalFormatting sqref="B92:D107">
    <cfRule type="expression" dxfId="21" priority="45">
      <formula>IF(E92="",TRUE,FALSE)</formula>
    </cfRule>
  </conditionalFormatting>
  <conditionalFormatting sqref="E66:T86">
    <cfRule type="cellIs" dxfId="20" priority="60" stopIfTrue="1" operator="equal">
      <formula>$J$5</formula>
    </cfRule>
  </conditionalFormatting>
  <conditionalFormatting sqref="E92:T107 AD92:AM107">
    <cfRule type="cellIs" dxfId="19" priority="22" operator="equal">
      <formula>$J$5</formula>
    </cfRule>
  </conditionalFormatting>
  <conditionalFormatting sqref="E92:T107">
    <cfRule type="expression" dxfId="18" priority="43">
      <formula>IF(ISNA(E107),TRUE,FALSE)</formula>
    </cfRule>
  </conditionalFormatting>
  <conditionalFormatting sqref="F104:G104">
    <cfRule type="expression" dxfId="17" priority="143">
      <formula>IF(ISNA(F124),TRUE,FALSE)</formula>
    </cfRule>
  </conditionalFormatting>
  <conditionalFormatting sqref="H92:K107 F102:G103">
    <cfRule type="expression" dxfId="16" priority="139">
      <formula>IF(ISNA(F108),TRUE,FALSE)</formula>
    </cfRule>
  </conditionalFormatting>
  <conditionalFormatting sqref="K32:M32">
    <cfRule type="expression" dxfId="15" priority="7">
      <formula>IF($D$22="%",TRUE,FALSE)</formula>
    </cfRule>
  </conditionalFormatting>
  <conditionalFormatting sqref="L35:O35 L37:O40 U66:X86 U92:X108 AN92:AQ108">
    <cfRule type="expression" dxfId="14" priority="4">
      <formula>IF($D$22="%",TRUE,FALSE)</formula>
    </cfRule>
  </conditionalFormatting>
  <conditionalFormatting sqref="T32">
    <cfRule type="expression" dxfId="13" priority="6">
      <formula>IF($D$22="%",TRUE,FALSE)</formula>
    </cfRule>
  </conditionalFormatting>
  <conditionalFormatting sqref="U66:X86">
    <cfRule type="expression" dxfId="12" priority="36">
      <formula>IF(E66=$J$5,TRUE,FALSE)</formula>
    </cfRule>
  </conditionalFormatting>
  <conditionalFormatting sqref="U92:X107">
    <cfRule type="expression" dxfId="11" priority="18">
      <formula>IF(E92=$J$5,TRUE,FALSE)</formula>
    </cfRule>
  </conditionalFormatting>
  <conditionalFormatting sqref="Y92:Y107">
    <cfRule type="expression" dxfId="10" priority="11">
      <formula>IF(E92=$J$5,TRUE,FALSE)</formula>
    </cfRule>
  </conditionalFormatting>
  <conditionalFormatting sqref="Y66:AC86">
    <cfRule type="expression" dxfId="9" priority="13">
      <formula>IF(E66=$J$5,TRUE,FALSE)</formula>
    </cfRule>
  </conditionalFormatting>
  <conditionalFormatting sqref="Z36 K37:K42 Z39">
    <cfRule type="containsText" dxfId="8" priority="99" operator="containsText" text="y">
      <formula>NOT(ISERROR(SEARCH("y",K36)))</formula>
    </cfRule>
    <cfRule type="containsText" dxfId="7" priority="100" operator="containsText" text="n">
      <formula>NOT(ISERROR(SEARCH("n",K36)))</formula>
    </cfRule>
    <cfRule type="containsText" dxfId="6" priority="101" operator="containsText" text="L">
      <formula>NOT(ISERROR(SEARCH("L",K36)))</formula>
    </cfRule>
    <cfRule type="containsText" dxfId="5" priority="102" operator="containsText" text="J">
      <formula>NOT(ISERROR(SEARCH("J",K36)))</formula>
    </cfRule>
  </conditionalFormatting>
  <conditionalFormatting sqref="AB92:AC92 B92:D107 AA92:AA107">
    <cfRule type="expression" dxfId="4" priority="21">
      <formula>IF(E92=$J$5,TRUE,FALSE)</formula>
    </cfRule>
  </conditionalFormatting>
  <conditionalFormatting sqref="AC32:AE32">
    <cfRule type="expression" dxfId="3" priority="5">
      <formula>IF($D$22="%",TRUE,FALSE)</formula>
    </cfRule>
  </conditionalFormatting>
  <conditionalFormatting sqref="AN92:AQ107">
    <cfRule type="expression" dxfId="2" priority="17">
      <formula>IF(AD92=$J$5,TRUE,FALSE)</formula>
    </cfRule>
  </conditionalFormatting>
  <conditionalFormatting sqref="AR92:AR107">
    <cfRule type="expression" dxfId="1" priority="9">
      <formula>IF(AD92=$J$5,TRUE,FALSE)</formula>
    </cfRule>
  </conditionalFormatting>
  <dataValidations count="4">
    <dataValidation type="list" allowBlank="1" showInputMessage="1" showErrorMessage="1" sqref="W6:AM10" xr:uid="{00000000-0002-0000-0000-000000000000}">
      <formula1>Indicators</formula1>
    </dataValidation>
    <dataValidation type="list" allowBlank="1" showInputMessage="1" showErrorMessage="1" sqref="W12:AM12" xr:uid="{00000000-0002-0000-0000-000001000000}">
      <formula1>Years</formula1>
    </dataValidation>
    <dataValidation type="list" allowBlank="1" showInputMessage="1" showErrorMessage="1" sqref="D59:E59 D3:E4 D110:E110 D1:E1" xr:uid="{00000000-0002-0000-0000-000002000000}">
      <formula1>#REF!</formula1>
    </dataValidation>
    <dataValidation type="list" allowBlank="1" showInputMessage="1" showErrorMessage="1" sqref="J5:S6" xr:uid="{00000000-0002-0000-0000-000003000000}">
      <formula1>Authorities</formula1>
    </dataValidation>
  </dataValidations>
  <pageMargins left="0.7" right="0.7" top="0.75" bottom="0.75" header="0.3" footer="0.3"/>
  <pageSetup scale="92" orientation="portrait" r:id="rId1"/>
  <rowBreaks count="2" manualBreakCount="2">
    <brk id="58" max="16383" man="1"/>
    <brk id="109"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theme="6" tint="0.39997558519241921"/>
  </sheetPr>
  <dimension ref="A1:ABM366"/>
  <sheetViews>
    <sheetView topLeftCell="A333" workbookViewId="0">
      <selection activeCell="A333" sqref="A1:XFD1048576"/>
    </sheetView>
  </sheetViews>
  <sheetFormatPr defaultColWidth="0" defaultRowHeight="13.2" zeroHeight="1"/>
  <cols>
    <col min="1" max="1" width="5.6640625" style="59" customWidth="1"/>
    <col min="2" max="2" width="15.44140625" style="59" customWidth="1"/>
    <col min="3" max="3" width="28.44140625" bestFit="1" customWidth="1"/>
    <col min="4" max="4" width="14.6640625" customWidth="1"/>
    <col min="5" max="5" width="11.33203125" customWidth="1"/>
    <col min="6" max="6" width="11.5546875" customWidth="1"/>
    <col min="7" max="7" width="4" customWidth="1"/>
    <col min="8" max="8" width="8.6640625" style="42" customWidth="1"/>
    <col min="9" max="9" width="9.88671875" style="42" customWidth="1"/>
    <col min="10" max="10" width="18.5546875" customWidth="1"/>
    <col min="11" max="11" width="8.33203125" style="36" customWidth="1"/>
    <col min="12" max="12" width="20.6640625" customWidth="1"/>
    <col min="13" max="13" width="20.6640625" style="92" customWidth="1"/>
    <col min="14" max="14" width="11.33203125" style="92" customWidth="1"/>
    <col min="15" max="18" width="12.33203125" style="92" customWidth="1"/>
    <col min="19" max="19" width="6.6640625" style="42" customWidth="1"/>
    <col min="20" max="20" width="10.44140625" style="167" customWidth="1"/>
    <col min="21" max="21" width="8" style="168" customWidth="1"/>
    <col min="22" max="22" width="7.44140625" style="168" customWidth="1"/>
    <col min="23" max="23" width="6" style="168" customWidth="1"/>
    <col min="24" max="24" width="19.44140625" style="5" customWidth="1"/>
    <col min="25" max="25" width="10.33203125" customWidth="1"/>
    <col min="26" max="26" width="8.88671875" customWidth="1"/>
    <col min="27" max="27" width="14.5546875" style="167" customWidth="1"/>
    <col min="28" max="29" width="7.5546875" style="168" customWidth="1"/>
    <col min="30" max="30" width="4.33203125" style="168" customWidth="1"/>
    <col min="31" max="31" width="8.44140625" style="5" customWidth="1"/>
    <col min="32" max="32" width="20.6640625" customWidth="1"/>
    <col min="33" max="33" width="9.6640625" customWidth="1"/>
    <col min="34" max="34" width="5" customWidth="1"/>
    <col min="35" max="35" width="15.6640625" style="5" bestFit="1" customWidth="1"/>
    <col min="36" max="36" width="9.33203125" customWidth="1"/>
    <col min="37" max="38" width="10.88671875" customWidth="1"/>
    <col min="39" max="39" width="21.5546875" customWidth="1"/>
    <col min="40" max="40" width="5.44140625" customWidth="1"/>
    <col min="41" max="41" width="9.109375" customWidth="1"/>
    <col min="42" max="42" width="21.5546875" style="5" customWidth="1"/>
    <col min="43" max="43" width="8.6640625" style="15" customWidth="1"/>
    <col min="44" max="45" width="7.109375" customWidth="1"/>
    <col min="46" max="46" width="15.33203125" customWidth="1"/>
    <col min="47" max="47" width="13.6640625" customWidth="1"/>
    <col min="48" max="48" width="11.88671875" customWidth="1"/>
    <col min="49" max="49" width="9.6640625" style="81" customWidth="1"/>
    <col min="50" max="50" width="24.88671875" customWidth="1"/>
    <col min="51" max="51" width="7.44140625" style="31" customWidth="1"/>
    <col min="52" max="52" width="9" customWidth="1"/>
    <col min="53" max="84" width="9.109375" customWidth="1"/>
    <col min="85" max="734" width="0" hidden="1" customWidth="1"/>
    <col min="735" max="735" width="0" style="5" hidden="1" customWidth="1"/>
    <col min="736" max="741" width="0" hidden="1" customWidth="1"/>
    <col min="742" max="16384" width="9.109375" hidden="1"/>
  </cols>
  <sheetData>
    <row r="1" spans="1:735" s="34" customFormat="1">
      <c r="A1" s="56"/>
      <c r="B1" s="56"/>
      <c r="C1" s="67" t="s">
        <v>379</v>
      </c>
      <c r="D1" s="68" t="s">
        <v>388</v>
      </c>
      <c r="H1" s="76"/>
      <c r="I1" s="76"/>
      <c r="K1" s="62"/>
      <c r="L1" s="34" t="s">
        <v>360</v>
      </c>
      <c r="M1" s="89" t="s">
        <v>384</v>
      </c>
      <c r="N1" s="89" t="s">
        <v>384</v>
      </c>
      <c r="O1" s="89"/>
      <c r="P1" s="89"/>
      <c r="Q1" s="89"/>
      <c r="R1" s="89"/>
      <c r="T1" s="294" t="s">
        <v>825</v>
      </c>
      <c r="U1" s="295"/>
      <c r="V1" s="295"/>
      <c r="W1" s="296"/>
      <c r="X1" s="62"/>
      <c r="AA1" s="294" t="s">
        <v>824</v>
      </c>
      <c r="AB1" s="295"/>
      <c r="AC1" s="295"/>
      <c r="AD1" s="296"/>
      <c r="AE1" s="64"/>
      <c r="AI1" s="62"/>
      <c r="AP1" s="62"/>
      <c r="AQ1" s="73"/>
      <c r="AW1" s="80"/>
      <c r="AY1" s="127"/>
    </row>
    <row r="2" spans="1:735" s="34" customFormat="1">
      <c r="A2" s="56"/>
      <c r="B2" s="56"/>
      <c r="H2" s="76"/>
      <c r="I2" s="76"/>
      <c r="K2" s="62"/>
      <c r="L2" s="34" t="s">
        <v>387</v>
      </c>
      <c r="M2" s="89" t="s">
        <v>415</v>
      </c>
      <c r="N2" s="89" t="s">
        <v>421</v>
      </c>
      <c r="O2" s="89"/>
      <c r="P2" s="90"/>
      <c r="Q2" s="90"/>
      <c r="R2" s="90"/>
      <c r="S2" s="63"/>
      <c r="T2" s="294"/>
      <c r="U2" s="295"/>
      <c r="V2" s="295"/>
      <c r="W2" s="296"/>
      <c r="X2" s="292"/>
      <c r="Y2" s="293"/>
      <c r="Z2" s="293"/>
      <c r="AA2" s="294"/>
      <c r="AB2" s="295"/>
      <c r="AC2" s="295"/>
      <c r="AD2" s="296"/>
      <c r="AE2" s="62"/>
      <c r="AF2" s="65"/>
      <c r="AG2" s="65"/>
      <c r="AI2" s="62"/>
      <c r="AP2" s="62"/>
      <c r="AQ2" s="73"/>
      <c r="AW2" s="80"/>
      <c r="ABG2" s="66" t="s">
        <v>406</v>
      </c>
    </row>
    <row r="3" spans="1:735" s="34" customFormat="1">
      <c r="A3" s="56"/>
      <c r="B3" s="56"/>
      <c r="C3" s="34" t="s">
        <v>409</v>
      </c>
      <c r="D3" s="34" t="str">
        <f>Profile!J5</f>
        <v>Cheshire East</v>
      </c>
      <c r="F3" s="76" t="str">
        <f>VLOOKUP(D3,classifications!C:G,4,FALSE)</f>
        <v>UA</v>
      </c>
      <c r="G3" s="34" t="str">
        <f>VLOOKUP(D3,classifications!C:E,3,FALSE)</f>
        <v>North West</v>
      </c>
      <c r="H3" s="83" t="str">
        <f>VLOOKUP(D3,classifications!C:H,6,FALSE)</f>
        <v>Urban with Significant Rural (rural including hub towns 26-49%)</v>
      </c>
      <c r="I3" s="34" t="str">
        <f>VLOOKUP(D3,classifications!C:J,8,FALSE)</f>
        <v>Unitary</v>
      </c>
      <c r="J3" s="34" t="str">
        <f>VLOOKUP(D3,classifications!C:I,7,FALSE)</f>
        <v>Significant Rural</v>
      </c>
      <c r="K3" s="62"/>
      <c r="L3" s="34" t="s">
        <v>388</v>
      </c>
      <c r="M3" s="89" t="s">
        <v>416</v>
      </c>
      <c r="N3" s="89" t="s">
        <v>397</v>
      </c>
      <c r="O3" s="89"/>
      <c r="P3" s="89"/>
      <c r="Q3" s="89"/>
      <c r="R3" s="89"/>
      <c r="T3" s="167"/>
      <c r="U3" s="168"/>
      <c r="V3" s="168"/>
      <c r="W3" s="168"/>
      <c r="X3" s="62"/>
      <c r="AA3" s="167"/>
      <c r="AB3" s="168"/>
      <c r="AC3" s="168"/>
      <c r="AD3" s="168"/>
      <c r="AE3" s="62"/>
      <c r="AI3" s="62"/>
      <c r="AP3" s="62"/>
      <c r="AQ3" s="73"/>
      <c r="AW3" s="80"/>
    </row>
    <row r="4" spans="1:735" s="34" customFormat="1">
      <c r="A4" s="56"/>
      <c r="B4" s="56"/>
      <c r="H4" s="76"/>
      <c r="I4" s="78"/>
      <c r="K4" s="62" t="s">
        <v>3</v>
      </c>
      <c r="L4" s="34" t="s">
        <v>390</v>
      </c>
      <c r="M4" s="89" t="s">
        <v>417</v>
      </c>
      <c r="N4" s="89" t="s">
        <v>302</v>
      </c>
      <c r="O4" s="89"/>
      <c r="P4" s="89"/>
      <c r="Q4" s="89"/>
      <c r="R4" s="89"/>
      <c r="T4" s="167"/>
      <c r="U4" s="168"/>
      <c r="V4" s="168"/>
      <c r="W4" s="168"/>
      <c r="X4" s="62"/>
      <c r="AA4" s="167"/>
      <c r="AB4" s="168"/>
      <c r="AC4" s="168"/>
      <c r="AD4" s="168"/>
      <c r="AE4" s="62"/>
      <c r="AI4" s="62"/>
      <c r="AP4" s="62"/>
      <c r="AQ4" s="73"/>
      <c r="AW4" s="80"/>
    </row>
    <row r="5" spans="1:735" s="34" customFormat="1">
      <c r="A5" s="56"/>
      <c r="B5" s="56"/>
      <c r="C5" s="34" t="s">
        <v>407</v>
      </c>
      <c r="D5" s="84" t="str">
        <f>Profile!W6</f>
        <v>Collected household waste per person (kg) (Ex BVPI 84a)</v>
      </c>
      <c r="E5" s="84"/>
      <c r="H5" s="76"/>
      <c r="I5" s="76"/>
      <c r="K5" s="62" t="s">
        <v>3</v>
      </c>
      <c r="L5" s="34" t="s">
        <v>382</v>
      </c>
      <c r="M5" s="89" t="s">
        <v>418</v>
      </c>
      <c r="N5" s="89" t="s">
        <v>5</v>
      </c>
      <c r="O5" s="89"/>
      <c r="P5" s="89"/>
      <c r="T5" s="167"/>
      <c r="U5" s="168"/>
      <c r="V5" s="168"/>
      <c r="W5" s="168"/>
      <c r="X5" s="62"/>
      <c r="AA5" s="167"/>
      <c r="AB5" s="168"/>
      <c r="AC5" s="168"/>
      <c r="AD5" s="168"/>
      <c r="AE5" s="62"/>
      <c r="AI5" s="62"/>
      <c r="AP5" s="62"/>
      <c r="AQ5" s="73"/>
      <c r="AW5" s="80"/>
    </row>
    <row r="6" spans="1:735" s="34" customFormat="1">
      <c r="A6" s="56"/>
      <c r="B6" s="56"/>
      <c r="C6" s="34" t="s">
        <v>408</v>
      </c>
      <c r="D6" s="85" t="str">
        <f>Profile!W12</f>
        <v>2022-23</v>
      </c>
      <c r="E6" s="85"/>
      <c r="H6" s="76"/>
      <c r="I6" s="77"/>
      <c r="K6" s="62" t="s">
        <v>3</v>
      </c>
      <c r="L6" s="34" t="s">
        <v>419</v>
      </c>
      <c r="M6" s="89" t="s">
        <v>420</v>
      </c>
      <c r="N6" s="89" t="s">
        <v>422</v>
      </c>
      <c r="O6" s="89"/>
      <c r="P6" s="108" t="s">
        <v>403</v>
      </c>
      <c r="Q6" s="108" t="s">
        <v>404</v>
      </c>
      <c r="T6" s="167"/>
      <c r="U6" s="168"/>
      <c r="V6" s="168"/>
      <c r="W6" s="168"/>
      <c r="X6" s="62"/>
      <c r="AA6" s="167"/>
      <c r="AB6" s="168"/>
      <c r="AC6" s="168"/>
      <c r="AD6" s="168"/>
      <c r="AE6" s="62"/>
      <c r="AI6" s="62"/>
      <c r="AP6" s="62"/>
      <c r="AQ6" s="73"/>
      <c r="AW6" s="80"/>
    </row>
    <row r="7" spans="1:735" s="34" customFormat="1">
      <c r="A7" s="56"/>
      <c r="B7" s="56"/>
      <c r="H7" s="76"/>
      <c r="I7" s="77"/>
      <c r="K7" s="62" t="s">
        <v>3</v>
      </c>
      <c r="M7" s="89"/>
      <c r="N7" s="89"/>
      <c r="P7" s="109">
        <f>IF(I8="A",MIN(N$11:N$343),MAX(N$11:N$343))</f>
        <v>302</v>
      </c>
      <c r="Q7" s="109">
        <f>IF(I8="A",MAX(N11:N343),MIN(N11:N343))</f>
        <v>479.3</v>
      </c>
      <c r="T7" s="167"/>
      <c r="U7" s="168"/>
      <c r="V7" s="168"/>
      <c r="W7" s="168"/>
      <c r="X7" s="62"/>
      <c r="AA7" s="167"/>
      <c r="AB7" s="168"/>
      <c r="AC7" s="168"/>
      <c r="AD7" s="168"/>
      <c r="AE7" s="62"/>
      <c r="AI7" s="62"/>
      <c r="AP7" s="62"/>
      <c r="AQ7" s="73"/>
      <c r="AW7" s="80"/>
    </row>
    <row r="8" spans="1:735" s="34" customFormat="1" ht="15.6">
      <c r="A8" s="56"/>
      <c r="B8" s="56"/>
      <c r="C8" s="85" t="s">
        <v>795</v>
      </c>
      <c r="D8" s="157" t="str">
        <f>VLOOKUP(D5,'Indicator info'!B:E,2,FALSE)</f>
        <v>.</v>
      </c>
      <c r="E8" s="157"/>
      <c r="F8" s="85" t="s">
        <v>794</v>
      </c>
      <c r="G8" s="158" t="str">
        <f>VLOOKUP(D5,'Indicator info'!B:E,3,FALSE)</f>
        <v>.</v>
      </c>
      <c r="H8" s="159" t="str">
        <f>D8&amp;G8</f>
        <v>..</v>
      </c>
      <c r="I8" s="160" t="str">
        <f>VLOOKUP(D5,'Indicator info'!B:E,4,FALSE)</f>
        <v>A</v>
      </c>
      <c r="K8" s="62"/>
      <c r="M8" s="111"/>
      <c r="N8" s="111"/>
      <c r="O8" s="111"/>
      <c r="P8" s="78" t="str">
        <f>D3</f>
        <v>Cheshire East</v>
      </c>
      <c r="Q8" s="110">
        <f>VLOOKUP(D3,L11:N343,3,FALSE)</f>
        <v>442.4</v>
      </c>
      <c r="R8" s="111" t="str">
        <f>IF(I8="A",IF(Q8&gt;Q10,"Bottom",IF(Q8&gt;P10,"Third",IF(Q8&gt;O10,"Second","Top"))),IF(Q8&gt;=O10,"Top",IF(Q8&gt;=P10,"Second",IF(Q8&gt;=Q10,"Third","Bottom"))))</f>
        <v>Bottom</v>
      </c>
      <c r="T8" s="167"/>
      <c r="U8" s="168"/>
      <c r="V8" s="168"/>
      <c r="W8" s="168"/>
      <c r="X8" s="62"/>
      <c r="AA8" s="167"/>
      <c r="AB8" s="168"/>
      <c r="AC8" s="168"/>
      <c r="AD8" s="168"/>
      <c r="AE8" s="62"/>
      <c r="AI8" s="62"/>
      <c r="AP8" s="62"/>
      <c r="AQ8" s="73"/>
      <c r="AW8" s="80"/>
      <c r="AX8" s="148"/>
      <c r="AZ8" s="135"/>
      <c r="BB8" s="128"/>
      <c r="BC8" s="128"/>
      <c r="BD8" s="128"/>
      <c r="BE8" s="128"/>
      <c r="BF8" s="128"/>
      <c r="BG8" s="128"/>
      <c r="BH8" s="128"/>
      <c r="BI8" s="128"/>
      <c r="BJ8" s="128"/>
      <c r="BK8" s="128"/>
      <c r="BL8" s="128"/>
      <c r="BM8" s="128"/>
      <c r="BN8" s="128"/>
      <c r="BO8" s="128"/>
      <c r="BP8" s="128"/>
      <c r="BQ8" s="128"/>
      <c r="BR8" s="128"/>
      <c r="BS8" s="128"/>
      <c r="BT8" s="128"/>
      <c r="BU8" s="128"/>
      <c r="BV8" s="128"/>
      <c r="BW8" s="128"/>
      <c r="BX8" s="128"/>
      <c r="BY8" s="128"/>
      <c r="BZ8" s="128"/>
      <c r="CA8" s="128"/>
      <c r="CB8" s="128"/>
      <c r="CC8" s="128"/>
      <c r="CD8" s="128"/>
      <c r="CE8" s="128"/>
      <c r="CF8" s="128"/>
    </row>
    <row r="9" spans="1:735" s="1" customFormat="1" ht="46.5" customHeight="1">
      <c r="A9" s="57"/>
      <c r="B9" s="57"/>
      <c r="C9"/>
      <c r="D9"/>
      <c r="E9"/>
      <c r="F9"/>
      <c r="G9"/>
      <c r="H9" s="29" t="str">
        <f>"Results for "&amp;D1&amp;" Authorities only"</f>
        <v>Results for UA Authorities only</v>
      </c>
      <c r="I9" s="37"/>
      <c r="K9" s="38" t="str">
        <f>"Rank &amp; Quartiles for all "&amp;D1&amp;" Authorities"</f>
        <v>Rank &amp; Quartiles for all UA Authorities</v>
      </c>
      <c r="M9" s="88">
        <f>IF($H$8="%.",(AVERAGE(M11:M343))/100,(AVERAGE(M11:M343)))</f>
        <v>394.4896551724139</v>
      </c>
      <c r="N9" s="88"/>
      <c r="O9" s="91" t="s">
        <v>342</v>
      </c>
      <c r="P9" s="91" t="s">
        <v>353</v>
      </c>
      <c r="Q9" s="91" t="s">
        <v>354</v>
      </c>
      <c r="R9" s="93" t="s">
        <v>402</v>
      </c>
      <c r="S9" s="37"/>
      <c r="T9" s="169" t="s">
        <v>820</v>
      </c>
      <c r="U9" s="170">
        <f>IF($H$8="%.",(AVERAGE(U11:U343))/100,(AVERAGE(U11:U343)))</f>
        <v>435.90000000000003</v>
      </c>
      <c r="V9" s="171"/>
      <c r="W9" s="171"/>
      <c r="X9" s="86" t="str">
        <f>"Lower Level Ranking for Authorites in "&amp;H3&amp;" &amp; are a "&amp;F3</f>
        <v>Lower Level Ranking for Authorites in Urban with Significant Rural (rural including hub towns 26-49%) &amp; are a UA</v>
      </c>
      <c r="Y9" s="88">
        <f>IF($H$8="%.",(AVERAGE(Y11:Y343))/100,(AVERAGE(Y11:Y343)))</f>
        <v>424.12499999999989</v>
      </c>
      <c r="Z9" s="87"/>
      <c r="AA9" s="178" t="s">
        <v>381</v>
      </c>
      <c r="AB9" s="170">
        <f>IF($H$8="%.",(AVERAGE(AB11:AB343))/100,(AVERAGE(AB11:AB343)))</f>
        <v>411.56000000000006</v>
      </c>
      <c r="AC9" s="179"/>
      <c r="AD9" s="179"/>
      <c r="AE9" s="38" t="s">
        <v>411</v>
      </c>
      <c r="AG9" s="88" t="e">
        <f>IF($H$8="%.",(AVERAGE(AG11:AG343))/100,(AVERAGE(AG11:AG343)))</f>
        <v>#N/A</v>
      </c>
      <c r="AI9" s="86" t="str">
        <f>"County Ranking &amp; Top Authorites in "&amp;I3&amp;" &amp; are a "&amp;F3</f>
        <v>County Ranking &amp; Top Authorites in Unitary &amp; are a UA</v>
      </c>
      <c r="AJ9" s="88">
        <f>IF($H$8="%.",(AVERAGE(AJ11:AJ343))/100,(AVERAGE(AJ11:AJ343)))</f>
        <v>394.51228070175455</v>
      </c>
      <c r="AK9" s="87"/>
      <c r="AL9" s="48"/>
      <c r="AM9"/>
      <c r="AN9"/>
      <c r="AP9" s="86" t="str">
        <f>"Regional Ranking in for "&amp;F3</f>
        <v>Regional Ranking in for UA</v>
      </c>
      <c r="AQ9" s="88">
        <f>IF($H$8="%.",(AVERAGE(AQ11:AQ343))/100,(AVERAGE(AQ11:AQ343)))</f>
        <v>414.13333333333338</v>
      </c>
      <c r="AR9" s="87"/>
      <c r="AS9" s="87"/>
      <c r="AT9" s="87"/>
      <c r="AU9" s="87"/>
      <c r="AV9"/>
      <c r="AW9" s="80"/>
      <c r="AX9" s="133" t="str">
        <f>Profile!$W$6</f>
        <v>Collected household waste per person (kg) (Ex BVPI 84a)</v>
      </c>
      <c r="AY9" s="34"/>
      <c r="AZ9" s="133"/>
      <c r="BA9" s="132"/>
      <c r="BB9" s="132"/>
      <c r="BC9" s="132"/>
      <c r="BD9" s="132"/>
      <c r="BE9" s="132"/>
      <c r="BF9" s="132"/>
      <c r="BG9" s="132"/>
      <c r="BH9" s="132"/>
      <c r="BI9" s="132"/>
      <c r="BJ9" s="132"/>
      <c r="BK9" s="132"/>
      <c r="BL9" s="132"/>
      <c r="BM9" s="132"/>
      <c r="BN9" s="132"/>
      <c r="BO9" s="132"/>
      <c r="BP9" s="132"/>
      <c r="BQ9" s="132"/>
      <c r="BR9" s="132"/>
      <c r="BS9" s="132"/>
      <c r="BT9" s="132"/>
      <c r="BU9" s="132"/>
      <c r="BV9" s="132"/>
      <c r="BW9" s="132"/>
      <c r="BX9" s="132"/>
      <c r="BY9" s="132"/>
      <c r="BZ9" s="132"/>
      <c r="CA9" s="132"/>
      <c r="CB9" s="132"/>
      <c r="CC9" s="132"/>
      <c r="CD9" s="132"/>
      <c r="CE9" s="132"/>
      <c r="CF9" s="132"/>
      <c r="ABG9" s="39"/>
    </row>
    <row r="10" spans="1:735" s="33" customFormat="1">
      <c r="A10" s="58" t="s">
        <v>412</v>
      </c>
      <c r="B10" s="58"/>
      <c r="C10" s="33" t="s">
        <v>400</v>
      </c>
      <c r="D10" s="33" t="s">
        <v>379</v>
      </c>
      <c r="E10" s="33" t="s">
        <v>374</v>
      </c>
      <c r="F10" s="33" t="s">
        <v>375</v>
      </c>
      <c r="H10" s="52" t="s">
        <v>375</v>
      </c>
      <c r="I10" s="52" t="s">
        <v>355</v>
      </c>
      <c r="K10" s="51" t="s">
        <v>355</v>
      </c>
      <c r="L10" s="33" t="s">
        <v>334</v>
      </c>
      <c r="M10" s="94" t="s">
        <v>375</v>
      </c>
      <c r="N10" s="94" t="s">
        <v>800</v>
      </c>
      <c r="O10" s="95">
        <f>IF(I8="A",QUARTILE(N:N,1),QUARTILE(N:N,3))</f>
        <v>365.57499999999999</v>
      </c>
      <c r="P10" s="95">
        <f>QUARTILE(N:N,2)</f>
        <v>393.15</v>
      </c>
      <c r="Q10" s="95">
        <f>IF(I8="A",QUARTILE(N:N,3),QUARTILE(N:N,1))</f>
        <v>425.45</v>
      </c>
      <c r="R10" s="94"/>
      <c r="S10" s="52"/>
      <c r="T10" s="172" t="s">
        <v>374</v>
      </c>
      <c r="U10" s="173" t="s">
        <v>375</v>
      </c>
      <c r="V10" s="173" t="s">
        <v>355</v>
      </c>
      <c r="W10" s="173"/>
      <c r="X10" s="53" t="s">
        <v>380</v>
      </c>
      <c r="Y10" s="33" t="s">
        <v>375</v>
      </c>
      <c r="Z10" s="33" t="s">
        <v>355</v>
      </c>
      <c r="AA10" s="172" t="s">
        <v>381</v>
      </c>
      <c r="AB10" s="173" t="s">
        <v>375</v>
      </c>
      <c r="AC10" s="173" t="s">
        <v>355</v>
      </c>
      <c r="AD10" s="173"/>
      <c r="AE10" s="53" t="s">
        <v>355</v>
      </c>
      <c r="AF10" s="33" t="s">
        <v>410</v>
      </c>
      <c r="AG10" s="74" t="s">
        <v>375</v>
      </c>
      <c r="AI10" s="53" t="s">
        <v>302</v>
      </c>
      <c r="AJ10" s="33" t="s">
        <v>375</v>
      </c>
      <c r="AK10" s="54" t="s">
        <v>355</v>
      </c>
      <c r="AL10" s="54" t="s">
        <v>376</v>
      </c>
      <c r="AM10" s="33" t="s">
        <v>410</v>
      </c>
      <c r="AN10" s="33" t="s">
        <v>375</v>
      </c>
      <c r="AO10" s="52"/>
      <c r="AP10" s="53" t="s">
        <v>340</v>
      </c>
      <c r="AQ10" s="74" t="s">
        <v>375</v>
      </c>
      <c r="AR10" s="33" t="s">
        <v>355</v>
      </c>
      <c r="AS10" s="54" t="s">
        <v>376</v>
      </c>
      <c r="AT10" s="33" t="s">
        <v>410</v>
      </c>
      <c r="AU10" s="33" t="s">
        <v>375</v>
      </c>
      <c r="AW10" s="129"/>
      <c r="AX10" s="162" t="str">
        <f>D6</f>
        <v>2022-23</v>
      </c>
      <c r="AY10" s="130"/>
      <c r="AZ10" s="131"/>
      <c r="BA10" s="131"/>
      <c r="BB10" s="131"/>
      <c r="BC10" s="131"/>
      <c r="BD10" s="131"/>
      <c r="BE10" s="131"/>
      <c r="BF10" s="131"/>
      <c r="BG10" s="131"/>
      <c r="BH10" s="131"/>
      <c r="BI10" s="131"/>
      <c r="BJ10" s="131"/>
      <c r="BK10" s="131"/>
      <c r="BL10" s="131"/>
      <c r="BM10" s="131"/>
      <c r="BN10" s="131"/>
      <c r="BO10" s="131"/>
      <c r="BP10" s="131"/>
      <c r="BQ10" s="131"/>
      <c r="BR10" s="131"/>
      <c r="BS10" s="131"/>
      <c r="BT10" s="131"/>
      <c r="BU10" s="131"/>
      <c r="BV10" s="131"/>
      <c r="BW10" s="131"/>
      <c r="BX10" s="131"/>
      <c r="BY10" s="131"/>
      <c r="BZ10" s="131"/>
      <c r="CA10" s="131"/>
      <c r="CB10" s="131"/>
      <c r="CC10" s="131"/>
      <c r="CD10" s="131"/>
      <c r="CE10" s="131"/>
      <c r="CF10" s="131"/>
      <c r="ABG10" s="53"/>
    </row>
    <row r="11" spans="1:735">
      <c r="A11" s="59" t="str">
        <f>$D$1&amp;1</f>
        <v>UA1</v>
      </c>
      <c r="B11" s="60" t="str">
        <f>IF(ISERROR(VLOOKUP(A11,classifications!A:C,3,FALSE)),0,VLOOKUP(A11,classifications!A:C,3,FALSE))</f>
        <v>Cheshire East</v>
      </c>
      <c r="C11" t="s">
        <v>4</v>
      </c>
      <c r="D11" t="str">
        <f>VLOOKUP($C11,classifications!$C:$J,4,FALSE)</f>
        <v>SD</v>
      </c>
      <c r="E11">
        <f>VLOOKUP(C11,classifications!C:K,9,FALSE)</f>
        <v>0</v>
      </c>
      <c r="F11">
        <f t="shared" ref="F11:F42" si="0">HLOOKUP($D$6,AX$10:ZX$355,ROW()-9,FALSE)</f>
        <v>279.5</v>
      </c>
      <c r="G11" s="15"/>
      <c r="H11" s="42" t="str">
        <f t="shared" ref="H11:H42" si="1">IF(D11=$D$1,HLOOKUP($D$6,$AX$10:$ZZ$355,ROW()-9,FALSE),"")</f>
        <v/>
      </c>
      <c r="I11" s="79" t="str">
        <f>IF(H11="","",IF($I$8="A",(RANK(H11,H$11:H$343,1)+COUNTIF(H$11:H11,H11)-1),(RANK(H11,H$11:H$343)+COUNTIF(H$11:H11,H11)-1)))</f>
        <v/>
      </c>
      <c r="J11" s="41"/>
      <c r="K11" s="36">
        <v>1</v>
      </c>
      <c r="L11" t="str">
        <f t="shared" ref="L11:L42" si="2">IF(K11="","",INDEX(C$11:C$343,MATCH(K11,I$11:I$343,0)))</f>
        <v>Reading</v>
      </c>
      <c r="M11" s="117">
        <f t="shared" ref="M11:M42" si="3">IF(L11="","",IF(VLOOKUP(L11,C:D,2,FALSE)=$F$3,VLOOKUP(L11,C:H,6,FALSE),""))</f>
        <v>302</v>
      </c>
      <c r="N11" s="112">
        <f>IF(L11="","",IF($H$8="%%",M11*100,M11))</f>
        <v>302</v>
      </c>
      <c r="O11" s="96">
        <f>IF(I$8="A",IF(N11&gt;=$P$7,IF(N11&lt;=$O$10,N11,""),""),IF(N11&lt;=$P$7,IF(N11&gt;=$O$10,N11,""),""))</f>
        <v>302</v>
      </c>
      <c r="P11" s="96" t="str">
        <f>IF(I$8="A",IF(N11&gt;$O$10,IF(N11&lt;=$P$10,N11,""),""),IF(N11&lt;$O$10,IF(N11&gt;=$P$10,N11,""),""))</f>
        <v/>
      </c>
      <c r="Q11" s="96" t="str">
        <f>IF(I$8="A",IF(N11&gt;$P$10,IF(N11&lt;=$Q$10,N11,""),""),IF(N11&lt;$P$10,IF(N11&gt;=$Q$10,N11,""),""))</f>
        <v/>
      </c>
      <c r="R11" s="92" t="str">
        <f>IF(I$8="A",IF(N11&gt;$Q$10,N11,""),IF(N11&lt;$Q$10,N11,""))</f>
        <v/>
      </c>
      <c r="S11" s="42" t="str">
        <f>IF(L11=D$3,"u","")</f>
        <v/>
      </c>
      <c r="T11" s="167">
        <f>IF(L11="","",VLOOKUP(L11,classifications!C:K,9,FALSE))</f>
        <v>0</v>
      </c>
      <c r="U11" s="168" t="str">
        <f>IF(T11="Sparse",M11,"")</f>
        <v/>
      </c>
      <c r="V11" s="174" t="str">
        <f>IF(U11="","",IF($I$8="A",(RANK(U11,U$11:U$343)+COUNTIF(U$11:U11,U11)-1),(RANK(U11,U$11:U$343,1)+COUNTIF(U$11:U11,U11)-1)))</f>
        <v/>
      </c>
      <c r="W11" s="175"/>
      <c r="X11" s="5" t="str">
        <f>IF(L11="","",VLOOKUP($L11,classifications!$C:$J,6,FALSE))</f>
        <v>Urban with City and Town</v>
      </c>
      <c r="Y11" t="str">
        <f t="shared" ref="Y11:Y74" si="4">IF($D$1="UA",IF(X11="Largely Rural (rural including hub towns 50-79%) ",M11,IF(X11="Mainly Rural (rural including hub towns &gt;=80%) ",M11,IF(X11="Urban with Significant Rural (rural including hub towns 26-49%)",M11,""))),IF($D$1="SD",IF(X11=$H$3,M11,"")))</f>
        <v/>
      </c>
      <c r="Z11" s="40" t="str">
        <f>IF(Y11="","",IF(I$8="A",(RANK(Y11,Y$11:Y$343,1)+COUNTIF(Y$11:Y11,Y11)-1),(RANK(Y11,Y$11:Y$343)+COUNTIF(Y$11:Y11,Y11)-1)))</f>
        <v/>
      </c>
      <c r="AA11" s="180" t="str">
        <f>IF(L11="","",VLOOKUP($L11,classifications!C:I,7,FALSE))</f>
        <v>Predominantly Urban</v>
      </c>
      <c r="AB11" s="174" t="str">
        <f>IF(AA11=$J$3,M11,"")</f>
        <v/>
      </c>
      <c r="AC11" s="174" t="str">
        <f>IF(AB11="","",IF($I$8="A",(RANK(AB11,AB$11:AB$343)+COUNTIF(AB$11:AB11,AB11)-1),(RANK(AB11,AB$11:AB$343,1)+COUNTIF(AB$11:AB11,AB11)-1)))</f>
        <v/>
      </c>
      <c r="AD11" s="174"/>
      <c r="AE11" s="49" t="e">
        <f>IF(I$8="A",(RANK(AG11,AG$11:AG$343,1)+COUNTIF(AG$11:AG11,AG11)-1),(RANK(AG11,AG$11:AG$343)+COUNTIF(AG$11:AG11,AG11)-1))</f>
        <v>#N/A</v>
      </c>
      <c r="AF11" s="47" t="str">
        <f>'Filtered Data'!D3</f>
        <v>Cheshire East</v>
      </c>
      <c r="AG11" s="107">
        <f>VLOOKUP(Profile!$J$5,$C$11:$H$343,4,FALSE)</f>
        <v>442.4</v>
      </c>
      <c r="AH11" s="50" t="e">
        <f>AE11</f>
        <v>#N/A</v>
      </c>
      <c r="AI11" s="5" t="str">
        <f>IF(L11="","",VLOOKUP($L11,classifications!$C:$J,8,FALSE))</f>
        <v>Unitary</v>
      </c>
      <c r="AJ11" s="43">
        <f t="shared" ref="AJ11:AJ74" si="5">IF(AI11=$I$3,M11,"")</f>
        <v>302</v>
      </c>
      <c r="AK11" s="40">
        <f>IF(AJ11="","",IF(I$8="A",(RANK(AJ11,AJ$11:AJ$343,1)+COUNTIF(AJ$11:AJ11,AJ11)-1),(RANK(AJ11,AJ$11:AJ$343)+COUNTIF(AJ$11:AJ11,AJ11)-1)))</f>
        <v>1</v>
      </c>
      <c r="AL11" s="40">
        <v>1</v>
      </c>
      <c r="AM11" t="str">
        <f t="shared" ref="AM11:AM42" si="6">IF(ISNA(IF(AL11="","",INDEX(L$11:L$343,MATCH(AL11,AK$11:AK$343,0)))),"",(IF(AL11="","",INDEX(L$11:L$343,MATCH(AL11,AK$11:AK$343,0)))))</f>
        <v>Reading</v>
      </c>
      <c r="AN11">
        <f t="shared" ref="AN11:AN42" si="7">(VLOOKUP(AM11,L:M,2,FALSE))</f>
        <v>302</v>
      </c>
      <c r="AP11" s="5" t="str">
        <f>IF(L11="","",VLOOKUP($L11,classifications!$C:$E,3,FALSE))</f>
        <v>South East</v>
      </c>
      <c r="AQ11" s="43" t="str">
        <f>IF(AP11=$G$3,$M11,"")</f>
        <v/>
      </c>
      <c r="AR11" s="40" t="str">
        <f>IF(AQ11="","",IF(I$8="A",(RANK(AQ11,AQ$11:AQ$343,1)+COUNTIF(AQ$11:AQ11,AQ11)-1),(RANK(AQ11,AQ$11:AQ$343)+COUNTIF(AQ$11:AQ11,AQ11)-1)))</f>
        <v/>
      </c>
      <c r="AS11" s="40">
        <v>1</v>
      </c>
      <c r="AT11" s="40" t="str">
        <f t="shared" ref="AT11:AT42" si="8">IF(AS11="","",INDEX(L$11:L$343,MATCH(AS11,AR$11:AR$343,0)))</f>
        <v>Blackburn with Darwen</v>
      </c>
      <c r="AU11" s="43">
        <f t="shared" ref="AU11:AU42" si="9">IF(AT11="","",VLOOKUP(AT11,L:M,2,FALSE))</f>
        <v>339.7</v>
      </c>
      <c r="AX11">
        <f>HLOOKUP($AX$9&amp;$AX$10,Data!$A$1:$ZZ$1980,(MATCH($C11,Data!$A$1:$A$1980,0)),FALSE)</f>
        <v>279.5</v>
      </c>
    </row>
    <row r="12" spans="1:735">
      <c r="A12" s="59" t="str">
        <f>$D$1&amp;2</f>
        <v>UA2</v>
      </c>
      <c r="B12" s="60" t="str">
        <f>IF(ISERROR(VLOOKUP(A12,classifications!A:C,3,FALSE)),0,VLOOKUP(A12,classifications!A:C,3,FALSE))</f>
        <v>Cornwall</v>
      </c>
      <c r="C12" t="s">
        <v>6</v>
      </c>
      <c r="D12" t="str">
        <f>VLOOKUP($C12,classifications!$C:$J,4,FALSE)</f>
        <v>SD</v>
      </c>
      <c r="E12" t="str">
        <f>VLOOKUP(C12,classifications!C:K,9,FALSE)</f>
        <v>Sparse</v>
      </c>
      <c r="F12">
        <f t="shared" si="0"/>
        <v>405.5</v>
      </c>
      <c r="G12" s="15"/>
      <c r="H12" s="42" t="str">
        <f t="shared" si="1"/>
        <v/>
      </c>
      <c r="I12" s="79" t="str">
        <f>IF(H12="","",IF($I$8="A",(RANK(H12,H$11:H$343,1)+COUNTIF(H$11:H12,H12)-1),(RANK(H12,H$11:H$343)+COUNTIF(H$11:H12,H12)-1)))</f>
        <v/>
      </c>
      <c r="J12" s="41"/>
      <c r="K12" s="36">
        <f t="shared" ref="K12:K43" si="10">IF(K11="","",IF(K11+1&gt;(COUNT(H$11:H$343)),"",K11+1))</f>
        <v>2</v>
      </c>
      <c r="L12" t="str">
        <f t="shared" si="2"/>
        <v>Slough</v>
      </c>
      <c r="M12" s="117">
        <f t="shared" si="3"/>
        <v>310.8</v>
      </c>
      <c r="N12" s="112">
        <f>IF(L12="","",IF($H$8="%%",M12*100,M12))</f>
        <v>310.8</v>
      </c>
      <c r="O12" s="96">
        <f t="shared" ref="O12:O74" si="11">IF(I$8="A",IF(N12&gt;=$P$7,IF(N12&lt;=$O$10,N12,""),""),IF(N12&lt;=$P$7,IF(N12&gt;=$O$10,N12,""),""))</f>
        <v>310.8</v>
      </c>
      <c r="P12" s="96" t="str">
        <f>IF(I$8="A",IF(N12&gt;$O$10,IF(N12&lt;=$P$10,N12,""),""),IF(N12&lt;$O$10,IF(N12&gt;=$P$10,N12,""),""))</f>
        <v/>
      </c>
      <c r="Q12" s="96" t="str">
        <f>IF(I$8="A",IF(N12&gt;$P$10,IF(N12&lt;=$Q$10,N12,""),""),IF(N12&lt;$P$10,IF(N12&gt;=$Q$10,N12,""),""))</f>
        <v/>
      </c>
      <c r="R12" s="92" t="str">
        <f>IF(I$8="A",IF(N12&gt;$Q$10,N12,""),IF(N12&lt;$Q$10,N12,""))</f>
        <v/>
      </c>
      <c r="S12" s="42" t="str">
        <f t="shared" ref="S12:S75" si="12">IF(L12=D$3,"u","")</f>
        <v/>
      </c>
      <c r="T12" s="167">
        <f>IF(L12="","",VLOOKUP(L12,classifications!C:K,9,FALSE))</f>
        <v>0</v>
      </c>
      <c r="U12" s="168" t="str">
        <f t="shared" ref="U12:U42" si="13">IF(T12="Sparse",M12,"")</f>
        <v/>
      </c>
      <c r="V12" s="174" t="str">
        <f>IF(U12="","",IF($I$8="A",(RANK(U12,U$11:U$343)+COUNTIF(U$11:U12,U12)-1),(RANK(U12,U$11:U$343,1)+COUNTIF(U$11:U12,U12)-1)))</f>
        <v/>
      </c>
      <c r="W12" s="175"/>
      <c r="X12" s="5" t="str">
        <f>IF(L12="","",VLOOKUP($L12,classifications!$C:$J,6,FALSE))</f>
        <v>Urban with City and Town</v>
      </c>
      <c r="Y12" t="str">
        <f t="shared" si="4"/>
        <v/>
      </c>
      <c r="Z12" s="40" t="str">
        <f>IF(Y12="","",IF(I$8="A",(RANK(Y12,Y$11:Y$343,1)+COUNTIF(Y$11:Y12,Y12)-1),(RANK(Y12,Y$11:Y$343)+COUNTIF(Y$11:Y12,Y12)-1)))</f>
        <v/>
      </c>
      <c r="AA12" s="180" t="str">
        <f>IF(L12="","",VLOOKUP($L12,classifications!C:I,7,FALSE))</f>
        <v>Predominantly Urban</v>
      </c>
      <c r="AB12" s="174" t="str">
        <f t="shared" ref="AB12:AB75" si="14">IF(AA12=$J$3,M12,"")</f>
        <v/>
      </c>
      <c r="AC12" s="174" t="str">
        <f>IF(AB12="","",IF($I$8="A",(RANK(AB12,AB$11:AB$343)+COUNTIF(AB$11:AB12,AB12)-1),(RANK(AB12,AB$11:AB$343,1)+COUNTIF(AB$11:AB12,AB12)-1)))</f>
        <v/>
      </c>
      <c r="AD12" s="174"/>
      <c r="AE12" s="49" t="e">
        <f>IF(I$8="A",(RANK(AG12,AG$11:AG$343,1)+COUNTIF(AG$11:AG12,AG12)-1),(RANK(AG12,AG$11:AG$343)+COUNTIF(AG$11:AG12,AG12)-1))</f>
        <v>#N/A</v>
      </c>
      <c r="AF12" t="str">
        <f>VLOOKUP(Profile!$J$5,Families!$C:$R,2,FALSE)</f>
        <v>Cheshire West &amp; Chester</v>
      </c>
      <c r="AG12" s="15">
        <f t="shared" ref="AG12:AG26" si="15">VLOOKUP(AF12,$C$11:$H$343,4,FALSE)</f>
        <v>429.7</v>
      </c>
      <c r="AH12" s="50" t="e">
        <f>AE12</f>
        <v>#N/A</v>
      </c>
      <c r="AI12" s="5" t="str">
        <f>IF(L12="","",VLOOKUP($L12,classifications!$C:$J,8,FALSE))</f>
        <v>Unitary</v>
      </c>
      <c r="AJ12" s="43">
        <f t="shared" si="5"/>
        <v>310.8</v>
      </c>
      <c r="AK12" s="40">
        <f>IF(AJ12="","",IF(I$8="A",(RANK(AJ12,AJ$11:AJ$343,1)+COUNTIF(AJ$11:AJ12,AJ12)-1),(RANK(AJ12,AJ$11:AJ$343)+COUNTIF(AJ$11:AJ12,AJ12)-1)))</f>
        <v>2</v>
      </c>
      <c r="AL12" s="3">
        <f t="shared" ref="AL12:AL43" si="16">IF(AL11="","",IF(AL11+1&gt;(COUNT(AJ$11:AJ$343)),"",AL11+1))</f>
        <v>2</v>
      </c>
      <c r="AM12" t="str">
        <f t="shared" si="6"/>
        <v>Slough</v>
      </c>
      <c r="AN12">
        <f t="shared" si="7"/>
        <v>310.8</v>
      </c>
      <c r="AP12" s="5" t="str">
        <f>IF(L12="","",VLOOKUP($L12,classifications!$C:$E,3,FALSE))</f>
        <v>South East</v>
      </c>
      <c r="AQ12" s="43" t="str">
        <f t="shared" ref="AQ12:AQ75" si="17">IF(AP12=$G$3,$M12,"")</f>
        <v/>
      </c>
      <c r="AR12" s="40" t="str">
        <f>IF(AQ12="","",IF(I$8="A",(RANK(AQ12,AQ$11:AQ$343,1)+COUNTIF(AQ$11:AQ12,AQ12)-1),(RANK(AQ12,AQ$11:AQ$343)+COUNTIF(AQ$11:AQ12,AQ12)-1)))</f>
        <v/>
      </c>
      <c r="AS12" s="3">
        <f t="shared" ref="AS12:AS43" si="18">IF(AS11="","",IF(AS11+1&gt;(COUNT(AQ$11:AQ$343)),"",AS11+1))</f>
        <v>2</v>
      </c>
      <c r="AT12" s="40" t="str">
        <f t="shared" si="8"/>
        <v>Warrington</v>
      </c>
      <c r="AU12" s="43">
        <f t="shared" si="9"/>
        <v>411.3</v>
      </c>
      <c r="AX12">
        <f>HLOOKUP($AX$9&amp;$AX$10,Data!$A$1:$ZZ$1980,(MATCH($C12,Data!$A$1:$A$1980,0)),FALSE)</f>
        <v>405.5</v>
      </c>
    </row>
    <row r="13" spans="1:735">
      <c r="A13" s="59" t="str">
        <f>$D$1&amp;3</f>
        <v>UA3</v>
      </c>
      <c r="B13" s="60" t="str">
        <f>IF(ISERROR(VLOOKUP(A13,classifications!A:C,3,FALSE)),0,VLOOKUP(A13,classifications!A:C,3,FALSE))</f>
        <v>Durham</v>
      </c>
      <c r="C13" t="s">
        <v>7</v>
      </c>
      <c r="D13" t="str">
        <f>VLOOKUP($C13,classifications!$C:$J,4,FALSE)</f>
        <v>SD</v>
      </c>
      <c r="E13">
        <f>VLOOKUP(C13,classifications!C:K,9,FALSE)</f>
        <v>0</v>
      </c>
      <c r="F13">
        <f t="shared" si="0"/>
        <v>365.2</v>
      </c>
      <c r="G13" s="15"/>
      <c r="H13" s="42" t="str">
        <f t="shared" si="1"/>
        <v/>
      </c>
      <c r="I13" s="79" t="str">
        <f>IF(H13="","",IF($I$8="A",(RANK(H13,H$11:H$343,1)+COUNTIF(H$11:H13,H13)-1),(RANK(H13,H$11:H$343)+COUNTIF(H$11:H13,H13)-1)))</f>
        <v/>
      </c>
      <c r="J13" s="41"/>
      <c r="K13" s="36">
        <f t="shared" si="10"/>
        <v>3</v>
      </c>
      <c r="L13" t="str">
        <f t="shared" si="2"/>
        <v>Bristol</v>
      </c>
      <c r="M13" s="117">
        <f t="shared" si="3"/>
        <v>322</v>
      </c>
      <c r="N13" s="112">
        <f>IF(L13="","",IF($H$8="%%",M13*100,M13))</f>
        <v>322</v>
      </c>
      <c r="O13" s="96">
        <f t="shared" si="11"/>
        <v>322</v>
      </c>
      <c r="P13" s="96" t="str">
        <f t="shared" ref="P13:P76" si="19">IF(I$8="A",IF(N13&gt;$O$10,IF(N13&lt;=$P$10,N13,""),""),IF(N13&lt;$O$10,IF(N13&gt;=$P$10,N13,""),""))</f>
        <v/>
      </c>
      <c r="Q13" s="96" t="str">
        <f t="shared" ref="Q13:Q76" si="20">IF(I$8="A",IF(N13&gt;$P$10,IF(N13&lt;=$Q$10,N13,""),""),IF(N13&lt;$P$10,IF(N13&gt;=$Q$10,N13,""),""))</f>
        <v/>
      </c>
      <c r="R13" s="92" t="str">
        <f t="shared" ref="R13:R76" si="21">IF(I$8="A",IF(N13&gt;$Q$10,N13,""),IF(N13&lt;$Q$10,N13,""))</f>
        <v/>
      </c>
      <c r="S13" s="42" t="str">
        <f t="shared" si="12"/>
        <v/>
      </c>
      <c r="T13" s="167">
        <f>IF(L13="","",VLOOKUP(L13,classifications!C:K,9,FALSE))</f>
        <v>0</v>
      </c>
      <c r="U13" s="168" t="str">
        <f t="shared" si="13"/>
        <v/>
      </c>
      <c r="V13" s="174" t="str">
        <f>IF(U13="","",IF($I$8="A",(RANK(U13,U$11:U$343)+COUNTIF(U$11:U13,U13)-1),(RANK(U13,U$11:U$343,1)+COUNTIF(U$11:U13,U13)-1)))</f>
        <v/>
      </c>
      <c r="W13" s="175"/>
      <c r="X13" s="5" t="str">
        <f>IF(L13="","",VLOOKUP($L13,classifications!$C:$J,6,FALSE))</f>
        <v>Urban with City and Town</v>
      </c>
      <c r="Y13" t="str">
        <f t="shared" si="4"/>
        <v/>
      </c>
      <c r="Z13" s="40" t="str">
        <f>IF(Y13="","",IF(I$8="A",(RANK(Y13,Y$11:Y$343,1)+COUNTIF(Y$11:Y13,Y13)-1),(RANK(Y13,Y$11:Y$343)+COUNTIF(Y$11:Y13,Y13)-1)))</f>
        <v/>
      </c>
      <c r="AA13" s="180" t="str">
        <f>IF(L13="","",VLOOKUP($L13,classifications!C:I,7,FALSE))</f>
        <v>Predominantly Urban</v>
      </c>
      <c r="AB13" s="174" t="str">
        <f>IF(AA13=$J$3,M13,"")</f>
        <v/>
      </c>
      <c r="AC13" s="174" t="str">
        <f>IF(AB13="","",IF($I$8="A",(RANK(AB13,AB$11:AB$343)+COUNTIF(AB$11:AB13,AB13)-1),(RANK(AB13,AB$11:AB$343,1)+COUNTIF(AB$11:AB13,AB13)-1)))</f>
        <v/>
      </c>
      <c r="AD13" s="174"/>
      <c r="AE13" s="49" t="e">
        <f>IF(I$8="A",(RANK(AG13,AG$11:AG$343,1)+COUNTIF(AG$11:AG13,AG13)-1),(RANK(AG13,AG$11:AG$343)+COUNTIF(AG$11:AG13,AG13)-1))</f>
        <v>#N/A</v>
      </c>
      <c r="AF13" t="str">
        <f>VLOOKUP(Profile!$J$5,Families!$C:$R,3,FALSE)</f>
        <v>Shropshire</v>
      </c>
      <c r="AG13" s="15">
        <f t="shared" si="15"/>
        <v>479.3</v>
      </c>
      <c r="AH13" s="50" t="e">
        <f t="shared" ref="AH13:AH26" si="22">AE13</f>
        <v>#N/A</v>
      </c>
      <c r="AI13" s="5" t="str">
        <f>IF(L13="","",VLOOKUP($L13,classifications!$C:$J,8,FALSE))</f>
        <v>Unitary</v>
      </c>
      <c r="AJ13" s="43">
        <f>IF(AI13=$I$3,M13,"")</f>
        <v>322</v>
      </c>
      <c r="AK13" s="40">
        <f>IF(AJ13="","",IF(I$8="A",(RANK(AJ13,AJ$11:AJ$343,1)+COUNTIF(AJ$11:AJ13,AJ13)-1),(RANK(AJ13,AJ$11:AJ$343)+COUNTIF(AJ$11:AJ13,AJ13)-1)))</f>
        <v>3</v>
      </c>
      <c r="AL13" s="3">
        <f t="shared" si="16"/>
        <v>3</v>
      </c>
      <c r="AM13" t="str">
        <f t="shared" si="6"/>
        <v>Bristol</v>
      </c>
      <c r="AN13">
        <f t="shared" si="7"/>
        <v>322</v>
      </c>
      <c r="AP13" s="5" t="str">
        <f>IF(L13="","",VLOOKUP($L13,classifications!$C:$E,3,FALSE))</f>
        <v>South West</v>
      </c>
      <c r="AQ13" s="43" t="str">
        <f t="shared" si="17"/>
        <v/>
      </c>
      <c r="AR13" s="40" t="str">
        <f>IF(AQ13="","",IF(I$8="A",(RANK(AQ13,AQ$11:AQ$343,1)+COUNTIF(AQ$11:AQ13,AQ13)-1),(RANK(AQ13,AQ$11:AQ$343)+COUNTIF(AQ$11:AQ13,AQ13)-1)))</f>
        <v/>
      </c>
      <c r="AS13" s="3">
        <f t="shared" si="18"/>
        <v>3</v>
      </c>
      <c r="AT13" s="40" t="str">
        <f t="shared" si="8"/>
        <v>Halton</v>
      </c>
      <c r="AU13" s="43">
        <f t="shared" si="9"/>
        <v>422.3</v>
      </c>
      <c r="AX13">
        <f>HLOOKUP($AX$9&amp;$AX$10,Data!$A$1:$ZZ$1980,(MATCH($C13,Data!$A$1:$A$1980,0)),FALSE)</f>
        <v>365.2</v>
      </c>
    </row>
    <row r="14" spans="1:735">
      <c r="A14" s="59" t="str">
        <f>$D$1&amp;4</f>
        <v>UA4</v>
      </c>
      <c r="B14" s="60" t="str">
        <f>IF(ISERROR(VLOOKUP(A14,classifications!A:C,3,FALSE)),0,VLOOKUP(A14,classifications!A:C,3,FALSE))</f>
        <v>East Riding of Yorkshire</v>
      </c>
      <c r="C14" t="s">
        <v>8</v>
      </c>
      <c r="D14" t="str">
        <f>VLOOKUP($C14,classifications!$C:$J,4,FALSE)</f>
        <v>SD</v>
      </c>
      <c r="E14">
        <f>VLOOKUP(C14,classifications!C:K,9,FALSE)</f>
        <v>0</v>
      </c>
      <c r="F14">
        <f t="shared" si="0"/>
        <v>349.7</v>
      </c>
      <c r="G14" s="15"/>
      <c r="H14" s="42" t="str">
        <f t="shared" si="1"/>
        <v/>
      </c>
      <c r="I14" s="79" t="str">
        <f>IF(H14="","",IF($I$8="A",(RANK(H14,H$11:H$343,1)+COUNTIF(H$11:H14,H14)-1),(RANK(H14,H$11:H$343)+COUNTIF(H$11:H14,H14)-1)))</f>
        <v/>
      </c>
      <c r="J14" s="41"/>
      <c r="K14" s="36">
        <f t="shared" si="10"/>
        <v>4</v>
      </c>
      <c r="L14" t="str">
        <f t="shared" si="2"/>
        <v>Luton</v>
      </c>
      <c r="M14" s="117">
        <f t="shared" si="3"/>
        <v>328.3</v>
      </c>
      <c r="N14" s="112">
        <f t="shared" ref="N14:N75" si="23">IF(L14="","",IF($H$8="%%",M14*100,M14))</f>
        <v>328.3</v>
      </c>
      <c r="O14" s="96">
        <f t="shared" si="11"/>
        <v>328.3</v>
      </c>
      <c r="P14" s="96" t="str">
        <f t="shared" si="19"/>
        <v/>
      </c>
      <c r="Q14" s="96" t="str">
        <f t="shared" si="20"/>
        <v/>
      </c>
      <c r="R14" s="92" t="str">
        <f t="shared" si="21"/>
        <v/>
      </c>
      <c r="S14" s="42" t="str">
        <f t="shared" si="12"/>
        <v/>
      </c>
      <c r="T14" s="167">
        <f>IF(L14="","",VLOOKUP(L14,classifications!C:K,9,FALSE))</f>
        <v>0</v>
      </c>
      <c r="U14" s="168" t="str">
        <f t="shared" si="13"/>
        <v/>
      </c>
      <c r="V14" s="174" t="str">
        <f>IF(U14="","",IF($I$8="A",(RANK(U14,U$11:U$343)+COUNTIF(U$11:U14,U14)-1),(RANK(U14,U$11:U$343,1)+COUNTIF(U$11:U14,U14)-1)))</f>
        <v/>
      </c>
      <c r="W14" s="175"/>
      <c r="X14" s="5" t="str">
        <f>IF(L14="","",VLOOKUP($L14,classifications!$C:$J,6,FALSE))</f>
        <v>Urban with City and Town</v>
      </c>
      <c r="Y14" t="str">
        <f t="shared" si="4"/>
        <v/>
      </c>
      <c r="Z14" s="40" t="str">
        <f>IF(Y14="","",IF(I$8="A",(RANK(Y14,Y$11:Y$343,1)+COUNTIF(Y$11:Y14,Y14)-1),(RANK(Y14,Y$11:Y$343)+COUNTIF(Y$11:Y14,Y14)-1)))</f>
        <v/>
      </c>
      <c r="AA14" s="180" t="str">
        <f>IF(L14="","",VLOOKUP($L14,classifications!C:I,7,FALSE))</f>
        <v>Predominantly Urban</v>
      </c>
      <c r="AB14" s="174" t="str">
        <f t="shared" si="14"/>
        <v/>
      </c>
      <c r="AC14" s="174" t="str">
        <f>IF(AB14="","",IF($I$8="A",(RANK(AB14,AB$11:AB$343)+COUNTIF(AB$11:AB14,AB14)-1),(RANK(AB14,AB$11:AB$343,1)+COUNTIF(AB$11:AB14,AB14)-1)))</f>
        <v/>
      </c>
      <c r="AD14" s="174"/>
      <c r="AE14" s="49" t="e">
        <f>IF(I$8="A",(RANK(AG14,AG$11:AG$343,1)+COUNTIF(AG$11:AG14,AG14)-1),(RANK(AG14,AG$11:AG$343)+COUNTIF(AG$11:AG14,AG14)-1))</f>
        <v>#N/A</v>
      </c>
      <c r="AF14" t="str">
        <f>VLOOKUP(Profile!$J$5,Families!$C:$R,4,FALSE)</f>
        <v>Wiltshire</v>
      </c>
      <c r="AG14" s="15">
        <f t="shared" si="15"/>
        <v>401.7</v>
      </c>
      <c r="AH14" s="50" t="e">
        <f t="shared" si="22"/>
        <v>#N/A</v>
      </c>
      <c r="AI14" s="5" t="str">
        <f>IF(L14="","",VLOOKUP($L14,classifications!$C:$J,8,FALSE))</f>
        <v>Unitary</v>
      </c>
      <c r="AJ14" s="43">
        <f t="shared" si="5"/>
        <v>328.3</v>
      </c>
      <c r="AK14" s="40">
        <f>IF(AJ14="","",IF(I$8="A",(RANK(AJ14,AJ$11:AJ$343,1)+COUNTIF(AJ$11:AJ14,AJ14)-1),(RANK(AJ14,AJ$11:AJ$343)+COUNTIF(AJ$11:AJ14,AJ14)-1)))</f>
        <v>4</v>
      </c>
      <c r="AL14" s="3">
        <f t="shared" si="16"/>
        <v>4</v>
      </c>
      <c r="AM14" t="str">
        <f t="shared" si="6"/>
        <v>Luton</v>
      </c>
      <c r="AN14">
        <f t="shared" si="7"/>
        <v>328.3</v>
      </c>
      <c r="AP14" s="5" t="str">
        <f>IF(L14="","",VLOOKUP($L14,classifications!$C:$E,3,FALSE))</f>
        <v>East of England</v>
      </c>
      <c r="AQ14" s="43" t="str">
        <f t="shared" si="17"/>
        <v/>
      </c>
      <c r="AR14" s="40" t="str">
        <f>IF(AQ14="","",IF(I$8="A",(RANK(AQ14,AQ$11:AQ$343,1)+COUNTIF(AQ$11:AQ14,AQ14)-1),(RANK(AQ14,AQ$11:AQ$343)+COUNTIF(AQ$11:AQ14,AQ14)-1)))</f>
        <v/>
      </c>
      <c r="AS14" s="3">
        <f t="shared" si="18"/>
        <v>4</v>
      </c>
      <c r="AT14" s="40" t="str">
        <f t="shared" si="8"/>
        <v>Cheshire West &amp; Chester</v>
      </c>
      <c r="AU14" s="43">
        <f t="shared" si="9"/>
        <v>429.7</v>
      </c>
      <c r="AX14">
        <f>HLOOKUP($AX$9&amp;$AX$10,Data!$A$1:$ZZ$1980,(MATCH($C14,Data!$A$1:$A$1980,0)),FALSE)</f>
        <v>349.7</v>
      </c>
    </row>
    <row r="15" spans="1:735">
      <c r="A15" s="59" t="str">
        <f>$D$1&amp;5</f>
        <v>UA5</v>
      </c>
      <c r="B15" s="60" t="str">
        <f>IF(ISERROR(VLOOKUP(A15,classifications!A:C,3,FALSE)),0,VLOOKUP(A15,classifications!A:C,3,FALSE))</f>
        <v>Herefordshire</v>
      </c>
      <c r="C15" t="s">
        <v>9</v>
      </c>
      <c r="D15" t="str">
        <f>VLOOKUP($C15,classifications!$C:$J,4,FALSE)</f>
        <v>SD</v>
      </c>
      <c r="E15">
        <f>VLOOKUP(C15,classifications!C:K,9,FALSE)</f>
        <v>0</v>
      </c>
      <c r="F15">
        <f t="shared" si="0"/>
        <v>351.6</v>
      </c>
      <c r="G15" s="15"/>
      <c r="H15" s="42" t="str">
        <f t="shared" si="1"/>
        <v/>
      </c>
      <c r="I15" s="79" t="str">
        <f>IF(H15="","",IF($I$8="A",(RANK(H15,H$11:H$343,1)+COUNTIF(H$11:H15,H15)-1),(RANK(H15,H$11:H$343)+COUNTIF(H$11:H15,H15)-1)))</f>
        <v/>
      </c>
      <c r="J15" s="41"/>
      <c r="K15" s="36">
        <f t="shared" si="10"/>
        <v>5</v>
      </c>
      <c r="L15" t="str">
        <f t="shared" si="2"/>
        <v>Leicester</v>
      </c>
      <c r="M15" s="117">
        <f t="shared" si="3"/>
        <v>329.6</v>
      </c>
      <c r="N15" s="112">
        <f t="shared" si="23"/>
        <v>329.6</v>
      </c>
      <c r="O15" s="96">
        <f t="shared" si="11"/>
        <v>329.6</v>
      </c>
      <c r="P15" s="96" t="str">
        <f t="shared" si="19"/>
        <v/>
      </c>
      <c r="Q15" s="96" t="str">
        <f t="shared" si="20"/>
        <v/>
      </c>
      <c r="R15" s="92" t="str">
        <f t="shared" si="21"/>
        <v/>
      </c>
      <c r="S15" s="42" t="str">
        <f t="shared" si="12"/>
        <v/>
      </c>
      <c r="T15" s="167">
        <f>IF(L15="","",VLOOKUP(L15,classifications!C:K,9,FALSE))</f>
        <v>0</v>
      </c>
      <c r="U15" s="168" t="str">
        <f t="shared" si="13"/>
        <v/>
      </c>
      <c r="V15" s="174" t="str">
        <f>IF(U15="","",IF($I$8="A",(RANK(U15,U$11:U$343)+COUNTIF(U$11:U15,U15)-1),(RANK(U15,U$11:U$343,1)+COUNTIF(U$11:U15,U15)-1)))</f>
        <v/>
      </c>
      <c r="W15" s="175"/>
      <c r="X15" s="5" t="str">
        <f>IF(L15="","",VLOOKUP($L15,classifications!$C:$J,6,FALSE))</f>
        <v>Urban with City and Town</v>
      </c>
      <c r="Y15" t="str">
        <f t="shared" si="4"/>
        <v/>
      </c>
      <c r="Z15" s="40" t="str">
        <f>IF(Y15="","",IF(I$8="A",(RANK(Y15,Y$11:Y$343,1)+COUNTIF(Y$11:Y15,Y15)-1),(RANK(Y15,Y$11:Y$343)+COUNTIF(Y$11:Y15,Y15)-1)))</f>
        <v/>
      </c>
      <c r="AA15" s="180" t="str">
        <f>IF(L15="","",VLOOKUP($L15,classifications!C:I,7,FALSE))</f>
        <v>Predominantly Urban</v>
      </c>
      <c r="AB15" s="174" t="str">
        <f t="shared" si="14"/>
        <v/>
      </c>
      <c r="AC15" s="174" t="str">
        <f>IF(AB15="","",IF($I$8="A",(RANK(AB15,AB$11:AB$343)+COUNTIF(AB$11:AB15,AB15)-1),(RANK(AB15,AB$11:AB$343,1)+COUNTIF(AB$11:AB15,AB15)-1)))</f>
        <v/>
      </c>
      <c r="AD15" s="174"/>
      <c r="AE15" s="49" t="e">
        <f>IF(I$8="A",(RANK(AG15,AG$11:AG$343,1)+COUNTIF(AG$11:AG15,AG15)-1),(RANK(AG15,AG$11:AG$343)+COUNTIF(AG$11:AG15,AG15)-1))</f>
        <v>#N/A</v>
      </c>
      <c r="AF15" t="str">
        <f>VLOOKUP(Profile!$J$5,Families!$C:$R,5,FALSE)</f>
        <v>Bath &amp; North East Somerset</v>
      </c>
      <c r="AG15" s="15">
        <f t="shared" si="15"/>
        <v>360.1</v>
      </c>
      <c r="AH15" s="50" t="e">
        <f t="shared" si="22"/>
        <v>#N/A</v>
      </c>
      <c r="AI15" s="5" t="str">
        <f>IF(L15="","",VLOOKUP($L15,classifications!$C:$J,8,FALSE))</f>
        <v>Unitary</v>
      </c>
      <c r="AJ15" s="43">
        <f t="shared" si="5"/>
        <v>329.6</v>
      </c>
      <c r="AK15" s="40">
        <f>IF(AJ15="","",IF(I$8="A",(RANK(AJ15,AJ$11:AJ$343,1)+COUNTIF(AJ$11:AJ15,AJ15)-1),(RANK(AJ15,AJ$11:AJ$343)+COUNTIF(AJ$11:AJ15,AJ15)-1)))</f>
        <v>5</v>
      </c>
      <c r="AL15" s="3">
        <f t="shared" si="16"/>
        <v>5</v>
      </c>
      <c r="AM15" t="str">
        <f t="shared" si="6"/>
        <v>Leicester</v>
      </c>
      <c r="AN15">
        <f t="shared" si="7"/>
        <v>329.6</v>
      </c>
      <c r="AP15" s="5" t="str">
        <f>IF(L15="","",VLOOKUP($L15,classifications!$C:$E,3,FALSE))</f>
        <v>East Midlands</v>
      </c>
      <c r="AQ15" s="43" t="str">
        <f t="shared" si="17"/>
        <v/>
      </c>
      <c r="AR15" s="40" t="str">
        <f>IF(AQ15="","",IF(I$8="A",(RANK(AQ15,AQ$11:AQ$343,1)+COUNTIF(AQ$11:AQ15,AQ15)-1),(RANK(AQ15,AQ$11:AQ$343)+COUNTIF(AQ$11:AQ15,AQ15)-1)))</f>
        <v/>
      </c>
      <c r="AS15" s="3">
        <f t="shared" si="18"/>
        <v>5</v>
      </c>
      <c r="AT15" s="40" t="str">
        <f t="shared" si="8"/>
        <v>Blackpool</v>
      </c>
      <c r="AU15" s="43">
        <f t="shared" si="9"/>
        <v>439.4</v>
      </c>
      <c r="AX15">
        <f>HLOOKUP($AX$9&amp;$AX$10,Data!$A$1:$ZZ$1980,(MATCH($C15,Data!$A$1:$A$1980,0)),FALSE)</f>
        <v>351.6</v>
      </c>
    </row>
    <row r="16" spans="1:735">
      <c r="A16" s="59" t="str">
        <f>$D$1&amp;6</f>
        <v>UA6</v>
      </c>
      <c r="B16" s="60" t="str">
        <f>IF(ISERROR(VLOOKUP(A16,classifications!A:C,3,FALSE)),0,VLOOKUP(A16,classifications!A:C,3,FALSE))</f>
        <v>Isle of Wight</v>
      </c>
      <c r="C16" t="s">
        <v>10</v>
      </c>
      <c r="D16" t="str">
        <f>VLOOKUP($C16,classifications!$C:$J,4,FALSE)</f>
        <v>SD</v>
      </c>
      <c r="E16">
        <f>VLOOKUP(C16,classifications!C:K,9,FALSE)</f>
        <v>0</v>
      </c>
      <c r="F16">
        <f t="shared" si="0"/>
        <v>338.5</v>
      </c>
      <c r="G16" s="15"/>
      <c r="H16" s="42" t="str">
        <f t="shared" si="1"/>
        <v/>
      </c>
      <c r="I16" s="79" t="str">
        <f>IF(H16="","",IF($I$8="A",(RANK(H16,H$11:H$343,1)+COUNTIF(H$11:H16,H16)-1),(RANK(H16,H$11:H$343)+COUNTIF(H$11:H16,H16)-1)))</f>
        <v/>
      </c>
      <c r="J16" s="41"/>
      <c r="K16" s="36">
        <f t="shared" si="10"/>
        <v>6</v>
      </c>
      <c r="L16" t="str">
        <f t="shared" si="2"/>
        <v>Portsmouth</v>
      </c>
      <c r="M16" s="117">
        <f t="shared" si="3"/>
        <v>332</v>
      </c>
      <c r="N16" s="112">
        <f t="shared" si="23"/>
        <v>332</v>
      </c>
      <c r="O16" s="96">
        <f t="shared" si="11"/>
        <v>332</v>
      </c>
      <c r="P16" s="96" t="str">
        <f t="shared" si="19"/>
        <v/>
      </c>
      <c r="Q16" s="96" t="str">
        <f t="shared" si="20"/>
        <v/>
      </c>
      <c r="R16" s="92" t="str">
        <f t="shared" si="21"/>
        <v/>
      </c>
      <c r="S16" s="42" t="str">
        <f t="shared" si="12"/>
        <v/>
      </c>
      <c r="T16" s="167">
        <f>IF(L16="","",VLOOKUP(L16,classifications!C:K,9,FALSE))</f>
        <v>0</v>
      </c>
      <c r="U16" s="168" t="str">
        <f t="shared" si="13"/>
        <v/>
      </c>
      <c r="V16" s="174" t="str">
        <f>IF(U16="","",IF($I$8="A",(RANK(U16,U$11:U$343)+COUNTIF(U$11:U16,U16)-1),(RANK(U16,U$11:U$343,1)+COUNTIF(U$11:U16,U16)-1)))</f>
        <v/>
      </c>
      <c r="W16" s="175"/>
      <c r="X16" s="5" t="str">
        <f>IF(L16="","",VLOOKUP($L16,classifications!$C:$J,6,FALSE))</f>
        <v>Urban with City and Town</v>
      </c>
      <c r="Y16" t="str">
        <f t="shared" si="4"/>
        <v/>
      </c>
      <c r="Z16" s="40" t="str">
        <f>IF(Y16="","",IF(I$8="A",(RANK(Y16,Y$11:Y$343,1)+COUNTIF(Y$11:Y16,Y16)-1),(RANK(Y16,Y$11:Y$343)+COUNTIF(Y$11:Y16,Y16)-1)))</f>
        <v/>
      </c>
      <c r="AA16" s="180" t="str">
        <f>IF(L16="","",VLOOKUP($L16,classifications!C:I,7,FALSE))</f>
        <v>Predominantly Urban</v>
      </c>
      <c r="AB16" s="174" t="str">
        <f t="shared" si="14"/>
        <v/>
      </c>
      <c r="AC16" s="174" t="str">
        <f>IF(AB16="","",IF($I$8="A",(RANK(AB16,AB$11:AB$343)+COUNTIF(AB$11:AB16,AB16)-1),(RANK(AB16,AB$11:AB$343,1)+COUNTIF(AB$11:AB16,AB16)-1)))</f>
        <v/>
      </c>
      <c r="AD16" s="174"/>
      <c r="AE16" s="49" t="e">
        <f>IF(I$8="A",(RANK(AG16,AG$11:AG$343,1)+COUNTIF(AG$11:AG16,AG16)-1),(RANK(AG16,AG$11:AG$343)+COUNTIF(AG$11:AG16,AG16)-1))</f>
        <v>#N/A</v>
      </c>
      <c r="AF16" t="str">
        <f>VLOOKUP(Profile!$J$5,Families!$C:$R,6,FALSE)</f>
        <v>Herefordshire</v>
      </c>
      <c r="AG16" s="15">
        <f t="shared" si="15"/>
        <v>363.4</v>
      </c>
      <c r="AH16" s="50" t="e">
        <f t="shared" si="22"/>
        <v>#N/A</v>
      </c>
      <c r="AI16" s="5" t="str">
        <f>IF(L16="","",VLOOKUP($L16,classifications!$C:$J,8,FALSE))</f>
        <v>Unitary</v>
      </c>
      <c r="AJ16" s="43">
        <f t="shared" si="5"/>
        <v>332</v>
      </c>
      <c r="AK16" s="40">
        <f>IF(AJ16="","",IF(I$8="A",(RANK(AJ16,AJ$11:AJ$343,1)+COUNTIF(AJ$11:AJ16,AJ16)-1),(RANK(AJ16,AJ$11:AJ$343)+COUNTIF(AJ$11:AJ16,AJ16)-1)))</f>
        <v>6</v>
      </c>
      <c r="AL16" s="3">
        <f t="shared" si="16"/>
        <v>6</v>
      </c>
      <c r="AM16" t="str">
        <f t="shared" si="6"/>
        <v>Portsmouth</v>
      </c>
      <c r="AN16">
        <f t="shared" si="7"/>
        <v>332</v>
      </c>
      <c r="AP16" s="5" t="str">
        <f>IF(L16="","",VLOOKUP($L16,classifications!$C:$E,3,FALSE))</f>
        <v>South East</v>
      </c>
      <c r="AQ16" s="43" t="str">
        <f t="shared" si="17"/>
        <v/>
      </c>
      <c r="AR16" s="40" t="str">
        <f>IF(AQ16="","",IF(I$8="A",(RANK(AQ16,AQ$11:AQ$343,1)+COUNTIF(AQ$11:AQ16,AQ16)-1),(RANK(AQ16,AQ$11:AQ$343)+COUNTIF(AQ$11:AQ16,AQ16)-1)))</f>
        <v/>
      </c>
      <c r="AS16" s="3">
        <f t="shared" si="18"/>
        <v>6</v>
      </c>
      <c r="AT16" s="40" t="str">
        <f t="shared" si="8"/>
        <v>Cheshire East</v>
      </c>
      <c r="AU16" s="43">
        <f t="shared" si="9"/>
        <v>442.4</v>
      </c>
      <c r="AX16">
        <f>HLOOKUP($AX$9&amp;$AX$10,Data!$A$1:$ZZ$1980,(MATCH($C16,Data!$A$1:$A$1980,0)),FALSE)</f>
        <v>338.5</v>
      </c>
    </row>
    <row r="17" spans="1:50">
      <c r="A17" s="59" t="str">
        <f>$D$1&amp;7</f>
        <v>UA7</v>
      </c>
      <c r="B17" s="60" t="str">
        <f>IF(ISERROR(VLOOKUP(A17,classifications!A:C,3,FALSE)),0,VLOOKUP(A17,classifications!A:C,3,FALSE))</f>
        <v>North Lincolnshire</v>
      </c>
      <c r="C17" t="s">
        <v>904</v>
      </c>
      <c r="D17" t="str">
        <f>VLOOKUP($C17,classifications!$C:$J,4,FALSE)</f>
        <v>SD</v>
      </c>
      <c r="E17" t="str">
        <f>VLOOKUP(C17,classifications!C:K,9,FALSE)</f>
        <v>Sparse</v>
      </c>
      <c r="F17" t="str">
        <f t="shared" si="0"/>
        <v>..</v>
      </c>
      <c r="G17" s="15"/>
      <c r="H17" s="42" t="str">
        <f t="shared" si="1"/>
        <v/>
      </c>
      <c r="I17" s="79" t="str">
        <f>IF(H17="","",IF($I$8="A",(RANK(H17,H$11:H$343,1)+COUNTIF(H$11:H17,H17)-1),(RANK(H17,H$11:H$343)+COUNTIF(H$11:H17,H17)-1)))</f>
        <v/>
      </c>
      <c r="J17" s="41"/>
      <c r="K17" s="36">
        <f t="shared" si="10"/>
        <v>7</v>
      </c>
      <c r="L17" t="str">
        <f t="shared" si="2"/>
        <v>Blackburn with Darwen</v>
      </c>
      <c r="M17" s="117">
        <f t="shared" si="3"/>
        <v>339.7</v>
      </c>
      <c r="N17" s="112">
        <f t="shared" si="23"/>
        <v>339.7</v>
      </c>
      <c r="O17" s="96">
        <f t="shared" si="11"/>
        <v>339.7</v>
      </c>
      <c r="P17" s="96" t="str">
        <f t="shared" si="19"/>
        <v/>
      </c>
      <c r="Q17" s="96" t="str">
        <f t="shared" si="20"/>
        <v/>
      </c>
      <c r="R17" s="92" t="str">
        <f t="shared" si="21"/>
        <v/>
      </c>
      <c r="S17" s="42" t="str">
        <f t="shared" si="12"/>
        <v/>
      </c>
      <c r="T17" s="167">
        <f>IF(L17="","",VLOOKUP(L17,classifications!C:K,9,FALSE))</f>
        <v>0</v>
      </c>
      <c r="U17" s="168" t="str">
        <f t="shared" si="13"/>
        <v/>
      </c>
      <c r="V17" s="174" t="str">
        <f>IF(U17="","",IF($I$8="A",(RANK(U17,U$11:U$343)+COUNTIF(U$11:U17,U17)-1),(RANK(U17,U$11:U$343,1)+COUNTIF(U$11:U17,U17)-1)))</f>
        <v/>
      </c>
      <c r="W17" s="175"/>
      <c r="X17" s="5" t="str">
        <f>IF(L17="","",VLOOKUP($L17,classifications!$C:$J,6,FALSE))</f>
        <v>Urban with City and Town</v>
      </c>
      <c r="Y17" t="str">
        <f t="shared" si="4"/>
        <v/>
      </c>
      <c r="Z17" s="40" t="str">
        <f>IF(Y17="","",IF(I$8="A",(RANK(Y17,Y$11:Y$343,1)+COUNTIF(Y$11:Y17,Y17)-1),(RANK(Y17,Y$11:Y$343)+COUNTIF(Y$11:Y17,Y17)-1)))</f>
        <v/>
      </c>
      <c r="AA17" s="180" t="str">
        <f>IF(L17="","",VLOOKUP($L17,classifications!C:I,7,FALSE))</f>
        <v>Predominantly Urban</v>
      </c>
      <c r="AB17" s="174" t="str">
        <f t="shared" si="14"/>
        <v/>
      </c>
      <c r="AC17" s="174" t="str">
        <f>IF(AB17="","",IF($I$8="A",(RANK(AB17,AB$11:AB$343)+COUNTIF(AB$11:AB17,AB17)-1),(RANK(AB17,AB$11:AB$343,1)+COUNTIF(AB$11:AB17,AB17)-1)))</f>
        <v/>
      </c>
      <c r="AD17" s="174"/>
      <c r="AE17" s="49" t="e">
        <f>IF(I$8="A",(RANK(AG17,AG$11:AG$343,1)+COUNTIF(AG$11:AG17,AG17)-1),(RANK(AG17,AG$11:AG$343)+COUNTIF(AG$11:AG17,AG17)-1))</f>
        <v>#N/A</v>
      </c>
      <c r="AF17" t="str">
        <f>VLOOKUP(Profile!$J$5,Families!$C:$R,7,FALSE)</f>
        <v>Solihull</v>
      </c>
      <c r="AG17" s="15">
        <f t="shared" si="15"/>
        <v>403.9</v>
      </c>
      <c r="AH17" s="50" t="e">
        <f t="shared" si="22"/>
        <v>#N/A</v>
      </c>
      <c r="AI17" s="5" t="str">
        <f>IF(L17="","",VLOOKUP($L17,classifications!$C:$J,8,FALSE))</f>
        <v>Unitary</v>
      </c>
      <c r="AJ17" s="43">
        <f t="shared" si="5"/>
        <v>339.7</v>
      </c>
      <c r="AK17" s="40">
        <f>IF(AJ17="","",IF(I$8="A",(RANK(AJ17,AJ$11:AJ$343,1)+COUNTIF(AJ$11:AJ17,AJ17)-1),(RANK(AJ17,AJ$11:AJ$343)+COUNTIF(AJ$11:AJ17,AJ17)-1)))</f>
        <v>7</v>
      </c>
      <c r="AL17" s="3">
        <f t="shared" si="16"/>
        <v>7</v>
      </c>
      <c r="AM17" t="str">
        <f t="shared" si="6"/>
        <v>Blackburn with Darwen</v>
      </c>
      <c r="AN17">
        <f t="shared" si="7"/>
        <v>339.7</v>
      </c>
      <c r="AP17" s="5" t="str">
        <f>IF(L17="","",VLOOKUP($L17,classifications!$C:$E,3,FALSE))</f>
        <v>North West</v>
      </c>
      <c r="AQ17" s="43">
        <f t="shared" si="17"/>
        <v>339.7</v>
      </c>
      <c r="AR17" s="40">
        <f>IF(AQ17="","",IF(I$8="A",(RANK(AQ17,AQ$11:AQ$343,1)+COUNTIF(AQ$11:AQ17,AQ17)-1),(RANK(AQ17,AQ$11:AQ$343)+COUNTIF(AQ$11:AQ17,AQ17)-1)))</f>
        <v>1</v>
      </c>
      <c r="AS17" s="3" t="str">
        <f t="shared" si="18"/>
        <v/>
      </c>
      <c r="AT17" s="40" t="str">
        <f t="shared" si="8"/>
        <v/>
      </c>
      <c r="AU17" s="43" t="str">
        <f t="shared" si="9"/>
        <v/>
      </c>
      <c r="AX17" t="str">
        <f>HLOOKUP($AX$9&amp;$AX$10,Data!$A$1:$ZZ$1980,(MATCH($C17,Data!$A$1:$A$1980,0)),FALSE)</f>
        <v>..</v>
      </c>
    </row>
    <row r="18" spans="1:50">
      <c r="A18" s="59" t="str">
        <f>$D$1&amp;8</f>
        <v>UA8</v>
      </c>
      <c r="B18" s="60" t="str">
        <f>IF(ISERROR(VLOOKUP(A18,classifications!A:C,3,FALSE)),0,VLOOKUP(A18,classifications!A:C,3,FALSE))</f>
        <v>North Somerset</v>
      </c>
      <c r="C18" t="s">
        <v>12</v>
      </c>
      <c r="D18" t="str">
        <f>VLOOKUP($C18,classifications!$C:$J,4,FALSE)</f>
        <v>SD</v>
      </c>
      <c r="E18" t="str">
        <f>VLOOKUP(C18,classifications!C:K,9,FALSE)</f>
        <v>Sparse</v>
      </c>
      <c r="F18" t="str">
        <f t="shared" si="0"/>
        <v>..</v>
      </c>
      <c r="G18" s="15"/>
      <c r="H18" s="42" t="str">
        <f t="shared" si="1"/>
        <v/>
      </c>
      <c r="I18" s="79" t="str">
        <f>IF(H18="","",IF($I$8="A",(RANK(H18,H$11:H$343,1)+COUNTIF(H$11:H18,H18)-1),(RANK(H18,H$11:H$343)+COUNTIF(H$11:H18,H18)-1)))</f>
        <v/>
      </c>
      <c r="J18" s="41"/>
      <c r="K18" s="36">
        <f t="shared" si="10"/>
        <v>8</v>
      </c>
      <c r="L18" t="str">
        <f t="shared" si="2"/>
        <v>Southampton</v>
      </c>
      <c r="M18" s="117">
        <f t="shared" si="3"/>
        <v>340.8</v>
      </c>
      <c r="N18" s="112">
        <f t="shared" si="23"/>
        <v>340.8</v>
      </c>
      <c r="O18" s="96">
        <f t="shared" si="11"/>
        <v>340.8</v>
      </c>
      <c r="P18" s="96" t="str">
        <f t="shared" si="19"/>
        <v/>
      </c>
      <c r="Q18" s="96" t="str">
        <f t="shared" si="20"/>
        <v/>
      </c>
      <c r="R18" s="92" t="str">
        <f t="shared" si="21"/>
        <v/>
      </c>
      <c r="S18" s="42" t="str">
        <f t="shared" si="12"/>
        <v/>
      </c>
      <c r="T18" s="167">
        <f>IF(L18="","",VLOOKUP(L18,classifications!C:K,9,FALSE))</f>
        <v>0</v>
      </c>
      <c r="U18" s="168" t="str">
        <f t="shared" si="13"/>
        <v/>
      </c>
      <c r="V18" s="174" t="str">
        <f>IF(U18="","",IF($I$8="A",(RANK(U18,U$11:U$343)+COUNTIF(U$11:U18,U18)-1),(RANK(U18,U$11:U$343,1)+COUNTIF(U$11:U18,U18)-1)))</f>
        <v/>
      </c>
      <c r="W18" s="175"/>
      <c r="X18" s="5" t="str">
        <f>IF(L18="","",VLOOKUP($L18,classifications!$C:$J,6,FALSE))</f>
        <v>Urban with City and Town</v>
      </c>
      <c r="Y18" t="str">
        <f t="shared" si="4"/>
        <v/>
      </c>
      <c r="Z18" s="40" t="str">
        <f>IF(Y18="","",IF(I$8="A",(RANK(Y18,Y$11:Y$343,1)+COUNTIF(Y$11:Y18,Y18)-1),(RANK(Y18,Y$11:Y$343)+COUNTIF(Y$11:Y18,Y18)-1)))</f>
        <v/>
      </c>
      <c r="AA18" s="180" t="str">
        <f>IF(L18="","",VLOOKUP($L18,classifications!C:I,7,FALSE))</f>
        <v>Predominantly Urban</v>
      </c>
      <c r="AB18" s="174" t="str">
        <f t="shared" si="14"/>
        <v/>
      </c>
      <c r="AC18" s="174" t="str">
        <f>IF(AB18="","",IF($I$8="A",(RANK(AB18,AB$11:AB$343)+COUNTIF(AB$11:AB18,AB18)-1),(RANK(AB18,AB$11:AB$343,1)+COUNTIF(AB$11:AB18,AB18)-1)))</f>
        <v/>
      </c>
      <c r="AD18" s="174"/>
      <c r="AE18" s="49" t="e">
        <f>IF(I$8="A",(RANK(AG18,AG$11:AG$343,1)+COUNTIF(AG$11:AG18,AG18)-1),(RANK(AG18,AG$11:AG$343)+COUNTIF(AG$11:AG18,AG18)-1))</f>
        <v>#N/A</v>
      </c>
      <c r="AF18" t="str">
        <f>VLOOKUP(Profile!$J$5,Families!$C:$R,8,FALSE)</f>
        <v>Stockport</v>
      </c>
      <c r="AG18" s="15">
        <f t="shared" si="15"/>
        <v>328.7</v>
      </c>
      <c r="AH18" s="50" t="e">
        <f t="shared" si="22"/>
        <v>#N/A</v>
      </c>
      <c r="AI18" s="5" t="str">
        <f>IF(L18="","",VLOOKUP($L18,classifications!$C:$J,8,FALSE))</f>
        <v>Unitary</v>
      </c>
      <c r="AJ18" s="43">
        <f t="shared" si="5"/>
        <v>340.8</v>
      </c>
      <c r="AK18" s="40">
        <f>IF(AJ18="","",IF(I$8="A",(RANK(AJ18,AJ$11:AJ$343,1)+COUNTIF(AJ$11:AJ18,AJ18)-1),(RANK(AJ18,AJ$11:AJ$343)+COUNTIF(AJ$11:AJ18,AJ18)-1)))</f>
        <v>8</v>
      </c>
      <c r="AL18" s="3">
        <f t="shared" si="16"/>
        <v>8</v>
      </c>
      <c r="AM18" t="str">
        <f t="shared" si="6"/>
        <v>Southampton</v>
      </c>
      <c r="AN18">
        <f t="shared" si="7"/>
        <v>340.8</v>
      </c>
      <c r="AP18" s="5" t="str">
        <f>IF(L18="","",VLOOKUP($L18,classifications!$C:$E,3,FALSE))</f>
        <v>South East</v>
      </c>
      <c r="AQ18" s="43" t="str">
        <f t="shared" si="17"/>
        <v/>
      </c>
      <c r="AR18" s="40" t="str">
        <f>IF(AQ18="","",IF(I$8="A",(RANK(AQ18,AQ$11:AQ$343,1)+COUNTIF(AQ$11:AQ18,AQ18)-1),(RANK(AQ18,AQ$11:AQ$343)+COUNTIF(AQ$11:AQ18,AQ18)-1)))</f>
        <v/>
      </c>
      <c r="AS18" s="3" t="str">
        <f t="shared" si="18"/>
        <v/>
      </c>
      <c r="AT18" s="40" t="str">
        <f t="shared" si="8"/>
        <v/>
      </c>
      <c r="AU18" s="43" t="str">
        <f t="shared" si="9"/>
        <v/>
      </c>
      <c r="AX18" t="str">
        <f>HLOOKUP($AX$9&amp;$AX$10,Data!$A$1:$ZZ$1980,(MATCH($C18,Data!$A$1:$A$1980,0)),FALSE)</f>
        <v>..</v>
      </c>
    </row>
    <row r="19" spans="1:50">
      <c r="A19" s="59" t="str">
        <f>$D$1&amp;9</f>
        <v>UA9</v>
      </c>
      <c r="B19" s="60" t="str">
        <f>IF(ISERROR(VLOOKUP(A19,classifications!A:C,3,FALSE)),0,VLOOKUP(A19,classifications!A:C,3,FALSE))</f>
        <v>Northumberland</v>
      </c>
      <c r="C19" t="s">
        <v>339</v>
      </c>
      <c r="D19" t="str">
        <f>VLOOKUP($C19,classifications!$C:$J,4,FALSE)</f>
        <v>L</v>
      </c>
      <c r="E19">
        <f>VLOOKUP(C19,classifications!C:K,9,FALSE)</f>
        <v>0</v>
      </c>
      <c r="F19">
        <f t="shared" si="0"/>
        <v>360.5</v>
      </c>
      <c r="G19" s="15"/>
      <c r="H19" s="42" t="str">
        <f t="shared" si="1"/>
        <v/>
      </c>
      <c r="I19" s="79" t="str">
        <f>IF(H19="","",IF($I$8="A",(RANK(H19,H$11:H$343,1)+COUNTIF(H$11:H19,H19)-1),(RANK(H19,H$11:H$343)+COUNTIF(H$11:H19,H19)-1)))</f>
        <v/>
      </c>
      <c r="J19" s="41"/>
      <c r="K19" s="36">
        <f t="shared" si="10"/>
        <v>9</v>
      </c>
      <c r="L19" t="str">
        <f t="shared" si="2"/>
        <v>Nottingham</v>
      </c>
      <c r="M19" s="117">
        <f t="shared" si="3"/>
        <v>340.9</v>
      </c>
      <c r="N19" s="112">
        <f t="shared" si="23"/>
        <v>340.9</v>
      </c>
      <c r="O19" s="96">
        <f t="shared" si="11"/>
        <v>340.9</v>
      </c>
      <c r="P19" s="96" t="str">
        <f t="shared" si="19"/>
        <v/>
      </c>
      <c r="Q19" s="96" t="str">
        <f t="shared" si="20"/>
        <v/>
      </c>
      <c r="R19" s="92" t="str">
        <f t="shared" si="21"/>
        <v/>
      </c>
      <c r="S19" s="42" t="str">
        <f t="shared" si="12"/>
        <v/>
      </c>
      <c r="T19" s="167">
        <f>IF(L19="","",VLOOKUP(L19,classifications!C:K,9,FALSE))</f>
        <v>0</v>
      </c>
      <c r="U19" s="168" t="str">
        <f t="shared" si="13"/>
        <v/>
      </c>
      <c r="V19" s="174" t="str">
        <f>IF(U19="","",IF($I$8="A",(RANK(U19,U$11:U$343)+COUNTIF(U$11:U19,U19)-1),(RANK(U19,U$11:U$343,1)+COUNTIF(U$11:U19,U19)-1)))</f>
        <v/>
      </c>
      <c r="W19" s="175"/>
      <c r="X19" s="5" t="str">
        <f>IF(L19="","",VLOOKUP($L19,classifications!$C:$J,6,FALSE))</f>
        <v>Urban with Minor Conurbation</v>
      </c>
      <c r="Y19" t="str">
        <f t="shared" si="4"/>
        <v/>
      </c>
      <c r="Z19" s="40" t="str">
        <f>IF(Y19="","",IF(I$8="A",(RANK(Y19,Y$11:Y$343,1)+COUNTIF(Y$11:Y19,Y19)-1),(RANK(Y19,Y$11:Y$343)+COUNTIF(Y$11:Y19,Y19)-1)))</f>
        <v/>
      </c>
      <c r="AA19" s="180" t="str">
        <f>IF(L19="","",VLOOKUP($L19,classifications!C:I,7,FALSE))</f>
        <v>Predominantly Urban</v>
      </c>
      <c r="AB19" s="174" t="str">
        <f t="shared" si="14"/>
        <v/>
      </c>
      <c r="AC19" s="174" t="str">
        <f>IF(AB19="","",IF($I$8="A",(RANK(AB19,AB$11:AB$343)+COUNTIF(AB$11:AB19,AB19)-1),(RANK(AB19,AB$11:AB$343,1)+COUNTIF(AB$11:AB19,AB19)-1)))</f>
        <v/>
      </c>
      <c r="AD19" s="174"/>
      <c r="AE19" s="49" t="e">
        <f>IF(I$8="A",(RANK(AG19,AG$11:AG$343,1)+COUNTIF(AG$11:AG19,AG19)-1),(RANK(AG19,AG$11:AG$343)+COUNTIF(AG$11:AG19,AG19)-1))</f>
        <v>#N/A</v>
      </c>
      <c r="AF19" t="str">
        <f>VLOOKUP(Profile!$J$5,Families!$C:$R,9,FALSE)</f>
        <v>Central Bedfordshire</v>
      </c>
      <c r="AG19" s="15">
        <f t="shared" si="15"/>
        <v>417.7</v>
      </c>
      <c r="AH19" s="50" t="e">
        <f t="shared" si="22"/>
        <v>#N/A</v>
      </c>
      <c r="AI19" s="5" t="str">
        <f>IF(L19="","",VLOOKUP($L19,classifications!$C:$J,8,FALSE))</f>
        <v>Unitary</v>
      </c>
      <c r="AJ19" s="43">
        <f t="shared" si="5"/>
        <v>340.9</v>
      </c>
      <c r="AK19" s="40">
        <f>IF(AJ19="","",IF(I$8="A",(RANK(AJ19,AJ$11:AJ$343,1)+COUNTIF(AJ$11:AJ19,AJ19)-1),(RANK(AJ19,AJ$11:AJ$343)+COUNTIF(AJ$11:AJ19,AJ19)-1)))</f>
        <v>9</v>
      </c>
      <c r="AL19" s="3">
        <f t="shared" si="16"/>
        <v>9</v>
      </c>
      <c r="AM19" t="str">
        <f t="shared" si="6"/>
        <v>Nottingham</v>
      </c>
      <c r="AN19">
        <f t="shared" si="7"/>
        <v>340.9</v>
      </c>
      <c r="AP19" s="5" t="str">
        <f>IF(L19="","",VLOOKUP($L19,classifications!$C:$E,3,FALSE))</f>
        <v>East Midlands</v>
      </c>
      <c r="AQ19" s="43" t="str">
        <f t="shared" si="17"/>
        <v/>
      </c>
      <c r="AR19" s="40" t="str">
        <f>IF(AQ19="","",IF(I$8="A",(RANK(AQ19,AQ$11:AQ$343,1)+COUNTIF(AQ$11:AQ19,AQ19)-1),(RANK(AQ19,AQ$11:AQ$343)+COUNTIF(AQ$11:AQ19,AQ19)-1)))</f>
        <v/>
      </c>
      <c r="AS19" s="3" t="str">
        <f t="shared" si="18"/>
        <v/>
      </c>
      <c r="AT19" s="40" t="str">
        <f t="shared" si="8"/>
        <v/>
      </c>
      <c r="AU19" s="43" t="str">
        <f t="shared" si="9"/>
        <v/>
      </c>
      <c r="AX19">
        <f>HLOOKUP($AX$9&amp;$AX$10,Data!$A$1:$ZZ$1980,(MATCH($C19,Data!$A$1:$A$1980,0)),FALSE)</f>
        <v>360.5</v>
      </c>
    </row>
    <row r="20" spans="1:50">
      <c r="A20" s="59" t="str">
        <f>$D$1&amp;10</f>
        <v>UA10</v>
      </c>
      <c r="B20" s="60" t="str">
        <f>IF(ISERROR(VLOOKUP(A20,classifications!A:C,3,FALSE)),0,VLOOKUP(A20,classifications!A:C,3,FALSE))</f>
        <v>Rutland</v>
      </c>
      <c r="C20" t="s">
        <v>197</v>
      </c>
      <c r="D20" t="str">
        <f>VLOOKUP($C20,classifications!$C:$J,4,FALSE)</f>
        <v>L</v>
      </c>
      <c r="E20">
        <f>VLOOKUP(C20,classifications!C:K,9,FALSE)</f>
        <v>0</v>
      </c>
      <c r="F20">
        <f t="shared" si="0"/>
        <v>353.5</v>
      </c>
      <c r="G20" s="15"/>
      <c r="H20" s="42" t="str">
        <f t="shared" si="1"/>
        <v/>
      </c>
      <c r="I20" s="79" t="str">
        <f>IF(H20="","",IF($I$8="A",(RANK(H20,H$11:H$343,1)+COUNTIF(H$11:H20,H20)-1),(RANK(H20,H$11:H$343)+COUNTIF(H$11:H20,H20)-1)))</f>
        <v/>
      </c>
      <c r="J20" s="41"/>
      <c r="K20" s="36">
        <f t="shared" si="10"/>
        <v>10</v>
      </c>
      <c r="L20" t="str">
        <f t="shared" si="2"/>
        <v>Bath &amp; North East Somerset</v>
      </c>
      <c r="M20" s="117">
        <f t="shared" si="3"/>
        <v>360.1</v>
      </c>
      <c r="N20" s="112">
        <f t="shared" si="23"/>
        <v>360.1</v>
      </c>
      <c r="O20" s="96">
        <f t="shared" si="11"/>
        <v>360.1</v>
      </c>
      <c r="P20" s="96" t="str">
        <f t="shared" si="19"/>
        <v/>
      </c>
      <c r="Q20" s="96" t="str">
        <f t="shared" si="20"/>
        <v/>
      </c>
      <c r="R20" s="92" t="str">
        <f t="shared" si="21"/>
        <v/>
      </c>
      <c r="S20" s="42" t="str">
        <f t="shared" si="12"/>
        <v/>
      </c>
      <c r="T20" s="167">
        <f>IF(L20="","",VLOOKUP(L20,classifications!C:K,9,FALSE))</f>
        <v>0</v>
      </c>
      <c r="U20" s="168" t="str">
        <f t="shared" si="13"/>
        <v/>
      </c>
      <c r="V20" s="174" t="str">
        <f>IF(U20="","",IF($I$8="A",(RANK(U20,U$11:U$343)+COUNTIF(U$11:U20,U20)-1),(RANK(U20,U$11:U$343,1)+COUNTIF(U$11:U20,U20)-1)))</f>
        <v/>
      </c>
      <c r="W20" s="175"/>
      <c r="X20" s="5" t="str">
        <f>IF(L20="","",VLOOKUP($L20,classifications!$C:$J,6,FALSE))</f>
        <v>Urban with Significant Rural (rural including hub towns 26-49%)</v>
      </c>
      <c r="Y20">
        <f t="shared" si="4"/>
        <v>360.1</v>
      </c>
      <c r="Z20" s="40">
        <f>IF(Y20="","",IF(I$8="A",(RANK(Y20,Y$11:Y$343,1)+COUNTIF(Y$11:Y20,Y20)-1),(RANK(Y20,Y$11:Y$343)+COUNTIF(Y$11:Y20,Y20)-1)))</f>
        <v>1</v>
      </c>
      <c r="AA20" s="180" t="str">
        <f>IF(L20="","",VLOOKUP($L20,classifications!C:I,7,FALSE))</f>
        <v>Significant Rural</v>
      </c>
      <c r="AB20" s="174">
        <f t="shared" si="14"/>
        <v>360.1</v>
      </c>
      <c r="AC20" s="174">
        <f>IF(AB20="","",IF($I$8="A",(RANK(AB20,AB$11:AB$343)+COUNTIF(AB$11:AB20,AB20)-1),(RANK(AB20,AB$11:AB$343,1)+COUNTIF(AB$11:AB20,AB20)-1)))</f>
        <v>10</v>
      </c>
      <c r="AD20" s="174"/>
      <c r="AE20" s="49" t="e">
        <f>IF(I$8="A",(RANK(AG20,AG$11:AG$343,1)+COUNTIF(AG$11:AG20,AG20)-1),(RANK(AG20,AG$11:AG$343)+COUNTIF(AG$11:AG20,AG20)-1))</f>
        <v>#N/A</v>
      </c>
      <c r="AF20" t="str">
        <f>VLOOKUP(Profile!$J$5,Families!$C:$R,10,FALSE)</f>
        <v>North Somerset</v>
      </c>
      <c r="AG20" s="15">
        <f t="shared" si="15"/>
        <v>415</v>
      </c>
      <c r="AH20" s="50" t="e">
        <f t="shared" si="22"/>
        <v>#N/A</v>
      </c>
      <c r="AI20" s="5" t="str">
        <f>IF(L20="","",VLOOKUP($L20,classifications!$C:$J,8,FALSE))</f>
        <v>Unitary</v>
      </c>
      <c r="AJ20" s="43">
        <f t="shared" si="5"/>
        <v>360.1</v>
      </c>
      <c r="AK20" s="40">
        <f>IF(AJ20="","",IF(I$8="A",(RANK(AJ20,AJ$11:AJ$343,1)+COUNTIF(AJ$11:AJ20,AJ20)-1),(RANK(AJ20,AJ$11:AJ$343)+COUNTIF(AJ$11:AJ20,AJ20)-1)))</f>
        <v>10</v>
      </c>
      <c r="AL20" s="3">
        <f t="shared" si="16"/>
        <v>10</v>
      </c>
      <c r="AM20" t="str">
        <f t="shared" si="6"/>
        <v>Bath &amp; North East Somerset</v>
      </c>
      <c r="AN20">
        <f t="shared" si="7"/>
        <v>360.1</v>
      </c>
      <c r="AP20" s="5" t="str">
        <f>IF(L20="","",VLOOKUP($L20,classifications!$C:$E,3,FALSE))</f>
        <v>South West</v>
      </c>
      <c r="AQ20" s="43" t="str">
        <f t="shared" si="17"/>
        <v/>
      </c>
      <c r="AR20" s="40" t="str">
        <f>IF(AQ20="","",IF(I$8="A",(RANK(AQ20,AQ$11:AQ$343,1)+COUNTIF(AQ$11:AQ20,AQ20)-1),(RANK(AQ20,AQ$11:AQ$343)+COUNTIF(AQ$11:AQ20,AQ20)-1)))</f>
        <v/>
      </c>
      <c r="AS20" s="3" t="str">
        <f t="shared" si="18"/>
        <v/>
      </c>
      <c r="AT20" s="40" t="str">
        <f t="shared" si="8"/>
        <v/>
      </c>
      <c r="AU20" s="43" t="str">
        <f t="shared" si="9"/>
        <v/>
      </c>
      <c r="AX20">
        <f>HLOOKUP($AX$9&amp;$AX$10,Data!$A$1:$ZZ$1980,(MATCH($C20,Data!$A$1:$A$1980,0)),FALSE)</f>
        <v>353.5</v>
      </c>
    </row>
    <row r="21" spans="1:50">
      <c r="A21" s="59" t="str">
        <f>$D$1&amp;11</f>
        <v>UA11</v>
      </c>
      <c r="B21" s="60" t="str">
        <f>IF(ISERROR(VLOOKUP(A21,classifications!A:C,3,FALSE)),0,VLOOKUP(A21,classifications!A:C,3,FALSE))</f>
        <v>Shropshire</v>
      </c>
      <c r="C21" t="s">
        <v>223</v>
      </c>
      <c r="D21" t="str">
        <f>VLOOKUP($C21,classifications!$C:$J,4,FALSE)</f>
        <v>MD</v>
      </c>
      <c r="E21">
        <f>VLOOKUP(C21,classifications!C:K,9,FALSE)</f>
        <v>0</v>
      </c>
      <c r="F21">
        <f t="shared" si="0"/>
        <v>402.7</v>
      </c>
      <c r="G21" s="15"/>
      <c r="H21" s="42" t="str">
        <f t="shared" si="1"/>
        <v/>
      </c>
      <c r="I21" s="79" t="str">
        <f>IF(H21="","",IF($I$8="A",(RANK(H21,H$11:H$343,1)+COUNTIF(H$11:H21,H21)-1),(RANK(H21,H$11:H$343)+COUNTIF(H$11:H21,H21)-1)))</f>
        <v/>
      </c>
      <c r="J21" s="41"/>
      <c r="K21" s="36">
        <f t="shared" si="10"/>
        <v>11</v>
      </c>
      <c r="L21" t="str">
        <f t="shared" si="2"/>
        <v>Wokingham</v>
      </c>
      <c r="M21" s="117">
        <f t="shared" si="3"/>
        <v>361.1</v>
      </c>
      <c r="N21" s="112">
        <f t="shared" si="23"/>
        <v>361.1</v>
      </c>
      <c r="O21" s="96">
        <f t="shared" si="11"/>
        <v>361.1</v>
      </c>
      <c r="P21" s="96" t="str">
        <f t="shared" si="19"/>
        <v/>
      </c>
      <c r="Q21" s="96" t="str">
        <f t="shared" si="20"/>
        <v/>
      </c>
      <c r="R21" s="92" t="str">
        <f t="shared" si="21"/>
        <v/>
      </c>
      <c r="S21" s="42" t="str">
        <f t="shared" si="12"/>
        <v/>
      </c>
      <c r="T21" s="167">
        <f>IF(L21="","",VLOOKUP(L21,classifications!C:K,9,FALSE))</f>
        <v>0</v>
      </c>
      <c r="U21" s="168" t="str">
        <f t="shared" si="13"/>
        <v/>
      </c>
      <c r="V21" s="174" t="str">
        <f>IF(U21="","",IF($I$8="A",(RANK(U21,U$11:U$343)+COUNTIF(U$11:U21,U21)-1),(RANK(U21,U$11:U$343,1)+COUNTIF(U$11:U21,U21)-1)))</f>
        <v/>
      </c>
      <c r="W21" s="175"/>
      <c r="X21" s="5" t="str">
        <f>IF(L21="","",VLOOKUP($L21,classifications!$C:$J,6,FALSE))</f>
        <v>Urban with City and Town</v>
      </c>
      <c r="Y21" t="str">
        <f t="shared" si="4"/>
        <v/>
      </c>
      <c r="Z21" s="40" t="str">
        <f>IF(Y21="","",IF(I$8="A",(RANK(Y21,Y$11:Y$343,1)+COUNTIF(Y$11:Y21,Y21)-1),(RANK(Y21,Y$11:Y$343)+COUNTIF(Y$11:Y21,Y21)-1)))</f>
        <v/>
      </c>
      <c r="AA21" s="180" t="str">
        <f>IF(L21="","",VLOOKUP($L21,classifications!C:I,7,FALSE))</f>
        <v>Predominantly Urban</v>
      </c>
      <c r="AB21" s="174" t="str">
        <f t="shared" si="14"/>
        <v/>
      </c>
      <c r="AC21" s="174" t="str">
        <f>IF(AB21="","",IF($I$8="A",(RANK(AB21,AB$11:AB$343)+COUNTIF(AB$11:AB21,AB21)-1),(RANK(AB21,AB$11:AB$343,1)+COUNTIF(AB$11:AB21,AB21)-1)))</f>
        <v/>
      </c>
      <c r="AD21" s="174"/>
      <c r="AE21" s="49" t="e">
        <f>IF(I$8="A",(RANK(AG21,AG$11:AG$343,1)+COUNTIF(AG$11:AG21,AG21)-1),(RANK(AG21,AG$11:AG$343)+COUNTIF(AG$11:AG21,AG21)-1))</f>
        <v>#N/A</v>
      </c>
      <c r="AF21" t="str">
        <f>VLOOKUP(Profile!$J$5,Families!$C:$R,11,FALSE)</f>
        <v>East Riding of Yorkshire</v>
      </c>
      <c r="AG21" s="15">
        <f t="shared" si="15"/>
        <v>468.3</v>
      </c>
      <c r="AH21" s="50" t="e">
        <f t="shared" si="22"/>
        <v>#N/A</v>
      </c>
      <c r="AI21" s="5" t="str">
        <f>IF(L21="","",VLOOKUP($L21,classifications!$C:$J,8,FALSE))</f>
        <v>Unitary</v>
      </c>
      <c r="AJ21" s="43">
        <f t="shared" si="5"/>
        <v>361.1</v>
      </c>
      <c r="AK21" s="40">
        <f>IF(AJ21="","",IF(I$8="A",(RANK(AJ21,AJ$11:AJ$343,1)+COUNTIF(AJ$11:AJ21,AJ21)-1),(RANK(AJ21,AJ$11:AJ$343)+COUNTIF(AJ$11:AJ21,AJ21)-1)))</f>
        <v>11</v>
      </c>
      <c r="AL21" s="3">
        <f t="shared" si="16"/>
        <v>11</v>
      </c>
      <c r="AM21" t="str">
        <f t="shared" si="6"/>
        <v>Wokingham</v>
      </c>
      <c r="AN21">
        <f t="shared" si="7"/>
        <v>361.1</v>
      </c>
      <c r="AP21" s="5" t="str">
        <f>IF(L21="","",VLOOKUP($L21,classifications!$C:$E,3,FALSE))</f>
        <v>South East</v>
      </c>
      <c r="AQ21" s="43" t="str">
        <f t="shared" si="17"/>
        <v/>
      </c>
      <c r="AR21" s="40" t="str">
        <f>IF(AQ21="","",IF(I$8="A",(RANK(AQ21,AQ$11:AQ$343,1)+COUNTIF(AQ$11:AQ21,AQ21)-1),(RANK(AQ21,AQ$11:AQ$343)+COUNTIF(AQ$11:AQ21,AQ21)-1)))</f>
        <v/>
      </c>
      <c r="AS21" s="3" t="str">
        <f t="shared" si="18"/>
        <v/>
      </c>
      <c r="AT21" s="40" t="str">
        <f t="shared" si="8"/>
        <v/>
      </c>
      <c r="AU21" s="43" t="str">
        <f t="shared" si="9"/>
        <v/>
      </c>
      <c r="AX21">
        <f>HLOOKUP($AX$9&amp;$AX$10,Data!$A$1:$ZZ$1980,(MATCH($C21,Data!$A$1:$A$1980,0)),FALSE)</f>
        <v>402.7</v>
      </c>
    </row>
    <row r="22" spans="1:50">
      <c r="A22" s="59" t="str">
        <f>$D$1&amp;12</f>
        <v>UA12</v>
      </c>
      <c r="B22" s="60" t="str">
        <f>IF(ISERROR(VLOOKUP(A22,classifications!A:C,3,FALSE)),0,VLOOKUP(A22,classifications!A:C,3,FALSE))</f>
        <v>West Northamptonshire</v>
      </c>
      <c r="C22" t="s">
        <v>13</v>
      </c>
      <c r="D22" t="str">
        <f>VLOOKUP($C22,classifications!$C:$J,4,FALSE)</f>
        <v>SD</v>
      </c>
      <c r="E22">
        <f>VLOOKUP(C22,classifications!C:K,9,FALSE)</f>
        <v>0</v>
      </c>
      <c r="F22">
        <f t="shared" si="0"/>
        <v>345.5</v>
      </c>
      <c r="G22" s="15"/>
      <c r="H22" s="42" t="str">
        <f t="shared" si="1"/>
        <v/>
      </c>
      <c r="I22" s="79" t="str">
        <f>IF(H22="","",IF($I$8="A",(RANK(H22,H$11:H$343,1)+COUNTIF(H$11:H22,H22)-1),(RANK(H22,H$11:H$343)+COUNTIF(H$11:H22,H22)-1)))</f>
        <v/>
      </c>
      <c r="J22" s="41"/>
      <c r="K22" s="36">
        <f t="shared" si="10"/>
        <v>12</v>
      </c>
      <c r="L22" t="str">
        <f t="shared" si="2"/>
        <v>Bracknell Forest</v>
      </c>
      <c r="M22" s="117">
        <f t="shared" si="3"/>
        <v>362.3</v>
      </c>
      <c r="N22" s="112">
        <f t="shared" si="23"/>
        <v>362.3</v>
      </c>
      <c r="O22" s="96">
        <f t="shared" si="11"/>
        <v>362.3</v>
      </c>
      <c r="P22" s="96" t="str">
        <f t="shared" si="19"/>
        <v/>
      </c>
      <c r="Q22" s="96" t="str">
        <f t="shared" si="20"/>
        <v/>
      </c>
      <c r="R22" s="92" t="str">
        <f t="shared" si="21"/>
        <v/>
      </c>
      <c r="S22" s="42" t="str">
        <f t="shared" si="12"/>
        <v/>
      </c>
      <c r="T22" s="167">
        <f>IF(L22="","",VLOOKUP(L22,classifications!C:K,9,FALSE))</f>
        <v>0</v>
      </c>
      <c r="U22" s="168" t="str">
        <f t="shared" si="13"/>
        <v/>
      </c>
      <c r="V22" s="174" t="str">
        <f>IF(U22="","",IF($I$8="A",(RANK(U22,U$11:U$343)+COUNTIF(U$11:U22,U22)-1),(RANK(U22,U$11:U$343,1)+COUNTIF(U$11:U22,U22)-1)))</f>
        <v/>
      </c>
      <c r="W22" s="175"/>
      <c r="X22" s="5" t="str">
        <f>IF(L22="","",VLOOKUP($L22,classifications!$C:$J,6,FALSE))</f>
        <v>Urban with City and Town</v>
      </c>
      <c r="Y22" t="str">
        <f t="shared" si="4"/>
        <v/>
      </c>
      <c r="Z22" s="40" t="str">
        <f>IF(Y22="","",IF(I$8="A",(RANK(Y22,Y$11:Y$343,1)+COUNTIF(Y$11:Y22,Y22)-1),(RANK(Y22,Y$11:Y$343)+COUNTIF(Y$11:Y22,Y22)-1)))</f>
        <v/>
      </c>
      <c r="AA22" s="180" t="str">
        <f>IF(L22="","",VLOOKUP($L22,classifications!C:I,7,FALSE))</f>
        <v>Predominantly Urban</v>
      </c>
      <c r="AB22" s="174" t="str">
        <f t="shared" si="14"/>
        <v/>
      </c>
      <c r="AC22" s="174" t="str">
        <f>IF(AB22="","",IF($I$8="A",(RANK(AB22,AB$11:AB$343)+COUNTIF(AB$11:AB22,AB22)-1),(RANK(AB22,AB$11:AB$343,1)+COUNTIF(AB$11:AB22,AB22)-1)))</f>
        <v/>
      </c>
      <c r="AD22" s="174"/>
      <c r="AE22" s="49" t="e">
        <f>IF(I$8="A",(RANK(AG22,AG$11:AG$343,1)+COUNTIF(AG$11:AG22,AG22)-1),(RANK(AG22,AG$11:AG$343)+COUNTIF(AG$11:AG22,AG22)-1))</f>
        <v>#N/A</v>
      </c>
      <c r="AF22" t="str">
        <f>VLOOKUP(Profile!$J$5,Families!$C:$R,12,FALSE)</f>
        <v>York</v>
      </c>
      <c r="AG22" s="15">
        <f t="shared" si="15"/>
        <v>384.8</v>
      </c>
      <c r="AH22" s="50" t="e">
        <f t="shared" si="22"/>
        <v>#N/A</v>
      </c>
      <c r="AI22" s="5" t="str">
        <f>IF(L22="","",VLOOKUP($L22,classifications!$C:$J,8,FALSE))</f>
        <v>Unitary</v>
      </c>
      <c r="AJ22" s="43">
        <f t="shared" si="5"/>
        <v>362.3</v>
      </c>
      <c r="AK22" s="40">
        <f>IF(AJ22="","",IF(I$8="A",(RANK(AJ22,AJ$11:AJ$343,1)+COUNTIF(AJ$11:AJ22,AJ22)-1),(RANK(AJ22,AJ$11:AJ$343)+COUNTIF(AJ$11:AJ22,AJ22)-1)))</f>
        <v>12</v>
      </c>
      <c r="AL22" s="3">
        <f t="shared" si="16"/>
        <v>12</v>
      </c>
      <c r="AM22" t="str">
        <f t="shared" si="6"/>
        <v>Bracknell Forest</v>
      </c>
      <c r="AN22">
        <f t="shared" si="7"/>
        <v>362.3</v>
      </c>
      <c r="AP22" s="5" t="str">
        <f>IF(L22="","",VLOOKUP($L22,classifications!$C:$E,3,FALSE))</f>
        <v>South East</v>
      </c>
      <c r="AQ22" s="43" t="str">
        <f t="shared" si="17"/>
        <v/>
      </c>
      <c r="AR22" s="40" t="str">
        <f>IF(AQ22="","",IF(I$8="A",(RANK(AQ22,AQ$11:AQ$343,1)+COUNTIF(AQ$11:AQ22,AQ22)-1),(RANK(AQ22,AQ$11:AQ$343)+COUNTIF(AQ$11:AQ22,AQ22)-1)))</f>
        <v/>
      </c>
      <c r="AS22" s="3" t="str">
        <f t="shared" si="18"/>
        <v/>
      </c>
      <c r="AT22" s="40" t="str">
        <f t="shared" si="8"/>
        <v/>
      </c>
      <c r="AU22" s="43" t="str">
        <f t="shared" si="9"/>
        <v/>
      </c>
      <c r="AX22">
        <f>HLOOKUP($AX$9&amp;$AX$10,Data!$A$1:$ZZ$1980,(MATCH($C22,Data!$A$1:$A$1980,0)),FALSE)</f>
        <v>345.5</v>
      </c>
    </row>
    <row r="23" spans="1:50">
      <c r="A23" s="59" t="str">
        <f>$D$1&amp;13</f>
        <v>UA13</v>
      </c>
      <c r="B23" s="60">
        <f>IF(ISERROR(VLOOKUP(A23,classifications!A:C,3,FALSE)),0,VLOOKUP(A23,classifications!A:C,3,FALSE))</f>
        <v>0</v>
      </c>
      <c r="C23" t="s">
        <v>14</v>
      </c>
      <c r="D23" t="str">
        <f>VLOOKUP($C23,classifications!$C:$J,4,FALSE)</f>
        <v>SD</v>
      </c>
      <c r="E23">
        <f>VLOOKUP(C23,classifications!C:K,9,FALSE)</f>
        <v>0</v>
      </c>
      <c r="F23">
        <f t="shared" si="0"/>
        <v>397.7</v>
      </c>
      <c r="G23" s="15"/>
      <c r="H23" s="42" t="str">
        <f t="shared" si="1"/>
        <v/>
      </c>
      <c r="I23" s="79" t="str">
        <f>IF(H23="","",IF($I$8="A",(RANK(H23,H$11:H$343,1)+COUNTIF(H$11:H23,H23)-1),(RANK(H23,H$11:H$343)+COUNTIF(H$11:H23,H23)-1)))</f>
        <v/>
      </c>
      <c r="J23" s="41"/>
      <c r="K23" s="36">
        <f t="shared" si="10"/>
        <v>13</v>
      </c>
      <c r="L23" t="str">
        <f t="shared" si="2"/>
        <v>Swindon</v>
      </c>
      <c r="M23" s="117">
        <f t="shared" si="3"/>
        <v>362.9</v>
      </c>
      <c r="N23" s="112">
        <f t="shared" si="23"/>
        <v>362.9</v>
      </c>
      <c r="O23" s="96">
        <f t="shared" si="11"/>
        <v>362.9</v>
      </c>
      <c r="P23" s="96" t="str">
        <f t="shared" si="19"/>
        <v/>
      </c>
      <c r="Q23" s="96" t="str">
        <f t="shared" si="20"/>
        <v/>
      </c>
      <c r="R23" s="92" t="str">
        <f t="shared" si="21"/>
        <v/>
      </c>
      <c r="S23" s="42" t="str">
        <f t="shared" si="12"/>
        <v/>
      </c>
      <c r="T23" s="167">
        <f>IF(L23="","",VLOOKUP(L23,classifications!C:K,9,FALSE))</f>
        <v>0</v>
      </c>
      <c r="U23" s="168" t="str">
        <f t="shared" si="13"/>
        <v/>
      </c>
      <c r="V23" s="174" t="str">
        <f>IF(U23="","",IF($I$8="A",(RANK(U23,U$11:U$343)+COUNTIF(U$11:U23,U23)-1),(RANK(U23,U$11:U$343,1)+COUNTIF(U$11:U23,U23)-1)))</f>
        <v/>
      </c>
      <c r="W23" s="175"/>
      <c r="X23" s="5" t="str">
        <f>IF(L23="","",VLOOKUP($L23,classifications!$C:$J,6,FALSE))</f>
        <v>Urban with City and Town</v>
      </c>
      <c r="Y23" t="str">
        <f t="shared" si="4"/>
        <v/>
      </c>
      <c r="Z23" s="40" t="str">
        <f>IF(Y23="","",IF(I$8="A",(RANK(Y23,Y$11:Y$343,1)+COUNTIF(Y$11:Y23,Y23)-1),(RANK(Y23,Y$11:Y$343)+COUNTIF(Y$11:Y23,Y23)-1)))</f>
        <v/>
      </c>
      <c r="AA23" s="180" t="str">
        <f>IF(L23="","",VLOOKUP($L23,classifications!C:I,7,FALSE))</f>
        <v>Predominantly Urban</v>
      </c>
      <c r="AB23" s="174" t="str">
        <f t="shared" si="14"/>
        <v/>
      </c>
      <c r="AC23" s="174" t="str">
        <f>IF(AB23="","",IF($I$8="A",(RANK(AB23,AB$11:AB$343)+COUNTIF(AB$11:AB23,AB23)-1),(RANK(AB23,AB$11:AB$343,1)+COUNTIF(AB$11:AB23,AB23)-1)))</f>
        <v/>
      </c>
      <c r="AD23" s="174"/>
      <c r="AE23" s="49" t="e">
        <f>IF(I$8="A",(RANK(AG23,AG$11:AG$343,1)+COUNTIF(AG$11:AG23,AG23)-1),(RANK(AG23,AG$11:AG$343)+COUNTIF(AG$11:AG23,AG23)-1))</f>
        <v>#N/A</v>
      </c>
      <c r="AF23" t="str">
        <f>VLOOKUP(Profile!$J$5,Families!$C:$R,13,FALSE)</f>
        <v>Poole</v>
      </c>
      <c r="AG23" s="15" t="e">
        <f t="shared" si="15"/>
        <v>#N/A</v>
      </c>
      <c r="AH23" s="50" t="e">
        <f t="shared" si="22"/>
        <v>#N/A</v>
      </c>
      <c r="AI23" s="5" t="str">
        <f>IF(L23="","",VLOOKUP($L23,classifications!$C:$J,8,FALSE))</f>
        <v>Unitary</v>
      </c>
      <c r="AJ23" s="43">
        <f t="shared" si="5"/>
        <v>362.9</v>
      </c>
      <c r="AK23" s="40">
        <f>IF(AJ23="","",IF(I$8="A",(RANK(AJ23,AJ$11:AJ$343,1)+COUNTIF(AJ$11:AJ23,AJ23)-1),(RANK(AJ23,AJ$11:AJ$343)+COUNTIF(AJ$11:AJ23,AJ23)-1)))</f>
        <v>13</v>
      </c>
      <c r="AL23" s="3">
        <f t="shared" si="16"/>
        <v>13</v>
      </c>
      <c r="AM23" t="str">
        <f t="shared" si="6"/>
        <v>Swindon</v>
      </c>
      <c r="AN23">
        <f t="shared" si="7"/>
        <v>362.9</v>
      </c>
      <c r="AP23" s="5" t="str">
        <f>IF(L23="","",VLOOKUP($L23,classifications!$C:$E,3,FALSE))</f>
        <v>South West</v>
      </c>
      <c r="AQ23" s="43" t="str">
        <f t="shared" si="17"/>
        <v/>
      </c>
      <c r="AR23" s="40" t="str">
        <f>IF(AQ23="","",IF(I$8="A",(RANK(AQ23,AQ$11:AQ$343,1)+COUNTIF(AQ$11:AQ23,AQ23)-1),(RANK(AQ23,AQ$11:AQ$343)+COUNTIF(AQ$11:AQ23,AQ23)-1)))</f>
        <v/>
      </c>
      <c r="AS23" s="3" t="str">
        <f t="shared" si="18"/>
        <v/>
      </c>
      <c r="AT23" s="40" t="str">
        <f t="shared" si="8"/>
        <v/>
      </c>
      <c r="AU23" s="43" t="str">
        <f t="shared" si="9"/>
        <v/>
      </c>
      <c r="AX23">
        <f>HLOOKUP($AX$9&amp;$AX$10,Data!$A$1:$ZZ$1980,(MATCH($C23,Data!$A$1:$A$1980,0)),FALSE)</f>
        <v>397.7</v>
      </c>
    </row>
    <row r="24" spans="1:50">
      <c r="A24" s="59" t="str">
        <f>$D$1&amp;14</f>
        <v>UA14</v>
      </c>
      <c r="B24" s="60">
        <f>IF(ISERROR(VLOOKUP(A24,classifications!A:C,3,FALSE)),0,VLOOKUP(A24,classifications!A:C,3,FALSE))</f>
        <v>0</v>
      </c>
      <c r="C24" t="s">
        <v>344</v>
      </c>
      <c r="D24" t="str">
        <f>VLOOKUP($C24,classifications!$C:$J,4,FALSE)</f>
        <v>SD</v>
      </c>
      <c r="E24">
        <f>VLOOKUP(C24,classifications!C:K,9,FALSE)</f>
        <v>0</v>
      </c>
      <c r="F24">
        <f t="shared" si="0"/>
        <v>323.7</v>
      </c>
      <c r="G24" s="15"/>
      <c r="H24" s="42" t="str">
        <f t="shared" si="1"/>
        <v/>
      </c>
      <c r="I24" s="79" t="str">
        <f>IF(H24="","",IF($I$8="A",(RANK(H24,H$11:H$343,1)+COUNTIF(H$11:H24,H24)-1),(RANK(H24,H$11:H$343)+COUNTIF(H$11:H24,H24)-1)))</f>
        <v/>
      </c>
      <c r="J24" s="41"/>
      <c r="K24" s="36">
        <f t="shared" si="10"/>
        <v>14</v>
      </c>
      <c r="L24" t="str">
        <f t="shared" si="2"/>
        <v>Brighton &amp; Hove</v>
      </c>
      <c r="M24" s="117">
        <f t="shared" si="3"/>
        <v>363.3</v>
      </c>
      <c r="N24" s="112">
        <f t="shared" si="23"/>
        <v>363.3</v>
      </c>
      <c r="O24" s="96">
        <f t="shared" si="11"/>
        <v>363.3</v>
      </c>
      <c r="P24" s="96" t="str">
        <f t="shared" si="19"/>
        <v/>
      </c>
      <c r="Q24" s="96" t="str">
        <f t="shared" si="20"/>
        <v/>
      </c>
      <c r="R24" s="92" t="str">
        <f t="shared" si="21"/>
        <v/>
      </c>
      <c r="S24" s="42" t="str">
        <f t="shared" si="12"/>
        <v/>
      </c>
      <c r="T24" s="167">
        <f>IF(L24="","",VLOOKUP(L24,classifications!C:K,9,FALSE))</f>
        <v>0</v>
      </c>
      <c r="U24" s="168" t="str">
        <f t="shared" si="13"/>
        <v/>
      </c>
      <c r="V24" s="174" t="str">
        <f>IF(U24="","",IF($I$8="A",(RANK(U24,U$11:U$343)+COUNTIF(U$11:U24,U24)-1),(RANK(U24,U$11:U$343,1)+COUNTIF(U$11:U24,U24)-1)))</f>
        <v/>
      </c>
      <c r="W24" s="175"/>
      <c r="X24" s="5" t="str">
        <f>IF(L24="","",VLOOKUP($L24,classifications!$C:$J,6,FALSE))</f>
        <v>Urban with City and Town</v>
      </c>
      <c r="Y24" t="str">
        <f t="shared" si="4"/>
        <v/>
      </c>
      <c r="Z24" s="40" t="str">
        <f>IF(Y24="","",IF(I$8="A",(RANK(Y24,Y$11:Y$343,1)+COUNTIF(Y$11:Y24,Y24)-1),(RANK(Y24,Y$11:Y$343)+COUNTIF(Y$11:Y24,Y24)-1)))</f>
        <v/>
      </c>
      <c r="AA24" s="180" t="str">
        <f>IF(L24="","",VLOOKUP($L24,classifications!C:I,7,FALSE))</f>
        <v>Predominantly Urban</v>
      </c>
      <c r="AB24" s="174" t="str">
        <f t="shared" si="14"/>
        <v/>
      </c>
      <c r="AC24" s="174" t="str">
        <f>IF(AB24="","",IF($I$8="A",(RANK(AB24,AB$11:AB$343)+COUNTIF(AB$11:AB24,AB24)-1),(RANK(AB24,AB$11:AB$343,1)+COUNTIF(AB$11:AB24,AB24)-1)))</f>
        <v/>
      </c>
      <c r="AD24" s="174"/>
      <c r="AE24" s="49" t="e">
        <f>IF(I$8="A",(RANK(AG24,AG$11:AG$343,1)+COUNTIF(AG$11:AG24,AG24)-1),(RANK(AG24,AG$11:AG$343)+COUNTIF(AG$11:AG24,AG24)-1))</f>
        <v>#N/A</v>
      </c>
      <c r="AF24" t="str">
        <f>VLOOKUP(Profile!$J$5,Families!$C:$R,14,FALSE)</f>
        <v>Bedford</v>
      </c>
      <c r="AG24" s="15">
        <f t="shared" si="15"/>
        <v>382.5</v>
      </c>
      <c r="AH24" s="50" t="e">
        <f t="shared" si="22"/>
        <v>#N/A</v>
      </c>
      <c r="AI24" s="5" t="str">
        <f>IF(L24="","",VLOOKUP($L24,classifications!$C:$J,8,FALSE))</f>
        <v>Unitary</v>
      </c>
      <c r="AJ24" s="43">
        <f t="shared" si="5"/>
        <v>363.3</v>
      </c>
      <c r="AK24" s="40">
        <f>IF(AJ24="","",IF(I$8="A",(RANK(AJ24,AJ$11:AJ$343,1)+COUNTIF(AJ$11:AJ24,AJ24)-1),(RANK(AJ24,AJ$11:AJ$343)+COUNTIF(AJ$11:AJ24,AJ24)-1)))</f>
        <v>14</v>
      </c>
      <c r="AL24" s="3">
        <f t="shared" si="16"/>
        <v>14</v>
      </c>
      <c r="AM24" t="str">
        <f t="shared" si="6"/>
        <v>Brighton &amp; Hove</v>
      </c>
      <c r="AN24">
        <f t="shared" si="7"/>
        <v>363.3</v>
      </c>
      <c r="AP24" s="5" t="str">
        <f>IF(L24="","",VLOOKUP($L24,classifications!$C:$E,3,FALSE))</f>
        <v>South East</v>
      </c>
      <c r="AQ24" s="43" t="str">
        <f t="shared" si="17"/>
        <v/>
      </c>
      <c r="AR24" s="40" t="str">
        <f>IF(AQ24="","",IF(I$8="A",(RANK(AQ24,AQ$11:AQ$343,1)+COUNTIF(AQ$11:AQ24,AQ24)-1),(RANK(AQ24,AQ$11:AQ$343)+COUNTIF(AQ$11:AQ24,AQ24)-1)))</f>
        <v/>
      </c>
      <c r="AS24" s="3" t="str">
        <f t="shared" si="18"/>
        <v/>
      </c>
      <c r="AT24" s="40" t="str">
        <f t="shared" si="8"/>
        <v/>
      </c>
      <c r="AU24" s="43" t="str">
        <f t="shared" si="9"/>
        <v/>
      </c>
      <c r="AX24">
        <f>HLOOKUP($AX$9&amp;$AX$10,Data!$A$1:$ZZ$1980,(MATCH($C24,Data!$A$1:$A$1980,0)),FALSE)</f>
        <v>323.7</v>
      </c>
    </row>
    <row r="25" spans="1:50">
      <c r="A25" s="59" t="str">
        <f>$D$1&amp;15</f>
        <v>UA15</v>
      </c>
      <c r="B25" s="60">
        <f>IF(ISERROR(VLOOKUP(A25,classifications!A:C,3,FALSE)),0,VLOOKUP(A25,classifications!A:C,3,FALSE))</f>
        <v>0</v>
      </c>
      <c r="C25" t="s">
        <v>15</v>
      </c>
      <c r="D25" t="str">
        <f>VLOOKUP($C25,classifications!$C:$J,4,FALSE)</f>
        <v>SD</v>
      </c>
      <c r="E25">
        <f>VLOOKUP(C25,classifications!C:K,9,FALSE)</f>
        <v>0</v>
      </c>
      <c r="F25">
        <f t="shared" si="0"/>
        <v>371.8</v>
      </c>
      <c r="G25" s="15"/>
      <c r="H25" s="42" t="str">
        <f t="shared" si="1"/>
        <v/>
      </c>
      <c r="I25" s="79" t="str">
        <f>IF(H25="","",IF($I$8="A",(RANK(H25,H$11:H$343,1)+COUNTIF(H$11:H25,H25)-1),(RANK(H25,H$11:H$343)+COUNTIF(H$11:H25,H25)-1)))</f>
        <v/>
      </c>
      <c r="J25" s="41"/>
      <c r="K25" s="36">
        <f t="shared" si="10"/>
        <v>15</v>
      </c>
      <c r="L25" t="str">
        <f t="shared" si="2"/>
        <v>Herefordshire</v>
      </c>
      <c r="M25" s="117">
        <f t="shared" si="3"/>
        <v>363.4</v>
      </c>
      <c r="N25" s="112">
        <f t="shared" si="23"/>
        <v>363.4</v>
      </c>
      <c r="O25" s="96">
        <f t="shared" si="11"/>
        <v>363.4</v>
      </c>
      <c r="P25" s="96" t="str">
        <f t="shared" si="19"/>
        <v/>
      </c>
      <c r="Q25" s="96" t="str">
        <f t="shared" si="20"/>
        <v/>
      </c>
      <c r="R25" s="92" t="str">
        <f t="shared" si="21"/>
        <v/>
      </c>
      <c r="S25" s="42" t="str">
        <f t="shared" si="12"/>
        <v/>
      </c>
      <c r="T25" s="167" t="str">
        <f>IF(L25="","",VLOOKUP(L25,classifications!C:K,9,FALSE))</f>
        <v>Sparse</v>
      </c>
      <c r="U25" s="168">
        <f t="shared" si="13"/>
        <v>363.4</v>
      </c>
      <c r="V25" s="174">
        <f>IF(U25="","",IF($I$8="A",(RANK(U25,U$11:U$343)+COUNTIF(U$11:U25,U25)-1),(RANK(U25,U$11:U$343,1)+COUNTIF(U$11:U25,U25)-1)))</f>
        <v>12</v>
      </c>
      <c r="W25" s="175"/>
      <c r="X25" s="5" t="str">
        <f>IF(L25="","",VLOOKUP($L25,classifications!$C:$J,6,FALSE))</f>
        <v xml:space="preserve">Largely Rural (rural including hub towns 50-79%) </v>
      </c>
      <c r="Y25">
        <f t="shared" si="4"/>
        <v>363.4</v>
      </c>
      <c r="Z25" s="40">
        <f>IF(Y25="","",IF(I$8="A",(RANK(Y25,Y$11:Y$343,1)+COUNTIF(Y$11:Y25,Y25)-1),(RANK(Y25,Y$11:Y$343)+COUNTIF(Y$11:Y25,Y25)-1)))</f>
        <v>2</v>
      </c>
      <c r="AA25" s="180" t="str">
        <f>IF(L25="","",VLOOKUP($L25,classifications!C:I,7,FALSE))</f>
        <v>Predominantly Rural</v>
      </c>
      <c r="AB25" s="174" t="str">
        <f t="shared" si="14"/>
        <v/>
      </c>
      <c r="AC25" s="174" t="str">
        <f>IF(AB25="","",IF($I$8="A",(RANK(AB25,AB$11:AB$343)+COUNTIF(AB$11:AB25,AB25)-1),(RANK(AB25,AB$11:AB$343,1)+COUNTIF(AB$11:AB25,AB25)-1)))</f>
        <v/>
      </c>
      <c r="AD25" s="174"/>
      <c r="AE25" s="49" t="e">
        <f>IF(I$8="A",(RANK(AG25,AG$11:AG$343,1)+COUNTIF(AG$11:AG25,AG25)-1),(RANK(AG25,AG$11:AG$343)+COUNTIF(AG$11:AG25,AG25)-1))</f>
        <v>#N/A</v>
      </c>
      <c r="AF25" t="str">
        <f>VLOOKUP(Profile!$J$5,Families!$C:$R,15,FALSE)</f>
        <v>South Gloucestershire</v>
      </c>
      <c r="AG25" s="15">
        <f t="shared" si="15"/>
        <v>388.7</v>
      </c>
      <c r="AH25" s="50" t="e">
        <f t="shared" si="22"/>
        <v>#N/A</v>
      </c>
      <c r="AI25" s="5" t="str">
        <f>IF(L25="","",VLOOKUP($L25,classifications!$C:$J,8,FALSE))</f>
        <v>Unitary</v>
      </c>
      <c r="AJ25" s="43">
        <f t="shared" si="5"/>
        <v>363.4</v>
      </c>
      <c r="AK25" s="40">
        <f>IF(AJ25="","",IF(I$8="A",(RANK(AJ25,AJ$11:AJ$343,1)+COUNTIF(AJ$11:AJ25,AJ25)-1),(RANK(AJ25,AJ$11:AJ$343)+COUNTIF(AJ$11:AJ25,AJ25)-1)))</f>
        <v>15</v>
      </c>
      <c r="AL25" s="3">
        <f t="shared" si="16"/>
        <v>15</v>
      </c>
      <c r="AM25" t="str">
        <f t="shared" si="6"/>
        <v>Herefordshire</v>
      </c>
      <c r="AN25">
        <f t="shared" si="7"/>
        <v>363.4</v>
      </c>
      <c r="AP25" s="5" t="str">
        <f>IF(L25="","",VLOOKUP($L25,classifications!$C:$E,3,FALSE))</f>
        <v>West Midlands</v>
      </c>
      <c r="AQ25" s="43" t="str">
        <f t="shared" si="17"/>
        <v/>
      </c>
      <c r="AR25" s="40" t="str">
        <f>IF(AQ25="","",IF(I$8="A",(RANK(AQ25,AQ$11:AQ$343,1)+COUNTIF(AQ$11:AQ25,AQ25)-1),(RANK(AQ25,AQ$11:AQ$343)+COUNTIF(AQ$11:AQ25,AQ25)-1)))</f>
        <v/>
      </c>
      <c r="AS25" s="3" t="str">
        <f t="shared" si="18"/>
        <v/>
      </c>
      <c r="AT25" s="40" t="str">
        <f t="shared" si="8"/>
        <v/>
      </c>
      <c r="AU25" s="43" t="str">
        <f t="shared" si="9"/>
        <v/>
      </c>
      <c r="AX25">
        <f>HLOOKUP($AX$9&amp;$AX$10,Data!$A$1:$ZZ$1980,(MATCH($C25,Data!$A$1:$A$1980,0)),FALSE)</f>
        <v>371.8</v>
      </c>
    </row>
    <row r="26" spans="1:50">
      <c r="A26" s="59" t="str">
        <f>$D$1&amp;16</f>
        <v>UA16</v>
      </c>
      <c r="B26" s="60">
        <f>IF(ISERROR(VLOOKUP(A26,classifications!A:C,3,FALSE)),0,VLOOKUP(A26,classifications!A:C,3,FALSE))</f>
        <v>0</v>
      </c>
      <c r="C26" t="s">
        <v>259</v>
      </c>
      <c r="D26" t="str">
        <f>VLOOKUP($C26,classifications!$C:$J,4,FALSE)</f>
        <v>UA</v>
      </c>
      <c r="E26">
        <f>VLOOKUP(C26,classifications!C:K,9,FALSE)</f>
        <v>0</v>
      </c>
      <c r="F26">
        <f t="shared" si="0"/>
        <v>360.1</v>
      </c>
      <c r="G26" s="15"/>
      <c r="H26" s="42">
        <f t="shared" si="1"/>
        <v>360.1</v>
      </c>
      <c r="I26" s="79">
        <f>IF(H26="","",IF($I$8="A",(RANK(H26,H$11:H$343,1)+COUNTIF(H$11:H26,H26)-1),(RANK(H26,H$11:H$343)+COUNTIF(H$11:H26,H26)-1)))</f>
        <v>10</v>
      </c>
      <c r="J26" s="41"/>
      <c r="K26" s="36">
        <f t="shared" si="10"/>
        <v>16</v>
      </c>
      <c r="L26" t="str">
        <f t="shared" si="2"/>
        <v>Derby</v>
      </c>
      <c r="M26" s="117">
        <f t="shared" si="3"/>
        <v>372.1</v>
      </c>
      <c r="N26" s="112">
        <f t="shared" si="23"/>
        <v>372.1</v>
      </c>
      <c r="O26" s="96" t="str">
        <f t="shared" si="11"/>
        <v/>
      </c>
      <c r="P26" s="96">
        <f t="shared" si="19"/>
        <v>372.1</v>
      </c>
      <c r="Q26" s="96" t="str">
        <f t="shared" si="20"/>
        <v/>
      </c>
      <c r="R26" s="92" t="str">
        <f t="shared" si="21"/>
        <v/>
      </c>
      <c r="S26" s="42" t="str">
        <f t="shared" si="12"/>
        <v/>
      </c>
      <c r="T26" s="167">
        <f>IF(L26="","",VLOOKUP(L26,classifications!C:K,9,FALSE))</f>
        <v>0</v>
      </c>
      <c r="U26" s="168" t="str">
        <f t="shared" si="13"/>
        <v/>
      </c>
      <c r="V26" s="174" t="str">
        <f>IF(U26="","",IF($I$8="A",(RANK(U26,U$11:U$343)+COUNTIF(U$11:U26,U26)-1),(RANK(U26,U$11:U$343,1)+COUNTIF(U$11:U26,U26)-1)))</f>
        <v/>
      </c>
      <c r="W26" s="175"/>
      <c r="X26" s="5" t="str">
        <f>IF(L26="","",VLOOKUP($L26,classifications!$C:$J,6,FALSE))</f>
        <v>Urban with City and Town</v>
      </c>
      <c r="Y26" t="str">
        <f t="shared" si="4"/>
        <v/>
      </c>
      <c r="Z26" s="40" t="str">
        <f>IF(Y26="","",IF(I$8="A",(RANK(Y26,Y$11:Y$343,1)+COUNTIF(Y$11:Y26,Y26)-1),(RANK(Y26,Y$11:Y$343)+COUNTIF(Y$11:Y26,Y26)-1)))</f>
        <v/>
      </c>
      <c r="AA26" s="180" t="str">
        <f>IF(L26="","",VLOOKUP($L26,classifications!C:I,7,FALSE))</f>
        <v>Predominantly Urban</v>
      </c>
      <c r="AB26" s="174" t="str">
        <f t="shared" si="14"/>
        <v/>
      </c>
      <c r="AC26" s="174" t="str">
        <f>IF(AB26="","",IF($I$8="A",(RANK(AB26,AB$11:AB$343)+COUNTIF(AB$11:AB26,AB26)-1),(RANK(AB26,AB$11:AB$343,1)+COUNTIF(AB$11:AB26,AB26)-1)))</f>
        <v/>
      </c>
      <c r="AD26" s="174"/>
      <c r="AE26" s="49" t="e">
        <f>IF(I$8="A",(RANK(AG26,AG$11:AG$343,1)+COUNTIF(AG$11:AG26,AG26)-1),(RANK(AG26,AG$11:AG$343)+COUNTIF(AG$11:AG26,AG26)-1))</f>
        <v>#N/A</v>
      </c>
      <c r="AF26" t="str">
        <f>VLOOKUP(Profile!$J$5,Families!$C:$R,16,FALSE)</f>
        <v>Warrington</v>
      </c>
      <c r="AG26" s="15">
        <f t="shared" si="15"/>
        <v>411.3</v>
      </c>
      <c r="AH26" s="50" t="e">
        <f t="shared" si="22"/>
        <v>#N/A</v>
      </c>
      <c r="AI26" s="5" t="str">
        <f>IF(L26="","",VLOOKUP($L26,classifications!$C:$J,8,FALSE))</f>
        <v>Unitary</v>
      </c>
      <c r="AJ26" s="43">
        <f t="shared" si="5"/>
        <v>372.1</v>
      </c>
      <c r="AK26" s="40">
        <f>IF(AJ26="","",IF(I$8="A",(RANK(AJ26,AJ$11:AJ$343,1)+COUNTIF(AJ$11:AJ26,AJ26)-1),(RANK(AJ26,AJ$11:AJ$343)+COUNTIF(AJ$11:AJ26,AJ26)-1)))</f>
        <v>16</v>
      </c>
      <c r="AL26" s="3">
        <f t="shared" si="16"/>
        <v>16</v>
      </c>
      <c r="AM26" t="str">
        <f t="shared" si="6"/>
        <v>Derby</v>
      </c>
      <c r="AN26">
        <f t="shared" si="7"/>
        <v>372.1</v>
      </c>
      <c r="AP26" s="5" t="str">
        <f>IF(L26="","",VLOOKUP($L26,classifications!$C:$E,3,FALSE))</f>
        <v>East Midlands</v>
      </c>
      <c r="AQ26" s="43" t="str">
        <f t="shared" si="17"/>
        <v/>
      </c>
      <c r="AR26" s="40" t="str">
        <f>IF(AQ26="","",IF(I$8="A",(RANK(AQ26,AQ$11:AQ$343,1)+COUNTIF(AQ$11:AQ26,AQ26)-1),(RANK(AQ26,AQ$11:AQ$343)+COUNTIF(AQ$11:AQ26,AQ26)-1)))</f>
        <v/>
      </c>
      <c r="AS26" s="3" t="str">
        <f t="shared" si="18"/>
        <v/>
      </c>
      <c r="AT26" s="40" t="str">
        <f t="shared" si="8"/>
        <v/>
      </c>
      <c r="AU26" s="43" t="str">
        <f t="shared" si="9"/>
        <v/>
      </c>
      <c r="AX26">
        <f>HLOOKUP($AX$9&amp;$AX$10,Data!$A$1:$ZZ$1980,(MATCH($C26,Data!$A$1:$A$1980,0)),FALSE)</f>
        <v>360.1</v>
      </c>
    </row>
    <row r="27" spans="1:50">
      <c r="A27" s="59" t="str">
        <f>$D$1&amp;17</f>
        <v>UA17</v>
      </c>
      <c r="B27" s="60">
        <f>IF(ISERROR(VLOOKUP(A27,classifications!A:C,3,FALSE)),0,VLOOKUP(A27,classifications!A:C,3,FALSE))</f>
        <v>0</v>
      </c>
      <c r="C27" t="s">
        <v>260</v>
      </c>
      <c r="D27" t="str">
        <f>VLOOKUP($C27,classifications!$C:$J,4,FALSE)</f>
        <v>UA</v>
      </c>
      <c r="E27">
        <f>VLOOKUP(C27,classifications!C:K,9,FALSE)</f>
        <v>0</v>
      </c>
      <c r="F27">
        <f t="shared" si="0"/>
        <v>382.5</v>
      </c>
      <c r="G27" s="15"/>
      <c r="H27" s="42">
        <f t="shared" si="1"/>
        <v>382.5</v>
      </c>
      <c r="I27" s="79">
        <f>IF(H27="","",IF($I$8="A",(RANK(H27,H$11:H$343,1)+COUNTIF(H$11:H27,H27)-1),(RANK(H27,H$11:H$343)+COUNTIF(H$11:H27,H27)-1)))</f>
        <v>20</v>
      </c>
      <c r="J27" s="41"/>
      <c r="K27" s="36">
        <f t="shared" si="10"/>
        <v>17</v>
      </c>
      <c r="L27" t="str">
        <f t="shared" si="2"/>
        <v>Plymouth</v>
      </c>
      <c r="M27" s="117">
        <f t="shared" si="3"/>
        <v>374.6</v>
      </c>
      <c r="N27" s="112">
        <f t="shared" si="23"/>
        <v>374.6</v>
      </c>
      <c r="O27" s="96" t="str">
        <f t="shared" si="11"/>
        <v/>
      </c>
      <c r="P27" s="96">
        <f t="shared" si="19"/>
        <v>374.6</v>
      </c>
      <c r="Q27" s="96" t="str">
        <f t="shared" si="20"/>
        <v/>
      </c>
      <c r="R27" s="92" t="str">
        <f t="shared" si="21"/>
        <v/>
      </c>
      <c r="S27" s="42" t="str">
        <f t="shared" si="12"/>
        <v/>
      </c>
      <c r="T27" s="167">
        <f>IF(L27="","",VLOOKUP(L27,classifications!C:K,9,FALSE))</f>
        <v>0</v>
      </c>
      <c r="U27" s="168" t="str">
        <f t="shared" si="13"/>
        <v/>
      </c>
      <c r="V27" s="174" t="str">
        <f>IF(U27="","",IF($I$8="A",(RANK(U27,U$11:U$343)+COUNTIF(U$11:U27,U27)-1),(RANK(U27,U$11:U$343,1)+COUNTIF(U$11:U27,U27)-1)))</f>
        <v/>
      </c>
      <c r="W27" s="175"/>
      <c r="X27" s="5" t="str">
        <f>IF(L27="","",VLOOKUP($L27,classifications!$C:$J,6,FALSE))</f>
        <v>Urban with City and Town</v>
      </c>
      <c r="Y27" t="str">
        <f t="shared" si="4"/>
        <v/>
      </c>
      <c r="Z27" s="40" t="str">
        <f>IF(Y27="","",IF(I$8="A",(RANK(Y27,Y$11:Y$343,1)+COUNTIF(Y$11:Y27,Y27)-1),(RANK(Y27,Y$11:Y$343)+COUNTIF(Y$11:Y27,Y27)-1)))</f>
        <v/>
      </c>
      <c r="AA27" s="180" t="str">
        <f>IF(L27="","",VLOOKUP($L27,classifications!C:I,7,FALSE))</f>
        <v>Predominantly Urban</v>
      </c>
      <c r="AB27" s="174" t="str">
        <f t="shared" si="14"/>
        <v/>
      </c>
      <c r="AC27" s="174" t="str">
        <f>IF(AB27="","",IF($I$8="A",(RANK(AB27,AB$11:AB$343)+COUNTIF(AB$11:AB27,AB27)-1),(RANK(AB27,AB$11:AB$343,1)+COUNTIF(AB$11:AB27,AB27)-1)))</f>
        <v/>
      </c>
      <c r="AD27" s="174"/>
      <c r="AE27" s="36"/>
      <c r="AG27" s="15"/>
      <c r="AH27" s="3"/>
      <c r="AI27" s="5" t="str">
        <f>IF(L27="","",VLOOKUP($L27,classifications!$C:$J,8,FALSE))</f>
        <v>Unitary</v>
      </c>
      <c r="AJ27" s="43">
        <f t="shared" si="5"/>
        <v>374.6</v>
      </c>
      <c r="AK27" s="40">
        <f>IF(AJ27="","",IF(I$8="A",(RANK(AJ27,AJ$11:AJ$343,1)+COUNTIF(AJ$11:AJ27,AJ27)-1),(RANK(AJ27,AJ$11:AJ$343)+COUNTIF(AJ$11:AJ27,AJ27)-1)))</f>
        <v>17</v>
      </c>
      <c r="AL27" s="3">
        <f t="shared" si="16"/>
        <v>17</v>
      </c>
      <c r="AM27" t="str">
        <f t="shared" si="6"/>
        <v>Plymouth</v>
      </c>
      <c r="AN27">
        <f t="shared" si="7"/>
        <v>374.6</v>
      </c>
      <c r="AP27" s="5" t="str">
        <f>IF(L27="","",VLOOKUP($L27,classifications!$C:$E,3,FALSE))</f>
        <v>South West</v>
      </c>
      <c r="AQ27" s="43" t="str">
        <f t="shared" si="17"/>
        <v/>
      </c>
      <c r="AR27" s="40" t="str">
        <f>IF(AQ27="","",IF(I$8="A",(RANK(AQ27,AQ$11:AQ$343,1)+COUNTIF(AQ$11:AQ27,AQ27)-1),(RANK(AQ27,AQ$11:AQ$343)+COUNTIF(AQ$11:AQ27,AQ27)-1)))</f>
        <v/>
      </c>
      <c r="AS27" s="3" t="str">
        <f t="shared" si="18"/>
        <v/>
      </c>
      <c r="AT27" s="40" t="str">
        <f t="shared" si="8"/>
        <v/>
      </c>
      <c r="AU27" s="43" t="str">
        <f t="shared" si="9"/>
        <v/>
      </c>
      <c r="AX27">
        <f>HLOOKUP($AX$9&amp;$AX$10,Data!$A$1:$ZZ$1980,(MATCH($C27,Data!$A$1:$A$1980,0)),FALSE)</f>
        <v>382.5</v>
      </c>
    </row>
    <row r="28" spans="1:50">
      <c r="A28" s="59" t="str">
        <f>$D$1&amp;18</f>
        <v>UA18</v>
      </c>
      <c r="B28" s="60">
        <f>IF(ISERROR(VLOOKUP(A28,classifications!A:C,3,FALSE)),0,VLOOKUP(A28,classifications!A:C,3,FALSE))</f>
        <v>0</v>
      </c>
      <c r="C28" t="s">
        <v>198</v>
      </c>
      <c r="D28" t="str">
        <f>VLOOKUP($C28,classifications!$C:$J,4,FALSE)</f>
        <v>L</v>
      </c>
      <c r="E28">
        <f>VLOOKUP(C28,classifications!C:K,9,FALSE)</f>
        <v>0</v>
      </c>
      <c r="F28">
        <f t="shared" si="0"/>
        <v>336.1</v>
      </c>
      <c r="G28" s="15"/>
      <c r="H28" s="42" t="str">
        <f t="shared" si="1"/>
        <v/>
      </c>
      <c r="I28" s="79" t="str">
        <f>IF(H28="","",IF($I$8="A",(RANK(H28,H$11:H$343,1)+COUNTIF(H$11:H28,H28)-1),(RANK(H28,H$11:H$343)+COUNTIF(H$11:H28,H28)-1)))</f>
        <v/>
      </c>
      <c r="J28" s="41"/>
      <c r="K28" s="36">
        <f t="shared" si="10"/>
        <v>18</v>
      </c>
      <c r="L28" t="str">
        <f t="shared" si="2"/>
        <v>Peterborough</v>
      </c>
      <c r="M28" s="117">
        <f t="shared" si="3"/>
        <v>375.8</v>
      </c>
      <c r="N28" s="112">
        <f t="shared" si="23"/>
        <v>375.8</v>
      </c>
      <c r="O28" s="96" t="str">
        <f t="shared" si="11"/>
        <v/>
      </c>
      <c r="P28" s="96">
        <f t="shared" si="19"/>
        <v>375.8</v>
      </c>
      <c r="Q28" s="96" t="str">
        <f t="shared" si="20"/>
        <v/>
      </c>
      <c r="R28" s="92" t="str">
        <f t="shared" si="21"/>
        <v/>
      </c>
      <c r="S28" s="42" t="str">
        <f t="shared" si="12"/>
        <v/>
      </c>
      <c r="T28" s="167">
        <f>IF(L28="","",VLOOKUP(L28,classifications!C:K,9,FALSE))</f>
        <v>0</v>
      </c>
      <c r="U28" s="168" t="str">
        <f t="shared" si="13"/>
        <v/>
      </c>
      <c r="V28" s="174" t="str">
        <f>IF(U28="","",IF($I$8="A",(RANK(U28,U$11:U$343)+COUNTIF(U$11:U28,U28)-1),(RANK(U28,U$11:U$343,1)+COUNTIF(U$11:U28,U28)-1)))</f>
        <v/>
      </c>
      <c r="W28" s="175"/>
      <c r="X28" s="5" t="str">
        <f>IF(L28="","",VLOOKUP($L28,classifications!$C:$J,6,FALSE))</f>
        <v>Urban with City and Town</v>
      </c>
      <c r="Y28" t="str">
        <f t="shared" si="4"/>
        <v/>
      </c>
      <c r="Z28" s="40" t="str">
        <f>IF(Y28="","",IF(I$8="A",(RANK(Y28,Y$11:Y$343,1)+COUNTIF(Y$11:Y28,Y28)-1),(RANK(Y28,Y$11:Y$343)+COUNTIF(Y$11:Y28,Y28)-1)))</f>
        <v/>
      </c>
      <c r="AA28" s="180" t="str">
        <f>IF(L28="","",VLOOKUP($L28,classifications!C:I,7,FALSE))</f>
        <v>Predominantly Urban</v>
      </c>
      <c r="AB28" s="174" t="str">
        <f t="shared" si="14"/>
        <v/>
      </c>
      <c r="AC28" s="174" t="str">
        <f>IF(AB28="","",IF($I$8="A",(RANK(AB28,AB$11:AB$343)+COUNTIF(AB$11:AB28,AB28)-1),(RANK(AB28,AB$11:AB$343,1)+COUNTIF(AB$11:AB28,AB28)-1)))</f>
        <v/>
      </c>
      <c r="AD28" s="174"/>
      <c r="AE28" s="36"/>
      <c r="AG28" s="15"/>
      <c r="AH28" s="3"/>
      <c r="AI28" s="5" t="str">
        <f>IF(L28="","",VLOOKUP($L28,classifications!$C:$J,8,FALSE))</f>
        <v>Unitary</v>
      </c>
      <c r="AJ28" s="43">
        <f t="shared" si="5"/>
        <v>375.8</v>
      </c>
      <c r="AK28" s="40">
        <f>IF(AJ28="","",IF(I$8="A",(RANK(AJ28,AJ$11:AJ$343,1)+COUNTIF(AJ$11:AJ28,AJ28)-1),(RANK(AJ28,AJ$11:AJ$343)+COUNTIF(AJ$11:AJ28,AJ28)-1)))</f>
        <v>18</v>
      </c>
      <c r="AL28" s="3">
        <f t="shared" si="16"/>
        <v>18</v>
      </c>
      <c r="AM28" t="str">
        <f t="shared" si="6"/>
        <v>Peterborough</v>
      </c>
      <c r="AN28">
        <f t="shared" si="7"/>
        <v>375.8</v>
      </c>
      <c r="AP28" s="5" t="str">
        <f>IF(L28="","",VLOOKUP($L28,classifications!$C:$E,3,FALSE))</f>
        <v>East of England</v>
      </c>
      <c r="AQ28" s="43" t="str">
        <f t="shared" si="17"/>
        <v/>
      </c>
      <c r="AR28" s="40" t="str">
        <f>IF(AQ28="","",IF(I$8="A",(RANK(AQ28,AQ$11:AQ$343,1)+COUNTIF(AQ$11:AQ28,AQ28)-1),(RANK(AQ28,AQ$11:AQ$343)+COUNTIF(AQ$11:AQ28,AQ28)-1)))</f>
        <v/>
      </c>
      <c r="AS28" s="3" t="str">
        <f t="shared" si="18"/>
        <v/>
      </c>
      <c r="AT28" s="40" t="str">
        <f t="shared" si="8"/>
        <v/>
      </c>
      <c r="AU28" s="43" t="str">
        <f t="shared" si="9"/>
        <v/>
      </c>
      <c r="AX28">
        <f>HLOOKUP($AX$9&amp;$AX$10,Data!$A$1:$ZZ$1980,(MATCH($C28,Data!$A$1:$A$1980,0)),FALSE)</f>
        <v>336.1</v>
      </c>
    </row>
    <row r="29" spans="1:50">
      <c r="A29" s="59" t="str">
        <f>$D$1&amp;19</f>
        <v>UA19</v>
      </c>
      <c r="B29" s="60">
        <f>IF(ISERROR(VLOOKUP(A29,classifications!A:C,3,FALSE)),0,VLOOKUP(A29,classifications!A:C,3,FALSE))</f>
        <v>0</v>
      </c>
      <c r="C29" t="s">
        <v>224</v>
      </c>
      <c r="D29" t="str">
        <f>VLOOKUP($C29,classifications!$C:$J,4,FALSE)</f>
        <v>MD</v>
      </c>
      <c r="E29">
        <f>VLOOKUP(C29,classifications!C:K,9,FALSE)</f>
        <v>0</v>
      </c>
      <c r="F29">
        <f t="shared" si="0"/>
        <v>336.7</v>
      </c>
      <c r="G29" s="15"/>
      <c r="H29" s="42" t="str">
        <f t="shared" si="1"/>
        <v/>
      </c>
      <c r="I29" s="79" t="str">
        <f>IF(H29="","",IF($I$8="A",(RANK(H29,H$11:H$343,1)+COUNTIF(H$11:H29,H29)-1),(RANK(H29,H$11:H$343)+COUNTIF(H$11:H29,H29)-1)))</f>
        <v/>
      </c>
      <c r="J29" s="41"/>
      <c r="K29" s="36">
        <f t="shared" si="10"/>
        <v>19</v>
      </c>
      <c r="L29" t="str">
        <f t="shared" si="2"/>
        <v>Windsor &amp; Maidenhead</v>
      </c>
      <c r="M29" s="117">
        <f t="shared" si="3"/>
        <v>380.5</v>
      </c>
      <c r="N29" s="112">
        <f t="shared" si="23"/>
        <v>380.5</v>
      </c>
      <c r="O29" s="96" t="str">
        <f t="shared" si="11"/>
        <v/>
      </c>
      <c r="P29" s="96">
        <f t="shared" si="19"/>
        <v>380.5</v>
      </c>
      <c r="Q29" s="96" t="str">
        <f t="shared" si="20"/>
        <v/>
      </c>
      <c r="R29" s="92" t="str">
        <f t="shared" si="21"/>
        <v/>
      </c>
      <c r="S29" s="42" t="str">
        <f t="shared" si="12"/>
        <v/>
      </c>
      <c r="T29" s="167">
        <f>IF(L29="","",VLOOKUP(L29,classifications!C:K,9,FALSE))</f>
        <v>0</v>
      </c>
      <c r="U29" s="168" t="str">
        <f t="shared" si="13"/>
        <v/>
      </c>
      <c r="V29" s="174" t="str">
        <f>IF(U29="","",IF($I$8="A",(RANK(U29,U$11:U$343)+COUNTIF(U$11:U29,U29)-1),(RANK(U29,U$11:U$343,1)+COUNTIF(U$11:U29,U29)-1)))</f>
        <v/>
      </c>
      <c r="W29" s="175"/>
      <c r="X29" s="5" t="str">
        <f>IF(L29="","",VLOOKUP($L29,classifications!$C:$J,6,FALSE))</f>
        <v>Urban with City and Town</v>
      </c>
      <c r="Y29" t="str">
        <f t="shared" si="4"/>
        <v/>
      </c>
      <c r="Z29" s="40" t="str">
        <f>IF(Y29="","",IF(I$8="A",(RANK(Y29,Y$11:Y$343,1)+COUNTIF(Y$11:Y29,Y29)-1),(RANK(Y29,Y$11:Y$343)+COUNTIF(Y$11:Y29,Y29)-1)))</f>
        <v/>
      </c>
      <c r="AA29" s="180" t="str">
        <f>IF(L29="","",VLOOKUP($L29,classifications!C:I,7,FALSE))</f>
        <v>Predominantly Urban</v>
      </c>
      <c r="AB29" s="174" t="str">
        <f t="shared" si="14"/>
        <v/>
      </c>
      <c r="AC29" s="174" t="str">
        <f>IF(AB29="","",IF($I$8="A",(RANK(AB29,AB$11:AB$343)+COUNTIF(AB$11:AB29,AB29)-1),(RANK(AB29,AB$11:AB$343,1)+COUNTIF(AB$11:AB29,AB29)-1)))</f>
        <v/>
      </c>
      <c r="AD29" s="174"/>
      <c r="AE29" s="36"/>
      <c r="AG29" s="15"/>
      <c r="AH29" s="3"/>
      <c r="AI29" s="5" t="str">
        <f>IF(L29="","",VLOOKUP($L29,classifications!$C:$J,8,FALSE))</f>
        <v>Unitary</v>
      </c>
      <c r="AJ29" s="43">
        <f t="shared" si="5"/>
        <v>380.5</v>
      </c>
      <c r="AK29" s="40">
        <f>IF(AJ29="","",IF(I$8="A",(RANK(AJ29,AJ$11:AJ$343,1)+COUNTIF(AJ$11:AJ29,AJ29)-1),(RANK(AJ29,AJ$11:AJ$343)+COUNTIF(AJ$11:AJ29,AJ29)-1)))</f>
        <v>19</v>
      </c>
      <c r="AL29" s="3">
        <f t="shared" si="16"/>
        <v>19</v>
      </c>
      <c r="AM29" t="str">
        <f t="shared" si="6"/>
        <v>Windsor &amp; Maidenhead</v>
      </c>
      <c r="AN29">
        <f t="shared" si="7"/>
        <v>380.5</v>
      </c>
      <c r="AP29" s="5" t="str">
        <f>IF(L29="","",VLOOKUP($L29,classifications!$C:$E,3,FALSE))</f>
        <v>South East</v>
      </c>
      <c r="AQ29" s="43" t="str">
        <f t="shared" si="17"/>
        <v/>
      </c>
      <c r="AR29" s="40" t="str">
        <f>IF(AQ29="","",IF(I$8="A",(RANK(AQ29,AQ$11:AQ$343,1)+COUNTIF(AQ$11:AQ29,AQ29)-1),(RANK(AQ29,AQ$11:AQ$343)+COUNTIF(AQ$11:AQ29,AQ29)-1)))</f>
        <v/>
      </c>
      <c r="AS29" s="3" t="str">
        <f t="shared" si="18"/>
        <v/>
      </c>
      <c r="AT29" s="40" t="str">
        <f t="shared" si="8"/>
        <v/>
      </c>
      <c r="AU29" s="43" t="str">
        <f t="shared" si="9"/>
        <v/>
      </c>
      <c r="AX29">
        <f>HLOOKUP($AX$9&amp;$AX$10,Data!$A$1:$ZZ$1980,(MATCH($C29,Data!$A$1:$A$1980,0)),FALSE)</f>
        <v>336.7</v>
      </c>
    </row>
    <row r="30" spans="1:50">
      <c r="A30" s="59" t="str">
        <f>$D$1&amp;20</f>
        <v>UA20</v>
      </c>
      <c r="B30" s="60">
        <f>IF(ISERROR(VLOOKUP(A30,classifications!A:C,3,FALSE)),0,VLOOKUP(A30,classifications!A:C,3,FALSE))</f>
        <v>0</v>
      </c>
      <c r="C30" t="s">
        <v>16</v>
      </c>
      <c r="D30" t="str">
        <f>VLOOKUP($C30,classifications!$C:$J,4,FALSE)</f>
        <v>SD</v>
      </c>
      <c r="E30">
        <f>VLOOKUP(C30,classifications!C:K,9,FALSE)</f>
        <v>0</v>
      </c>
      <c r="F30">
        <f t="shared" si="0"/>
        <v>330.3</v>
      </c>
      <c r="G30" s="15"/>
      <c r="H30" s="42" t="str">
        <f t="shared" si="1"/>
        <v/>
      </c>
      <c r="I30" s="79" t="str">
        <f>IF(H30="","",IF($I$8="A",(RANK(H30,H$11:H$343,1)+COUNTIF(H$11:H30,H30)-1),(RANK(H30,H$11:H$343)+COUNTIF(H$11:H30,H30)-1)))</f>
        <v/>
      </c>
      <c r="J30" s="41"/>
      <c r="K30" s="36">
        <f t="shared" si="10"/>
        <v>20</v>
      </c>
      <c r="L30" t="str">
        <f t="shared" si="2"/>
        <v>Bedford</v>
      </c>
      <c r="M30" s="117">
        <f t="shared" si="3"/>
        <v>382.5</v>
      </c>
      <c r="N30" s="112">
        <f t="shared" si="23"/>
        <v>382.5</v>
      </c>
      <c r="O30" s="96" t="str">
        <f t="shared" si="11"/>
        <v/>
      </c>
      <c r="P30" s="96">
        <f t="shared" si="19"/>
        <v>382.5</v>
      </c>
      <c r="Q30" s="96" t="str">
        <f t="shared" si="20"/>
        <v/>
      </c>
      <c r="R30" s="92" t="str">
        <f t="shared" si="21"/>
        <v/>
      </c>
      <c r="S30" s="42" t="str">
        <f t="shared" si="12"/>
        <v/>
      </c>
      <c r="T30" s="167">
        <f>IF(L30="","",VLOOKUP(L30,classifications!C:K,9,FALSE))</f>
        <v>0</v>
      </c>
      <c r="U30" s="168" t="str">
        <f t="shared" si="13"/>
        <v/>
      </c>
      <c r="V30" s="174" t="str">
        <f>IF(U30="","",IF($I$8="A",(RANK(U30,U$11:U$343)+COUNTIF(U$11:U30,U30)-1),(RANK(U30,U$11:U$343,1)+COUNTIF(U$11:U30,U30)-1)))</f>
        <v/>
      </c>
      <c r="W30" s="175"/>
      <c r="X30" s="5" t="str">
        <f>IF(L30="","",VLOOKUP($L30,classifications!$C:$J,6,FALSE))</f>
        <v>Urban with Significant Rural (rural including hub towns 26-49%)</v>
      </c>
      <c r="Y30">
        <f t="shared" si="4"/>
        <v>382.5</v>
      </c>
      <c r="Z30" s="40">
        <f>IF(Y30="","",IF(I$8="A",(RANK(Y30,Y$11:Y$343,1)+COUNTIF(Y$11:Y30,Y30)-1),(RANK(Y30,Y$11:Y$343)+COUNTIF(Y$11:Y30,Y30)-1)))</f>
        <v>3</v>
      </c>
      <c r="AA30" s="180" t="str">
        <f>IF(L30="","",VLOOKUP($L30,classifications!C:I,7,FALSE))</f>
        <v>Significant Rural</v>
      </c>
      <c r="AB30" s="174">
        <f t="shared" si="14"/>
        <v>382.5</v>
      </c>
      <c r="AC30" s="174">
        <f>IF(AB30="","",IF($I$8="A",(RANK(AB30,AB$11:AB$343)+COUNTIF(AB$11:AB30,AB30)-1),(RANK(AB30,AB$11:AB$343,1)+COUNTIF(AB$11:AB30,AB30)-1)))</f>
        <v>9</v>
      </c>
      <c r="AD30" s="174"/>
      <c r="AE30" s="36"/>
      <c r="AG30" s="15"/>
      <c r="AH30" s="3"/>
      <c r="AI30" s="5" t="str">
        <f>IF(L30="","",VLOOKUP($L30,classifications!$C:$J,8,FALSE))</f>
        <v>Unitary</v>
      </c>
      <c r="AJ30" s="43">
        <f t="shared" si="5"/>
        <v>382.5</v>
      </c>
      <c r="AK30" s="40">
        <f>IF(AJ30="","",IF(I$8="A",(RANK(AJ30,AJ$11:AJ$343,1)+COUNTIF(AJ$11:AJ30,AJ30)-1),(RANK(AJ30,AJ$11:AJ$343)+COUNTIF(AJ$11:AJ30,AJ30)-1)))</f>
        <v>20</v>
      </c>
      <c r="AL30" s="3">
        <f t="shared" si="16"/>
        <v>20</v>
      </c>
      <c r="AM30" t="str">
        <f t="shared" si="6"/>
        <v>Bedford</v>
      </c>
      <c r="AN30">
        <f t="shared" si="7"/>
        <v>382.5</v>
      </c>
      <c r="AP30" s="5" t="str">
        <f>IF(L30="","",VLOOKUP($L30,classifications!$C:$E,3,FALSE))</f>
        <v>East of England</v>
      </c>
      <c r="AQ30" s="43" t="str">
        <f t="shared" si="17"/>
        <v/>
      </c>
      <c r="AR30" s="40" t="str">
        <f>IF(AQ30="","",IF(I$8="A",(RANK(AQ30,AQ$11:AQ$343,1)+COUNTIF(AQ$11:AQ30,AQ30)-1),(RANK(AQ30,AQ$11:AQ$343)+COUNTIF(AQ$11:AQ30,AQ30)-1)))</f>
        <v/>
      </c>
      <c r="AS30" s="3" t="str">
        <f t="shared" si="18"/>
        <v/>
      </c>
      <c r="AT30" s="40" t="str">
        <f t="shared" si="8"/>
        <v/>
      </c>
      <c r="AU30" s="43" t="str">
        <f t="shared" si="9"/>
        <v/>
      </c>
      <c r="AX30">
        <f>HLOOKUP($AX$9&amp;$AX$10,Data!$A$1:$ZZ$1980,(MATCH($C30,Data!$A$1:$A$1980,0)),FALSE)</f>
        <v>330.3</v>
      </c>
    </row>
    <row r="31" spans="1:50">
      <c r="A31" s="59" t="str">
        <f>$D$1&amp;21</f>
        <v>UA21</v>
      </c>
      <c r="B31" s="60">
        <f>IF(ISERROR(VLOOKUP(A31,classifications!A:C,3,FALSE)),0,VLOOKUP(A31,classifications!A:C,3,FALSE))</f>
        <v>0</v>
      </c>
      <c r="C31" t="s">
        <v>261</v>
      </c>
      <c r="D31" t="str">
        <f>VLOOKUP($C31,classifications!$C:$J,4,FALSE)</f>
        <v>UA</v>
      </c>
      <c r="E31">
        <f>VLOOKUP(C31,classifications!C:K,9,FALSE)</f>
        <v>0</v>
      </c>
      <c r="F31">
        <f t="shared" si="0"/>
        <v>339.7</v>
      </c>
      <c r="G31" s="15"/>
      <c r="H31" s="42">
        <f t="shared" si="1"/>
        <v>339.7</v>
      </c>
      <c r="I31" s="79">
        <f>IF(H31="","",IF($I$8="A",(RANK(H31,H$11:H$343,1)+COUNTIF(H$11:H31,H31)-1),(RANK(H31,H$11:H$343)+COUNTIF(H$11:H31,H31)-1)))</f>
        <v>7</v>
      </c>
      <c r="J31" s="41"/>
      <c r="K31" s="36">
        <f t="shared" si="10"/>
        <v>21</v>
      </c>
      <c r="L31" t="str">
        <f t="shared" si="2"/>
        <v>Thurrock</v>
      </c>
      <c r="M31" s="117">
        <f t="shared" si="3"/>
        <v>382.9</v>
      </c>
      <c r="N31" s="112">
        <f t="shared" si="23"/>
        <v>382.9</v>
      </c>
      <c r="O31" s="96" t="str">
        <f t="shared" si="11"/>
        <v/>
      </c>
      <c r="P31" s="96">
        <f t="shared" si="19"/>
        <v>382.9</v>
      </c>
      <c r="Q31" s="96" t="str">
        <f t="shared" si="20"/>
        <v/>
      </c>
      <c r="R31" s="92" t="str">
        <f t="shared" si="21"/>
        <v/>
      </c>
      <c r="S31" s="42" t="str">
        <f t="shared" si="12"/>
        <v/>
      </c>
      <c r="T31" s="167">
        <f>IF(L31="","",VLOOKUP(L31,classifications!C:K,9,FALSE))</f>
        <v>0</v>
      </c>
      <c r="U31" s="168" t="str">
        <f t="shared" si="13"/>
        <v/>
      </c>
      <c r="V31" s="174" t="str">
        <f>IF(U31="","",IF($I$8="A",(RANK(U31,U$11:U$343)+COUNTIF(U$11:U31,U31)-1),(RANK(U31,U$11:U$343,1)+COUNTIF(U$11:U31,U31)-1)))</f>
        <v/>
      </c>
      <c r="W31" s="175"/>
      <c r="X31" s="5" t="str">
        <f>IF(L31="","",VLOOKUP($L31,classifications!$C:$J,6,FALSE))</f>
        <v>Urban with Major Conurbation</v>
      </c>
      <c r="Y31" t="str">
        <f t="shared" si="4"/>
        <v/>
      </c>
      <c r="Z31" s="40" t="str">
        <f>IF(Y31="","",IF(I$8="A",(RANK(Y31,Y$11:Y$343,1)+COUNTIF(Y$11:Y31,Y31)-1),(RANK(Y31,Y$11:Y$343)+COUNTIF(Y$11:Y31,Y31)-1)))</f>
        <v/>
      </c>
      <c r="AA31" s="180" t="str">
        <f>IF(L31="","",VLOOKUP($L31,classifications!C:I,7,FALSE))</f>
        <v>Predominantly Urban</v>
      </c>
      <c r="AB31" s="174" t="str">
        <f t="shared" si="14"/>
        <v/>
      </c>
      <c r="AC31" s="174" t="str">
        <f>IF(AB31="","",IF($I$8="A",(RANK(AB31,AB$11:AB$343)+COUNTIF(AB$11:AB31,AB31)-1),(RANK(AB31,AB$11:AB$343,1)+COUNTIF(AB$11:AB31,AB31)-1)))</f>
        <v/>
      </c>
      <c r="AD31" s="174"/>
      <c r="AE31" s="36"/>
      <c r="AG31" s="15"/>
      <c r="AH31" s="3"/>
      <c r="AI31" s="5" t="str">
        <f>IF(L31="","",VLOOKUP($L31,classifications!$C:$J,8,FALSE))</f>
        <v>Unitary</v>
      </c>
      <c r="AJ31" s="43">
        <f t="shared" si="5"/>
        <v>382.9</v>
      </c>
      <c r="AK31" s="40">
        <f>IF(AJ31="","",IF(I$8="A",(RANK(AJ31,AJ$11:AJ$343,1)+COUNTIF(AJ$11:AJ31,AJ31)-1),(RANK(AJ31,AJ$11:AJ$343)+COUNTIF(AJ$11:AJ31,AJ31)-1)))</f>
        <v>21</v>
      </c>
      <c r="AL31" s="3">
        <f t="shared" si="16"/>
        <v>21</v>
      </c>
      <c r="AM31" t="str">
        <f t="shared" si="6"/>
        <v>Thurrock</v>
      </c>
      <c r="AN31">
        <f t="shared" si="7"/>
        <v>382.9</v>
      </c>
      <c r="AP31" s="5" t="str">
        <f>IF(L31="","",VLOOKUP($L31,classifications!$C:$E,3,FALSE))</f>
        <v>East of England</v>
      </c>
      <c r="AQ31" s="43" t="str">
        <f t="shared" si="17"/>
        <v/>
      </c>
      <c r="AR31" s="40" t="str">
        <f>IF(AQ31="","",IF(I$8="A",(RANK(AQ31,AQ$11:AQ$343,1)+COUNTIF(AQ$11:AQ31,AQ31)-1),(RANK(AQ31,AQ$11:AQ$343)+COUNTIF(AQ$11:AQ31,AQ31)-1)))</f>
        <v/>
      </c>
      <c r="AS31" s="3" t="str">
        <f t="shared" si="18"/>
        <v/>
      </c>
      <c r="AT31" s="40" t="str">
        <f t="shared" si="8"/>
        <v/>
      </c>
      <c r="AU31" s="43" t="str">
        <f t="shared" si="9"/>
        <v/>
      </c>
      <c r="AX31">
        <f>HLOOKUP($AX$9&amp;$AX$10,Data!$A$1:$ZZ$1980,(MATCH($C31,Data!$A$1:$A$1980,0)),FALSE)</f>
        <v>339.7</v>
      </c>
    </row>
    <row r="32" spans="1:50">
      <c r="A32" s="59" t="str">
        <f>$D$1&amp;22</f>
        <v>UA22</v>
      </c>
      <c r="B32" s="60">
        <f>IF(ISERROR(VLOOKUP(A32,classifications!A:C,3,FALSE)),0,VLOOKUP(A32,classifications!A:C,3,FALSE))</f>
        <v>0</v>
      </c>
      <c r="C32" t="s">
        <v>262</v>
      </c>
      <c r="D32" t="str">
        <f>VLOOKUP($C32,classifications!$C:$J,4,FALSE)</f>
        <v>UA</v>
      </c>
      <c r="E32">
        <f>VLOOKUP(C32,classifications!C:K,9,FALSE)</f>
        <v>0</v>
      </c>
      <c r="F32">
        <f t="shared" si="0"/>
        <v>439.4</v>
      </c>
      <c r="G32" s="15"/>
      <c r="H32" s="42">
        <f t="shared" si="1"/>
        <v>439.4</v>
      </c>
      <c r="I32" s="79">
        <f>IF(H32="","",IF($I$8="A",(RANK(H32,H$11:H$343,1)+COUNTIF(H$11:H32,H32)-1),(RANK(H32,H$11:H$343)+COUNTIF(H$11:H32,H32)-1)))</f>
        <v>49</v>
      </c>
      <c r="J32" s="41"/>
      <c r="K32" s="36">
        <f t="shared" si="10"/>
        <v>22</v>
      </c>
      <c r="L32" t="str">
        <f t="shared" si="2"/>
        <v>Kingston upon Hull</v>
      </c>
      <c r="M32" s="117">
        <f t="shared" si="3"/>
        <v>384.2</v>
      </c>
      <c r="N32" s="112">
        <f t="shared" si="23"/>
        <v>384.2</v>
      </c>
      <c r="O32" s="96" t="str">
        <f t="shared" si="11"/>
        <v/>
      </c>
      <c r="P32" s="96">
        <f t="shared" si="19"/>
        <v>384.2</v>
      </c>
      <c r="Q32" s="96" t="str">
        <f t="shared" si="20"/>
        <v/>
      </c>
      <c r="R32" s="92" t="str">
        <f t="shared" si="21"/>
        <v/>
      </c>
      <c r="S32" s="42" t="str">
        <f t="shared" si="12"/>
        <v/>
      </c>
      <c r="T32" s="167">
        <f>IF(L32="","",VLOOKUP(L32,classifications!C:K,9,FALSE))</f>
        <v>0</v>
      </c>
      <c r="U32" s="168" t="str">
        <f t="shared" si="13"/>
        <v/>
      </c>
      <c r="V32" s="174" t="str">
        <f>IF(U32="","",IF($I$8="A",(RANK(U32,U$11:U$343)+COUNTIF(U$11:U32,U32)-1),(RANK(U32,U$11:U$343,1)+COUNTIF(U$11:U32,U32)-1)))</f>
        <v/>
      </c>
      <c r="W32" s="175"/>
      <c r="X32" s="5" t="str">
        <f>IF(L32="","",VLOOKUP($L32,classifications!$C:$J,6,FALSE))</f>
        <v>Urban with City and Town</v>
      </c>
      <c r="Y32" t="str">
        <f t="shared" si="4"/>
        <v/>
      </c>
      <c r="Z32" s="40" t="str">
        <f>IF(Y32="","",IF(I$8="A",(RANK(Y32,Y$11:Y$343,1)+COUNTIF(Y$11:Y32,Y32)-1),(RANK(Y32,Y$11:Y$343)+COUNTIF(Y$11:Y32,Y32)-1)))</f>
        <v/>
      </c>
      <c r="AA32" s="180" t="str">
        <f>IF(L32="","",VLOOKUP($L32,classifications!C:I,7,FALSE))</f>
        <v>Predominantly Urban</v>
      </c>
      <c r="AB32" s="174" t="str">
        <f t="shared" si="14"/>
        <v/>
      </c>
      <c r="AC32" s="174" t="str">
        <f>IF(AB32="","",IF($I$8="A",(RANK(AB32,AB$11:AB$343)+COUNTIF(AB$11:AB32,AB32)-1),(RANK(AB32,AB$11:AB$343,1)+COUNTIF(AB$11:AB32,AB32)-1)))</f>
        <v/>
      </c>
      <c r="AD32" s="174"/>
      <c r="AE32" s="36"/>
      <c r="AG32" s="15"/>
      <c r="AH32" s="3"/>
      <c r="AI32" s="5" t="str">
        <f>IF(L32="","",VLOOKUP($L32,classifications!$C:$J,8,FALSE))</f>
        <v>Unitary</v>
      </c>
      <c r="AJ32" s="43">
        <f t="shared" si="5"/>
        <v>384.2</v>
      </c>
      <c r="AK32" s="40">
        <f>IF(AJ32="","",IF(I$8="A",(RANK(AJ32,AJ$11:AJ$343,1)+COUNTIF(AJ$11:AJ32,AJ32)-1),(RANK(AJ32,AJ$11:AJ$343)+COUNTIF(AJ$11:AJ32,AJ32)-1)))</f>
        <v>22</v>
      </c>
      <c r="AL32" s="3">
        <f t="shared" si="16"/>
        <v>22</v>
      </c>
      <c r="AM32" t="str">
        <f t="shared" si="6"/>
        <v>Kingston upon Hull</v>
      </c>
      <c r="AN32">
        <f t="shared" si="7"/>
        <v>384.2</v>
      </c>
      <c r="AP32" s="5" t="str">
        <f>IF(L32="","",VLOOKUP($L32,classifications!$C:$E,3,FALSE))</f>
        <v>Yorkshire &amp; Humberside</v>
      </c>
      <c r="AQ32" s="43" t="str">
        <f t="shared" si="17"/>
        <v/>
      </c>
      <c r="AR32" s="40" t="str">
        <f>IF(AQ32="","",IF(I$8="A",(RANK(AQ32,AQ$11:AQ$343,1)+COUNTIF(AQ$11:AQ32,AQ32)-1),(RANK(AQ32,AQ$11:AQ$343)+COUNTIF(AQ$11:AQ32,AQ32)-1)))</f>
        <v/>
      </c>
      <c r="AS32" s="3" t="str">
        <f t="shared" si="18"/>
        <v/>
      </c>
      <c r="AT32" s="40" t="str">
        <f t="shared" si="8"/>
        <v/>
      </c>
      <c r="AU32" s="43" t="str">
        <f t="shared" si="9"/>
        <v/>
      </c>
      <c r="AX32">
        <f>HLOOKUP($AX$9&amp;$AX$10,Data!$A$1:$ZZ$1980,(MATCH($C32,Data!$A$1:$A$1980,0)),FALSE)</f>
        <v>439.4</v>
      </c>
    </row>
    <row r="33" spans="1:50">
      <c r="A33" s="59" t="str">
        <f>$D$1&amp;23</f>
        <v>UA23</v>
      </c>
      <c r="B33" s="60">
        <f>IF(ISERROR(VLOOKUP(A33,classifications!A:C,3,FALSE)),0,VLOOKUP(A33,classifications!A:C,3,FALSE))</f>
        <v>0</v>
      </c>
      <c r="C33" t="s">
        <v>17</v>
      </c>
      <c r="D33" t="str">
        <f>VLOOKUP($C33,classifications!$C:$J,4,FALSE)</f>
        <v>SD</v>
      </c>
      <c r="E33">
        <f>VLOOKUP(C33,classifications!C:K,9,FALSE)</f>
        <v>0</v>
      </c>
      <c r="F33">
        <f t="shared" si="0"/>
        <v>400.1</v>
      </c>
      <c r="G33" s="15"/>
      <c r="H33" s="42" t="str">
        <f t="shared" si="1"/>
        <v/>
      </c>
      <c r="I33" s="79" t="str">
        <f>IF(H33="","",IF($I$8="A",(RANK(H33,H$11:H$343,1)+COUNTIF(H$11:H33,H33)-1),(RANK(H33,H$11:H$343)+COUNTIF(H$11:H33,H33)-1)))</f>
        <v/>
      </c>
      <c r="J33" s="41"/>
      <c r="K33" s="36">
        <f t="shared" si="10"/>
        <v>23</v>
      </c>
      <c r="L33" t="str">
        <f t="shared" si="2"/>
        <v>Stoke-on-Trent</v>
      </c>
      <c r="M33" s="117">
        <f t="shared" si="3"/>
        <v>384.5</v>
      </c>
      <c r="N33" s="112">
        <f t="shared" si="23"/>
        <v>384.5</v>
      </c>
      <c r="O33" s="96" t="str">
        <f t="shared" si="11"/>
        <v/>
      </c>
      <c r="P33" s="96">
        <f t="shared" si="19"/>
        <v>384.5</v>
      </c>
      <c r="Q33" s="96" t="str">
        <f t="shared" si="20"/>
        <v/>
      </c>
      <c r="R33" s="92" t="str">
        <f t="shared" si="21"/>
        <v/>
      </c>
      <c r="S33" s="42" t="str">
        <f t="shared" si="12"/>
        <v/>
      </c>
      <c r="T33" s="167">
        <f>IF(L33="","",VLOOKUP(L33,classifications!C:K,9,FALSE))</f>
        <v>0</v>
      </c>
      <c r="U33" s="168" t="str">
        <f t="shared" si="13"/>
        <v/>
      </c>
      <c r="V33" s="174" t="str">
        <f>IF(U33="","",IF($I$8="A",(RANK(U33,U$11:U$343)+COUNTIF(U$11:U33,U33)-1),(RANK(U33,U$11:U$343,1)+COUNTIF(U$11:U33,U33)-1)))</f>
        <v/>
      </c>
      <c r="W33" s="175"/>
      <c r="X33" s="5" t="str">
        <f>IF(L33="","",VLOOKUP($L33,classifications!$C:$J,6,FALSE))</f>
        <v>Urban with City and Town</v>
      </c>
      <c r="Y33" t="str">
        <f t="shared" si="4"/>
        <v/>
      </c>
      <c r="Z33" s="40" t="str">
        <f>IF(Y33="","",IF(I$8="A",(RANK(Y33,Y$11:Y$343,1)+COUNTIF(Y$11:Y33,Y33)-1),(RANK(Y33,Y$11:Y$343)+COUNTIF(Y$11:Y33,Y33)-1)))</f>
        <v/>
      </c>
      <c r="AA33" s="180" t="str">
        <f>IF(L33="","",VLOOKUP($L33,classifications!C:I,7,FALSE))</f>
        <v>Predominantly Urban</v>
      </c>
      <c r="AB33" s="174" t="str">
        <f t="shared" si="14"/>
        <v/>
      </c>
      <c r="AC33" s="174" t="str">
        <f>IF(AB33="","",IF($I$8="A",(RANK(AB33,AB$11:AB$343)+COUNTIF(AB$11:AB33,AB33)-1),(RANK(AB33,AB$11:AB$343,1)+COUNTIF(AB$11:AB33,AB33)-1)))</f>
        <v/>
      </c>
      <c r="AD33" s="174"/>
      <c r="AE33" s="36"/>
      <c r="AG33" s="15"/>
      <c r="AH33" s="3"/>
      <c r="AI33" s="5" t="str">
        <f>IF(L33="","",VLOOKUP($L33,classifications!$C:$J,8,FALSE))</f>
        <v>Unitary</v>
      </c>
      <c r="AJ33" s="43">
        <f t="shared" si="5"/>
        <v>384.5</v>
      </c>
      <c r="AK33" s="40">
        <f>IF(AJ33="","",IF(I$8="A",(RANK(AJ33,AJ$11:AJ$343,1)+COUNTIF(AJ$11:AJ33,AJ33)-1),(RANK(AJ33,AJ$11:AJ$343)+COUNTIF(AJ$11:AJ33,AJ33)-1)))</f>
        <v>23</v>
      </c>
      <c r="AL33" s="3">
        <f t="shared" si="16"/>
        <v>23</v>
      </c>
      <c r="AM33" t="str">
        <f t="shared" si="6"/>
        <v>Stoke-on-Trent</v>
      </c>
      <c r="AN33">
        <f t="shared" si="7"/>
        <v>384.5</v>
      </c>
      <c r="AP33" s="5" t="str">
        <f>IF(L33="","",VLOOKUP($L33,classifications!$C:$E,3,FALSE))</f>
        <v>West Midlands</v>
      </c>
      <c r="AQ33" s="43" t="str">
        <f t="shared" si="17"/>
        <v/>
      </c>
      <c r="AR33" s="40" t="str">
        <f>IF(AQ33="","",IF(I$8="A",(RANK(AQ33,AQ$11:AQ$343,1)+COUNTIF(AQ$11:AQ33,AQ33)-1),(RANK(AQ33,AQ$11:AQ$343)+COUNTIF(AQ$11:AQ33,AQ33)-1)))</f>
        <v/>
      </c>
      <c r="AS33" s="3" t="str">
        <f t="shared" si="18"/>
        <v/>
      </c>
      <c r="AT33" s="40" t="str">
        <f t="shared" si="8"/>
        <v/>
      </c>
      <c r="AU33" s="43" t="str">
        <f t="shared" si="9"/>
        <v/>
      </c>
      <c r="AX33">
        <f>HLOOKUP($AX$9&amp;$AX$10,Data!$A$1:$ZZ$1980,(MATCH($C33,Data!$A$1:$A$1980,0)),FALSE)</f>
        <v>400.1</v>
      </c>
    </row>
    <row r="34" spans="1:50">
      <c r="A34" s="59" t="str">
        <f>$D$1&amp;24</f>
        <v>UA24</v>
      </c>
      <c r="B34" s="60">
        <f>IF(ISERROR(VLOOKUP(A34,classifications!A:C,3,FALSE)),0,VLOOKUP(A34,classifications!A:C,3,FALSE))</f>
        <v>0</v>
      </c>
      <c r="C34" t="s">
        <v>225</v>
      </c>
      <c r="D34" t="str">
        <f>VLOOKUP($C34,classifications!$C:$J,4,FALSE)</f>
        <v>MD</v>
      </c>
      <c r="E34">
        <f>VLOOKUP(C34,classifications!C:K,9,FALSE)</f>
        <v>0</v>
      </c>
      <c r="F34">
        <f t="shared" si="0"/>
        <v>297.2</v>
      </c>
      <c r="G34" s="15"/>
      <c r="H34" s="42" t="str">
        <f t="shared" si="1"/>
        <v/>
      </c>
      <c r="I34" s="79" t="str">
        <f>IF(H34="","",IF($I$8="A",(RANK(H34,H$11:H$343,1)+COUNTIF(H$11:H34,H34)-1),(RANK(H34,H$11:H$343)+COUNTIF(H$11:H34,H34)-1)))</f>
        <v/>
      </c>
      <c r="J34" s="41"/>
      <c r="K34" s="36">
        <f t="shared" si="10"/>
        <v>24</v>
      </c>
      <c r="L34" t="str">
        <f t="shared" si="2"/>
        <v>York</v>
      </c>
      <c r="M34" s="117">
        <f t="shared" si="3"/>
        <v>384.8</v>
      </c>
      <c r="N34" s="112">
        <f t="shared" si="23"/>
        <v>384.8</v>
      </c>
      <c r="O34" s="96" t="str">
        <f t="shared" si="11"/>
        <v/>
      </c>
      <c r="P34" s="96">
        <f t="shared" si="19"/>
        <v>384.8</v>
      </c>
      <c r="Q34" s="96" t="str">
        <f t="shared" si="20"/>
        <v/>
      </c>
      <c r="R34" s="92" t="str">
        <f t="shared" si="21"/>
        <v/>
      </c>
      <c r="S34" s="42" t="str">
        <f t="shared" si="12"/>
        <v/>
      </c>
      <c r="T34" s="167">
        <f>IF(L34="","",VLOOKUP(L34,classifications!C:K,9,FALSE))</f>
        <v>0</v>
      </c>
      <c r="U34" s="168" t="str">
        <f t="shared" si="13"/>
        <v/>
      </c>
      <c r="V34" s="174" t="str">
        <f>IF(U34="","",IF($I$8="A",(RANK(U34,U$11:U$343)+COUNTIF(U$11:U34,U34)-1),(RANK(U34,U$11:U$343,1)+COUNTIF(U$11:U34,U34)-1)))</f>
        <v/>
      </c>
      <c r="W34" s="175"/>
      <c r="X34" s="5" t="str">
        <f>IF(L34="","",VLOOKUP($L34,classifications!$C:$J,6,FALSE))</f>
        <v>Urban with City and Town</v>
      </c>
      <c r="Y34" t="str">
        <f t="shared" si="4"/>
        <v/>
      </c>
      <c r="Z34" s="40" t="str">
        <f>IF(Y34="","",IF(I$8="A",(RANK(Y34,Y$11:Y$343,1)+COUNTIF(Y$11:Y34,Y34)-1),(RANK(Y34,Y$11:Y$343)+COUNTIF(Y$11:Y34,Y34)-1)))</f>
        <v/>
      </c>
      <c r="AA34" s="180" t="str">
        <f>IF(L34="","",VLOOKUP($L34,classifications!C:I,7,FALSE))</f>
        <v>Predominantly Urban</v>
      </c>
      <c r="AB34" s="174" t="str">
        <f t="shared" si="14"/>
        <v/>
      </c>
      <c r="AC34" s="174" t="str">
        <f>IF(AB34="","",IF($I$8="A",(RANK(AB34,AB$11:AB$343)+COUNTIF(AB$11:AB34,AB34)-1),(RANK(AB34,AB$11:AB$343,1)+COUNTIF(AB$11:AB34,AB34)-1)))</f>
        <v/>
      </c>
      <c r="AD34" s="174"/>
      <c r="AE34" s="36"/>
      <c r="AG34" s="15"/>
      <c r="AH34" s="3"/>
      <c r="AI34" s="5" t="str">
        <f>IF(L34="","",VLOOKUP($L34,classifications!$C:$J,8,FALSE))</f>
        <v>Unitary</v>
      </c>
      <c r="AJ34" s="43">
        <f t="shared" si="5"/>
        <v>384.8</v>
      </c>
      <c r="AK34" s="40">
        <f>IF(AJ34="","",IF(I$8="A",(RANK(AJ34,AJ$11:AJ$343,1)+COUNTIF(AJ$11:AJ34,AJ34)-1),(RANK(AJ34,AJ$11:AJ$343)+COUNTIF(AJ$11:AJ34,AJ34)-1)))</f>
        <v>24</v>
      </c>
      <c r="AL34" s="3">
        <f t="shared" si="16"/>
        <v>24</v>
      </c>
      <c r="AM34" t="str">
        <f t="shared" si="6"/>
        <v>York</v>
      </c>
      <c r="AN34">
        <f t="shared" si="7"/>
        <v>384.8</v>
      </c>
      <c r="AP34" s="5" t="str">
        <f>IF(L34="","",VLOOKUP($L34,classifications!$C:$E,3,FALSE))</f>
        <v>Yorkshire &amp; Humberside</v>
      </c>
      <c r="AQ34" s="43" t="str">
        <f t="shared" si="17"/>
        <v/>
      </c>
      <c r="AR34" s="40" t="str">
        <f>IF(AQ34="","",IF(I$8="A",(RANK(AQ34,AQ$11:AQ$343,1)+COUNTIF(AQ$11:AQ34,AQ34)-1),(RANK(AQ34,AQ$11:AQ$343)+COUNTIF(AQ$11:AQ34,AQ34)-1)))</f>
        <v/>
      </c>
      <c r="AS34" s="3" t="str">
        <f t="shared" si="18"/>
        <v/>
      </c>
      <c r="AT34" s="40" t="str">
        <f t="shared" si="8"/>
        <v/>
      </c>
      <c r="AU34" s="43" t="str">
        <f t="shared" si="9"/>
        <v/>
      </c>
      <c r="AX34">
        <f>HLOOKUP($AX$9&amp;$AX$10,Data!$A$1:$ZZ$1980,(MATCH($C34,Data!$A$1:$A$1980,0)),FALSE)</f>
        <v>297.2</v>
      </c>
    </row>
    <row r="35" spans="1:50">
      <c r="A35" s="59" t="str">
        <f>$D$1&amp;25</f>
        <v>UA25</v>
      </c>
      <c r="B35" s="60">
        <f>IF(ISERROR(VLOOKUP(A35,classifications!A:C,3,FALSE)),0,VLOOKUP(A35,classifications!A:C,3,FALSE))</f>
        <v>0</v>
      </c>
      <c r="C35" t="s">
        <v>18</v>
      </c>
      <c r="D35" t="str">
        <f>VLOOKUP($C35,classifications!$C:$J,4,FALSE)</f>
        <v>SD</v>
      </c>
      <c r="E35" t="str">
        <f>VLOOKUP(C35,classifications!C:K,9,FALSE)</f>
        <v>Sparse</v>
      </c>
      <c r="F35">
        <f t="shared" si="0"/>
        <v>379.3</v>
      </c>
      <c r="G35" s="15"/>
      <c r="H35" s="42" t="str">
        <f t="shared" si="1"/>
        <v/>
      </c>
      <c r="I35" s="79" t="str">
        <f>IF(H35="","",IF($I$8="A",(RANK(H35,H$11:H$343,1)+COUNTIF(H$11:H35,H35)-1),(RANK(H35,H$11:H$343)+COUNTIF(H$11:H35,H35)-1)))</f>
        <v/>
      </c>
      <c r="J35" s="41"/>
      <c r="K35" s="36">
        <f t="shared" si="10"/>
        <v>25</v>
      </c>
      <c r="L35" t="str">
        <f t="shared" si="2"/>
        <v>South Gloucestershire</v>
      </c>
      <c r="M35" s="117">
        <f t="shared" si="3"/>
        <v>388.7</v>
      </c>
      <c r="N35" s="112">
        <f t="shared" si="23"/>
        <v>388.7</v>
      </c>
      <c r="O35" s="96" t="str">
        <f t="shared" si="11"/>
        <v/>
      </c>
      <c r="P35" s="96">
        <f t="shared" si="19"/>
        <v>388.7</v>
      </c>
      <c r="Q35" s="96" t="str">
        <f t="shared" si="20"/>
        <v/>
      </c>
      <c r="R35" s="92" t="str">
        <f t="shared" si="21"/>
        <v/>
      </c>
      <c r="S35" s="42" t="str">
        <f t="shared" si="12"/>
        <v/>
      </c>
      <c r="T35" s="167">
        <f>IF(L35="","",VLOOKUP(L35,classifications!C:K,9,FALSE))</f>
        <v>0</v>
      </c>
      <c r="U35" s="168" t="str">
        <f t="shared" si="13"/>
        <v/>
      </c>
      <c r="V35" s="174" t="str">
        <f>IF(U35="","",IF($I$8="A",(RANK(U35,U$11:U$343)+COUNTIF(U$11:U35,U35)-1),(RANK(U35,U$11:U$343,1)+COUNTIF(U$11:U35,U35)-1)))</f>
        <v/>
      </c>
      <c r="W35" s="175"/>
      <c r="X35" s="5" t="str">
        <f>IF(L35="","",VLOOKUP($L35,classifications!$C:$J,6,FALSE))</f>
        <v>Urban with City and Town</v>
      </c>
      <c r="Y35" t="str">
        <f t="shared" si="4"/>
        <v/>
      </c>
      <c r="Z35" s="40" t="str">
        <f>IF(Y35="","",IF(I$8="A",(RANK(Y35,Y$11:Y$343,1)+COUNTIF(Y$11:Y35,Y35)-1),(RANK(Y35,Y$11:Y$343)+COUNTIF(Y$11:Y35,Y35)-1)))</f>
        <v/>
      </c>
      <c r="AA35" s="180" t="str">
        <f>IF(L35="","",VLOOKUP($L35,classifications!C:I,7,FALSE))</f>
        <v>Predominantly Urban</v>
      </c>
      <c r="AB35" s="174" t="str">
        <f t="shared" si="14"/>
        <v/>
      </c>
      <c r="AC35" s="174" t="str">
        <f>IF(AB35="","",IF($I$8="A",(RANK(AB35,AB$11:AB$343)+COUNTIF(AB$11:AB35,AB35)-1),(RANK(AB35,AB$11:AB$343,1)+COUNTIF(AB$11:AB35,AB35)-1)))</f>
        <v/>
      </c>
      <c r="AD35" s="174"/>
      <c r="AE35" s="36" t="str">
        <f t="shared" ref="AE35:AE66" si="24">IF(AE34="","",IF(AE34+1&gt;(COUNT(AG:AG)),"",AE34+1))</f>
        <v/>
      </c>
      <c r="AG35" s="15"/>
      <c r="AH35" s="3"/>
      <c r="AI35" s="5" t="str">
        <f>IF(L35="","",VLOOKUP($L35,classifications!$C:$J,8,FALSE))</f>
        <v>Unitary</v>
      </c>
      <c r="AJ35" s="43">
        <f t="shared" si="5"/>
        <v>388.7</v>
      </c>
      <c r="AK35" s="40">
        <f>IF(AJ35="","",IF(I$8="A",(RANK(AJ35,AJ$11:AJ$343,1)+COUNTIF(AJ$11:AJ35,AJ35)-1),(RANK(AJ35,AJ$11:AJ$343)+COUNTIF(AJ$11:AJ35,AJ35)-1)))</f>
        <v>25</v>
      </c>
      <c r="AL35" s="3">
        <f t="shared" si="16"/>
        <v>25</v>
      </c>
      <c r="AM35" t="str">
        <f t="shared" si="6"/>
        <v>South Gloucestershire</v>
      </c>
      <c r="AN35">
        <f t="shared" si="7"/>
        <v>388.7</v>
      </c>
      <c r="AP35" s="5" t="str">
        <f>IF(L35="","",VLOOKUP($L35,classifications!$C:$E,3,FALSE))</f>
        <v>South West</v>
      </c>
      <c r="AQ35" s="43" t="str">
        <f t="shared" si="17"/>
        <v/>
      </c>
      <c r="AR35" s="40" t="str">
        <f>IF(AQ35="","",IF(I$8="A",(RANK(AQ35,AQ$11:AQ$343,1)+COUNTIF(AQ$11:AQ35,AQ35)-1),(RANK(AQ35,AQ$11:AQ$343)+COUNTIF(AQ$11:AQ35,AQ35)-1)))</f>
        <v/>
      </c>
      <c r="AS35" s="3" t="str">
        <f t="shared" si="18"/>
        <v/>
      </c>
      <c r="AT35" s="40" t="str">
        <f t="shared" si="8"/>
        <v/>
      </c>
      <c r="AU35" s="43" t="str">
        <f t="shared" si="9"/>
        <v/>
      </c>
      <c r="AX35">
        <f>HLOOKUP($AX$9&amp;$AX$10,Data!$A$1:$ZZ$1980,(MATCH($C35,Data!$A$1:$A$1980,0)),FALSE)</f>
        <v>379.3</v>
      </c>
    </row>
    <row r="36" spans="1:50">
      <c r="A36" s="59" t="str">
        <f>$D$1&amp;26</f>
        <v>UA26</v>
      </c>
      <c r="B36" s="60">
        <f>IF(ISERROR(VLOOKUP(A36,classifications!A:C,3,FALSE)),0,VLOOKUP(A36,classifications!A:C,3,FALSE))</f>
        <v>0</v>
      </c>
      <c r="C36" t="s">
        <v>901</v>
      </c>
      <c r="D36" t="str">
        <f>VLOOKUP($C36,classifications!$C:$J,4,FALSE)</f>
        <v>UA</v>
      </c>
      <c r="E36">
        <f>VLOOKUP(C36,classifications!C:K,9,FALSE)</f>
        <v>0</v>
      </c>
      <c r="F36">
        <f t="shared" si="0"/>
        <v>403.5</v>
      </c>
      <c r="G36" s="15"/>
      <c r="H36" s="42">
        <f t="shared" si="1"/>
        <v>403.5</v>
      </c>
      <c r="I36" s="79">
        <f>IF(H36="","",IF($I$8="A",(RANK(H36,H$11:H$343,1)+COUNTIF(H$11:H36,H36)-1),(RANK(H36,H$11:H$343)+COUNTIF(H$11:H36,H36)-1)))</f>
        <v>36</v>
      </c>
      <c r="J36" s="41"/>
      <c r="K36" s="36">
        <f t="shared" si="10"/>
        <v>26</v>
      </c>
      <c r="L36" t="str">
        <f t="shared" si="2"/>
        <v>Isle of Wight</v>
      </c>
      <c r="M36" s="117">
        <f t="shared" si="3"/>
        <v>389.9</v>
      </c>
      <c r="N36" s="112">
        <f t="shared" si="23"/>
        <v>389.9</v>
      </c>
      <c r="O36" s="96" t="str">
        <f t="shared" si="11"/>
        <v/>
      </c>
      <c r="P36" s="96">
        <f t="shared" si="19"/>
        <v>389.9</v>
      </c>
      <c r="Q36" s="96" t="str">
        <f t="shared" si="20"/>
        <v/>
      </c>
      <c r="R36" s="92" t="str">
        <f t="shared" si="21"/>
        <v/>
      </c>
      <c r="S36" s="42" t="str">
        <f t="shared" si="12"/>
        <v/>
      </c>
      <c r="T36" s="167" t="str">
        <f>IF(L36="","",VLOOKUP(L36,classifications!C:K,9,FALSE))</f>
        <v>Sparse</v>
      </c>
      <c r="U36" s="168">
        <f t="shared" si="13"/>
        <v>389.9</v>
      </c>
      <c r="V36" s="174">
        <f>IF(U36="","",IF($I$8="A",(RANK(U36,U$11:U$343)+COUNTIF(U$11:U36,U36)-1),(RANK(U36,U$11:U$343,1)+COUNTIF(U$11:U36,U36)-1)))</f>
        <v>11</v>
      </c>
      <c r="W36" s="175"/>
      <c r="X36" s="5" t="str">
        <f>IF(L36="","",VLOOKUP($L36,classifications!$C:$J,6,FALSE))</f>
        <v xml:space="preserve">Mainly Rural (rural including hub towns &gt;=80%) </v>
      </c>
      <c r="Y36">
        <f t="shared" si="4"/>
        <v>389.9</v>
      </c>
      <c r="Z36" s="40">
        <f>IF(Y36="","",IF(I$8="A",(RANK(Y36,Y$11:Y$343,1)+COUNTIF(Y$11:Y36,Y36)-1),(RANK(Y36,Y$11:Y$343)+COUNTIF(Y$11:Y36,Y36)-1)))</f>
        <v>4</v>
      </c>
      <c r="AA36" s="180" t="str">
        <f>IF(L36="","",VLOOKUP($L36,classifications!C:I,7,FALSE))</f>
        <v>Predominantly Rural</v>
      </c>
      <c r="AB36" s="174" t="str">
        <f t="shared" si="14"/>
        <v/>
      </c>
      <c r="AC36" s="174" t="str">
        <f>IF(AB36="","",IF($I$8="A",(RANK(AB36,AB$11:AB$343)+COUNTIF(AB$11:AB36,AB36)-1),(RANK(AB36,AB$11:AB$343,1)+COUNTIF(AB$11:AB36,AB36)-1)))</f>
        <v/>
      </c>
      <c r="AD36" s="174"/>
      <c r="AE36" s="36" t="str">
        <f t="shared" si="24"/>
        <v/>
      </c>
      <c r="AG36" s="15"/>
      <c r="AH36" s="3"/>
      <c r="AI36" s="5" t="str">
        <f>IF(L36="","",VLOOKUP($L36,classifications!$C:$J,8,FALSE))</f>
        <v>Unitary</v>
      </c>
      <c r="AJ36" s="43">
        <f t="shared" si="5"/>
        <v>389.9</v>
      </c>
      <c r="AK36" s="40">
        <f>IF(AJ36="","",IF(I$8="A",(RANK(AJ36,AJ$11:AJ$343,1)+COUNTIF(AJ$11:AJ36,AJ36)-1),(RANK(AJ36,AJ$11:AJ$343)+COUNTIF(AJ$11:AJ36,AJ36)-1)))</f>
        <v>26</v>
      </c>
      <c r="AL36" s="3">
        <f t="shared" si="16"/>
        <v>26</v>
      </c>
      <c r="AM36" t="str">
        <f t="shared" si="6"/>
        <v>Isle of Wight</v>
      </c>
      <c r="AN36">
        <f t="shared" si="7"/>
        <v>389.9</v>
      </c>
      <c r="AP36" s="5" t="str">
        <f>IF(L36="","",VLOOKUP($L36,classifications!$C:$E,3,FALSE))</f>
        <v>South East</v>
      </c>
      <c r="AQ36" s="43" t="str">
        <f t="shared" si="17"/>
        <v/>
      </c>
      <c r="AR36" s="40" t="str">
        <f>IF(AQ36="","",IF(I$8="A",(RANK(AQ36,AQ$11:AQ$343,1)+COUNTIF(AQ$11:AQ36,AQ36)-1),(RANK(AQ36,AQ$11:AQ$343)+COUNTIF(AQ$11:AQ36,AQ36)-1)))</f>
        <v/>
      </c>
      <c r="AS36" s="3" t="str">
        <f t="shared" si="18"/>
        <v/>
      </c>
      <c r="AT36" s="40" t="str">
        <f t="shared" si="8"/>
        <v/>
      </c>
      <c r="AU36" s="43" t="str">
        <f t="shared" si="9"/>
        <v/>
      </c>
      <c r="AX36">
        <f>HLOOKUP($AX$9&amp;$AX$10,Data!$A$1:$ZZ$1980,(MATCH($C36,Data!$A$1:$A$1980,0)),FALSE)</f>
        <v>403.5</v>
      </c>
    </row>
    <row r="37" spans="1:50">
      <c r="A37" s="59" t="str">
        <f>$D$1&amp;27</f>
        <v>UA27</v>
      </c>
      <c r="B37" s="60">
        <f>IF(ISERROR(VLOOKUP(A37,classifications!A:C,3,FALSE)),0,VLOOKUP(A37,classifications!A:C,3,FALSE))</f>
        <v>0</v>
      </c>
      <c r="C37" t="s">
        <v>264</v>
      </c>
      <c r="D37" t="str">
        <f>VLOOKUP($C37,classifications!$C:$J,4,FALSE)</f>
        <v>UA</v>
      </c>
      <c r="E37">
        <f>VLOOKUP(C37,classifications!C:K,9,FALSE)</f>
        <v>0</v>
      </c>
      <c r="F37">
        <f t="shared" si="0"/>
        <v>362.3</v>
      </c>
      <c r="G37" s="15"/>
      <c r="H37" s="42">
        <f t="shared" si="1"/>
        <v>362.3</v>
      </c>
      <c r="I37" s="79">
        <f>IF(H37="","",IF($I$8="A",(RANK(H37,H$11:H$343,1)+COUNTIF(H$11:H37,H37)-1),(RANK(H37,H$11:H$343)+COUNTIF(H$11:H37,H37)-1)))</f>
        <v>12</v>
      </c>
      <c r="J37" s="41"/>
      <c r="K37" s="36">
        <f t="shared" si="10"/>
        <v>27</v>
      </c>
      <c r="L37" t="str">
        <f t="shared" si="2"/>
        <v>Redcar &amp; Cleveland</v>
      </c>
      <c r="M37" s="117">
        <f t="shared" si="3"/>
        <v>392.1</v>
      </c>
      <c r="N37" s="112">
        <f t="shared" si="23"/>
        <v>392.1</v>
      </c>
      <c r="O37" s="96" t="str">
        <f t="shared" si="11"/>
        <v/>
      </c>
      <c r="P37" s="96">
        <f t="shared" si="19"/>
        <v>392.1</v>
      </c>
      <c r="Q37" s="96" t="str">
        <f t="shared" si="20"/>
        <v/>
      </c>
      <c r="R37" s="92" t="str">
        <f t="shared" si="21"/>
        <v/>
      </c>
      <c r="S37" s="42" t="str">
        <f t="shared" si="12"/>
        <v/>
      </c>
      <c r="T37" s="167">
        <f>IF(L37="","",VLOOKUP(L37,classifications!C:K,9,FALSE))</f>
        <v>0</v>
      </c>
      <c r="U37" s="168" t="str">
        <f t="shared" si="13"/>
        <v/>
      </c>
      <c r="V37" s="174" t="str">
        <f>IF(U37="","",IF($I$8="A",(RANK(U37,U$11:U$343)+COUNTIF(U$11:U37,U37)-1),(RANK(U37,U$11:U$343,1)+COUNTIF(U$11:U37,U37)-1)))</f>
        <v/>
      </c>
      <c r="W37" s="175"/>
      <c r="X37" s="5" t="str">
        <f>IF(L37="","",VLOOKUP($L37,classifications!$C:$J,6,FALSE))</f>
        <v>Urban with Significant Rural (rural including hub towns 26-49%)</v>
      </c>
      <c r="Y37">
        <f t="shared" si="4"/>
        <v>392.1</v>
      </c>
      <c r="Z37" s="40">
        <f>IF(Y37="","",IF(I$8="A",(RANK(Y37,Y$11:Y$343,1)+COUNTIF(Y$11:Y37,Y37)-1),(RANK(Y37,Y$11:Y$343)+COUNTIF(Y$11:Y37,Y37)-1)))</f>
        <v>5</v>
      </c>
      <c r="AA37" s="180" t="str">
        <f>IF(L37="","",VLOOKUP($L37,classifications!C:I,7,FALSE))</f>
        <v>Significant Rural</v>
      </c>
      <c r="AB37" s="174">
        <f t="shared" si="14"/>
        <v>392.1</v>
      </c>
      <c r="AC37" s="174">
        <f>IF(AB37="","",IF($I$8="A",(RANK(AB37,AB$11:AB$343)+COUNTIF(AB$11:AB37,AB37)-1),(RANK(AB37,AB$11:AB$343,1)+COUNTIF(AB$11:AB37,AB37)-1)))</f>
        <v>8</v>
      </c>
      <c r="AD37" s="174"/>
      <c r="AE37" s="36" t="str">
        <f t="shared" si="24"/>
        <v/>
      </c>
      <c r="AG37" s="15"/>
      <c r="AH37" s="3"/>
      <c r="AI37" s="5" t="str">
        <f>IF(L37="","",VLOOKUP($L37,classifications!$C:$J,8,FALSE))</f>
        <v>Unitary</v>
      </c>
      <c r="AJ37" s="43">
        <f t="shared" si="5"/>
        <v>392.1</v>
      </c>
      <c r="AK37" s="40">
        <f>IF(AJ37="","",IF(I$8="A",(RANK(AJ37,AJ$11:AJ$343,1)+COUNTIF(AJ$11:AJ37,AJ37)-1),(RANK(AJ37,AJ$11:AJ$343)+COUNTIF(AJ$11:AJ37,AJ37)-1)))</f>
        <v>27</v>
      </c>
      <c r="AL37" s="3">
        <f t="shared" si="16"/>
        <v>27</v>
      </c>
      <c r="AM37" t="str">
        <f t="shared" si="6"/>
        <v>Redcar &amp; Cleveland</v>
      </c>
      <c r="AN37">
        <f t="shared" si="7"/>
        <v>392.1</v>
      </c>
      <c r="AP37" s="5" t="str">
        <f>IF(L37="","",VLOOKUP($L37,classifications!$C:$E,3,FALSE))</f>
        <v>NE</v>
      </c>
      <c r="AQ37" s="43" t="str">
        <f t="shared" si="17"/>
        <v/>
      </c>
      <c r="AR37" s="40" t="str">
        <f>IF(AQ37="","",IF(I$8="A",(RANK(AQ37,AQ$11:AQ$343,1)+COUNTIF(AQ$11:AQ37,AQ37)-1),(RANK(AQ37,AQ$11:AQ$343)+COUNTIF(AQ$11:AQ37,AQ37)-1)))</f>
        <v/>
      </c>
      <c r="AS37" s="3" t="str">
        <f t="shared" si="18"/>
        <v/>
      </c>
      <c r="AT37" s="40" t="str">
        <f t="shared" si="8"/>
        <v/>
      </c>
      <c r="AU37" s="43" t="str">
        <f t="shared" si="9"/>
        <v/>
      </c>
      <c r="AX37">
        <f>HLOOKUP($AX$9&amp;$AX$10,Data!$A$1:$ZZ$1980,(MATCH($C37,Data!$A$1:$A$1980,0)),FALSE)</f>
        <v>362.3</v>
      </c>
    </row>
    <row r="38" spans="1:50">
      <c r="A38" s="59" t="str">
        <f>$D$1&amp;28</f>
        <v>UA28</v>
      </c>
      <c r="B38" s="60">
        <f>IF(ISERROR(VLOOKUP(A38,classifications!A:C,3,FALSE)),0,VLOOKUP(A38,classifications!A:C,3,FALSE))</f>
        <v>0</v>
      </c>
      <c r="C38" t="s">
        <v>226</v>
      </c>
      <c r="D38" t="str">
        <f>VLOOKUP($C38,classifications!$C:$J,4,FALSE)</f>
        <v>MD</v>
      </c>
      <c r="E38">
        <f>VLOOKUP(C38,classifications!C:K,9,FALSE)</f>
        <v>0</v>
      </c>
      <c r="F38">
        <f t="shared" si="0"/>
        <v>346</v>
      </c>
      <c r="G38" s="15"/>
      <c r="H38" s="42" t="str">
        <f t="shared" si="1"/>
        <v/>
      </c>
      <c r="I38" s="79" t="str">
        <f>IF(H38="","",IF($I$8="A",(RANK(H38,H$11:H$343,1)+COUNTIF(H$11:H38,H38)-1),(RANK(H38,H$11:H$343)+COUNTIF(H$11:H38,H38)-1)))</f>
        <v/>
      </c>
      <c r="J38" s="41"/>
      <c r="K38" s="36">
        <f t="shared" si="10"/>
        <v>28</v>
      </c>
      <c r="L38" t="str">
        <f t="shared" si="2"/>
        <v>North Northamptonshire</v>
      </c>
      <c r="M38" s="117">
        <f t="shared" si="3"/>
        <v>392.2</v>
      </c>
      <c r="N38" s="112">
        <f t="shared" si="23"/>
        <v>392.2</v>
      </c>
      <c r="O38" s="96" t="str">
        <f t="shared" si="11"/>
        <v/>
      </c>
      <c r="P38" s="96">
        <f t="shared" si="19"/>
        <v>392.2</v>
      </c>
      <c r="Q38" s="96" t="str">
        <f t="shared" si="20"/>
        <v/>
      </c>
      <c r="R38" s="92" t="str">
        <f t="shared" si="21"/>
        <v/>
      </c>
      <c r="S38" s="42" t="str">
        <f t="shared" si="12"/>
        <v/>
      </c>
      <c r="T38" s="167">
        <f>IF(L38="","",VLOOKUP(L38,classifications!C:K,9,FALSE))</f>
        <v>0</v>
      </c>
      <c r="U38" s="168" t="str">
        <f t="shared" si="13"/>
        <v/>
      </c>
      <c r="V38" s="174" t="str">
        <f>IF(U38="","",IF($I$8="A",(RANK(U38,U$11:U$343)+COUNTIF(U$11:U38,U38)-1),(RANK(U38,U$11:U$343,1)+COUNTIF(U$11:U38,U38)-1)))</f>
        <v/>
      </c>
      <c r="W38" s="175"/>
      <c r="X38" s="5" t="str">
        <f>IF(L38="","",VLOOKUP($L38,classifications!$C:$J,6,FALSE))</f>
        <v>Urban with Significant Rural</v>
      </c>
      <c r="Y38" t="str">
        <f t="shared" si="4"/>
        <v/>
      </c>
      <c r="Z38" s="40" t="str">
        <f>IF(Y38="","",IF(I$8="A",(RANK(Y38,Y$11:Y$343,1)+COUNTIF(Y$11:Y38,Y38)-1),(RANK(Y38,Y$11:Y$343)+COUNTIF(Y$11:Y38,Y38)-1)))</f>
        <v/>
      </c>
      <c r="AA38" s="180" t="str">
        <f>IF(L38="","",VLOOKUP($L38,classifications!C:I,7,FALSE))</f>
        <v>Urban with Significant Rural</v>
      </c>
      <c r="AB38" s="174" t="str">
        <f t="shared" si="14"/>
        <v/>
      </c>
      <c r="AC38" s="174" t="str">
        <f>IF(AB38="","",IF($I$8="A",(RANK(AB38,AB$11:AB$343)+COUNTIF(AB$11:AB38,AB38)-1),(RANK(AB38,AB$11:AB$343,1)+COUNTIF(AB$11:AB38,AB38)-1)))</f>
        <v/>
      </c>
      <c r="AD38" s="174"/>
      <c r="AE38" s="36" t="str">
        <f t="shared" si="24"/>
        <v/>
      </c>
      <c r="AG38" s="15"/>
      <c r="AH38" s="3"/>
      <c r="AI38" s="5" t="str">
        <f>IF(L38="","",VLOOKUP($L38,classifications!$C:$J,8,FALSE))</f>
        <v>Unitary</v>
      </c>
      <c r="AJ38" s="43">
        <f t="shared" si="5"/>
        <v>392.2</v>
      </c>
      <c r="AK38" s="40">
        <f>IF(AJ38="","",IF(I$8="A",(RANK(AJ38,AJ$11:AJ$343,1)+COUNTIF(AJ$11:AJ38,AJ38)-1),(RANK(AJ38,AJ$11:AJ$343)+COUNTIF(AJ$11:AJ38,AJ38)-1)))</f>
        <v>28</v>
      </c>
      <c r="AL38" s="3">
        <f t="shared" si="16"/>
        <v>28</v>
      </c>
      <c r="AM38" t="str">
        <f t="shared" si="6"/>
        <v>North Northamptonshire</v>
      </c>
      <c r="AN38">
        <f t="shared" si="7"/>
        <v>392.2</v>
      </c>
      <c r="AP38" s="5" t="str">
        <f>IF(L38="","",VLOOKUP($L38,classifications!$C:$E,3,FALSE))</f>
        <v>East Midlands</v>
      </c>
      <c r="AQ38" s="43" t="str">
        <f t="shared" si="17"/>
        <v/>
      </c>
      <c r="AR38" s="40" t="str">
        <f>IF(AQ38="","",IF(I$8="A",(RANK(AQ38,AQ$11:AQ$343,1)+COUNTIF(AQ$11:AQ38,AQ38)-1),(RANK(AQ38,AQ$11:AQ$343)+COUNTIF(AQ$11:AQ38,AQ38)-1)))</f>
        <v/>
      </c>
      <c r="AS38" s="3" t="str">
        <f t="shared" si="18"/>
        <v/>
      </c>
      <c r="AT38" s="40" t="str">
        <f t="shared" si="8"/>
        <v/>
      </c>
      <c r="AU38" s="43" t="str">
        <f t="shared" si="9"/>
        <v/>
      </c>
      <c r="AX38">
        <f>HLOOKUP($AX$9&amp;$AX$10,Data!$A$1:$ZZ$1980,(MATCH($C38,Data!$A$1:$A$1980,0)),FALSE)</f>
        <v>346</v>
      </c>
    </row>
    <row r="39" spans="1:50">
      <c r="A39" s="59" t="str">
        <f>$D$1&amp;29</f>
        <v>UA29</v>
      </c>
      <c r="B39" s="60">
        <f>IF(ISERROR(VLOOKUP(A39,classifications!A:C,3,FALSE)),0,VLOOKUP(A39,classifications!A:C,3,FALSE))</f>
        <v>0</v>
      </c>
      <c r="C39" t="s">
        <v>19</v>
      </c>
      <c r="D39" t="str">
        <f>VLOOKUP($C39,classifications!$C:$J,4,FALSE)</f>
        <v>SD</v>
      </c>
      <c r="E39" t="str">
        <f>VLOOKUP(C39,classifications!C:K,9,FALSE)</f>
        <v>Sparse</v>
      </c>
      <c r="F39">
        <f t="shared" si="0"/>
        <v>382.6</v>
      </c>
      <c r="G39" s="15"/>
      <c r="H39" s="42" t="str">
        <f t="shared" si="1"/>
        <v/>
      </c>
      <c r="I39" s="79" t="str">
        <f>IF(H39="","",IF($I$8="A",(RANK(H39,H$11:H$343,1)+COUNTIF(H$11:H39,H39)-1),(RANK(H39,H$11:H$343)+COUNTIF(H$11:H39,H39)-1)))</f>
        <v/>
      </c>
      <c r="J39" s="41"/>
      <c r="K39" s="36">
        <f t="shared" si="10"/>
        <v>29</v>
      </c>
      <c r="L39" t="str">
        <f t="shared" si="2"/>
        <v>Torbay</v>
      </c>
      <c r="M39" s="117">
        <f t="shared" si="3"/>
        <v>393.1</v>
      </c>
      <c r="N39" s="112">
        <f t="shared" si="23"/>
        <v>393.1</v>
      </c>
      <c r="O39" s="96" t="str">
        <f t="shared" si="11"/>
        <v/>
      </c>
      <c r="P39" s="96">
        <f t="shared" si="19"/>
        <v>393.1</v>
      </c>
      <c r="Q39" s="96" t="str">
        <f t="shared" si="20"/>
        <v/>
      </c>
      <c r="R39" s="92" t="str">
        <f t="shared" si="21"/>
        <v/>
      </c>
      <c r="S39" s="42" t="str">
        <f t="shared" si="12"/>
        <v/>
      </c>
      <c r="T39" s="167">
        <f>IF(L39="","",VLOOKUP(L39,classifications!C:K,9,FALSE))</f>
        <v>0</v>
      </c>
      <c r="U39" s="168" t="str">
        <f t="shared" si="13"/>
        <v/>
      </c>
      <c r="V39" s="174" t="str">
        <f>IF(U39="","",IF($I$8="A",(RANK(U39,U$11:U$343)+COUNTIF(U$11:U39,U39)-1),(RANK(U39,U$11:U$343,1)+COUNTIF(U$11:U39,U39)-1)))</f>
        <v/>
      </c>
      <c r="W39" s="175"/>
      <c r="X39" s="5" t="str">
        <f>IF(L39="","",VLOOKUP($L39,classifications!$C:$J,6,FALSE))</f>
        <v>Urban with City and Town</v>
      </c>
      <c r="Y39" t="str">
        <f t="shared" si="4"/>
        <v/>
      </c>
      <c r="Z39" s="40" t="str">
        <f>IF(Y39="","",IF(I$8="A",(RANK(Y39,Y$11:Y$343,1)+COUNTIF(Y$11:Y39,Y39)-1),(RANK(Y39,Y$11:Y$343)+COUNTIF(Y$11:Y39,Y39)-1)))</f>
        <v/>
      </c>
      <c r="AA39" s="180" t="str">
        <f>IF(L39="","",VLOOKUP($L39,classifications!C:I,7,FALSE))</f>
        <v>Predominantly Urban</v>
      </c>
      <c r="AB39" s="174" t="str">
        <f t="shared" si="14"/>
        <v/>
      </c>
      <c r="AC39" s="174" t="str">
        <f>IF(AB39="","",IF($I$8="A",(RANK(AB39,AB$11:AB$343)+COUNTIF(AB$11:AB39,AB39)-1),(RANK(AB39,AB$11:AB$343,1)+COUNTIF(AB$11:AB39,AB39)-1)))</f>
        <v/>
      </c>
      <c r="AD39" s="174"/>
      <c r="AE39" s="36" t="str">
        <f t="shared" si="24"/>
        <v/>
      </c>
      <c r="AG39" s="15"/>
      <c r="AH39" s="3"/>
      <c r="AI39" s="5" t="str">
        <f>IF(L39="","",VLOOKUP($L39,classifications!$C:$J,8,FALSE))</f>
        <v>Unitary</v>
      </c>
      <c r="AJ39" s="43">
        <f t="shared" si="5"/>
        <v>393.1</v>
      </c>
      <c r="AK39" s="40">
        <f>IF(AJ39="","",IF(I$8="A",(RANK(AJ39,AJ$11:AJ$343,1)+COUNTIF(AJ$11:AJ39,AJ39)-1),(RANK(AJ39,AJ$11:AJ$343)+COUNTIF(AJ$11:AJ39,AJ39)-1)))</f>
        <v>29</v>
      </c>
      <c r="AL39" s="3">
        <f t="shared" si="16"/>
        <v>29</v>
      </c>
      <c r="AM39" t="str">
        <f t="shared" si="6"/>
        <v>Torbay</v>
      </c>
      <c r="AN39">
        <f t="shared" si="7"/>
        <v>393.1</v>
      </c>
      <c r="AP39" s="5" t="str">
        <f>IF(L39="","",VLOOKUP($L39,classifications!$C:$E,3,FALSE))</f>
        <v>South West</v>
      </c>
      <c r="AQ39" s="43" t="str">
        <f t="shared" si="17"/>
        <v/>
      </c>
      <c r="AR39" s="40" t="str">
        <f>IF(AQ39="","",IF(I$8="A",(RANK(AQ39,AQ$11:AQ$343,1)+COUNTIF(AQ$11:AQ39,AQ39)-1),(RANK(AQ39,AQ$11:AQ$343)+COUNTIF(AQ$11:AQ39,AQ39)-1)))</f>
        <v/>
      </c>
      <c r="AS39" s="3" t="str">
        <f t="shared" si="18"/>
        <v/>
      </c>
      <c r="AT39" s="40" t="str">
        <f t="shared" si="8"/>
        <v/>
      </c>
      <c r="AU39" s="43" t="str">
        <f t="shared" si="9"/>
        <v/>
      </c>
      <c r="AX39">
        <f>HLOOKUP($AX$9&amp;$AX$10,Data!$A$1:$ZZ$1980,(MATCH($C39,Data!$A$1:$A$1980,0)),FALSE)</f>
        <v>382.6</v>
      </c>
    </row>
    <row r="40" spans="1:50">
      <c r="A40" s="59" t="str">
        <f>$D$1&amp;30</f>
        <v>UA30</v>
      </c>
      <c r="B40" s="60">
        <f>IF(ISERROR(VLOOKUP(A40,classifications!A:C,3,FALSE)),0,VLOOKUP(A40,classifications!A:C,3,FALSE))</f>
        <v>0</v>
      </c>
      <c r="C40" t="s">
        <v>20</v>
      </c>
      <c r="D40" t="str">
        <f>VLOOKUP($C40,classifications!$C:$J,4,FALSE)</f>
        <v>SD</v>
      </c>
      <c r="E40">
        <f>VLOOKUP(C40,classifications!C:K,9,FALSE)</f>
        <v>0</v>
      </c>
      <c r="F40">
        <f t="shared" si="0"/>
        <v>357.4</v>
      </c>
      <c r="G40" s="15"/>
      <c r="H40" s="42" t="str">
        <f t="shared" si="1"/>
        <v/>
      </c>
      <c r="I40" s="79" t="str">
        <f>IF(H40="","",IF($I$8="A",(RANK(H40,H$11:H$343,1)+COUNTIF(H$11:H40,H40)-1),(RANK(H40,H$11:H$343)+COUNTIF(H$11:H40,H40)-1)))</f>
        <v/>
      </c>
      <c r="J40" s="41"/>
      <c r="K40" s="36">
        <f t="shared" si="10"/>
        <v>30</v>
      </c>
      <c r="L40" t="str">
        <f t="shared" si="2"/>
        <v>Buckinghamshire</v>
      </c>
      <c r="M40" s="117">
        <f t="shared" si="3"/>
        <v>393.2</v>
      </c>
      <c r="N40" s="112">
        <f t="shared" si="23"/>
        <v>393.2</v>
      </c>
      <c r="O40" s="96" t="str">
        <f t="shared" si="11"/>
        <v/>
      </c>
      <c r="P40" s="96" t="str">
        <f t="shared" si="19"/>
        <v/>
      </c>
      <c r="Q40" s="96">
        <f t="shared" si="20"/>
        <v>393.2</v>
      </c>
      <c r="R40" s="92" t="str">
        <f t="shared" si="21"/>
        <v/>
      </c>
      <c r="S40" s="42" t="str">
        <f t="shared" si="12"/>
        <v/>
      </c>
      <c r="T40" s="167">
        <f>IF(L40="","",VLOOKUP(L40,classifications!C:K,9,FALSE))</f>
        <v>0</v>
      </c>
      <c r="U40" s="168" t="str">
        <f t="shared" si="13"/>
        <v/>
      </c>
      <c r="V40" s="174" t="str">
        <f>IF(U40="","",IF($I$8="A",(RANK(U40,U$11:U$343)+COUNTIF(U$11:U40,U40)-1),(RANK(U40,U$11:U$343,1)+COUNTIF(U$11:U40,U40)-1)))</f>
        <v/>
      </c>
      <c r="W40" s="175"/>
      <c r="X40" s="5" t="str">
        <f>IF(L40="","",VLOOKUP($L40,classifications!$C:$J,6,FALSE))</f>
        <v>Significant Rural</v>
      </c>
      <c r="Y40" t="str">
        <f t="shared" si="4"/>
        <v/>
      </c>
      <c r="Z40" s="40" t="str">
        <f>IF(Y40="","",IF(I$8="A",(RANK(Y40,Y$11:Y$343,1)+COUNTIF(Y$11:Y40,Y40)-1),(RANK(Y40,Y$11:Y$343)+COUNTIF(Y$11:Y40,Y40)-1)))</f>
        <v/>
      </c>
      <c r="AA40" s="180" t="str">
        <f>IF(L40="","",VLOOKUP($L40,classifications!C:I,7,FALSE))</f>
        <v>Significant Rural</v>
      </c>
      <c r="AB40" s="174">
        <f t="shared" si="14"/>
        <v>393.2</v>
      </c>
      <c r="AC40" s="174">
        <f>IF(AB40="","",IF($I$8="A",(RANK(AB40,AB$11:AB$343)+COUNTIF(AB$11:AB40,AB40)-1),(RANK(AB40,AB$11:AB$343,1)+COUNTIF(AB$11:AB40,AB40)-1)))</f>
        <v>7</v>
      </c>
      <c r="AD40" s="174"/>
      <c r="AE40" s="36" t="str">
        <f t="shared" si="24"/>
        <v/>
      </c>
      <c r="AG40" s="15"/>
      <c r="AH40" s="3"/>
      <c r="AI40" s="5" t="str">
        <f>IF(L40="","",VLOOKUP($L40,classifications!$C:$J,8,FALSE))</f>
        <v>Buckinghamshire</v>
      </c>
      <c r="AJ40" s="43" t="str">
        <f t="shared" si="5"/>
        <v/>
      </c>
      <c r="AK40" s="40" t="str">
        <f>IF(AJ40="","",IF(I$8="A",(RANK(AJ40,AJ$11:AJ$343,1)+COUNTIF(AJ$11:AJ40,AJ40)-1),(RANK(AJ40,AJ$11:AJ$343)+COUNTIF(AJ$11:AJ40,AJ40)-1)))</f>
        <v/>
      </c>
      <c r="AL40" s="3">
        <f t="shared" si="16"/>
        <v>30</v>
      </c>
      <c r="AM40" t="str">
        <f t="shared" si="6"/>
        <v>Hartlepool</v>
      </c>
      <c r="AN40">
        <f t="shared" si="7"/>
        <v>394.1</v>
      </c>
      <c r="AP40" s="5" t="str">
        <f>IF(L40="","",VLOOKUP($L40,classifications!$C:$E,3,FALSE))</f>
        <v>South East</v>
      </c>
      <c r="AQ40" s="43" t="str">
        <f t="shared" si="17"/>
        <v/>
      </c>
      <c r="AR40" s="40" t="str">
        <f>IF(AQ40="","",IF(I$8="A",(RANK(AQ40,AQ$11:AQ$343,1)+COUNTIF(AQ$11:AQ40,AQ40)-1),(RANK(AQ40,AQ$11:AQ$343)+COUNTIF(AQ$11:AQ40,AQ40)-1)))</f>
        <v/>
      </c>
      <c r="AS40" s="3" t="str">
        <f t="shared" si="18"/>
        <v/>
      </c>
      <c r="AT40" s="40" t="str">
        <f t="shared" si="8"/>
        <v/>
      </c>
      <c r="AU40" s="43" t="str">
        <f t="shared" si="9"/>
        <v/>
      </c>
      <c r="AX40">
        <f>HLOOKUP($AX$9&amp;$AX$10,Data!$A$1:$ZZ$1980,(MATCH($C40,Data!$A$1:$A$1980,0)),FALSE)</f>
        <v>357.4</v>
      </c>
    </row>
    <row r="41" spans="1:50">
      <c r="A41" s="59" t="str">
        <f>$D$1&amp;31</f>
        <v>UA31</v>
      </c>
      <c r="B41" s="60">
        <f>IF(ISERROR(VLOOKUP(A41,classifications!A:C,3,FALSE)),0,VLOOKUP(A41,classifications!A:C,3,FALSE))</f>
        <v>0</v>
      </c>
      <c r="C41" t="s">
        <v>199</v>
      </c>
      <c r="D41" t="str">
        <f>VLOOKUP($C41,classifications!$C:$J,4,FALSE)</f>
        <v>L</v>
      </c>
      <c r="E41">
        <f>VLOOKUP(C41,classifications!C:K,9,FALSE)</f>
        <v>0</v>
      </c>
      <c r="F41">
        <f t="shared" si="0"/>
        <v>255.5</v>
      </c>
      <c r="G41" s="15"/>
      <c r="H41" s="42" t="str">
        <f t="shared" si="1"/>
        <v/>
      </c>
      <c r="I41" s="79" t="str">
        <f>IF(H41="","",IF($I$8="A",(RANK(H41,H$11:H$343,1)+COUNTIF(H$11:H41,H41)-1),(RANK(H41,H$11:H$343)+COUNTIF(H$11:H41,H41)-1)))</f>
        <v/>
      </c>
      <c r="J41" s="41"/>
      <c r="K41" s="36">
        <f t="shared" si="10"/>
        <v>31</v>
      </c>
      <c r="L41" t="str">
        <f t="shared" si="2"/>
        <v>Hartlepool</v>
      </c>
      <c r="M41" s="117">
        <f t="shared" si="3"/>
        <v>394.1</v>
      </c>
      <c r="N41" s="112">
        <f t="shared" si="23"/>
        <v>394.1</v>
      </c>
      <c r="O41" s="96" t="str">
        <f t="shared" si="11"/>
        <v/>
      </c>
      <c r="P41" s="96" t="str">
        <f t="shared" si="19"/>
        <v/>
      </c>
      <c r="Q41" s="96">
        <f t="shared" si="20"/>
        <v>394.1</v>
      </c>
      <c r="R41" s="92" t="str">
        <f t="shared" si="21"/>
        <v/>
      </c>
      <c r="S41" s="42" t="str">
        <f t="shared" si="12"/>
        <v/>
      </c>
      <c r="T41" s="167">
        <f>IF(L41="","",VLOOKUP(L41,classifications!C:K,9,FALSE))</f>
        <v>0</v>
      </c>
      <c r="U41" s="168" t="str">
        <f t="shared" si="13"/>
        <v/>
      </c>
      <c r="V41" s="174" t="str">
        <f>IF(U41="","",IF($I$8="A",(RANK(U41,U$11:U$343)+COUNTIF(U$11:U41,U41)-1),(RANK(U41,U$11:U$343,1)+COUNTIF(U$11:U41,U41)-1)))</f>
        <v/>
      </c>
      <c r="W41" s="175"/>
      <c r="X41" s="5" t="str">
        <f>IF(L41="","",VLOOKUP($L41,classifications!$C:$J,6,FALSE))</f>
        <v>Urban with City and Town</v>
      </c>
      <c r="Y41" t="str">
        <f t="shared" si="4"/>
        <v/>
      </c>
      <c r="Z41" s="40" t="str">
        <f>IF(Y41="","",IF(I$8="A",(RANK(Y41,Y$11:Y$343,1)+COUNTIF(Y$11:Y41,Y41)-1),(RANK(Y41,Y$11:Y$343)+COUNTIF(Y$11:Y41,Y41)-1)))</f>
        <v/>
      </c>
      <c r="AA41" s="180" t="str">
        <f>IF(L41="","",VLOOKUP($L41,classifications!C:I,7,FALSE))</f>
        <v>Predominantly Urban</v>
      </c>
      <c r="AB41" s="174" t="str">
        <f t="shared" si="14"/>
        <v/>
      </c>
      <c r="AC41" s="174" t="str">
        <f>IF(AB41="","",IF($I$8="A",(RANK(AB41,AB$11:AB$343)+COUNTIF(AB$11:AB41,AB41)-1),(RANK(AB41,AB$11:AB$343,1)+COUNTIF(AB$11:AB41,AB41)-1)))</f>
        <v/>
      </c>
      <c r="AD41" s="174"/>
      <c r="AE41" s="36" t="str">
        <f t="shared" si="24"/>
        <v/>
      </c>
      <c r="AG41" s="15"/>
      <c r="AH41" s="3"/>
      <c r="AI41" s="5" t="str">
        <f>IF(L41="","",VLOOKUP($L41,classifications!$C:$J,8,FALSE))</f>
        <v>Unitary</v>
      </c>
      <c r="AJ41" s="43">
        <f t="shared" si="5"/>
        <v>394.1</v>
      </c>
      <c r="AK41" s="40">
        <f>IF(AJ41="","",IF(I$8="A",(RANK(AJ41,AJ$11:AJ$343,1)+COUNTIF(AJ$11:AJ41,AJ41)-1),(RANK(AJ41,AJ$11:AJ$343)+COUNTIF(AJ$11:AJ41,AJ41)-1)))</f>
        <v>30</v>
      </c>
      <c r="AL41" s="3">
        <f t="shared" si="16"/>
        <v>31</v>
      </c>
      <c r="AM41" t="str">
        <f t="shared" si="6"/>
        <v>Milton Keynes</v>
      </c>
      <c r="AN41">
        <f t="shared" si="7"/>
        <v>395.2</v>
      </c>
      <c r="AP41" s="5" t="str">
        <f>IF(L41="","",VLOOKUP($L41,classifications!$C:$E,3,FALSE))</f>
        <v>NE</v>
      </c>
      <c r="AQ41" s="43" t="str">
        <f t="shared" si="17"/>
        <v/>
      </c>
      <c r="AR41" s="40" t="str">
        <f>IF(AQ41="","",IF(I$8="A",(RANK(AQ41,AQ$11:AQ$343,1)+COUNTIF(AQ$11:AQ41,AQ41)-1),(RANK(AQ41,AQ$11:AQ$343)+COUNTIF(AQ$11:AQ41,AQ41)-1)))</f>
        <v/>
      </c>
      <c r="AS41" s="3" t="str">
        <f t="shared" si="18"/>
        <v/>
      </c>
      <c r="AT41" s="40" t="str">
        <f t="shared" si="8"/>
        <v/>
      </c>
      <c r="AU41" s="43" t="str">
        <f t="shared" si="9"/>
        <v/>
      </c>
      <c r="AX41">
        <f>HLOOKUP($AX$9&amp;$AX$10,Data!$A$1:$ZZ$1980,(MATCH($C41,Data!$A$1:$A$1980,0)),FALSE)</f>
        <v>255.5</v>
      </c>
    </row>
    <row r="42" spans="1:50">
      <c r="A42" s="59" t="str">
        <f>$D$1&amp;32</f>
        <v>UA32</v>
      </c>
      <c r="B42" s="60">
        <f>IF(ISERROR(VLOOKUP(A42,classifications!A:C,3,FALSE)),0,VLOOKUP(A42,classifications!A:C,3,FALSE))</f>
        <v>0</v>
      </c>
      <c r="C42" t="s">
        <v>21</v>
      </c>
      <c r="D42" t="str">
        <f>VLOOKUP($C42,classifications!$C:$J,4,FALSE)</f>
        <v>SD</v>
      </c>
      <c r="E42">
        <f>VLOOKUP(C42,classifications!C:K,9,FALSE)</f>
        <v>0</v>
      </c>
      <c r="F42">
        <f t="shared" si="0"/>
        <v>360.2</v>
      </c>
      <c r="G42" s="15"/>
      <c r="H42" s="42" t="str">
        <f t="shared" si="1"/>
        <v/>
      </c>
      <c r="I42" s="79" t="str">
        <f>IF(H42="","",IF($I$8="A",(RANK(H42,H$11:H$343,1)+COUNTIF(H$11:H42,H42)-1),(RANK(H42,H$11:H$343)+COUNTIF(H$11:H42,H42)-1)))</f>
        <v/>
      </c>
      <c r="J42" s="41"/>
      <c r="K42" s="36">
        <f t="shared" si="10"/>
        <v>32</v>
      </c>
      <c r="L42" t="str">
        <f t="shared" si="2"/>
        <v>Milton Keynes</v>
      </c>
      <c r="M42" s="117">
        <f t="shared" si="3"/>
        <v>395.2</v>
      </c>
      <c r="N42" s="112">
        <f t="shared" si="23"/>
        <v>395.2</v>
      </c>
      <c r="O42" s="96" t="str">
        <f t="shared" si="11"/>
        <v/>
      </c>
      <c r="P42" s="96" t="str">
        <f t="shared" si="19"/>
        <v/>
      </c>
      <c r="Q42" s="96">
        <f t="shared" si="20"/>
        <v>395.2</v>
      </c>
      <c r="R42" s="92" t="str">
        <f t="shared" si="21"/>
        <v/>
      </c>
      <c r="S42" s="42" t="str">
        <f t="shared" si="12"/>
        <v/>
      </c>
      <c r="T42" s="167">
        <f>IF(L42="","",VLOOKUP(L42,classifications!C:K,9,FALSE))</f>
        <v>0</v>
      </c>
      <c r="U42" s="168" t="str">
        <f t="shared" si="13"/>
        <v/>
      </c>
      <c r="V42" s="174" t="str">
        <f>IF(U42="","",IF($I$8="A",(RANK(U42,U$11:U$343)+COUNTIF(U$11:U42,U42)-1),(RANK(U42,U$11:U$343,1)+COUNTIF(U$11:U42,U42)-1)))</f>
        <v/>
      </c>
      <c r="W42" s="175"/>
      <c r="X42" s="5" t="str">
        <f>IF(L42="","",VLOOKUP($L42,classifications!$C:$J,6,FALSE))</f>
        <v>Urban with City and Town</v>
      </c>
      <c r="Y42" t="str">
        <f t="shared" si="4"/>
        <v/>
      </c>
      <c r="Z42" s="40" t="str">
        <f>IF(Y42="","",IF(I$8="A",(RANK(Y42,Y$11:Y$343,1)+COUNTIF(Y$11:Y42,Y42)-1),(RANK(Y42,Y$11:Y$343)+COUNTIF(Y$11:Y42,Y42)-1)))</f>
        <v/>
      </c>
      <c r="AA42" s="180" t="str">
        <f>IF(L42="","",VLOOKUP($L42,classifications!C:I,7,FALSE))</f>
        <v>Predominantly Urban</v>
      </c>
      <c r="AB42" s="174" t="str">
        <f t="shared" si="14"/>
        <v/>
      </c>
      <c r="AC42" s="174" t="str">
        <f>IF(AB42="","",IF($I$8="A",(RANK(AB42,AB$11:AB$343)+COUNTIF(AB$11:AB42,AB42)-1),(RANK(AB42,AB$11:AB$343,1)+COUNTIF(AB$11:AB42,AB42)-1)))</f>
        <v/>
      </c>
      <c r="AD42" s="174"/>
      <c r="AE42" s="36" t="str">
        <f t="shared" si="24"/>
        <v/>
      </c>
      <c r="AG42" s="15"/>
      <c r="AH42" s="3"/>
      <c r="AI42" s="5" t="str">
        <f>IF(L42="","",VLOOKUP($L42,classifications!$C:$J,8,FALSE))</f>
        <v>Unitary</v>
      </c>
      <c r="AJ42" s="43">
        <f t="shared" si="5"/>
        <v>395.2</v>
      </c>
      <c r="AK42" s="40">
        <f>IF(AJ42="","",IF(I$8="A",(RANK(AJ42,AJ$11:AJ$343,1)+COUNTIF(AJ$11:AJ42,AJ42)-1),(RANK(AJ42,AJ$11:AJ$343)+COUNTIF(AJ$11:AJ42,AJ42)-1)))</f>
        <v>31</v>
      </c>
      <c r="AL42" s="3">
        <f t="shared" si="16"/>
        <v>32</v>
      </c>
      <c r="AM42" t="str">
        <f t="shared" si="6"/>
        <v>Southend-on-Sea</v>
      </c>
      <c r="AN42">
        <f t="shared" si="7"/>
        <v>396.8</v>
      </c>
      <c r="AP42" s="5" t="str">
        <f>IF(L42="","",VLOOKUP($L42,classifications!$C:$E,3,FALSE))</f>
        <v>South East</v>
      </c>
      <c r="AQ42" s="43" t="str">
        <f t="shared" si="17"/>
        <v/>
      </c>
      <c r="AR42" s="40" t="str">
        <f>IF(AQ42="","",IF(I$8="A",(RANK(AQ42,AQ$11:AQ$343,1)+COUNTIF(AQ$11:AQ42,AQ42)-1),(RANK(AQ42,AQ$11:AQ$343)+COUNTIF(AQ$11:AQ42,AQ42)-1)))</f>
        <v/>
      </c>
      <c r="AS42" s="3" t="str">
        <f t="shared" si="18"/>
        <v/>
      </c>
      <c r="AT42" s="40" t="str">
        <f t="shared" si="8"/>
        <v/>
      </c>
      <c r="AU42" s="43" t="str">
        <f t="shared" si="9"/>
        <v/>
      </c>
      <c r="AX42">
        <f>HLOOKUP($AX$9&amp;$AX$10,Data!$A$1:$ZZ$1980,(MATCH($C42,Data!$A$1:$A$1980,0)),FALSE)</f>
        <v>360.2</v>
      </c>
    </row>
    <row r="43" spans="1:50">
      <c r="A43" s="59" t="str">
        <f>$D$1&amp;33</f>
        <v>UA33</v>
      </c>
      <c r="B43" s="60">
        <f>IF(ISERROR(VLOOKUP(A43,classifications!A:C,3,FALSE)),0,VLOOKUP(A43,classifications!A:C,3,FALSE))</f>
        <v>0</v>
      </c>
      <c r="C43" t="s">
        <v>813</v>
      </c>
      <c r="D43" t="str">
        <f>VLOOKUP($C43,classifications!$C:$J,4,FALSE)</f>
        <v>UA</v>
      </c>
      <c r="E43">
        <f>VLOOKUP(C43,classifications!C:K,9,FALSE)</f>
        <v>0</v>
      </c>
      <c r="F43">
        <f t="shared" ref="F43:F74" si="25">HLOOKUP($D$6,AX$10:ZX$355,ROW()-9,FALSE)</f>
        <v>363.3</v>
      </c>
      <c r="G43" s="15"/>
      <c r="H43" s="42">
        <f t="shared" ref="H43:H74" si="26">IF(D43=$D$1,HLOOKUP($D$6,$AX$10:$ZZ$355,ROW()-9,FALSE),"")</f>
        <v>363.3</v>
      </c>
      <c r="I43" s="79">
        <f>IF(H43="","",IF($I$8="A",(RANK(H43,H$11:H$343,1)+COUNTIF(H$11:H43,H43)-1),(RANK(H43,H$11:H$343)+COUNTIF(H$11:H43,H43)-1)))</f>
        <v>14</v>
      </c>
      <c r="J43" s="41"/>
      <c r="K43" s="36">
        <f t="shared" si="10"/>
        <v>33</v>
      </c>
      <c r="L43" t="str">
        <f t="shared" ref="L43:L74" si="27">IF(K43="","",INDEX(C$11:C$343,MATCH(K43,I$11:I$343,0)))</f>
        <v>Southend-on-Sea</v>
      </c>
      <c r="M43" s="117">
        <f t="shared" ref="M43:M74" si="28">IF(L43="","",IF(VLOOKUP(L43,C:D,2,FALSE)=$F$3,VLOOKUP(L43,C:H,6,FALSE),""))</f>
        <v>396.8</v>
      </c>
      <c r="N43" s="112">
        <f t="shared" si="23"/>
        <v>396.8</v>
      </c>
      <c r="O43" s="96" t="str">
        <f t="shared" si="11"/>
        <v/>
      </c>
      <c r="P43" s="96" t="str">
        <f t="shared" si="19"/>
        <v/>
      </c>
      <c r="Q43" s="96">
        <f t="shared" si="20"/>
        <v>396.8</v>
      </c>
      <c r="R43" s="92" t="str">
        <f t="shared" si="21"/>
        <v/>
      </c>
      <c r="S43" s="42" t="str">
        <f t="shared" si="12"/>
        <v/>
      </c>
      <c r="T43" s="167">
        <f>IF(L43="","",VLOOKUP(L43,classifications!C:K,9,FALSE))</f>
        <v>0</v>
      </c>
      <c r="U43" s="168" t="str">
        <f t="shared" ref="U43:U74" si="29">IF(T43="Sparse",M43,"")</f>
        <v/>
      </c>
      <c r="V43" s="174" t="str">
        <f>IF(U43="","",IF($I$8="A",(RANK(U43,U$11:U$343)+COUNTIF(U$11:U43,U43)-1),(RANK(U43,U$11:U$343,1)+COUNTIF(U$11:U43,U43)-1)))</f>
        <v/>
      </c>
      <c r="W43" s="175"/>
      <c r="X43" s="5" t="str">
        <f>IF(L43="","",VLOOKUP($L43,classifications!$C:$J,6,FALSE))</f>
        <v>Urban with City and Town</v>
      </c>
      <c r="Y43" t="str">
        <f t="shared" si="4"/>
        <v/>
      </c>
      <c r="Z43" s="40" t="str">
        <f>IF(Y43="","",IF(I$8="A",(RANK(Y43,Y$11:Y$343,1)+COUNTIF(Y$11:Y43,Y43)-1),(RANK(Y43,Y$11:Y$343)+COUNTIF(Y$11:Y43,Y43)-1)))</f>
        <v/>
      </c>
      <c r="AA43" s="180" t="str">
        <f>IF(L43="","",VLOOKUP($L43,classifications!C:I,7,FALSE))</f>
        <v>Predominantly Urban</v>
      </c>
      <c r="AB43" s="174" t="str">
        <f t="shared" si="14"/>
        <v/>
      </c>
      <c r="AC43" s="174" t="str">
        <f>IF(AB43="","",IF($I$8="A",(RANK(AB43,AB$11:AB$343)+COUNTIF(AB$11:AB43,AB43)-1),(RANK(AB43,AB$11:AB$343,1)+COUNTIF(AB$11:AB43,AB43)-1)))</f>
        <v/>
      </c>
      <c r="AD43" s="174"/>
      <c r="AE43" s="36" t="str">
        <f t="shared" si="24"/>
        <v/>
      </c>
      <c r="AG43" s="15"/>
      <c r="AH43" s="3"/>
      <c r="AI43" s="5" t="str">
        <f>IF(L43="","",VLOOKUP($L43,classifications!$C:$J,8,FALSE))</f>
        <v>Unitary</v>
      </c>
      <c r="AJ43" s="43">
        <f t="shared" si="5"/>
        <v>396.8</v>
      </c>
      <c r="AK43" s="40">
        <f>IF(AJ43="","",IF(I$8="A",(RANK(AJ43,AJ$11:AJ$343,1)+COUNTIF(AJ$11:AJ43,AJ43)-1),(RANK(AJ43,AJ$11:AJ$343)+COUNTIF(AJ$11:AJ43,AJ43)-1)))</f>
        <v>32</v>
      </c>
      <c r="AL43" s="3">
        <f t="shared" si="16"/>
        <v>33</v>
      </c>
      <c r="AM43" t="str">
        <f t="shared" ref="AM43:AM74" si="30">IF(ISNA(IF(AL43="","",INDEX(L$11:L$343,MATCH(AL43,AK$11:AK$343,0)))),"",(IF(AL43="","",INDEX(L$11:L$343,MATCH(AL43,AK$11:AK$343,0)))))</f>
        <v>Medway</v>
      </c>
      <c r="AN43">
        <f t="shared" ref="AN43:AN74" si="31">(VLOOKUP(AM43,L:M,2,FALSE))</f>
        <v>400.2</v>
      </c>
      <c r="AP43" s="5" t="str">
        <f>IF(L43="","",VLOOKUP($L43,classifications!$C:$E,3,FALSE))</f>
        <v>East of England</v>
      </c>
      <c r="AQ43" s="43" t="str">
        <f t="shared" si="17"/>
        <v/>
      </c>
      <c r="AR43" s="40" t="str">
        <f>IF(AQ43="","",IF(I$8="A",(RANK(AQ43,AQ$11:AQ$343,1)+COUNTIF(AQ$11:AQ43,AQ43)-1),(RANK(AQ43,AQ$11:AQ$343)+COUNTIF(AQ$11:AQ43,AQ43)-1)))</f>
        <v/>
      </c>
      <c r="AS43" s="3" t="str">
        <f t="shared" si="18"/>
        <v/>
      </c>
      <c r="AT43" s="40" t="str">
        <f t="shared" ref="AT43:AT74" si="32">IF(AS43="","",INDEX(L$11:L$343,MATCH(AS43,AR$11:AR$343,0)))</f>
        <v/>
      </c>
      <c r="AU43" s="43" t="str">
        <f t="shared" ref="AU43:AU74" si="33">IF(AT43="","",VLOOKUP(AT43,L:M,2,FALSE))</f>
        <v/>
      </c>
      <c r="AX43">
        <f>HLOOKUP($AX$9&amp;$AX$10,Data!$A$1:$ZZ$1980,(MATCH($C43,Data!$A$1:$A$1980,0)),FALSE)</f>
        <v>363.3</v>
      </c>
    </row>
    <row r="44" spans="1:50">
      <c r="A44" s="59" t="str">
        <f>$D$1&amp;34</f>
        <v>UA34</v>
      </c>
      <c r="B44" s="60">
        <f>IF(ISERROR(VLOOKUP(A44,classifications!A:C,3,FALSE)),0,VLOOKUP(A44,classifications!A:C,3,FALSE))</f>
        <v>0</v>
      </c>
      <c r="C44" t="s">
        <v>817</v>
      </c>
      <c r="D44" t="str">
        <f>VLOOKUP($C44,classifications!$C:$J,4,FALSE)</f>
        <v>UA</v>
      </c>
      <c r="E44">
        <f>VLOOKUP(C44,classifications!C:K,9,FALSE)</f>
        <v>0</v>
      </c>
      <c r="F44">
        <f t="shared" si="25"/>
        <v>322</v>
      </c>
      <c r="G44" s="15"/>
      <c r="H44" s="42">
        <f t="shared" si="26"/>
        <v>322</v>
      </c>
      <c r="I44" s="79">
        <f>IF(H44="","",IF($I$8="A",(RANK(H44,H$11:H$343,1)+COUNTIF(H$11:H44,H44)-1),(RANK(H44,H$11:H$343)+COUNTIF(H$11:H44,H44)-1)))</f>
        <v>3</v>
      </c>
      <c r="J44" s="41"/>
      <c r="K44" s="36">
        <f t="shared" ref="K44:K75" si="34">IF(K43="","",IF(K43+1&gt;(COUNT(H$11:H$343)),"",K43+1))</f>
        <v>34</v>
      </c>
      <c r="L44" t="str">
        <f t="shared" si="27"/>
        <v>Medway</v>
      </c>
      <c r="M44" s="117">
        <f t="shared" si="28"/>
        <v>400.2</v>
      </c>
      <c r="N44" s="112">
        <f t="shared" si="23"/>
        <v>400.2</v>
      </c>
      <c r="O44" s="96" t="str">
        <f t="shared" si="11"/>
        <v/>
      </c>
      <c r="P44" s="96" t="str">
        <f t="shared" si="19"/>
        <v/>
      </c>
      <c r="Q44" s="96">
        <f t="shared" si="20"/>
        <v>400.2</v>
      </c>
      <c r="R44" s="92" t="str">
        <f t="shared" si="21"/>
        <v/>
      </c>
      <c r="S44" s="42" t="str">
        <f t="shared" si="12"/>
        <v/>
      </c>
      <c r="T44" s="167">
        <f>IF(L44="","",VLOOKUP(L44,classifications!C:K,9,FALSE))</f>
        <v>0</v>
      </c>
      <c r="U44" s="168" t="str">
        <f t="shared" si="29"/>
        <v/>
      </c>
      <c r="V44" s="174" t="str">
        <f>IF(U44="","",IF($I$8="A",(RANK(U44,U$11:U$343)+COUNTIF(U$11:U44,U44)-1),(RANK(U44,U$11:U$343,1)+COUNTIF(U$11:U44,U44)-1)))</f>
        <v/>
      </c>
      <c r="W44" s="175"/>
      <c r="X44" s="5" t="str">
        <f>IF(L44="","",VLOOKUP($L44,classifications!$C:$J,6,FALSE))</f>
        <v>Urban with City and Town</v>
      </c>
      <c r="Y44" t="str">
        <f t="shared" si="4"/>
        <v/>
      </c>
      <c r="Z44" s="40" t="str">
        <f>IF(Y44="","",IF(I$8="A",(RANK(Y44,Y$11:Y$343,1)+COUNTIF(Y$11:Y44,Y44)-1),(RANK(Y44,Y$11:Y$343)+COUNTIF(Y$11:Y44,Y44)-1)))</f>
        <v/>
      </c>
      <c r="AA44" s="180" t="str">
        <f>IF(L44="","",VLOOKUP($L44,classifications!C:I,7,FALSE))</f>
        <v>Predominantly Urban</v>
      </c>
      <c r="AB44" s="174" t="str">
        <f t="shared" si="14"/>
        <v/>
      </c>
      <c r="AC44" s="174" t="str">
        <f>IF(AB44="","",IF($I$8="A",(RANK(AB44,AB$11:AB$343)+COUNTIF(AB$11:AB44,AB44)-1),(RANK(AB44,AB$11:AB$343,1)+COUNTIF(AB$11:AB44,AB44)-1)))</f>
        <v/>
      </c>
      <c r="AD44" s="174"/>
      <c r="AE44" s="36" t="str">
        <f t="shared" si="24"/>
        <v/>
      </c>
      <c r="AG44" s="15"/>
      <c r="AH44" s="3"/>
      <c r="AI44" s="5" t="str">
        <f>IF(L44="","",VLOOKUP($L44,classifications!$C:$J,8,FALSE))</f>
        <v>Unitary</v>
      </c>
      <c r="AJ44" s="43">
        <f t="shared" si="5"/>
        <v>400.2</v>
      </c>
      <c r="AK44" s="40">
        <f>IF(AJ44="","",IF(I$8="A",(RANK(AJ44,AJ$11:AJ$343,1)+COUNTIF(AJ$11:AJ44,AJ44)-1),(RANK(AJ44,AJ$11:AJ$343)+COUNTIF(AJ$11:AJ44,AJ44)-1)))</f>
        <v>33</v>
      </c>
      <c r="AL44" s="3">
        <f t="shared" ref="AL44:AL75" si="35">IF(AL43="","",IF(AL43+1&gt;(COUNT(AJ$11:AJ$343)),"",AL43+1))</f>
        <v>34</v>
      </c>
      <c r="AM44" t="str">
        <f t="shared" si="30"/>
        <v>Wiltshire</v>
      </c>
      <c r="AN44">
        <f t="shared" si="31"/>
        <v>401.7</v>
      </c>
      <c r="AP44" s="5" t="str">
        <f>IF(L44="","",VLOOKUP($L44,classifications!$C:$E,3,FALSE))</f>
        <v>South East</v>
      </c>
      <c r="AQ44" s="43" t="str">
        <f t="shared" si="17"/>
        <v/>
      </c>
      <c r="AR44" s="40" t="str">
        <f>IF(AQ44="","",IF(I$8="A",(RANK(AQ44,AQ$11:AQ$343,1)+COUNTIF(AQ$11:AQ44,AQ44)-1),(RANK(AQ44,AQ$11:AQ$343)+COUNTIF(AQ$11:AQ44,AQ44)-1)))</f>
        <v/>
      </c>
      <c r="AS44" s="3" t="str">
        <f t="shared" ref="AS44:AS75" si="36">IF(AS43="","",IF(AS43+1&gt;(COUNT(AQ$11:AQ$343)),"",AS43+1))</f>
        <v/>
      </c>
      <c r="AT44" s="40" t="str">
        <f t="shared" si="32"/>
        <v/>
      </c>
      <c r="AU44" s="43" t="str">
        <f t="shared" si="33"/>
        <v/>
      </c>
      <c r="AX44">
        <f>HLOOKUP($AX$9&amp;$AX$10,Data!$A$1:$ZZ$1980,(MATCH($C44,Data!$A$1:$A$1980,0)),FALSE)</f>
        <v>322</v>
      </c>
    </row>
    <row r="45" spans="1:50">
      <c r="A45" s="59" t="str">
        <f>$D$1&amp;35</f>
        <v>UA35</v>
      </c>
      <c r="B45" s="60">
        <f>IF(ISERROR(VLOOKUP(A45,classifications!A:C,3,FALSE)),0,VLOOKUP(A45,classifications!A:C,3,FALSE))</f>
        <v>0</v>
      </c>
      <c r="C45" t="s">
        <v>22</v>
      </c>
      <c r="D45" t="str">
        <f>VLOOKUP($C45,classifications!$C:$J,4,FALSE)</f>
        <v>SD</v>
      </c>
      <c r="E45">
        <f>VLOOKUP(C45,classifications!C:K,9,FALSE)</f>
        <v>0</v>
      </c>
      <c r="F45">
        <f t="shared" si="25"/>
        <v>364.6</v>
      </c>
      <c r="G45" s="15"/>
      <c r="H45" s="42" t="str">
        <f t="shared" si="26"/>
        <v/>
      </c>
      <c r="I45" s="79" t="str">
        <f>IF(H45="","",IF($I$8="A",(RANK(H45,H$11:H$343,1)+COUNTIF(H$11:H45,H45)-1),(RANK(H45,H$11:H$343)+COUNTIF(H$11:H45,H45)-1)))</f>
        <v/>
      </c>
      <c r="J45" s="41"/>
      <c r="K45" s="36">
        <f t="shared" si="34"/>
        <v>35</v>
      </c>
      <c r="L45" t="str">
        <f t="shared" si="27"/>
        <v>Wiltshire</v>
      </c>
      <c r="M45" s="117">
        <f t="shared" si="28"/>
        <v>401.7</v>
      </c>
      <c r="N45" s="112">
        <f t="shared" si="23"/>
        <v>401.7</v>
      </c>
      <c r="O45" s="96" t="str">
        <f t="shared" si="11"/>
        <v/>
      </c>
      <c r="P45" s="96" t="str">
        <f t="shared" si="19"/>
        <v/>
      </c>
      <c r="Q45" s="96">
        <f t="shared" si="20"/>
        <v>401.7</v>
      </c>
      <c r="R45" s="92" t="str">
        <f t="shared" si="21"/>
        <v/>
      </c>
      <c r="S45" s="42" t="str">
        <f t="shared" si="12"/>
        <v/>
      </c>
      <c r="T45" s="167">
        <f>IF(L45="","",VLOOKUP(L45,classifications!C:K,9,FALSE))</f>
        <v>0</v>
      </c>
      <c r="U45" s="168" t="str">
        <f t="shared" si="29"/>
        <v/>
      </c>
      <c r="V45" s="174" t="str">
        <f>IF(U45="","",IF($I$8="A",(RANK(U45,U$11:U$343)+COUNTIF(U$11:U45,U45)-1),(RANK(U45,U$11:U$343,1)+COUNTIF(U$11:U45,U45)-1)))</f>
        <v/>
      </c>
      <c r="W45" s="175"/>
      <c r="X45" s="5" t="str">
        <f>IF(L45="","",VLOOKUP($L45,classifications!$C:$J,6,FALSE))</f>
        <v xml:space="preserve">Largely Rural (rural including hub towns 50-79%) </v>
      </c>
      <c r="Y45">
        <f t="shared" si="4"/>
        <v>401.7</v>
      </c>
      <c r="Z45" s="40">
        <f>IF(Y45="","",IF(I$8="A",(RANK(Y45,Y$11:Y$343,1)+COUNTIF(Y$11:Y45,Y45)-1),(RANK(Y45,Y$11:Y$343)+COUNTIF(Y$11:Y45,Y45)-1)))</f>
        <v>6</v>
      </c>
      <c r="AA45" s="180" t="str">
        <f>IF(L45="","",VLOOKUP($L45,classifications!C:I,7,FALSE))</f>
        <v>Predominantly Rural</v>
      </c>
      <c r="AB45" s="174" t="str">
        <f t="shared" si="14"/>
        <v/>
      </c>
      <c r="AC45" s="174" t="str">
        <f>IF(AB45="","",IF($I$8="A",(RANK(AB45,AB$11:AB$343)+COUNTIF(AB$11:AB45,AB45)-1),(RANK(AB45,AB$11:AB$343,1)+COUNTIF(AB$11:AB45,AB45)-1)))</f>
        <v/>
      </c>
      <c r="AD45" s="174"/>
      <c r="AE45" s="36" t="str">
        <f t="shared" si="24"/>
        <v/>
      </c>
      <c r="AG45" s="15"/>
      <c r="AH45" s="3"/>
      <c r="AI45" s="5" t="str">
        <f>IF(L45="","",VLOOKUP($L45,classifications!$C:$J,8,FALSE))</f>
        <v>Unitary</v>
      </c>
      <c r="AJ45" s="43">
        <f t="shared" si="5"/>
        <v>401.7</v>
      </c>
      <c r="AK45" s="40">
        <f>IF(AJ45="","",IF(I$8="A",(RANK(AJ45,AJ$11:AJ$343,1)+COUNTIF(AJ$11:AJ45,AJ45)-1),(RANK(AJ45,AJ$11:AJ$343)+COUNTIF(AJ$11:AJ45,AJ45)-1)))</f>
        <v>34</v>
      </c>
      <c r="AL45" s="3">
        <f t="shared" si="35"/>
        <v>35</v>
      </c>
      <c r="AM45" t="str">
        <f t="shared" si="30"/>
        <v>Bournemouth, Christchurch and Poole</v>
      </c>
      <c r="AN45">
        <f t="shared" si="31"/>
        <v>403.5</v>
      </c>
      <c r="AP45" s="5" t="str">
        <f>IF(L45="","",VLOOKUP($L45,classifications!$C:$E,3,FALSE))</f>
        <v>South West</v>
      </c>
      <c r="AQ45" s="43" t="str">
        <f t="shared" si="17"/>
        <v/>
      </c>
      <c r="AR45" s="40" t="str">
        <f>IF(AQ45="","",IF(I$8="A",(RANK(AQ45,AQ$11:AQ$343,1)+COUNTIF(AQ$11:AQ45,AQ45)-1),(RANK(AQ45,AQ$11:AQ$343)+COUNTIF(AQ$11:AQ45,AQ45)-1)))</f>
        <v/>
      </c>
      <c r="AS45" s="3" t="str">
        <f t="shared" si="36"/>
        <v/>
      </c>
      <c r="AT45" s="40" t="str">
        <f t="shared" si="32"/>
        <v/>
      </c>
      <c r="AU45" s="43" t="str">
        <f t="shared" si="33"/>
        <v/>
      </c>
      <c r="AX45">
        <f>HLOOKUP($AX$9&amp;$AX$10,Data!$A$1:$ZZ$1980,(MATCH($C45,Data!$A$1:$A$1980,0)),FALSE)</f>
        <v>364.6</v>
      </c>
    </row>
    <row r="46" spans="1:50">
      <c r="A46" s="59" t="str">
        <f>$D$1&amp;36</f>
        <v>UA36</v>
      </c>
      <c r="B46" s="60">
        <f>IF(ISERROR(VLOOKUP(A46,classifications!A:C,3,FALSE)),0,VLOOKUP(A46,classifications!A:C,3,FALSE))</f>
        <v>0</v>
      </c>
      <c r="C46" t="s">
        <v>200</v>
      </c>
      <c r="D46" t="str">
        <f>VLOOKUP($C46,classifications!$C:$J,4,FALSE)</f>
        <v>L</v>
      </c>
      <c r="E46">
        <f>VLOOKUP(C46,classifications!C:K,9,FALSE)</f>
        <v>0</v>
      </c>
      <c r="F46">
        <f t="shared" si="25"/>
        <v>366.9</v>
      </c>
      <c r="G46" s="15"/>
      <c r="H46" s="42" t="str">
        <f t="shared" si="26"/>
        <v/>
      </c>
      <c r="I46" s="79" t="str">
        <f>IF(H46="","",IF($I$8="A",(RANK(H46,H$11:H$343,1)+COUNTIF(H$11:H46,H46)-1),(RANK(H46,H$11:H$343)+COUNTIF(H$11:H46,H46)-1)))</f>
        <v/>
      </c>
      <c r="J46" s="41"/>
      <c r="K46" s="36">
        <f t="shared" si="34"/>
        <v>36</v>
      </c>
      <c r="L46" t="str">
        <f t="shared" si="27"/>
        <v>Bournemouth, Christchurch and Poole</v>
      </c>
      <c r="M46" s="117">
        <f t="shared" si="28"/>
        <v>403.5</v>
      </c>
      <c r="N46" s="112">
        <f t="shared" si="23"/>
        <v>403.5</v>
      </c>
      <c r="O46" s="96" t="str">
        <f t="shared" si="11"/>
        <v/>
      </c>
      <c r="P46" s="96" t="str">
        <f t="shared" si="19"/>
        <v/>
      </c>
      <c r="Q46" s="96">
        <f t="shared" si="20"/>
        <v>403.5</v>
      </c>
      <c r="R46" s="92" t="str">
        <f t="shared" si="21"/>
        <v/>
      </c>
      <c r="S46" s="42" t="str">
        <f t="shared" si="12"/>
        <v/>
      </c>
      <c r="T46" s="167">
        <f>IF(L46="","",VLOOKUP(L46,classifications!C:K,9,FALSE))</f>
        <v>0</v>
      </c>
      <c r="U46" s="168" t="str">
        <f t="shared" si="29"/>
        <v/>
      </c>
      <c r="V46" s="174" t="str">
        <f>IF(U46="","",IF($I$8="A",(RANK(U46,U$11:U$343)+COUNTIF(U$11:U46,U46)-1),(RANK(U46,U$11:U$343,1)+COUNTIF(U$11:U46,U46)-1)))</f>
        <v/>
      </c>
      <c r="W46" s="175"/>
      <c r="X46" s="5">
        <f>IF(L46="","",VLOOKUP($L46,classifications!$C:$J,6,FALSE))</f>
        <v>0</v>
      </c>
      <c r="Y46" t="str">
        <f t="shared" si="4"/>
        <v/>
      </c>
      <c r="Z46" s="40" t="str">
        <f>IF(Y46="","",IF(I$8="A",(RANK(Y46,Y$11:Y$343,1)+COUNTIF(Y$11:Y46,Y46)-1),(RANK(Y46,Y$11:Y$343)+COUNTIF(Y$11:Y46,Y46)-1)))</f>
        <v/>
      </c>
      <c r="AA46" s="180" t="str">
        <f>IF(L46="","",VLOOKUP($L46,classifications!C:I,7,FALSE))</f>
        <v>Predominantly Urban</v>
      </c>
      <c r="AB46" s="174" t="str">
        <f t="shared" si="14"/>
        <v/>
      </c>
      <c r="AC46" s="174" t="str">
        <f>IF(AB46="","",IF($I$8="A",(RANK(AB46,AB$11:AB$343)+COUNTIF(AB$11:AB46,AB46)-1),(RANK(AB46,AB$11:AB$343,1)+COUNTIF(AB$11:AB46,AB46)-1)))</f>
        <v/>
      </c>
      <c r="AD46" s="174"/>
      <c r="AE46" s="36" t="str">
        <f t="shared" si="24"/>
        <v/>
      </c>
      <c r="AG46" s="15"/>
      <c r="AH46" s="3"/>
      <c r="AI46" s="5" t="str">
        <f>IF(L46="","",VLOOKUP($L46,classifications!$C:$J,8,FALSE))</f>
        <v>Unitary</v>
      </c>
      <c r="AJ46" s="43">
        <f t="shared" si="5"/>
        <v>403.5</v>
      </c>
      <c r="AK46" s="40">
        <f>IF(AJ46="","",IF(I$8="A",(RANK(AJ46,AJ$11:AJ$343,1)+COUNTIF(AJ$11:AJ46,AJ46)-1),(RANK(AJ46,AJ$11:AJ$343)+COUNTIF(AJ$11:AJ46,AJ46)-1)))</f>
        <v>35</v>
      </c>
      <c r="AL46" s="3">
        <f t="shared" si="35"/>
        <v>36</v>
      </c>
      <c r="AM46" t="str">
        <f t="shared" si="30"/>
        <v>West Northamptonshire</v>
      </c>
      <c r="AN46">
        <f t="shared" si="31"/>
        <v>405.7</v>
      </c>
      <c r="AP46" s="5" t="str">
        <f>IF(L46="","",VLOOKUP($L46,classifications!$C:$E,3,FALSE))</f>
        <v>South West</v>
      </c>
      <c r="AQ46" s="43" t="str">
        <f t="shared" si="17"/>
        <v/>
      </c>
      <c r="AR46" s="40" t="str">
        <f>IF(AQ46="","",IF(I$8="A",(RANK(AQ46,AQ$11:AQ$343,1)+COUNTIF(AQ$11:AQ46,AQ46)-1),(RANK(AQ46,AQ$11:AQ$343)+COUNTIF(AQ$11:AQ46,AQ46)-1)))</f>
        <v/>
      </c>
      <c r="AS46" s="3" t="str">
        <f t="shared" si="36"/>
        <v/>
      </c>
      <c r="AT46" s="40" t="str">
        <f t="shared" si="32"/>
        <v/>
      </c>
      <c r="AU46" s="43" t="str">
        <f t="shared" si="33"/>
        <v/>
      </c>
      <c r="AX46">
        <f>HLOOKUP($AX$9&amp;$AX$10,Data!$A$1:$ZZ$1980,(MATCH($C46,Data!$A$1:$A$1980,0)),FALSE)</f>
        <v>366.9</v>
      </c>
    </row>
    <row r="47" spans="1:50">
      <c r="A47" s="59" t="str">
        <f>$D$1&amp;37</f>
        <v>UA37</v>
      </c>
      <c r="B47" s="60">
        <f>IF(ISERROR(VLOOKUP(A47,classifications!A:C,3,FALSE)),0,VLOOKUP(A47,classifications!A:C,3,FALSE))</f>
        <v>0</v>
      </c>
      <c r="C47" t="s">
        <v>23</v>
      </c>
      <c r="D47" t="str">
        <f>VLOOKUP($C47,classifications!$C:$J,4,FALSE)</f>
        <v>SD</v>
      </c>
      <c r="E47">
        <f>VLOOKUP(C47,classifications!C:K,9,FALSE)</f>
        <v>0</v>
      </c>
      <c r="F47">
        <f t="shared" si="25"/>
        <v>363.5</v>
      </c>
      <c r="G47" s="15"/>
      <c r="H47" s="42" t="str">
        <f t="shared" si="26"/>
        <v/>
      </c>
      <c r="I47" s="79" t="str">
        <f>IF(H47="","",IF($I$8="A",(RANK(H47,H$11:H$343,1)+COUNTIF(H$11:H47,H47)-1),(RANK(H47,H$11:H$343)+COUNTIF(H$11:H47,H47)-1)))</f>
        <v/>
      </c>
      <c r="J47" s="41"/>
      <c r="K47" s="36">
        <f t="shared" si="34"/>
        <v>37</v>
      </c>
      <c r="L47" t="str">
        <f t="shared" si="27"/>
        <v>West Northamptonshire</v>
      </c>
      <c r="M47" s="117">
        <f t="shared" si="28"/>
        <v>405.7</v>
      </c>
      <c r="N47" s="112">
        <f t="shared" si="23"/>
        <v>405.7</v>
      </c>
      <c r="O47" s="96" t="str">
        <f t="shared" si="11"/>
        <v/>
      </c>
      <c r="P47" s="96" t="str">
        <f t="shared" si="19"/>
        <v/>
      </c>
      <c r="Q47" s="96">
        <f t="shared" si="20"/>
        <v>405.7</v>
      </c>
      <c r="R47" s="92" t="str">
        <f t="shared" si="21"/>
        <v/>
      </c>
      <c r="S47" s="42" t="str">
        <f t="shared" si="12"/>
        <v/>
      </c>
      <c r="T47" s="167" t="str">
        <f>IF(L47="","",VLOOKUP(L47,classifications!C:K,9,FALSE))</f>
        <v>Sparse</v>
      </c>
      <c r="U47" s="168">
        <f t="shared" si="29"/>
        <v>405.7</v>
      </c>
      <c r="V47" s="174">
        <f>IF(U47="","",IF($I$8="A",(RANK(U47,U$11:U$343)+COUNTIF(U$11:U47,U47)-1),(RANK(U47,U$11:U$343,1)+COUNTIF(U$11:U47,U47)-1)))</f>
        <v>10</v>
      </c>
      <c r="W47" s="175"/>
      <c r="X47" s="5" t="str">
        <f>IF(L47="","",VLOOKUP($L47,classifications!$C:$J,6,FALSE))</f>
        <v>Urban with Significant Rural (rural including hub towns 26-49%)</v>
      </c>
      <c r="Y47">
        <f t="shared" si="4"/>
        <v>405.7</v>
      </c>
      <c r="Z47" s="40">
        <f>IF(Y47="","",IF(I$8="A",(RANK(Y47,Y$11:Y$343,1)+COUNTIF(Y$11:Y47,Y47)-1),(RANK(Y47,Y$11:Y$343)+COUNTIF(Y$11:Y47,Y47)-1)))</f>
        <v>7</v>
      </c>
      <c r="AA47" s="180" t="str">
        <f>IF(L47="","",VLOOKUP($L47,classifications!C:I,7,FALSE))</f>
        <v>Significant Rural</v>
      </c>
      <c r="AB47" s="174">
        <f t="shared" si="14"/>
        <v>405.7</v>
      </c>
      <c r="AC47" s="174">
        <f>IF(AB47="","",IF($I$8="A",(RANK(AB47,AB$11:AB$343)+COUNTIF(AB$11:AB47,AB47)-1),(RANK(AB47,AB$11:AB$343,1)+COUNTIF(AB$11:AB47,AB47)-1)))</f>
        <v>6</v>
      </c>
      <c r="AD47" s="174"/>
      <c r="AE47" s="36" t="str">
        <f t="shared" si="24"/>
        <v/>
      </c>
      <c r="AG47" s="15"/>
      <c r="AH47" s="3"/>
      <c r="AI47" s="5" t="str">
        <f>IF(L47="","",VLOOKUP($L47,classifications!$C:$J,8,FALSE))</f>
        <v>Unitary</v>
      </c>
      <c r="AJ47" s="43">
        <f t="shared" si="5"/>
        <v>405.7</v>
      </c>
      <c r="AK47" s="40">
        <f>IF(AJ47="","",IF(I$8="A",(RANK(AJ47,AJ$11:AJ$343,1)+COUNTIF(AJ$11:AJ47,AJ47)-1),(RANK(AJ47,AJ$11:AJ$343)+COUNTIF(AJ$11:AJ47,AJ47)-1)))</f>
        <v>36</v>
      </c>
      <c r="AL47" s="3">
        <f t="shared" si="35"/>
        <v>37</v>
      </c>
      <c r="AM47" t="str">
        <f t="shared" si="30"/>
        <v>Darlington</v>
      </c>
      <c r="AN47">
        <f t="shared" si="31"/>
        <v>407.2</v>
      </c>
      <c r="AP47" s="5" t="str">
        <f>IF(L47="","",VLOOKUP($L47,classifications!$C:$E,3,FALSE))</f>
        <v>East Midlands</v>
      </c>
      <c r="AQ47" s="43" t="str">
        <f t="shared" si="17"/>
        <v/>
      </c>
      <c r="AR47" s="40" t="str">
        <f>IF(AQ47="","",IF(I$8="A",(RANK(AQ47,AQ$11:AQ$343,1)+COUNTIF(AQ$11:AQ47,AQ47)-1),(RANK(AQ47,AQ$11:AQ$343)+COUNTIF(AQ$11:AQ47,AQ47)-1)))</f>
        <v/>
      </c>
      <c r="AS47" s="3" t="str">
        <f t="shared" si="36"/>
        <v/>
      </c>
      <c r="AT47" s="40" t="str">
        <f t="shared" si="32"/>
        <v/>
      </c>
      <c r="AU47" s="43" t="str">
        <f t="shared" si="33"/>
        <v/>
      </c>
      <c r="AX47">
        <f>HLOOKUP($AX$9&amp;$AX$10,Data!$A$1:$ZZ$1980,(MATCH($C47,Data!$A$1:$A$1980,0)),FALSE)</f>
        <v>363.5</v>
      </c>
    </row>
    <row r="48" spans="1:50">
      <c r="A48" s="59" t="str">
        <f>$D$1&amp;38</f>
        <v>UA38</v>
      </c>
      <c r="B48" s="60">
        <f>IF(ISERROR(VLOOKUP(A48,classifications!A:C,3,FALSE)),0,VLOOKUP(A48,classifications!A:C,3,FALSE))</f>
        <v>0</v>
      </c>
      <c r="C48" t="s">
        <v>24</v>
      </c>
      <c r="D48" t="str">
        <f>VLOOKUP($C48,classifications!$C:$J,4,FALSE)</f>
        <v>SD</v>
      </c>
      <c r="E48">
        <f>VLOOKUP(C48,classifications!C:K,9,FALSE)</f>
        <v>0</v>
      </c>
      <c r="F48">
        <f t="shared" si="25"/>
        <v>326.89999999999998</v>
      </c>
      <c r="G48" s="15"/>
      <c r="H48" s="42" t="str">
        <f t="shared" si="26"/>
        <v/>
      </c>
      <c r="I48" s="79" t="str">
        <f>IF(H48="","",IF($I$8="A",(RANK(H48,H$11:H$343,1)+COUNTIF(H$11:H48,H48)-1),(RANK(H48,H$11:H$343)+COUNTIF(H$11:H48,H48)-1)))</f>
        <v/>
      </c>
      <c r="J48" s="41"/>
      <c r="K48" s="36">
        <f t="shared" si="34"/>
        <v>38</v>
      </c>
      <c r="L48" t="str">
        <f t="shared" si="27"/>
        <v>Darlington</v>
      </c>
      <c r="M48" s="117">
        <f t="shared" si="28"/>
        <v>407.2</v>
      </c>
      <c r="N48" s="112">
        <f t="shared" si="23"/>
        <v>407.2</v>
      </c>
      <c r="O48" s="96" t="str">
        <f t="shared" si="11"/>
        <v/>
      </c>
      <c r="P48" s="96" t="str">
        <f t="shared" si="19"/>
        <v/>
      </c>
      <c r="Q48" s="96">
        <f t="shared" si="20"/>
        <v>407.2</v>
      </c>
      <c r="R48" s="92" t="str">
        <f t="shared" si="21"/>
        <v/>
      </c>
      <c r="S48" s="42" t="str">
        <f t="shared" si="12"/>
        <v/>
      </c>
      <c r="T48" s="167">
        <f>IF(L48="","",VLOOKUP(L48,classifications!C:K,9,FALSE))</f>
        <v>0</v>
      </c>
      <c r="U48" s="168" t="str">
        <f t="shared" si="29"/>
        <v/>
      </c>
      <c r="V48" s="174" t="str">
        <f>IF(U48="","",IF($I$8="A",(RANK(U48,U$11:U$343)+COUNTIF(U$11:U48,U48)-1),(RANK(U48,U$11:U$343,1)+COUNTIF(U$11:U48,U48)-1)))</f>
        <v/>
      </c>
      <c r="W48" s="175"/>
      <c r="X48" s="5" t="str">
        <f>IF(L48="","",VLOOKUP($L48,classifications!$C:$J,6,FALSE))</f>
        <v>Urban with City and Town</v>
      </c>
      <c r="Y48" t="str">
        <f t="shared" si="4"/>
        <v/>
      </c>
      <c r="Z48" s="40" t="str">
        <f>IF(Y48="","",IF(I$8="A",(RANK(Y48,Y$11:Y$343,1)+COUNTIF(Y$11:Y48,Y48)-1),(RANK(Y48,Y$11:Y$343)+COUNTIF(Y$11:Y48,Y48)-1)))</f>
        <v/>
      </c>
      <c r="AA48" s="180" t="str">
        <f>IF(L48="","",VLOOKUP($L48,classifications!C:I,7,FALSE))</f>
        <v>Predominantly Urban</v>
      </c>
      <c r="AB48" s="174" t="str">
        <f t="shared" si="14"/>
        <v/>
      </c>
      <c r="AC48" s="174" t="str">
        <f>IF(AB48="","",IF($I$8="A",(RANK(AB48,AB$11:AB$343)+COUNTIF(AB$11:AB48,AB48)-1),(RANK(AB48,AB$11:AB$343,1)+COUNTIF(AB$11:AB48,AB48)-1)))</f>
        <v/>
      </c>
      <c r="AD48" s="174"/>
      <c r="AE48" s="36" t="str">
        <f t="shared" si="24"/>
        <v/>
      </c>
      <c r="AG48" s="15"/>
      <c r="AH48" s="3"/>
      <c r="AI48" s="5" t="str">
        <f>IF(L48="","",VLOOKUP($L48,classifications!$C:$J,8,FALSE))</f>
        <v>Unitary</v>
      </c>
      <c r="AJ48" s="43">
        <f t="shared" si="5"/>
        <v>407.2</v>
      </c>
      <c r="AK48" s="40">
        <f>IF(AJ48="","",IF(I$8="A",(RANK(AJ48,AJ$11:AJ$343,1)+COUNTIF(AJ$11:AJ48,AJ48)-1),(RANK(AJ48,AJ$11:AJ$343)+COUNTIF(AJ$11:AJ48,AJ48)-1)))</f>
        <v>37</v>
      </c>
      <c r="AL48" s="3">
        <f t="shared" si="35"/>
        <v>38</v>
      </c>
      <c r="AM48" t="str">
        <f t="shared" si="30"/>
        <v>Warrington</v>
      </c>
      <c r="AN48">
        <f t="shared" si="31"/>
        <v>411.3</v>
      </c>
      <c r="AP48" s="5" t="str">
        <f>IF(L48="","",VLOOKUP($L48,classifications!$C:$E,3,FALSE))</f>
        <v>NE</v>
      </c>
      <c r="AQ48" s="43" t="str">
        <f t="shared" si="17"/>
        <v/>
      </c>
      <c r="AR48" s="40" t="str">
        <f>IF(AQ48="","",IF(I$8="A",(RANK(AQ48,AQ$11:AQ$343,1)+COUNTIF(AQ$11:AQ48,AQ48)-1),(RANK(AQ48,AQ$11:AQ$343)+COUNTIF(AQ$11:AQ48,AQ48)-1)))</f>
        <v/>
      </c>
      <c r="AS48" s="3" t="str">
        <f t="shared" si="36"/>
        <v/>
      </c>
      <c r="AT48" s="40" t="str">
        <f t="shared" si="32"/>
        <v/>
      </c>
      <c r="AU48" s="43" t="str">
        <f t="shared" si="33"/>
        <v/>
      </c>
      <c r="AX48">
        <f>HLOOKUP($AX$9&amp;$AX$10,Data!$A$1:$ZZ$1980,(MATCH($C48,Data!$A$1:$A$1980,0)),FALSE)</f>
        <v>326.89999999999998</v>
      </c>
    </row>
    <row r="49" spans="1:50">
      <c r="A49" s="59" t="str">
        <f>$D$1&amp;39</f>
        <v>UA39</v>
      </c>
      <c r="B49" s="60">
        <f>IF(ISERROR(VLOOKUP(A49,classifications!A:C,3,FALSE)),0,VLOOKUP(A49,classifications!A:C,3,FALSE))</f>
        <v>0</v>
      </c>
      <c r="C49" t="s">
        <v>25</v>
      </c>
      <c r="D49" t="str">
        <f>VLOOKUP($C49,classifications!$C:$J,4,FALSE)</f>
        <v>SD</v>
      </c>
      <c r="E49">
        <f>VLOOKUP(C49,classifications!C:K,9,FALSE)</f>
        <v>0</v>
      </c>
      <c r="F49">
        <f t="shared" si="25"/>
        <v>353.2</v>
      </c>
      <c r="G49" s="15"/>
      <c r="H49" s="42" t="str">
        <f t="shared" si="26"/>
        <v/>
      </c>
      <c r="I49" s="79" t="str">
        <f>IF(H49="","",IF($I$8="A",(RANK(H49,H$11:H$343,1)+COUNTIF(H$11:H49,H49)-1),(RANK(H49,H$11:H$343)+COUNTIF(H$11:H49,H49)-1)))</f>
        <v/>
      </c>
      <c r="J49" s="41"/>
      <c r="K49" s="36">
        <f t="shared" si="34"/>
        <v>39</v>
      </c>
      <c r="L49" t="str">
        <f t="shared" si="27"/>
        <v>Warrington</v>
      </c>
      <c r="M49" s="117">
        <f t="shared" si="28"/>
        <v>411.3</v>
      </c>
      <c r="N49" s="112">
        <f t="shared" si="23"/>
        <v>411.3</v>
      </c>
      <c r="O49" s="96" t="str">
        <f t="shared" si="11"/>
        <v/>
      </c>
      <c r="P49" s="96" t="str">
        <f t="shared" si="19"/>
        <v/>
      </c>
      <c r="Q49" s="96">
        <f t="shared" si="20"/>
        <v>411.3</v>
      </c>
      <c r="R49" s="92" t="str">
        <f t="shared" si="21"/>
        <v/>
      </c>
      <c r="S49" s="42" t="str">
        <f t="shared" si="12"/>
        <v/>
      </c>
      <c r="T49" s="167">
        <f>IF(L49="","",VLOOKUP(L49,classifications!C:K,9,FALSE))</f>
        <v>0</v>
      </c>
      <c r="U49" s="168" t="str">
        <f t="shared" si="29"/>
        <v/>
      </c>
      <c r="V49" s="174" t="str">
        <f>IF(U49="","",IF($I$8="A",(RANK(U49,U$11:U$343)+COUNTIF(U$11:U49,U49)-1),(RANK(U49,U$11:U$343,1)+COUNTIF(U$11:U49,U49)-1)))</f>
        <v/>
      </c>
      <c r="W49" s="175"/>
      <c r="X49" s="5" t="str">
        <f>IF(L49="","",VLOOKUP($L49,classifications!$C:$J,6,FALSE))</f>
        <v>Urban with City and Town</v>
      </c>
      <c r="Y49" t="str">
        <f t="shared" si="4"/>
        <v/>
      </c>
      <c r="Z49" s="40" t="str">
        <f>IF(Y49="","",IF(I$8="A",(RANK(Y49,Y$11:Y$343,1)+COUNTIF(Y$11:Y49,Y49)-1),(RANK(Y49,Y$11:Y$343)+COUNTIF(Y$11:Y49,Y49)-1)))</f>
        <v/>
      </c>
      <c r="AA49" s="180" t="str">
        <f>IF(L49="","",VLOOKUP($L49,classifications!C:I,7,FALSE))</f>
        <v>Predominantly Urban</v>
      </c>
      <c r="AB49" s="174" t="str">
        <f t="shared" si="14"/>
        <v/>
      </c>
      <c r="AC49" s="174" t="str">
        <f>IF(AB49="","",IF($I$8="A",(RANK(AB49,AB$11:AB$343)+COUNTIF(AB$11:AB49,AB49)-1),(RANK(AB49,AB$11:AB$343,1)+COUNTIF(AB$11:AB49,AB49)-1)))</f>
        <v/>
      </c>
      <c r="AD49" s="174"/>
      <c r="AE49" s="36" t="str">
        <f t="shared" si="24"/>
        <v/>
      </c>
      <c r="AG49" s="15"/>
      <c r="AH49" s="3"/>
      <c r="AI49" s="5" t="str">
        <f>IF(L49="","",VLOOKUP($L49,classifications!$C:$J,8,FALSE))</f>
        <v>Unitary</v>
      </c>
      <c r="AJ49" s="43">
        <f t="shared" si="5"/>
        <v>411.3</v>
      </c>
      <c r="AK49" s="40">
        <f>IF(AJ49="","",IF(I$8="A",(RANK(AJ49,AJ$11:AJ$343,1)+COUNTIF(AJ$11:AJ49,AJ49)-1),(RANK(AJ49,AJ$11:AJ$343)+COUNTIF(AJ$11:AJ49,AJ49)-1)))</f>
        <v>38</v>
      </c>
      <c r="AL49" s="3">
        <f t="shared" si="35"/>
        <v>39</v>
      </c>
      <c r="AM49" t="str">
        <f t="shared" si="30"/>
        <v>North Somerset</v>
      </c>
      <c r="AN49">
        <f t="shared" si="31"/>
        <v>415</v>
      </c>
      <c r="AP49" s="5" t="str">
        <f>IF(L49="","",VLOOKUP($L49,classifications!$C:$E,3,FALSE))</f>
        <v>North West</v>
      </c>
      <c r="AQ49" s="43">
        <f t="shared" si="17"/>
        <v>411.3</v>
      </c>
      <c r="AR49" s="40">
        <f>IF(AQ49="","",IF(I$8="A",(RANK(AQ49,AQ$11:AQ$343,1)+COUNTIF(AQ$11:AQ49,AQ49)-1),(RANK(AQ49,AQ$11:AQ$343)+COUNTIF(AQ$11:AQ49,AQ49)-1)))</f>
        <v>2</v>
      </c>
      <c r="AS49" s="3" t="str">
        <f t="shared" si="36"/>
        <v/>
      </c>
      <c r="AT49" s="40" t="str">
        <f t="shared" si="32"/>
        <v/>
      </c>
      <c r="AU49" s="43" t="str">
        <f t="shared" si="33"/>
        <v/>
      </c>
      <c r="AX49">
        <f>HLOOKUP($AX$9&amp;$AX$10,Data!$A$1:$ZZ$1980,(MATCH($C49,Data!$A$1:$A$1980,0)),FALSE)</f>
        <v>353.2</v>
      </c>
    </row>
    <row r="50" spans="1:50">
      <c r="A50" s="59" t="str">
        <f>$D$1&amp;40</f>
        <v>UA40</v>
      </c>
      <c r="B50" s="60">
        <f>IF(ISERROR(VLOOKUP(A50,classifications!A:C,3,FALSE)),0,VLOOKUP(A50,classifications!A:C,3,FALSE))</f>
        <v>0</v>
      </c>
      <c r="C50" t="s">
        <v>301</v>
      </c>
      <c r="D50" t="str">
        <f>VLOOKUP($C50,classifications!$C:$J,4,FALSE)</f>
        <v>UA</v>
      </c>
      <c r="E50">
        <f>VLOOKUP(C50,classifications!C:K,9,FALSE)</f>
        <v>0</v>
      </c>
      <c r="F50">
        <f t="shared" si="25"/>
        <v>393.2</v>
      </c>
      <c r="G50" s="15"/>
      <c r="H50" s="42">
        <f t="shared" si="26"/>
        <v>393.2</v>
      </c>
      <c r="I50" s="79">
        <f>IF(H50="","",IF($I$8="A",(RANK(H50,H$11:H$343,1)+COUNTIF(H$11:H50,H50)-1),(RANK(H50,H$11:H$343)+COUNTIF(H$11:H50,H50)-1)))</f>
        <v>30</v>
      </c>
      <c r="J50" s="41"/>
      <c r="K50" s="36">
        <f t="shared" si="34"/>
        <v>40</v>
      </c>
      <c r="L50" t="str">
        <f t="shared" si="27"/>
        <v>North Somerset</v>
      </c>
      <c r="M50" s="117">
        <f t="shared" si="28"/>
        <v>415</v>
      </c>
      <c r="N50" s="112">
        <f t="shared" si="23"/>
        <v>415</v>
      </c>
      <c r="O50" s="96" t="str">
        <f t="shared" si="11"/>
        <v/>
      </c>
      <c r="P50" s="96" t="str">
        <f t="shared" si="19"/>
        <v/>
      </c>
      <c r="Q50" s="96">
        <f t="shared" si="20"/>
        <v>415</v>
      </c>
      <c r="R50" s="92" t="str">
        <f t="shared" si="21"/>
        <v/>
      </c>
      <c r="S50" s="42" t="str">
        <f t="shared" si="12"/>
        <v/>
      </c>
      <c r="T50" s="167" t="str">
        <f>IF(L50="","",VLOOKUP(L50,classifications!C:K,9,FALSE))</f>
        <v>Sparse</v>
      </c>
      <c r="U50" s="168">
        <f t="shared" si="29"/>
        <v>415</v>
      </c>
      <c r="V50" s="174">
        <f>IF(U50="","",IF($I$8="A",(RANK(U50,U$11:U$343)+COUNTIF(U$11:U50,U50)-1),(RANK(U50,U$11:U$343,1)+COUNTIF(U$11:U50,U50)-1)))</f>
        <v>9</v>
      </c>
      <c r="W50" s="175"/>
      <c r="X50" s="5" t="str">
        <f>IF(L50="","",VLOOKUP($L50,classifications!$C:$J,6,FALSE))</f>
        <v>Urban with Significant Rural (rural including hub towns 26-49%)</v>
      </c>
      <c r="Y50">
        <f t="shared" si="4"/>
        <v>415</v>
      </c>
      <c r="Z50" s="40">
        <f>IF(Y50="","",IF(I$8="A",(RANK(Y50,Y$11:Y$343,1)+COUNTIF(Y$11:Y50,Y50)-1),(RANK(Y50,Y$11:Y$343)+COUNTIF(Y$11:Y50,Y50)-1)))</f>
        <v>8</v>
      </c>
      <c r="AA50" s="180" t="str">
        <f>IF(L50="","",VLOOKUP($L50,classifications!C:I,7,FALSE))</f>
        <v>Significant Rural</v>
      </c>
      <c r="AB50" s="174">
        <f t="shared" si="14"/>
        <v>415</v>
      </c>
      <c r="AC50" s="174">
        <f>IF(AB50="","",IF($I$8="A",(RANK(AB50,AB$11:AB$343)+COUNTIF(AB$11:AB50,AB50)-1),(RANK(AB50,AB$11:AB$343,1)+COUNTIF(AB$11:AB50,AB50)-1)))</f>
        <v>5</v>
      </c>
      <c r="AD50" s="174"/>
      <c r="AE50" s="36" t="str">
        <f t="shared" si="24"/>
        <v/>
      </c>
      <c r="AG50" s="15"/>
      <c r="AH50" s="3"/>
      <c r="AI50" s="5" t="str">
        <f>IF(L50="","",VLOOKUP($L50,classifications!$C:$J,8,FALSE))</f>
        <v>Unitary</v>
      </c>
      <c r="AJ50" s="43">
        <f t="shared" si="5"/>
        <v>415</v>
      </c>
      <c r="AK50" s="40">
        <f>IF(AJ50="","",IF(I$8="A",(RANK(AJ50,AJ$11:AJ$343,1)+COUNTIF(AJ$11:AJ50,AJ50)-1),(RANK(AJ50,AJ$11:AJ$343)+COUNTIF(AJ$11:AJ50,AJ50)-1)))</f>
        <v>39</v>
      </c>
      <c r="AL50" s="3">
        <f t="shared" si="35"/>
        <v>40</v>
      </c>
      <c r="AM50" t="str">
        <f t="shared" si="30"/>
        <v>Stockton-on-Tees</v>
      </c>
      <c r="AN50">
        <f t="shared" si="31"/>
        <v>415.3</v>
      </c>
      <c r="AP50" s="5" t="str">
        <f>IF(L50="","",VLOOKUP($L50,classifications!$C:$E,3,FALSE))</f>
        <v>South West</v>
      </c>
      <c r="AQ50" s="43" t="str">
        <f t="shared" si="17"/>
        <v/>
      </c>
      <c r="AR50" s="40" t="str">
        <f>IF(AQ50="","",IF(I$8="A",(RANK(AQ50,AQ$11:AQ$343,1)+COUNTIF(AQ$11:AQ50,AQ50)-1),(RANK(AQ50,AQ$11:AQ$343)+COUNTIF(AQ$11:AQ50,AQ50)-1)))</f>
        <v/>
      </c>
      <c r="AS50" s="3" t="str">
        <f t="shared" si="36"/>
        <v/>
      </c>
      <c r="AT50" s="40" t="str">
        <f t="shared" si="32"/>
        <v/>
      </c>
      <c r="AU50" s="43" t="str">
        <f t="shared" si="33"/>
        <v/>
      </c>
      <c r="AX50">
        <f>HLOOKUP($AX$9&amp;$AX$10,Data!$A$1:$ZZ$1980,(MATCH($C50,Data!$A$1:$A$1980,0)),FALSE)</f>
        <v>393.2</v>
      </c>
    </row>
    <row r="51" spans="1:50">
      <c r="A51" s="59" t="str">
        <f>$D$1&amp;41</f>
        <v>UA41</v>
      </c>
      <c r="B51" s="60">
        <f>IF(ISERROR(VLOOKUP(A51,classifications!A:C,3,FALSE)),0,VLOOKUP(A51,classifications!A:C,3,FALSE))</f>
        <v>0</v>
      </c>
      <c r="C51" t="s">
        <v>26</v>
      </c>
      <c r="D51" t="str">
        <f>VLOOKUP($C51,classifications!$C:$J,4,FALSE)</f>
        <v>SD</v>
      </c>
      <c r="E51">
        <f>VLOOKUP(C51,classifications!C:K,9,FALSE)</f>
        <v>0</v>
      </c>
      <c r="F51">
        <f t="shared" si="25"/>
        <v>311.2</v>
      </c>
      <c r="G51" s="15"/>
      <c r="H51" s="42" t="str">
        <f t="shared" si="26"/>
        <v/>
      </c>
      <c r="I51" s="79" t="str">
        <f>IF(H51="","",IF($I$8="A",(RANK(H51,H$11:H$343,1)+COUNTIF(H$11:H51,H51)-1),(RANK(H51,H$11:H$343)+COUNTIF(H$11:H51,H51)-1)))</f>
        <v/>
      </c>
      <c r="J51" s="41"/>
      <c r="K51" s="36">
        <f t="shared" si="34"/>
        <v>41</v>
      </c>
      <c r="L51" t="str">
        <f t="shared" si="27"/>
        <v>Stockton-on-Tees</v>
      </c>
      <c r="M51" s="117">
        <f t="shared" si="28"/>
        <v>415.3</v>
      </c>
      <c r="N51" s="112">
        <f t="shared" si="23"/>
        <v>415.3</v>
      </c>
      <c r="O51" s="96" t="str">
        <f t="shared" si="11"/>
        <v/>
      </c>
      <c r="P51" s="96" t="str">
        <f t="shared" si="19"/>
        <v/>
      </c>
      <c r="Q51" s="96">
        <f t="shared" si="20"/>
        <v>415.3</v>
      </c>
      <c r="R51" s="92" t="str">
        <f t="shared" si="21"/>
        <v/>
      </c>
      <c r="S51" s="42" t="str">
        <f t="shared" si="12"/>
        <v/>
      </c>
      <c r="T51" s="167">
        <f>IF(L51="","",VLOOKUP(L51,classifications!C:K,9,FALSE))</f>
        <v>0</v>
      </c>
      <c r="U51" s="168" t="str">
        <f t="shared" si="29"/>
        <v/>
      </c>
      <c r="V51" s="174" t="str">
        <f>IF(U51="","",IF($I$8="A",(RANK(U51,U$11:U$343)+COUNTIF(U$11:U51,U51)-1),(RANK(U51,U$11:U$343,1)+COUNTIF(U$11:U51,U51)-1)))</f>
        <v/>
      </c>
      <c r="W51" s="175"/>
      <c r="X51" s="5" t="str">
        <f>IF(L51="","",VLOOKUP($L51,classifications!$C:$J,6,FALSE))</f>
        <v>Urban with City and Town</v>
      </c>
      <c r="Y51" t="str">
        <f t="shared" si="4"/>
        <v/>
      </c>
      <c r="Z51" s="40" t="str">
        <f>IF(Y51="","",IF(I$8="A",(RANK(Y51,Y$11:Y$343,1)+COUNTIF(Y$11:Y51,Y51)-1),(RANK(Y51,Y$11:Y$343)+COUNTIF(Y$11:Y51,Y51)-1)))</f>
        <v/>
      </c>
      <c r="AA51" s="180" t="str">
        <f>IF(L51="","",VLOOKUP($L51,classifications!C:I,7,FALSE))</f>
        <v>Predominantly Urban</v>
      </c>
      <c r="AB51" s="174" t="str">
        <f t="shared" si="14"/>
        <v/>
      </c>
      <c r="AC51" s="174" t="str">
        <f>IF(AB51="","",IF($I$8="A",(RANK(AB51,AB$11:AB$343)+COUNTIF(AB$11:AB51,AB51)-1),(RANK(AB51,AB$11:AB$343,1)+COUNTIF(AB$11:AB51,AB51)-1)))</f>
        <v/>
      </c>
      <c r="AD51" s="174"/>
      <c r="AE51" s="36" t="str">
        <f t="shared" si="24"/>
        <v/>
      </c>
      <c r="AG51" s="15"/>
      <c r="AH51" s="3"/>
      <c r="AI51" s="5" t="str">
        <f>IF(L51="","",VLOOKUP($L51,classifications!$C:$J,8,FALSE))</f>
        <v>Unitary</v>
      </c>
      <c r="AJ51" s="43">
        <f t="shared" si="5"/>
        <v>415.3</v>
      </c>
      <c r="AK51" s="40">
        <f>IF(AJ51="","",IF(I$8="A",(RANK(AJ51,AJ$11:AJ$343,1)+COUNTIF(AJ$11:AJ51,AJ51)-1),(RANK(AJ51,AJ$11:AJ$343)+COUNTIF(AJ$11:AJ51,AJ51)-1)))</f>
        <v>40</v>
      </c>
      <c r="AL51" s="3">
        <f t="shared" si="35"/>
        <v>41</v>
      </c>
      <c r="AM51" t="str">
        <f t="shared" si="30"/>
        <v>Central Bedfordshire</v>
      </c>
      <c r="AN51">
        <f t="shared" si="31"/>
        <v>417.7</v>
      </c>
      <c r="AP51" s="5" t="str">
        <f>IF(L51="","",VLOOKUP($L51,classifications!$C:$E,3,FALSE))</f>
        <v>NE</v>
      </c>
      <c r="AQ51" s="43" t="str">
        <f t="shared" si="17"/>
        <v/>
      </c>
      <c r="AR51" s="40" t="str">
        <f>IF(AQ51="","",IF(I$8="A",(RANK(AQ51,AQ$11:AQ$343,1)+COUNTIF(AQ$11:AQ51,AQ51)-1),(RANK(AQ51,AQ$11:AQ$343)+COUNTIF(AQ$11:AQ51,AQ51)-1)))</f>
        <v/>
      </c>
      <c r="AS51" s="3" t="str">
        <f t="shared" si="36"/>
        <v/>
      </c>
      <c r="AT51" s="40" t="str">
        <f t="shared" si="32"/>
        <v/>
      </c>
      <c r="AU51" s="43" t="str">
        <f t="shared" si="33"/>
        <v/>
      </c>
      <c r="AX51">
        <f>HLOOKUP($AX$9&amp;$AX$10,Data!$A$1:$ZZ$1980,(MATCH($C51,Data!$A$1:$A$1980,0)),FALSE)</f>
        <v>311.2</v>
      </c>
    </row>
    <row r="52" spans="1:50">
      <c r="A52" s="59" t="str">
        <f>$D$1&amp;42</f>
        <v>UA42</v>
      </c>
      <c r="B52" s="60">
        <f>IF(ISERROR(VLOOKUP(A52,classifications!A:C,3,FALSE)),0,VLOOKUP(A52,classifications!A:C,3,FALSE))</f>
        <v>0</v>
      </c>
      <c r="C52" t="s">
        <v>227</v>
      </c>
      <c r="D52" t="str">
        <f>VLOOKUP($C52,classifications!$C:$J,4,FALSE)</f>
        <v>MD</v>
      </c>
      <c r="E52">
        <f>VLOOKUP(C52,classifications!C:K,9,FALSE)</f>
        <v>0</v>
      </c>
      <c r="F52">
        <f t="shared" si="25"/>
        <v>315</v>
      </c>
      <c r="G52" s="15"/>
      <c r="H52" s="42" t="str">
        <f t="shared" si="26"/>
        <v/>
      </c>
      <c r="I52" s="79" t="str">
        <f>IF(H52="","",IF($I$8="A",(RANK(H52,H$11:H$343,1)+COUNTIF(H$11:H52,H52)-1),(RANK(H52,H$11:H$343)+COUNTIF(H$11:H52,H52)-1)))</f>
        <v/>
      </c>
      <c r="J52" s="41"/>
      <c r="K52" s="36">
        <f t="shared" si="34"/>
        <v>42</v>
      </c>
      <c r="L52" t="str">
        <f t="shared" si="27"/>
        <v>Central Bedfordshire</v>
      </c>
      <c r="M52" s="117">
        <f t="shared" si="28"/>
        <v>417.7</v>
      </c>
      <c r="N52" s="112">
        <f t="shared" si="23"/>
        <v>417.7</v>
      </c>
      <c r="O52" s="96" t="str">
        <f t="shared" si="11"/>
        <v/>
      </c>
      <c r="P52" s="96" t="str">
        <f t="shared" si="19"/>
        <v/>
      </c>
      <c r="Q52" s="96">
        <f t="shared" si="20"/>
        <v>417.7</v>
      </c>
      <c r="R52" s="92" t="str">
        <f t="shared" si="21"/>
        <v/>
      </c>
      <c r="S52" s="42" t="str">
        <f t="shared" si="12"/>
        <v/>
      </c>
      <c r="T52" s="167">
        <f>IF(L52="","",VLOOKUP(L52,classifications!C:K,9,FALSE))</f>
        <v>0</v>
      </c>
      <c r="U52" s="168" t="str">
        <f t="shared" si="29"/>
        <v/>
      </c>
      <c r="V52" s="174" t="str">
        <f>IF(U52="","",IF($I$8="A",(RANK(U52,U$11:U$343)+COUNTIF(U$11:U52,U52)-1),(RANK(U52,U$11:U$343,1)+COUNTIF(U$11:U52,U52)-1)))</f>
        <v/>
      </c>
      <c r="W52" s="175"/>
      <c r="X52" s="5" t="str">
        <f>IF(L52="","",VLOOKUP($L52,classifications!$C:$J,6,FALSE))</f>
        <v xml:space="preserve">Largely Rural (rural including hub towns 50-79%) </v>
      </c>
      <c r="Y52">
        <f t="shared" si="4"/>
        <v>417.7</v>
      </c>
      <c r="Z52" s="40">
        <f>IF(Y52="","",IF(I$8="A",(RANK(Y52,Y$11:Y$343,1)+COUNTIF(Y$11:Y52,Y52)-1),(RANK(Y52,Y$11:Y$343)+COUNTIF(Y$11:Y52,Y52)-1)))</f>
        <v>9</v>
      </c>
      <c r="AA52" s="180" t="str">
        <f>IF(L52="","",VLOOKUP($L52,classifications!C:I,7,FALSE))</f>
        <v>Predominantly Rural</v>
      </c>
      <c r="AB52" s="174" t="str">
        <f t="shared" si="14"/>
        <v/>
      </c>
      <c r="AC52" s="174" t="str">
        <f>IF(AB52="","",IF($I$8="A",(RANK(AB52,AB$11:AB$343)+COUNTIF(AB$11:AB52,AB52)-1),(RANK(AB52,AB$11:AB$343,1)+COUNTIF(AB$11:AB52,AB52)-1)))</f>
        <v/>
      </c>
      <c r="AD52" s="174"/>
      <c r="AE52" s="36" t="str">
        <f t="shared" si="24"/>
        <v/>
      </c>
      <c r="AG52" s="15"/>
      <c r="AH52" s="3"/>
      <c r="AI52" s="5" t="str">
        <f>IF(L52="","",VLOOKUP($L52,classifications!$C:$J,8,FALSE))</f>
        <v>Unitary</v>
      </c>
      <c r="AJ52" s="43">
        <f t="shared" si="5"/>
        <v>417.7</v>
      </c>
      <c r="AK52" s="40">
        <f>IF(AJ52="","",IF(I$8="A",(RANK(AJ52,AJ$11:AJ$343,1)+COUNTIF(AJ$11:AJ52,AJ52)-1),(RANK(AJ52,AJ$11:AJ$343)+COUNTIF(AJ$11:AJ52,AJ52)-1)))</f>
        <v>41</v>
      </c>
      <c r="AL52" s="3">
        <f t="shared" si="35"/>
        <v>42</v>
      </c>
      <c r="AM52" t="str">
        <f t="shared" si="30"/>
        <v>Halton</v>
      </c>
      <c r="AN52">
        <f t="shared" si="31"/>
        <v>422.3</v>
      </c>
      <c r="AP52" s="5" t="str">
        <f>IF(L52="","",VLOOKUP($L52,classifications!$C:$E,3,FALSE))</f>
        <v>East of England</v>
      </c>
      <c r="AQ52" s="43" t="str">
        <f t="shared" si="17"/>
        <v/>
      </c>
      <c r="AR52" s="40" t="str">
        <f>IF(AQ52="","",IF(I$8="A",(RANK(AQ52,AQ$11:AQ$343,1)+COUNTIF(AQ$11:AQ52,AQ52)-1),(RANK(AQ52,AQ$11:AQ$343)+COUNTIF(AQ$11:AQ52,AQ52)-1)))</f>
        <v/>
      </c>
      <c r="AS52" s="3" t="str">
        <f t="shared" si="36"/>
        <v/>
      </c>
      <c r="AT52" s="40" t="str">
        <f t="shared" si="32"/>
        <v/>
      </c>
      <c r="AU52" s="43" t="str">
        <f t="shared" si="33"/>
        <v/>
      </c>
      <c r="AX52">
        <f>HLOOKUP($AX$9&amp;$AX$10,Data!$A$1:$ZZ$1980,(MATCH($C52,Data!$A$1:$A$1980,0)),FALSE)</f>
        <v>315</v>
      </c>
    </row>
    <row r="53" spans="1:50">
      <c r="A53" s="59" t="str">
        <f>$D$1&amp;43</f>
        <v>UA43</v>
      </c>
      <c r="B53" s="60">
        <f>IF(ISERROR(VLOOKUP(A53,classifications!A:C,3,FALSE)),0,VLOOKUP(A53,classifications!A:C,3,FALSE))</f>
        <v>0</v>
      </c>
      <c r="C53" t="s">
        <v>228</v>
      </c>
      <c r="D53" t="str">
        <f>VLOOKUP($C53,classifications!$C:$J,4,FALSE)</f>
        <v>MD</v>
      </c>
      <c r="E53">
        <f>VLOOKUP(C53,classifications!C:K,9,FALSE)</f>
        <v>0</v>
      </c>
      <c r="F53">
        <f t="shared" si="25"/>
        <v>380.5</v>
      </c>
      <c r="G53" s="15"/>
      <c r="H53" s="42" t="str">
        <f t="shared" si="26"/>
        <v/>
      </c>
      <c r="I53" s="79" t="str">
        <f>IF(H53="","",IF($I$8="A",(RANK(H53,H$11:H$343,1)+COUNTIF(H$11:H53,H53)-1),(RANK(H53,H$11:H$343)+COUNTIF(H$11:H53,H53)-1)))</f>
        <v/>
      </c>
      <c r="J53" s="41"/>
      <c r="K53" s="36">
        <f t="shared" si="34"/>
        <v>43</v>
      </c>
      <c r="L53" t="str">
        <f t="shared" si="27"/>
        <v>Halton</v>
      </c>
      <c r="M53" s="117">
        <f t="shared" si="28"/>
        <v>422.3</v>
      </c>
      <c r="N53" s="112">
        <f t="shared" si="23"/>
        <v>422.3</v>
      </c>
      <c r="O53" s="96" t="str">
        <f t="shared" si="11"/>
        <v/>
      </c>
      <c r="P53" s="96" t="str">
        <f t="shared" si="19"/>
        <v/>
      </c>
      <c r="Q53" s="96">
        <f t="shared" si="20"/>
        <v>422.3</v>
      </c>
      <c r="R53" s="92" t="str">
        <f t="shared" si="21"/>
        <v/>
      </c>
      <c r="S53" s="42" t="str">
        <f t="shared" si="12"/>
        <v/>
      </c>
      <c r="T53" s="167">
        <f>IF(L53="","",VLOOKUP(L53,classifications!C:K,9,FALSE))</f>
        <v>0</v>
      </c>
      <c r="U53" s="168" t="str">
        <f t="shared" si="29"/>
        <v/>
      </c>
      <c r="V53" s="174" t="str">
        <f>IF(U53="","",IF($I$8="A",(RANK(U53,U$11:U$343)+COUNTIF(U$11:U53,U53)-1),(RANK(U53,U$11:U$343,1)+COUNTIF(U$11:U53,U53)-1)))</f>
        <v/>
      </c>
      <c r="W53" s="175"/>
      <c r="X53" s="5" t="str">
        <f>IF(L53="","",VLOOKUP($L53,classifications!$C:$J,6,FALSE))</f>
        <v>Urban with City and Town</v>
      </c>
      <c r="Y53" t="str">
        <f t="shared" si="4"/>
        <v/>
      </c>
      <c r="Z53" s="40" t="str">
        <f>IF(Y53="","",IF(I$8="A",(RANK(Y53,Y$11:Y$343,1)+COUNTIF(Y$11:Y53,Y53)-1),(RANK(Y53,Y$11:Y$343)+COUNTIF(Y$11:Y53,Y53)-1)))</f>
        <v/>
      </c>
      <c r="AA53" s="180" t="str">
        <f>IF(L53="","",VLOOKUP($L53,classifications!C:I,7,FALSE))</f>
        <v>Predominantly Urban</v>
      </c>
      <c r="AB53" s="174" t="str">
        <f t="shared" si="14"/>
        <v/>
      </c>
      <c r="AC53" s="174" t="str">
        <f>IF(AB53="","",IF($I$8="A",(RANK(AB53,AB$11:AB$343)+COUNTIF(AB$11:AB53,AB53)-1),(RANK(AB53,AB$11:AB$343,1)+COUNTIF(AB$11:AB53,AB53)-1)))</f>
        <v/>
      </c>
      <c r="AD53" s="174"/>
      <c r="AE53" s="36" t="str">
        <f t="shared" si="24"/>
        <v/>
      </c>
      <c r="AG53" s="15"/>
      <c r="AH53" s="3"/>
      <c r="AI53" s="5" t="str">
        <f>IF(L53="","",VLOOKUP($L53,classifications!$C:$J,8,FALSE))</f>
        <v>Unitary</v>
      </c>
      <c r="AJ53" s="43">
        <f t="shared" si="5"/>
        <v>422.3</v>
      </c>
      <c r="AK53" s="40">
        <f>IF(AJ53="","",IF(I$8="A",(RANK(AJ53,AJ$11:AJ$343,1)+COUNTIF(AJ$11:AJ53,AJ53)-1),(RANK(AJ53,AJ$11:AJ$343)+COUNTIF(AJ$11:AJ53,AJ53)-1)))</f>
        <v>42</v>
      </c>
      <c r="AL53" s="3">
        <f t="shared" si="35"/>
        <v>43</v>
      </c>
      <c r="AM53" t="str">
        <f t="shared" si="30"/>
        <v>West Berkshire</v>
      </c>
      <c r="AN53">
        <f t="shared" si="31"/>
        <v>426.5</v>
      </c>
      <c r="AP53" s="5" t="str">
        <f>IF(L53="","",VLOOKUP($L53,classifications!$C:$E,3,FALSE))</f>
        <v>North West</v>
      </c>
      <c r="AQ53" s="43">
        <f t="shared" si="17"/>
        <v>422.3</v>
      </c>
      <c r="AR53" s="40">
        <f>IF(AQ53="","",IF(I$8="A",(RANK(AQ53,AQ$11:AQ$343,1)+COUNTIF(AQ$11:AQ53,AQ53)-1),(RANK(AQ53,AQ$11:AQ$343)+COUNTIF(AQ$11:AQ53,AQ53)-1)))</f>
        <v>3</v>
      </c>
      <c r="AS53" s="3" t="str">
        <f t="shared" si="36"/>
        <v/>
      </c>
      <c r="AT53" s="40" t="str">
        <f t="shared" si="32"/>
        <v/>
      </c>
      <c r="AU53" s="43" t="str">
        <f t="shared" si="33"/>
        <v/>
      </c>
      <c r="AX53">
        <f>HLOOKUP($AX$9&amp;$AX$10,Data!$A$1:$ZZ$1980,(MATCH($C53,Data!$A$1:$A$1980,0)),FALSE)</f>
        <v>380.5</v>
      </c>
    </row>
    <row r="54" spans="1:50">
      <c r="A54" s="59" t="str">
        <f>$D$1&amp;44</f>
        <v>UA44</v>
      </c>
      <c r="B54" s="60">
        <f>IF(ISERROR(VLOOKUP(A54,classifications!A:C,3,FALSE)),0,VLOOKUP(A54,classifications!A:C,3,FALSE))</f>
        <v>0</v>
      </c>
      <c r="C54" t="s">
        <v>27</v>
      </c>
      <c r="D54" t="str">
        <f>VLOOKUP($C54,classifications!$C:$J,4,FALSE)</f>
        <v>SD</v>
      </c>
      <c r="E54">
        <f>VLOOKUP(C54,classifications!C:K,9,FALSE)</f>
        <v>0</v>
      </c>
      <c r="F54" t="str">
        <f t="shared" si="25"/>
        <v>..</v>
      </c>
      <c r="G54" s="15"/>
      <c r="H54" s="42" t="str">
        <f t="shared" si="26"/>
        <v/>
      </c>
      <c r="I54" s="79" t="str">
        <f>IF(H54="","",IF($I$8="A",(RANK(H54,H$11:H$343,1)+COUNTIF(H$11:H54,H54)-1),(RANK(H54,H$11:H$343)+COUNTIF(H$11:H54,H54)-1)))</f>
        <v/>
      </c>
      <c r="J54" s="41"/>
      <c r="K54" s="36">
        <f t="shared" si="34"/>
        <v>44</v>
      </c>
      <c r="L54" t="str">
        <f t="shared" si="27"/>
        <v>West Berkshire</v>
      </c>
      <c r="M54" s="117">
        <f t="shared" si="28"/>
        <v>426.5</v>
      </c>
      <c r="N54" s="112">
        <f t="shared" si="23"/>
        <v>426.5</v>
      </c>
      <c r="O54" s="96" t="str">
        <f t="shared" si="11"/>
        <v/>
      </c>
      <c r="P54" s="96" t="str">
        <f t="shared" si="19"/>
        <v/>
      </c>
      <c r="Q54" s="96" t="str">
        <f t="shared" si="20"/>
        <v/>
      </c>
      <c r="R54" s="92">
        <f t="shared" si="21"/>
        <v>426.5</v>
      </c>
      <c r="S54" s="42" t="str">
        <f t="shared" si="12"/>
        <v/>
      </c>
      <c r="T54" s="167">
        <f>IF(L54="","",VLOOKUP(L54,classifications!C:K,9,FALSE))</f>
        <v>0</v>
      </c>
      <c r="U54" s="168" t="str">
        <f t="shared" si="29"/>
        <v/>
      </c>
      <c r="V54" s="174" t="str">
        <f>IF(U54="","",IF($I$8="A",(RANK(U54,U$11:U$343)+COUNTIF(U$11:U54,U54)-1),(RANK(U54,U$11:U$343,1)+COUNTIF(U$11:U54,U54)-1)))</f>
        <v/>
      </c>
      <c r="W54" s="175"/>
      <c r="X54" s="5" t="str">
        <f>IF(L54="","",VLOOKUP($L54,classifications!$C:$J,6,FALSE))</f>
        <v>Urban with Significant Rural (rural including hub towns 26-49%)</v>
      </c>
      <c r="Y54">
        <f t="shared" si="4"/>
        <v>426.5</v>
      </c>
      <c r="Z54" s="40">
        <f>IF(Y54="","",IF(I$8="A",(RANK(Y54,Y$11:Y$343,1)+COUNTIF(Y$11:Y54,Y54)-1),(RANK(Y54,Y$11:Y$343)+COUNTIF(Y$11:Y54,Y54)-1)))</f>
        <v>10</v>
      </c>
      <c r="AA54" s="180" t="str">
        <f>IF(L54="","",VLOOKUP($L54,classifications!C:I,7,FALSE))</f>
        <v>Significant Rural</v>
      </c>
      <c r="AB54" s="174">
        <f t="shared" si="14"/>
        <v>426.5</v>
      </c>
      <c r="AC54" s="174">
        <f>IF(AB54="","",IF($I$8="A",(RANK(AB54,AB$11:AB$343)+COUNTIF(AB$11:AB54,AB54)-1),(RANK(AB54,AB$11:AB$343,1)+COUNTIF(AB$11:AB54,AB54)-1)))</f>
        <v>4</v>
      </c>
      <c r="AD54" s="174"/>
      <c r="AE54" s="36" t="str">
        <f t="shared" si="24"/>
        <v/>
      </c>
      <c r="AG54" s="15"/>
      <c r="AH54" s="3"/>
      <c r="AI54" s="5" t="str">
        <f>IF(L54="","",VLOOKUP($L54,classifications!$C:$J,8,FALSE))</f>
        <v>Unitary</v>
      </c>
      <c r="AJ54" s="43">
        <f t="shared" si="5"/>
        <v>426.5</v>
      </c>
      <c r="AK54" s="40">
        <f>IF(AJ54="","",IF(I$8="A",(RANK(AJ54,AJ$11:AJ$343,1)+COUNTIF(AJ$11:AJ54,AJ54)-1),(RANK(AJ54,AJ$11:AJ$343)+COUNTIF(AJ$11:AJ54,AJ54)-1)))</f>
        <v>43</v>
      </c>
      <c r="AL54" s="3">
        <f t="shared" si="35"/>
        <v>44</v>
      </c>
      <c r="AM54" t="str">
        <f t="shared" si="30"/>
        <v>Durham</v>
      </c>
      <c r="AN54">
        <f t="shared" si="31"/>
        <v>428</v>
      </c>
      <c r="AP54" s="5" t="str">
        <f>IF(L54="","",VLOOKUP($L54,classifications!$C:$E,3,FALSE))</f>
        <v>South East</v>
      </c>
      <c r="AQ54" s="43" t="str">
        <f t="shared" si="17"/>
        <v/>
      </c>
      <c r="AR54" s="40" t="str">
        <f>IF(AQ54="","",IF(I$8="A",(RANK(AQ54,AQ$11:AQ$343,1)+COUNTIF(AQ$11:AQ54,AQ54)-1),(RANK(AQ54,AQ$11:AQ$343)+COUNTIF(AQ$11:AQ54,AQ54)-1)))</f>
        <v/>
      </c>
      <c r="AS54" s="3" t="str">
        <f t="shared" si="36"/>
        <v/>
      </c>
      <c r="AT54" s="40" t="str">
        <f t="shared" si="32"/>
        <v/>
      </c>
      <c r="AU54" s="43" t="str">
        <f t="shared" si="33"/>
        <v/>
      </c>
      <c r="AX54" t="str">
        <f>HLOOKUP($AX$9&amp;$AX$10,Data!$A$1:$ZZ$1980,(MATCH($C54,Data!$A$1:$A$1980,0)),FALSE)</f>
        <v>..</v>
      </c>
    </row>
    <row r="55" spans="1:50">
      <c r="A55" s="59" t="str">
        <f>$D$1&amp;45</f>
        <v>UA45</v>
      </c>
      <c r="B55" s="60">
        <f>IF(ISERROR(VLOOKUP(A55,classifications!A:C,3,FALSE)),0,VLOOKUP(A55,classifications!A:C,3,FALSE))</f>
        <v>0</v>
      </c>
      <c r="C55" t="s">
        <v>303</v>
      </c>
      <c r="D55" t="str">
        <f>VLOOKUP($C55,classifications!$C:$J,4,FALSE)</f>
        <v>SC</v>
      </c>
      <c r="E55">
        <f>VLOOKUP(C55,classifications!C:K,9,FALSE)</f>
        <v>0</v>
      </c>
      <c r="F55">
        <f t="shared" si="25"/>
        <v>398.7</v>
      </c>
      <c r="G55" s="15"/>
      <c r="H55" s="42" t="str">
        <f t="shared" si="26"/>
        <v/>
      </c>
      <c r="I55" s="79" t="str">
        <f>IF(H55="","",IF($I$8="A",(RANK(H55,H$11:H$343,1)+COUNTIF(H$11:H55,H55)-1),(RANK(H55,H$11:H$343)+COUNTIF(H$11:H55,H55)-1)))</f>
        <v/>
      </c>
      <c r="J55" s="41"/>
      <c r="K55" s="36">
        <f t="shared" si="34"/>
        <v>45</v>
      </c>
      <c r="L55" t="str">
        <f t="shared" si="27"/>
        <v>Durham</v>
      </c>
      <c r="M55" s="117">
        <f t="shared" si="28"/>
        <v>428</v>
      </c>
      <c r="N55" s="112">
        <f t="shared" si="23"/>
        <v>428</v>
      </c>
      <c r="O55" s="96" t="str">
        <f t="shared" si="11"/>
        <v/>
      </c>
      <c r="P55" s="96" t="str">
        <f t="shared" si="19"/>
        <v/>
      </c>
      <c r="Q55" s="96" t="str">
        <f t="shared" si="20"/>
        <v/>
      </c>
      <c r="R55" s="92">
        <f t="shared" si="21"/>
        <v>428</v>
      </c>
      <c r="S55" s="42" t="str">
        <f t="shared" si="12"/>
        <v/>
      </c>
      <c r="T55" s="167" t="str">
        <f>IF(L55="","",VLOOKUP(L55,classifications!C:K,9,FALSE))</f>
        <v>Sparse</v>
      </c>
      <c r="U55" s="168">
        <f t="shared" si="29"/>
        <v>428</v>
      </c>
      <c r="V55" s="174">
        <f>IF(U55="","",IF($I$8="A",(RANK(U55,U$11:U$343)+COUNTIF(U$11:U55,U55)-1),(RANK(U55,U$11:U$343,1)+COUNTIF(U$11:U55,U55)-1)))</f>
        <v>8</v>
      </c>
      <c r="W55" s="175"/>
      <c r="X55" s="5" t="str">
        <f>IF(L55="","",VLOOKUP($L55,classifications!$C:$J,6,FALSE))</f>
        <v xml:space="preserve">Largely Rural (rural including hub towns 50-79%) </v>
      </c>
      <c r="Y55">
        <f t="shared" si="4"/>
        <v>428</v>
      </c>
      <c r="Z55" s="40">
        <f>IF(Y55="","",IF(I$8="A",(RANK(Y55,Y$11:Y$343,1)+COUNTIF(Y$11:Y55,Y55)-1),(RANK(Y55,Y$11:Y$343)+COUNTIF(Y$11:Y55,Y55)-1)))</f>
        <v>11</v>
      </c>
      <c r="AA55" s="180" t="str">
        <f>IF(L55="","",VLOOKUP($L55,classifications!C:I,7,FALSE))</f>
        <v>Predominantly Rural</v>
      </c>
      <c r="AB55" s="174" t="str">
        <f t="shared" si="14"/>
        <v/>
      </c>
      <c r="AC55" s="174" t="str">
        <f>IF(AB55="","",IF($I$8="A",(RANK(AB55,AB$11:AB$343)+COUNTIF(AB$11:AB55,AB55)-1),(RANK(AB55,AB$11:AB$343,1)+COUNTIF(AB$11:AB55,AB55)-1)))</f>
        <v/>
      </c>
      <c r="AD55" s="174"/>
      <c r="AE55" s="36" t="str">
        <f t="shared" si="24"/>
        <v/>
      </c>
      <c r="AG55" s="15"/>
      <c r="AH55" s="3"/>
      <c r="AI55" s="5" t="str">
        <f>IF(L55="","",VLOOKUP($L55,classifications!$C:$J,8,FALSE))</f>
        <v>Unitary</v>
      </c>
      <c r="AJ55" s="43">
        <f t="shared" si="5"/>
        <v>428</v>
      </c>
      <c r="AK55" s="40">
        <f>IF(AJ55="","",IF(I$8="A",(RANK(AJ55,AJ$11:AJ$343,1)+COUNTIF(AJ$11:AJ55,AJ55)-1),(RANK(AJ55,AJ$11:AJ$343)+COUNTIF(AJ$11:AJ55,AJ55)-1)))</f>
        <v>44</v>
      </c>
      <c r="AL55" s="3">
        <f t="shared" si="35"/>
        <v>45</v>
      </c>
      <c r="AM55" t="str">
        <f t="shared" si="30"/>
        <v>Cheshire West &amp; Chester</v>
      </c>
      <c r="AN55">
        <f t="shared" si="31"/>
        <v>429.7</v>
      </c>
      <c r="AP55" s="5" t="str">
        <f>IF(L55="","",VLOOKUP($L55,classifications!$C:$E,3,FALSE))</f>
        <v>NE</v>
      </c>
      <c r="AQ55" s="43" t="str">
        <f t="shared" si="17"/>
        <v/>
      </c>
      <c r="AR55" s="40" t="str">
        <f>IF(AQ55="","",IF(I$8="A",(RANK(AQ55,AQ$11:AQ$343,1)+COUNTIF(AQ$11:AQ55,AQ55)-1),(RANK(AQ55,AQ$11:AQ$343)+COUNTIF(AQ$11:AQ55,AQ55)-1)))</f>
        <v/>
      </c>
      <c r="AS55" s="3" t="str">
        <f t="shared" si="36"/>
        <v/>
      </c>
      <c r="AT55" s="40" t="str">
        <f t="shared" si="32"/>
        <v/>
      </c>
      <c r="AU55" s="43" t="str">
        <f t="shared" si="33"/>
        <v/>
      </c>
      <c r="AX55">
        <f>HLOOKUP($AX$9&amp;$AX$10,Data!$A$1:$ZZ$1980,(MATCH($C55,Data!$A$1:$A$1980,0)),FALSE)</f>
        <v>398.7</v>
      </c>
    </row>
    <row r="56" spans="1:50">
      <c r="A56" s="59" t="str">
        <f>$D$1&amp;46</f>
        <v>UA46</v>
      </c>
      <c r="B56" s="60">
        <f>IF(ISERROR(VLOOKUP(A56,classifications!A:C,3,FALSE)),0,VLOOKUP(A56,classifications!A:C,3,FALSE))</f>
        <v>0</v>
      </c>
      <c r="C56" t="s">
        <v>201</v>
      </c>
      <c r="D56" t="str">
        <f>VLOOKUP($C56,classifications!$C:$J,4,FALSE)</f>
        <v>L</v>
      </c>
      <c r="E56">
        <f>VLOOKUP(C56,classifications!C:K,9,FALSE)</f>
        <v>0</v>
      </c>
      <c r="F56">
        <f t="shared" si="25"/>
        <v>252.8</v>
      </c>
      <c r="G56" s="15"/>
      <c r="H56" s="42" t="str">
        <f t="shared" si="26"/>
        <v/>
      </c>
      <c r="I56" s="79" t="str">
        <f>IF(H56="","",IF($I$8="A",(RANK(H56,H$11:H$343,1)+COUNTIF(H$11:H56,H56)-1),(RANK(H56,H$11:H$343)+COUNTIF(H$11:H56,H56)-1)))</f>
        <v/>
      </c>
      <c r="J56" s="41"/>
      <c r="K56" s="36">
        <f t="shared" si="34"/>
        <v>46</v>
      </c>
      <c r="L56" t="str">
        <f t="shared" si="27"/>
        <v>Cheshire West &amp; Chester</v>
      </c>
      <c r="M56" s="117">
        <f t="shared" si="28"/>
        <v>429.7</v>
      </c>
      <c r="N56" s="112">
        <f t="shared" si="23"/>
        <v>429.7</v>
      </c>
      <c r="O56" s="96" t="str">
        <f t="shared" si="11"/>
        <v/>
      </c>
      <c r="P56" s="96" t="str">
        <f t="shared" si="19"/>
        <v/>
      </c>
      <c r="Q56" s="96" t="str">
        <f t="shared" si="20"/>
        <v/>
      </c>
      <c r="R56" s="92">
        <f t="shared" si="21"/>
        <v>429.7</v>
      </c>
      <c r="S56" s="42" t="str">
        <f t="shared" si="12"/>
        <v/>
      </c>
      <c r="T56" s="167">
        <f>IF(L56="","",VLOOKUP(L56,classifications!C:K,9,FALSE))</f>
        <v>0</v>
      </c>
      <c r="U56" s="168" t="str">
        <f t="shared" si="29"/>
        <v/>
      </c>
      <c r="V56" s="174" t="str">
        <f>IF(U56="","",IF($I$8="A",(RANK(U56,U$11:U$343)+COUNTIF(U$11:U56,U56)-1),(RANK(U56,U$11:U$343,1)+COUNTIF(U$11:U56,U56)-1)))</f>
        <v/>
      </c>
      <c r="W56" s="175"/>
      <c r="X56" s="5" t="str">
        <f>IF(L56="","",VLOOKUP($L56,classifications!$C:$J,6,FALSE))</f>
        <v>Urban with Significant Rural (rural including hub towns 26-49%)</v>
      </c>
      <c r="Y56">
        <f t="shared" si="4"/>
        <v>429.7</v>
      </c>
      <c r="Z56" s="40">
        <f>IF(Y56="","",IF(I$8="A",(RANK(Y56,Y$11:Y$343,1)+COUNTIF(Y$11:Y56,Y56)-1),(RANK(Y56,Y$11:Y$343)+COUNTIF(Y$11:Y56,Y56)-1)))</f>
        <v>12</v>
      </c>
      <c r="AA56" s="180" t="str">
        <f>IF(L56="","",VLOOKUP($L56,classifications!C:I,7,FALSE))</f>
        <v>Significant Rural</v>
      </c>
      <c r="AB56" s="174">
        <f t="shared" si="14"/>
        <v>429.7</v>
      </c>
      <c r="AC56" s="174">
        <f>IF(AB56="","",IF($I$8="A",(RANK(AB56,AB$11:AB$343)+COUNTIF(AB$11:AB56,AB56)-1),(RANK(AB56,AB$11:AB$343,1)+COUNTIF(AB$11:AB56,AB56)-1)))</f>
        <v>3</v>
      </c>
      <c r="AD56" s="174"/>
      <c r="AE56" s="36" t="str">
        <f t="shared" si="24"/>
        <v/>
      </c>
      <c r="AG56" s="15"/>
      <c r="AH56" s="3"/>
      <c r="AI56" s="5" t="str">
        <f>IF(L56="","",VLOOKUP($L56,classifications!$C:$J,8,FALSE))</f>
        <v>Unitary</v>
      </c>
      <c r="AJ56" s="43">
        <f t="shared" si="5"/>
        <v>429.7</v>
      </c>
      <c r="AK56" s="40">
        <f>IF(AJ56="","",IF(I$8="A",(RANK(AJ56,AJ$11:AJ$343,1)+COUNTIF(AJ$11:AJ56,AJ56)-1),(RANK(AJ56,AJ$11:AJ$343)+COUNTIF(AJ$11:AJ56,AJ56)-1)))</f>
        <v>45</v>
      </c>
      <c r="AL56" s="3">
        <f t="shared" si="35"/>
        <v>46</v>
      </c>
      <c r="AM56" t="str">
        <f t="shared" si="30"/>
        <v>North East Lincolnshire</v>
      </c>
      <c r="AN56">
        <f t="shared" si="31"/>
        <v>430.4</v>
      </c>
      <c r="AP56" s="5" t="str">
        <f>IF(L56="","",VLOOKUP($L56,classifications!$C:$E,3,FALSE))</f>
        <v>North West</v>
      </c>
      <c r="AQ56" s="43">
        <f t="shared" si="17"/>
        <v>429.7</v>
      </c>
      <c r="AR56" s="40">
        <f>IF(AQ56="","",IF(I$8="A",(RANK(AQ56,AQ$11:AQ$343,1)+COUNTIF(AQ$11:AQ56,AQ56)-1),(RANK(AQ56,AQ$11:AQ$343)+COUNTIF(AQ$11:AQ56,AQ56)-1)))</f>
        <v>4</v>
      </c>
      <c r="AS56" s="3" t="str">
        <f t="shared" si="36"/>
        <v/>
      </c>
      <c r="AT56" s="40" t="str">
        <f t="shared" si="32"/>
        <v/>
      </c>
      <c r="AU56" s="43" t="str">
        <f t="shared" si="33"/>
        <v/>
      </c>
      <c r="AX56">
        <f>HLOOKUP($AX$9&amp;$AX$10,Data!$A$1:$ZZ$1980,(MATCH($C56,Data!$A$1:$A$1980,0)),FALSE)</f>
        <v>252.8</v>
      </c>
    </row>
    <row r="57" spans="1:50">
      <c r="A57" s="59" t="str">
        <f>$D$1&amp;47</f>
        <v>UA47</v>
      </c>
      <c r="B57" s="60">
        <f>IF(ISERROR(VLOOKUP(A57,classifications!A:C,3,FALSE)),0,VLOOKUP(A57,classifications!A:C,3,FALSE))</f>
        <v>0</v>
      </c>
      <c r="C57" t="s">
        <v>28</v>
      </c>
      <c r="D57" t="str">
        <f>VLOOKUP($C57,classifications!$C:$J,4,FALSE)</f>
        <v>SD</v>
      </c>
      <c r="E57">
        <f>VLOOKUP(C57,classifications!C:K,9,FALSE)</f>
        <v>0</v>
      </c>
      <c r="F57">
        <f t="shared" si="25"/>
        <v>367.7</v>
      </c>
      <c r="G57" s="15"/>
      <c r="H57" s="42" t="str">
        <f t="shared" si="26"/>
        <v/>
      </c>
      <c r="I57" s="79" t="str">
        <f>IF(H57="","",IF($I$8="A",(RANK(H57,H$11:H$343,1)+COUNTIF(H$11:H57,H57)-1),(RANK(H57,H$11:H$343)+COUNTIF(H$11:H57,H57)-1)))</f>
        <v/>
      </c>
      <c r="J57" s="41"/>
      <c r="K57" s="36">
        <f t="shared" si="34"/>
        <v>47</v>
      </c>
      <c r="L57" t="str">
        <f t="shared" si="27"/>
        <v>North East Lincolnshire</v>
      </c>
      <c r="M57" s="117">
        <f t="shared" si="28"/>
        <v>430.4</v>
      </c>
      <c r="N57" s="112">
        <f t="shared" si="23"/>
        <v>430.4</v>
      </c>
      <c r="O57" s="96" t="str">
        <f t="shared" si="11"/>
        <v/>
      </c>
      <c r="P57" s="96" t="str">
        <f t="shared" si="19"/>
        <v/>
      </c>
      <c r="Q57" s="96" t="str">
        <f t="shared" si="20"/>
        <v/>
      </c>
      <c r="R57" s="92">
        <f t="shared" si="21"/>
        <v>430.4</v>
      </c>
      <c r="S57" s="42" t="str">
        <f t="shared" si="12"/>
        <v/>
      </c>
      <c r="T57" s="167">
        <f>IF(L57="","",VLOOKUP(L57,classifications!C:K,9,FALSE))</f>
        <v>0</v>
      </c>
      <c r="U57" s="168" t="str">
        <f t="shared" si="29"/>
        <v/>
      </c>
      <c r="V57" s="174" t="str">
        <f>IF(U57="","",IF($I$8="A",(RANK(U57,U$11:U$343)+COUNTIF(U$11:U57,U57)-1),(RANK(U57,U$11:U$343,1)+COUNTIF(U$11:U57,U57)-1)))</f>
        <v/>
      </c>
      <c r="W57" s="175"/>
      <c r="X57" s="5" t="str">
        <f>IF(L57="","",VLOOKUP($L57,classifications!$C:$J,6,FALSE))</f>
        <v>Urban with City and Town</v>
      </c>
      <c r="Y57" t="str">
        <f t="shared" si="4"/>
        <v/>
      </c>
      <c r="Z57" s="40" t="str">
        <f>IF(Y57="","",IF(I$8="A",(RANK(Y57,Y$11:Y$343,1)+COUNTIF(Y$11:Y57,Y57)-1),(RANK(Y57,Y$11:Y$343)+COUNTIF(Y$11:Y57,Y57)-1)))</f>
        <v/>
      </c>
      <c r="AA57" s="180" t="str">
        <f>IF(L57="","",VLOOKUP($L57,classifications!C:I,7,FALSE))</f>
        <v>Predominantly Urban</v>
      </c>
      <c r="AB57" s="174" t="str">
        <f t="shared" si="14"/>
        <v/>
      </c>
      <c r="AC57" s="174" t="str">
        <f>IF(AB57="","",IF($I$8="A",(RANK(AB57,AB$11:AB$343)+COUNTIF(AB$11:AB57,AB57)-1),(RANK(AB57,AB$11:AB$343,1)+COUNTIF(AB$11:AB57,AB57)-1)))</f>
        <v/>
      </c>
      <c r="AD57" s="174"/>
      <c r="AE57" s="36" t="str">
        <f t="shared" si="24"/>
        <v/>
      </c>
      <c r="AG57" s="15"/>
      <c r="AH57" s="3"/>
      <c r="AI57" s="5" t="str">
        <f>IF(L57="","",VLOOKUP($L57,classifications!$C:$J,8,FALSE))</f>
        <v>Unitary</v>
      </c>
      <c r="AJ57" s="43">
        <f t="shared" si="5"/>
        <v>430.4</v>
      </c>
      <c r="AK57" s="40">
        <f>IF(AJ57="","",IF(I$8="A",(RANK(AJ57,AJ$11:AJ$343,1)+COUNTIF(AJ$11:AJ57,AJ57)-1),(RANK(AJ57,AJ$11:AJ$343)+COUNTIF(AJ$11:AJ57,AJ57)-1)))</f>
        <v>46</v>
      </c>
      <c r="AL57" s="3">
        <f t="shared" si="35"/>
        <v>47</v>
      </c>
      <c r="AM57" t="str">
        <f t="shared" si="30"/>
        <v>Middlesbrough</v>
      </c>
      <c r="AN57">
        <f t="shared" si="31"/>
        <v>437.6</v>
      </c>
      <c r="AP57" s="5" t="str">
        <f>IF(L57="","",VLOOKUP($L57,classifications!$C:$E,3,FALSE))</f>
        <v>Yorkshire &amp; Humberside</v>
      </c>
      <c r="AQ57" s="43" t="str">
        <f t="shared" si="17"/>
        <v/>
      </c>
      <c r="AR57" s="40" t="str">
        <f>IF(AQ57="","",IF(I$8="A",(RANK(AQ57,AQ$11:AQ$343,1)+COUNTIF(AQ$11:AQ57,AQ57)-1),(RANK(AQ57,AQ$11:AQ$343)+COUNTIF(AQ$11:AQ57,AQ57)-1)))</f>
        <v/>
      </c>
      <c r="AS57" s="3" t="str">
        <f t="shared" si="36"/>
        <v/>
      </c>
      <c r="AT57" s="40" t="str">
        <f t="shared" si="32"/>
        <v/>
      </c>
      <c r="AU57" s="43" t="str">
        <f t="shared" si="33"/>
        <v/>
      </c>
      <c r="AX57">
        <f>HLOOKUP($AX$9&amp;$AX$10,Data!$A$1:$ZZ$1980,(MATCH($C57,Data!$A$1:$A$1980,0)),FALSE)</f>
        <v>367.7</v>
      </c>
    </row>
    <row r="58" spans="1:50">
      <c r="A58" s="59" t="str">
        <f>$D$1&amp;48</f>
        <v>UA48</v>
      </c>
      <c r="B58" s="60">
        <f>IF(ISERROR(VLOOKUP(A58,classifications!A:C,3,FALSE)),0,VLOOKUP(A58,classifications!A:C,3,FALSE))</f>
        <v>0</v>
      </c>
      <c r="C58" t="s">
        <v>29</v>
      </c>
      <c r="D58" t="str">
        <f>VLOOKUP($C58,classifications!$C:$J,4,FALSE)</f>
        <v>SD</v>
      </c>
      <c r="E58">
        <f>VLOOKUP(C58,classifications!C:K,9,FALSE)</f>
        <v>0</v>
      </c>
      <c r="F58">
        <f t="shared" si="25"/>
        <v>317.10000000000002</v>
      </c>
      <c r="G58" s="15"/>
      <c r="H58" s="42" t="str">
        <f t="shared" si="26"/>
        <v/>
      </c>
      <c r="I58" s="79" t="str">
        <f>IF(H58="","",IF($I$8="A",(RANK(H58,H$11:H$343,1)+COUNTIF(H$11:H58,H58)-1),(RANK(H58,H$11:H$343)+COUNTIF(H$11:H58,H58)-1)))</f>
        <v/>
      </c>
      <c r="J58" s="41"/>
      <c r="K58" s="36">
        <f t="shared" si="34"/>
        <v>48</v>
      </c>
      <c r="L58" t="str">
        <f t="shared" si="27"/>
        <v>Middlesbrough</v>
      </c>
      <c r="M58" s="117">
        <f t="shared" si="28"/>
        <v>437.6</v>
      </c>
      <c r="N58" s="112">
        <f t="shared" si="23"/>
        <v>437.6</v>
      </c>
      <c r="O58" s="96" t="str">
        <f t="shared" si="11"/>
        <v/>
      </c>
      <c r="P58" s="96" t="str">
        <f t="shared" si="19"/>
        <v/>
      </c>
      <c r="Q58" s="96" t="str">
        <f t="shared" si="20"/>
        <v/>
      </c>
      <c r="R58" s="92">
        <f t="shared" si="21"/>
        <v>437.6</v>
      </c>
      <c r="S58" s="42" t="str">
        <f t="shared" si="12"/>
        <v/>
      </c>
      <c r="T58" s="167">
        <f>IF(L58="","",VLOOKUP(L58,classifications!C:K,9,FALSE))</f>
        <v>0</v>
      </c>
      <c r="U58" s="168" t="str">
        <f t="shared" si="29"/>
        <v/>
      </c>
      <c r="V58" s="174" t="str">
        <f>IF(U58="","",IF($I$8="A",(RANK(U58,U$11:U$343)+COUNTIF(U$11:U58,U58)-1),(RANK(U58,U$11:U$343,1)+COUNTIF(U$11:U58,U58)-1)))</f>
        <v/>
      </c>
      <c r="W58" s="175"/>
      <c r="X58" s="5" t="str">
        <f>IF(L58="","",VLOOKUP($L58,classifications!$C:$J,6,FALSE))</f>
        <v>Urban with City and Town</v>
      </c>
      <c r="Y58" t="str">
        <f t="shared" si="4"/>
        <v/>
      </c>
      <c r="Z58" s="40" t="str">
        <f>IF(Y58="","",IF(I$8="A",(RANK(Y58,Y$11:Y$343,1)+COUNTIF(Y$11:Y58,Y58)-1),(RANK(Y58,Y$11:Y$343)+COUNTIF(Y$11:Y58,Y58)-1)))</f>
        <v/>
      </c>
      <c r="AA58" s="180" t="str">
        <f>IF(L58="","",VLOOKUP($L58,classifications!C:I,7,FALSE))</f>
        <v>Predominantly Urban</v>
      </c>
      <c r="AB58" s="174" t="str">
        <f t="shared" si="14"/>
        <v/>
      </c>
      <c r="AC58" s="174" t="str">
        <f>IF(AB58="","",IF($I$8="A",(RANK(AB58,AB$11:AB$343)+COUNTIF(AB$11:AB58,AB58)-1),(RANK(AB58,AB$11:AB$343,1)+COUNTIF(AB$11:AB58,AB58)-1)))</f>
        <v/>
      </c>
      <c r="AD58" s="174"/>
      <c r="AE58" s="36" t="str">
        <f t="shared" si="24"/>
        <v/>
      </c>
      <c r="AG58" s="15"/>
      <c r="AH58" s="3"/>
      <c r="AI58" s="5" t="str">
        <f>IF(L58="","",VLOOKUP($L58,classifications!$C:$J,8,FALSE))</f>
        <v>Unitary</v>
      </c>
      <c r="AJ58" s="43">
        <f t="shared" si="5"/>
        <v>437.6</v>
      </c>
      <c r="AK58" s="40">
        <f>IF(AJ58="","",IF(I$8="A",(RANK(AJ58,AJ$11:AJ$343,1)+COUNTIF(AJ$11:AJ58,AJ58)-1),(RANK(AJ58,AJ$11:AJ$343)+COUNTIF(AJ$11:AJ58,AJ58)-1)))</f>
        <v>47</v>
      </c>
      <c r="AL58" s="3">
        <f t="shared" si="35"/>
        <v>48</v>
      </c>
      <c r="AM58" t="str">
        <f t="shared" si="30"/>
        <v>Blackpool</v>
      </c>
      <c r="AN58">
        <f t="shared" si="31"/>
        <v>439.4</v>
      </c>
      <c r="AP58" s="5" t="str">
        <f>IF(L58="","",VLOOKUP($L58,classifications!$C:$E,3,FALSE))</f>
        <v>NE</v>
      </c>
      <c r="AQ58" s="43" t="str">
        <f t="shared" si="17"/>
        <v/>
      </c>
      <c r="AR58" s="40" t="str">
        <f>IF(AQ58="","",IF(I$8="A",(RANK(AQ58,AQ$11:AQ$343,1)+COUNTIF(AQ$11:AQ58,AQ58)-1),(RANK(AQ58,AQ$11:AQ$343)+COUNTIF(AQ$11:AQ58,AQ58)-1)))</f>
        <v/>
      </c>
      <c r="AS58" s="3" t="str">
        <f t="shared" si="36"/>
        <v/>
      </c>
      <c r="AT58" s="40" t="str">
        <f t="shared" si="32"/>
        <v/>
      </c>
      <c r="AU58" s="43" t="str">
        <f t="shared" si="33"/>
        <v/>
      </c>
      <c r="AX58">
        <f>HLOOKUP($AX$9&amp;$AX$10,Data!$A$1:$ZZ$1980,(MATCH($C58,Data!$A$1:$A$1980,0)),FALSE)</f>
        <v>317.10000000000002</v>
      </c>
    </row>
    <row r="59" spans="1:50">
      <c r="A59" s="59" t="str">
        <f>$D$1&amp;49</f>
        <v>UA49</v>
      </c>
      <c r="B59" s="60">
        <f>IF(ISERROR(VLOOKUP(A59,classifications!A:C,3,FALSE)),0,VLOOKUP(A59,classifications!A:C,3,FALSE))</f>
        <v>0</v>
      </c>
      <c r="C59" t="s">
        <v>30</v>
      </c>
      <c r="D59" t="str">
        <f>VLOOKUP($C59,classifications!$C:$J,4,FALSE)</f>
        <v>SD</v>
      </c>
      <c r="E59">
        <f>VLOOKUP(C59,classifications!C:K,9,FALSE)</f>
        <v>0</v>
      </c>
      <c r="F59">
        <f t="shared" si="25"/>
        <v>391.3</v>
      </c>
      <c r="G59" s="15"/>
      <c r="H59" s="42" t="str">
        <f t="shared" si="26"/>
        <v/>
      </c>
      <c r="I59" s="79" t="str">
        <f>IF(H59="","",IF($I$8="A",(RANK(H59,H$11:H$343,1)+COUNTIF(H$11:H59,H59)-1),(RANK(H59,H$11:H$343)+COUNTIF(H$11:H59,H59)-1)))</f>
        <v/>
      </c>
      <c r="J59" s="41"/>
      <c r="K59" s="36">
        <f t="shared" si="34"/>
        <v>49</v>
      </c>
      <c r="L59" t="str">
        <f t="shared" si="27"/>
        <v>Blackpool</v>
      </c>
      <c r="M59" s="117">
        <f t="shared" si="28"/>
        <v>439.4</v>
      </c>
      <c r="N59" s="112">
        <f t="shared" si="23"/>
        <v>439.4</v>
      </c>
      <c r="O59" s="96" t="str">
        <f t="shared" si="11"/>
        <v/>
      </c>
      <c r="P59" s="96" t="str">
        <f t="shared" si="19"/>
        <v/>
      </c>
      <c r="Q59" s="96" t="str">
        <f t="shared" si="20"/>
        <v/>
      </c>
      <c r="R59" s="92">
        <f t="shared" si="21"/>
        <v>439.4</v>
      </c>
      <c r="S59" s="42" t="str">
        <f t="shared" si="12"/>
        <v/>
      </c>
      <c r="T59" s="167">
        <f>IF(L59="","",VLOOKUP(L59,classifications!C:K,9,FALSE))</f>
        <v>0</v>
      </c>
      <c r="U59" s="168" t="str">
        <f t="shared" si="29"/>
        <v/>
      </c>
      <c r="V59" s="174" t="str">
        <f>IF(U59="","",IF($I$8="A",(RANK(U59,U$11:U$343)+COUNTIF(U$11:U59,U59)-1),(RANK(U59,U$11:U$343,1)+COUNTIF(U$11:U59,U59)-1)))</f>
        <v/>
      </c>
      <c r="W59" s="175"/>
      <c r="X59" s="5" t="str">
        <f>IF(L59="","",VLOOKUP($L59,classifications!$C:$J,6,FALSE))</f>
        <v>Urban with City and Town</v>
      </c>
      <c r="Y59" t="str">
        <f t="shared" si="4"/>
        <v/>
      </c>
      <c r="Z59" s="40" t="str">
        <f>IF(Y59="","",IF(I$8="A",(RANK(Y59,Y$11:Y$343,1)+COUNTIF(Y$11:Y59,Y59)-1),(RANK(Y59,Y$11:Y$343)+COUNTIF(Y$11:Y59,Y59)-1)))</f>
        <v/>
      </c>
      <c r="AA59" s="180" t="str">
        <f>IF(L59="","",VLOOKUP($L59,classifications!C:I,7,FALSE))</f>
        <v>Predominantly Urban</v>
      </c>
      <c r="AB59" s="174" t="str">
        <f t="shared" si="14"/>
        <v/>
      </c>
      <c r="AC59" s="174" t="str">
        <f>IF(AB59="","",IF($I$8="A",(RANK(AB59,AB$11:AB$343)+COUNTIF(AB$11:AB59,AB59)-1),(RANK(AB59,AB$11:AB$343,1)+COUNTIF(AB$11:AB59,AB59)-1)))</f>
        <v/>
      </c>
      <c r="AD59" s="174"/>
      <c r="AE59" s="36" t="str">
        <f t="shared" si="24"/>
        <v/>
      </c>
      <c r="AG59" s="15"/>
      <c r="AH59" s="3"/>
      <c r="AI59" s="5" t="str">
        <f>IF(L59="","",VLOOKUP($L59,classifications!$C:$J,8,FALSE))</f>
        <v>Unitary</v>
      </c>
      <c r="AJ59" s="43">
        <f t="shared" si="5"/>
        <v>439.4</v>
      </c>
      <c r="AK59" s="40">
        <f>IF(AJ59="","",IF(I$8="A",(RANK(AJ59,AJ$11:AJ$343,1)+COUNTIF(AJ$11:AJ59,AJ59)-1),(RANK(AJ59,AJ$11:AJ$343)+COUNTIF(AJ$11:AJ59,AJ59)-1)))</f>
        <v>48</v>
      </c>
      <c r="AL59" s="3">
        <f t="shared" si="35"/>
        <v>49</v>
      </c>
      <c r="AM59" t="str">
        <f t="shared" si="30"/>
        <v>Dorset</v>
      </c>
      <c r="AN59">
        <f t="shared" si="31"/>
        <v>441.4</v>
      </c>
      <c r="AP59" s="5" t="str">
        <f>IF(L59="","",VLOOKUP($L59,classifications!$C:$E,3,FALSE))</f>
        <v>North West</v>
      </c>
      <c r="AQ59" s="43">
        <f t="shared" si="17"/>
        <v>439.4</v>
      </c>
      <c r="AR59" s="40">
        <f>IF(AQ59="","",IF(I$8="A",(RANK(AQ59,AQ$11:AQ$343,1)+COUNTIF(AQ$11:AQ59,AQ59)-1),(RANK(AQ59,AQ$11:AQ$343)+COUNTIF(AQ$11:AQ59,AQ59)-1)))</f>
        <v>5</v>
      </c>
      <c r="AS59" s="3" t="str">
        <f t="shared" si="36"/>
        <v/>
      </c>
      <c r="AT59" s="40" t="str">
        <f t="shared" si="32"/>
        <v/>
      </c>
      <c r="AU59" s="43" t="str">
        <f t="shared" si="33"/>
        <v/>
      </c>
      <c r="AX59">
        <f>HLOOKUP($AX$9&amp;$AX$10,Data!$A$1:$ZZ$1980,(MATCH($C59,Data!$A$1:$A$1980,0)),FALSE)</f>
        <v>391.3</v>
      </c>
    </row>
    <row r="60" spans="1:50">
      <c r="A60" s="59" t="str">
        <f>$D$1&amp;50</f>
        <v>UA50</v>
      </c>
      <c r="B60" s="60">
        <f>IF(ISERROR(VLOOKUP(A60,classifications!A:C,3,FALSE)),0,VLOOKUP(A60,classifications!A:C,3,FALSE))</f>
        <v>0</v>
      </c>
      <c r="C60" t="s">
        <v>31</v>
      </c>
      <c r="D60" t="str">
        <f>VLOOKUP($C60,classifications!$C:$J,4,FALSE)</f>
        <v>SD</v>
      </c>
      <c r="E60">
        <f>VLOOKUP(C60,classifications!C:K,9,FALSE)</f>
        <v>0</v>
      </c>
      <c r="F60">
        <f t="shared" si="25"/>
        <v>357.9</v>
      </c>
      <c r="G60" s="15"/>
      <c r="H60" s="42" t="str">
        <f t="shared" si="26"/>
        <v/>
      </c>
      <c r="I60" s="79" t="str">
        <f>IF(H60="","",IF($I$8="A",(RANK(H60,H$11:H$343,1)+COUNTIF(H$11:H60,H60)-1),(RANK(H60,H$11:H$343)+COUNTIF(H$11:H60,H60)-1)))</f>
        <v/>
      </c>
      <c r="J60" s="41"/>
      <c r="K60" s="36">
        <f t="shared" si="34"/>
        <v>50</v>
      </c>
      <c r="L60" t="str">
        <f t="shared" si="27"/>
        <v>Dorset</v>
      </c>
      <c r="M60" s="117">
        <f t="shared" si="28"/>
        <v>441.4</v>
      </c>
      <c r="N60" s="112">
        <f t="shared" si="23"/>
        <v>441.4</v>
      </c>
      <c r="O60" s="96" t="str">
        <f t="shared" si="11"/>
        <v/>
      </c>
      <c r="P60" s="96" t="str">
        <f t="shared" si="19"/>
        <v/>
      </c>
      <c r="Q60" s="96" t="str">
        <f t="shared" si="20"/>
        <v/>
      </c>
      <c r="R60" s="92">
        <f t="shared" si="21"/>
        <v>441.4</v>
      </c>
      <c r="S60" s="42" t="str">
        <f t="shared" si="12"/>
        <v/>
      </c>
      <c r="T60" s="167">
        <f>IF(L60="","",VLOOKUP(L60,classifications!C:K,9,FALSE))</f>
        <v>0</v>
      </c>
      <c r="U60" s="168" t="str">
        <f t="shared" si="29"/>
        <v/>
      </c>
      <c r="V60" s="174" t="str">
        <f>IF(U60="","",IF($I$8="A",(RANK(U60,U$11:U$343)+COUNTIF(U$11:U60,U60)-1),(RANK(U60,U$11:U$343,1)+COUNTIF(U$11:U60,U60)-1)))</f>
        <v/>
      </c>
      <c r="W60" s="175"/>
      <c r="X60" s="5" t="str">
        <f>IF(L60="","",VLOOKUP($L60,classifications!$C:$J,6,FALSE))</f>
        <v xml:space="preserve">Largely Rural (rural including hub towns 50-79%) </v>
      </c>
      <c r="Y60">
        <f t="shared" si="4"/>
        <v>441.4</v>
      </c>
      <c r="Z60" s="40">
        <f>IF(Y60="","",IF(I$8="A",(RANK(Y60,Y$11:Y$343,1)+COUNTIF(Y$11:Y60,Y60)-1),(RANK(Y60,Y$11:Y$343)+COUNTIF(Y$11:Y60,Y60)-1)))</f>
        <v>13</v>
      </c>
      <c r="AA60" s="180" t="str">
        <f>IF(L60="","",VLOOKUP($L60,classifications!C:I,7,FALSE))</f>
        <v>Predominantly Rural</v>
      </c>
      <c r="AB60" s="174" t="str">
        <f t="shared" si="14"/>
        <v/>
      </c>
      <c r="AC60" s="174" t="str">
        <f>IF(AB60="","",IF($I$8="A",(RANK(AB60,AB$11:AB$343)+COUNTIF(AB$11:AB60,AB60)-1),(RANK(AB60,AB$11:AB$343,1)+COUNTIF(AB$11:AB60,AB60)-1)))</f>
        <v/>
      </c>
      <c r="AD60" s="174"/>
      <c r="AE60" s="36" t="str">
        <f t="shared" si="24"/>
        <v/>
      </c>
      <c r="AG60" s="15"/>
      <c r="AH60" s="3"/>
      <c r="AI60" s="5" t="str">
        <f>IF(L60="","",VLOOKUP($L60,classifications!$C:$J,8,FALSE))</f>
        <v>Unitary</v>
      </c>
      <c r="AJ60" s="43">
        <f t="shared" si="5"/>
        <v>441.4</v>
      </c>
      <c r="AK60" s="40">
        <f>IF(AJ60="","",IF(I$8="A",(RANK(AJ60,AJ$11:AJ$343,1)+COUNTIF(AJ$11:AJ60,AJ60)-1),(RANK(AJ60,AJ$11:AJ$343)+COUNTIF(AJ$11:AJ60,AJ60)-1)))</f>
        <v>49</v>
      </c>
      <c r="AL60" s="3">
        <f t="shared" si="35"/>
        <v>50</v>
      </c>
      <c r="AM60" t="str">
        <f t="shared" si="30"/>
        <v>Telford &amp; Wrekin</v>
      </c>
      <c r="AN60">
        <f t="shared" si="31"/>
        <v>442.3</v>
      </c>
      <c r="AP60" s="5" t="str">
        <f>IF(L60="","",VLOOKUP($L60,classifications!$C:$E,3,FALSE))</f>
        <v>South West</v>
      </c>
      <c r="AQ60" s="43" t="str">
        <f t="shared" si="17"/>
        <v/>
      </c>
      <c r="AR60" s="40" t="str">
        <f>IF(AQ60="","",IF(I$8="A",(RANK(AQ60,AQ$11:AQ$343,1)+COUNTIF(AQ$11:AQ60,AQ60)-1),(RANK(AQ60,AQ$11:AQ$343)+COUNTIF(AQ$11:AQ60,AQ60)-1)))</f>
        <v/>
      </c>
      <c r="AS60" s="3" t="str">
        <f t="shared" si="36"/>
        <v/>
      </c>
      <c r="AT60" s="40" t="str">
        <f t="shared" si="32"/>
        <v/>
      </c>
      <c r="AU60" s="43" t="str">
        <f t="shared" si="33"/>
        <v/>
      </c>
      <c r="AX60">
        <f>HLOOKUP($AX$9&amp;$AX$10,Data!$A$1:$ZZ$1980,(MATCH($C60,Data!$A$1:$A$1980,0)),FALSE)</f>
        <v>357.9</v>
      </c>
    </row>
    <row r="61" spans="1:50">
      <c r="A61" s="59" t="str">
        <f>$D$1&amp;51</f>
        <v>UA51</v>
      </c>
      <c r="B61" s="60">
        <f>IF(ISERROR(VLOOKUP(A61,classifications!A:C,3,FALSE)),0,VLOOKUP(A61,classifications!A:C,3,FALSE))</f>
        <v>0</v>
      </c>
      <c r="C61" t="s">
        <v>304</v>
      </c>
      <c r="D61" t="str">
        <f>VLOOKUP($C61,classifications!$C:$J,4,FALSE)</f>
        <v>UA</v>
      </c>
      <c r="E61">
        <f>VLOOKUP(C61,classifications!C:K,9,FALSE)</f>
        <v>0</v>
      </c>
      <c r="F61">
        <f t="shared" si="25"/>
        <v>417.7</v>
      </c>
      <c r="G61" s="15"/>
      <c r="H61" s="42">
        <f t="shared" si="26"/>
        <v>417.7</v>
      </c>
      <c r="I61" s="79">
        <f>IF(H61="","",IF($I$8="A",(RANK(H61,H$11:H$343,1)+COUNTIF(H$11:H61,H61)-1),(RANK(H61,H$11:H$343)+COUNTIF(H$11:H61,H61)-1)))</f>
        <v>42</v>
      </c>
      <c r="J61" s="41"/>
      <c r="K61" s="36">
        <f t="shared" si="34"/>
        <v>51</v>
      </c>
      <c r="L61" t="str">
        <f t="shared" si="27"/>
        <v>Telford &amp; Wrekin</v>
      </c>
      <c r="M61" s="117">
        <f t="shared" si="28"/>
        <v>442.3</v>
      </c>
      <c r="N61" s="112">
        <f t="shared" si="23"/>
        <v>442.3</v>
      </c>
      <c r="O61" s="96" t="str">
        <f t="shared" si="11"/>
        <v/>
      </c>
      <c r="P61" s="96" t="str">
        <f t="shared" si="19"/>
        <v/>
      </c>
      <c r="Q61" s="96" t="str">
        <f t="shared" si="20"/>
        <v/>
      </c>
      <c r="R61" s="92">
        <f t="shared" si="21"/>
        <v>442.3</v>
      </c>
      <c r="S61" s="42" t="str">
        <f t="shared" si="12"/>
        <v/>
      </c>
      <c r="T61" s="167">
        <f>IF(L61="","",VLOOKUP(L61,classifications!C:K,9,FALSE))</f>
        <v>0</v>
      </c>
      <c r="U61" s="168" t="str">
        <f t="shared" si="29"/>
        <v/>
      </c>
      <c r="V61" s="174" t="str">
        <f>IF(U61="","",IF($I$8="A",(RANK(U61,U$11:U$343)+COUNTIF(U$11:U61,U61)-1),(RANK(U61,U$11:U$343,1)+COUNTIF(U$11:U61,U61)-1)))</f>
        <v/>
      </c>
      <c r="W61" s="175"/>
      <c r="X61" s="5" t="str">
        <f>IF(L61="","",VLOOKUP($L61,classifications!$C:$J,6,FALSE))</f>
        <v>Urban with City and Town</v>
      </c>
      <c r="Y61" t="str">
        <f t="shared" si="4"/>
        <v/>
      </c>
      <c r="Z61" s="40" t="str">
        <f>IF(Y61="","",IF(I$8="A",(RANK(Y61,Y$11:Y$343,1)+COUNTIF(Y$11:Y61,Y61)-1),(RANK(Y61,Y$11:Y$343)+COUNTIF(Y$11:Y61,Y61)-1)))</f>
        <v/>
      </c>
      <c r="AA61" s="180" t="str">
        <f>IF(L61="","",VLOOKUP($L61,classifications!C:I,7,FALSE))</f>
        <v>Predominantly Urban</v>
      </c>
      <c r="AB61" s="174" t="str">
        <f t="shared" si="14"/>
        <v/>
      </c>
      <c r="AC61" s="174" t="str">
        <f>IF(AB61="","",IF($I$8="A",(RANK(AB61,AB$11:AB$343)+COUNTIF(AB$11:AB61,AB61)-1),(RANK(AB61,AB$11:AB$343,1)+COUNTIF(AB$11:AB61,AB61)-1)))</f>
        <v/>
      </c>
      <c r="AD61" s="174"/>
      <c r="AE61" s="36" t="str">
        <f t="shared" si="24"/>
        <v/>
      </c>
      <c r="AG61" s="15"/>
      <c r="AH61" s="3"/>
      <c r="AI61" s="5" t="str">
        <f>IF(L61="","",VLOOKUP($L61,classifications!$C:$J,8,FALSE))</f>
        <v>Unitary</v>
      </c>
      <c r="AJ61" s="43">
        <f t="shared" si="5"/>
        <v>442.3</v>
      </c>
      <c r="AK61" s="40">
        <f>IF(AJ61="","",IF(I$8="A",(RANK(AJ61,AJ$11:AJ$343,1)+COUNTIF(AJ$11:AJ61,AJ61)-1),(RANK(AJ61,AJ$11:AJ$343)+COUNTIF(AJ$11:AJ61,AJ61)-1)))</f>
        <v>50</v>
      </c>
      <c r="AL61" s="3">
        <f t="shared" si="35"/>
        <v>51</v>
      </c>
      <c r="AM61" t="str">
        <f t="shared" si="30"/>
        <v>Cheshire East</v>
      </c>
      <c r="AN61">
        <f t="shared" si="31"/>
        <v>442.4</v>
      </c>
      <c r="AP61" s="5" t="str">
        <f>IF(L61="","",VLOOKUP($L61,classifications!$C:$E,3,FALSE))</f>
        <v>West Midlands</v>
      </c>
      <c r="AQ61" s="43" t="str">
        <f t="shared" si="17"/>
        <v/>
      </c>
      <c r="AR61" s="40" t="str">
        <f>IF(AQ61="","",IF(I$8="A",(RANK(AQ61,AQ$11:AQ$343,1)+COUNTIF(AQ$11:AQ61,AQ61)-1),(RANK(AQ61,AQ$11:AQ$343)+COUNTIF(AQ$11:AQ61,AQ61)-1)))</f>
        <v/>
      </c>
      <c r="AS61" s="3" t="str">
        <f t="shared" si="36"/>
        <v/>
      </c>
      <c r="AT61" s="40" t="str">
        <f t="shared" si="32"/>
        <v/>
      </c>
      <c r="AU61" s="43" t="str">
        <f t="shared" si="33"/>
        <v/>
      </c>
      <c r="AX61">
        <f>HLOOKUP($AX$9&amp;$AX$10,Data!$A$1:$ZZ$1980,(MATCH($C61,Data!$A$1:$A$1980,0)),FALSE)</f>
        <v>417.7</v>
      </c>
    </row>
    <row r="62" spans="1:50">
      <c r="A62" s="59" t="str">
        <f>$D$1&amp;52</f>
        <v>UA52</v>
      </c>
      <c r="B62" s="60">
        <f>IF(ISERROR(VLOOKUP(A62,classifications!A:C,3,FALSE)),0,VLOOKUP(A62,classifications!A:C,3,FALSE))</f>
        <v>0</v>
      </c>
      <c r="C62" t="s">
        <v>32</v>
      </c>
      <c r="D62" t="str">
        <f>VLOOKUP($C62,classifications!$C:$J,4,FALSE)</f>
        <v>SD</v>
      </c>
      <c r="E62">
        <f>VLOOKUP(C62,classifications!C:K,9,FALSE)</f>
        <v>0</v>
      </c>
      <c r="F62">
        <f t="shared" si="25"/>
        <v>317.10000000000002</v>
      </c>
      <c r="G62" s="15"/>
      <c r="H62" s="42" t="str">
        <f t="shared" si="26"/>
        <v/>
      </c>
      <c r="I62" s="79" t="str">
        <f>IF(H62="","",IF($I$8="A",(RANK(H62,H$11:H$343,1)+COUNTIF(H$11:H62,H62)-1),(RANK(H62,H$11:H$343)+COUNTIF(H$11:H62,H62)-1)))</f>
        <v/>
      </c>
      <c r="J62" s="41"/>
      <c r="K62" s="36">
        <f t="shared" si="34"/>
        <v>52</v>
      </c>
      <c r="L62" t="str">
        <f t="shared" si="27"/>
        <v>Cheshire East</v>
      </c>
      <c r="M62" s="117">
        <f t="shared" si="28"/>
        <v>442.4</v>
      </c>
      <c r="N62" s="112">
        <f t="shared" si="23"/>
        <v>442.4</v>
      </c>
      <c r="O62" s="96" t="str">
        <f t="shared" si="11"/>
        <v/>
      </c>
      <c r="P62" s="96" t="str">
        <f t="shared" si="19"/>
        <v/>
      </c>
      <c r="Q62" s="96" t="str">
        <f t="shared" si="20"/>
        <v/>
      </c>
      <c r="R62" s="92">
        <f t="shared" si="21"/>
        <v>442.4</v>
      </c>
      <c r="S62" s="42" t="str">
        <f t="shared" si="12"/>
        <v>u</v>
      </c>
      <c r="T62" s="167" t="str">
        <f>IF(L62="","",VLOOKUP(L62,classifications!C:K,9,FALSE))</f>
        <v>Sparse</v>
      </c>
      <c r="U62" s="168">
        <f t="shared" si="29"/>
        <v>442.4</v>
      </c>
      <c r="V62" s="174">
        <f>IF(U62="","",IF($I$8="A",(RANK(U62,U$11:U$343)+COUNTIF(U$11:U62,U62)-1),(RANK(U62,U$11:U$343,1)+COUNTIF(U$11:U62,U62)-1)))</f>
        <v>7</v>
      </c>
      <c r="W62" s="175"/>
      <c r="X62" s="5" t="str">
        <f>IF(L62="","",VLOOKUP($L62,classifications!$C:$J,6,FALSE))</f>
        <v>Urban with Significant Rural (rural including hub towns 26-49%)</v>
      </c>
      <c r="Y62">
        <f t="shared" si="4"/>
        <v>442.4</v>
      </c>
      <c r="Z62" s="40">
        <f>IF(Y62="","",IF(I$8="A",(RANK(Y62,Y$11:Y$343,1)+COUNTIF(Y$11:Y62,Y62)-1),(RANK(Y62,Y$11:Y$343)+COUNTIF(Y$11:Y62,Y62)-1)))</f>
        <v>14</v>
      </c>
      <c r="AA62" s="180" t="str">
        <f>IF(L62="","",VLOOKUP($L62,classifications!C:I,7,FALSE))</f>
        <v>Significant Rural</v>
      </c>
      <c r="AB62" s="174">
        <f t="shared" si="14"/>
        <v>442.4</v>
      </c>
      <c r="AC62" s="174">
        <f>IF(AB62="","",IF($I$8="A",(RANK(AB62,AB$11:AB$343)+COUNTIF(AB$11:AB62,AB62)-1),(RANK(AB62,AB$11:AB$343,1)+COUNTIF(AB$11:AB62,AB62)-1)))</f>
        <v>2</v>
      </c>
      <c r="AD62" s="174"/>
      <c r="AE62" s="36" t="str">
        <f t="shared" si="24"/>
        <v/>
      </c>
      <c r="AG62" s="15"/>
      <c r="AH62" s="3"/>
      <c r="AI62" s="5" t="str">
        <f>IF(L62="","",VLOOKUP($L62,classifications!$C:$J,8,FALSE))</f>
        <v>Unitary</v>
      </c>
      <c r="AJ62" s="43">
        <f t="shared" si="5"/>
        <v>442.4</v>
      </c>
      <c r="AK62" s="40">
        <f>IF(AJ62="","",IF(I$8="A",(RANK(AJ62,AJ$11:AJ$343,1)+COUNTIF(AJ$11:AJ62,AJ62)-1),(RANK(AJ62,AJ$11:AJ$343)+COUNTIF(AJ$11:AJ62,AJ62)-1)))</f>
        <v>51</v>
      </c>
      <c r="AL62" s="3">
        <f t="shared" si="35"/>
        <v>52</v>
      </c>
      <c r="AM62" t="str">
        <f t="shared" si="30"/>
        <v>Northumberland</v>
      </c>
      <c r="AN62">
        <f t="shared" si="31"/>
        <v>445</v>
      </c>
      <c r="AP62" s="5" t="str">
        <f>IF(L62="","",VLOOKUP($L62,classifications!$C:$E,3,FALSE))</f>
        <v>North West</v>
      </c>
      <c r="AQ62" s="43">
        <f t="shared" si="17"/>
        <v>442.4</v>
      </c>
      <c r="AR62" s="40">
        <f>IF(AQ62="","",IF(I$8="A",(RANK(AQ62,AQ$11:AQ$343,1)+COUNTIF(AQ$11:AQ62,AQ62)-1),(RANK(AQ62,AQ$11:AQ$343)+COUNTIF(AQ$11:AQ62,AQ62)-1)))</f>
        <v>6</v>
      </c>
      <c r="AS62" s="3" t="str">
        <f t="shared" si="36"/>
        <v/>
      </c>
      <c r="AT62" s="40" t="str">
        <f t="shared" si="32"/>
        <v/>
      </c>
      <c r="AU62" s="43" t="str">
        <f t="shared" si="33"/>
        <v/>
      </c>
      <c r="AX62">
        <f>HLOOKUP($AX$9&amp;$AX$10,Data!$A$1:$ZZ$1980,(MATCH($C62,Data!$A$1:$A$1980,0)),FALSE)</f>
        <v>317.10000000000002</v>
      </c>
    </row>
    <row r="63" spans="1:50">
      <c r="A63" s="59" t="str">
        <f>$D$1&amp;53</f>
        <v>UA53</v>
      </c>
      <c r="B63" s="60">
        <f>IF(ISERROR(VLOOKUP(A63,classifications!A:C,3,FALSE)),0,VLOOKUP(A63,classifications!A:C,3,FALSE))</f>
        <v>0</v>
      </c>
      <c r="C63" t="s">
        <v>33</v>
      </c>
      <c r="D63" t="str">
        <f>VLOOKUP($C63,classifications!$C:$J,4,FALSE)</f>
        <v>SD</v>
      </c>
      <c r="E63">
        <f>VLOOKUP(C63,classifications!C:K,9,FALSE)</f>
        <v>0</v>
      </c>
      <c r="F63">
        <f t="shared" si="25"/>
        <v>359.1</v>
      </c>
      <c r="G63" s="15"/>
      <c r="H63" s="42" t="str">
        <f t="shared" si="26"/>
        <v/>
      </c>
      <c r="I63" s="79" t="str">
        <f>IF(H63="","",IF($I$8="A",(RANK(H63,H$11:H$343,1)+COUNTIF(H$11:H63,H63)-1),(RANK(H63,H$11:H$343)+COUNTIF(H$11:H63,H63)-1)))</f>
        <v/>
      </c>
      <c r="J63" s="41"/>
      <c r="K63" s="36">
        <f t="shared" si="34"/>
        <v>53</v>
      </c>
      <c r="L63" t="str">
        <f t="shared" si="27"/>
        <v>Northumberland</v>
      </c>
      <c r="M63" s="117">
        <f t="shared" si="28"/>
        <v>445</v>
      </c>
      <c r="N63" s="112">
        <f t="shared" si="23"/>
        <v>445</v>
      </c>
      <c r="O63" s="96" t="str">
        <f t="shared" si="11"/>
        <v/>
      </c>
      <c r="P63" s="96" t="str">
        <f t="shared" si="19"/>
        <v/>
      </c>
      <c r="Q63" s="96" t="str">
        <f t="shared" si="20"/>
        <v/>
      </c>
      <c r="R63" s="92">
        <f t="shared" si="21"/>
        <v>445</v>
      </c>
      <c r="S63" s="42" t="str">
        <f t="shared" si="12"/>
        <v/>
      </c>
      <c r="T63" s="167" t="str">
        <f>IF(L63="","",VLOOKUP(L63,classifications!C:K,9,FALSE))</f>
        <v>Sparse</v>
      </c>
      <c r="U63" s="168">
        <f t="shared" si="29"/>
        <v>445</v>
      </c>
      <c r="V63" s="174">
        <f>IF(U63="","",IF($I$8="A",(RANK(U63,U$11:U$343)+COUNTIF(U$11:U63,U63)-1),(RANK(U63,U$11:U$343,1)+COUNTIF(U$11:U63,U63)-1)))</f>
        <v>6</v>
      </c>
      <c r="W63" s="175"/>
      <c r="X63" s="5" t="str">
        <f>IF(L63="","",VLOOKUP($L63,classifications!$C:$J,6,FALSE))</f>
        <v xml:space="preserve">Largely Rural (rural including hub towns 50-79%) </v>
      </c>
      <c r="Y63">
        <f t="shared" si="4"/>
        <v>445</v>
      </c>
      <c r="Z63" s="40">
        <f>IF(Y63="","",IF(I$8="A",(RANK(Y63,Y$11:Y$343,1)+COUNTIF(Y$11:Y63,Y63)-1),(RANK(Y63,Y$11:Y$343)+COUNTIF(Y$11:Y63,Y63)-1)))</f>
        <v>15</v>
      </c>
      <c r="AA63" s="180" t="str">
        <f>IF(L63="","",VLOOKUP($L63,classifications!C:I,7,FALSE))</f>
        <v>Predominantly Rural</v>
      </c>
      <c r="AB63" s="174" t="str">
        <f t="shared" si="14"/>
        <v/>
      </c>
      <c r="AC63" s="174" t="str">
        <f>IF(AB63="","",IF($I$8="A",(RANK(AB63,AB$11:AB$343)+COUNTIF(AB$11:AB63,AB63)-1),(RANK(AB63,AB$11:AB$343,1)+COUNTIF(AB$11:AB63,AB63)-1)))</f>
        <v/>
      </c>
      <c r="AD63" s="174"/>
      <c r="AE63" s="36" t="str">
        <f t="shared" si="24"/>
        <v/>
      </c>
      <c r="AG63" s="15"/>
      <c r="AH63" s="3"/>
      <c r="AI63" s="5" t="str">
        <f>IF(L63="","",VLOOKUP($L63,classifications!$C:$J,8,FALSE))</f>
        <v>Unitary</v>
      </c>
      <c r="AJ63" s="43">
        <f t="shared" si="5"/>
        <v>445</v>
      </c>
      <c r="AK63" s="40">
        <f>IF(AJ63="","",IF(I$8="A",(RANK(AJ63,AJ$11:AJ$343,1)+COUNTIF(AJ$11:AJ63,AJ63)-1),(RANK(AJ63,AJ$11:AJ$343)+COUNTIF(AJ$11:AJ63,AJ63)-1)))</f>
        <v>52</v>
      </c>
      <c r="AL63" s="3">
        <f t="shared" si="35"/>
        <v>53</v>
      </c>
      <c r="AM63" t="str">
        <f t="shared" si="30"/>
        <v>Cornwall</v>
      </c>
      <c r="AN63">
        <f t="shared" si="31"/>
        <v>457.1</v>
      </c>
      <c r="AP63" s="5" t="str">
        <f>IF(L63="","",VLOOKUP($L63,classifications!$C:$E,3,FALSE))</f>
        <v>NE</v>
      </c>
      <c r="AQ63" s="43" t="str">
        <f t="shared" si="17"/>
        <v/>
      </c>
      <c r="AR63" s="40" t="str">
        <f>IF(AQ63="","",IF(I$8="A",(RANK(AQ63,AQ$11:AQ$343,1)+COUNTIF(AQ$11:AQ63,AQ63)-1),(RANK(AQ63,AQ$11:AQ$343)+COUNTIF(AQ$11:AQ63,AQ63)-1)))</f>
        <v/>
      </c>
      <c r="AS63" s="3" t="str">
        <f t="shared" si="36"/>
        <v/>
      </c>
      <c r="AT63" s="40" t="str">
        <f t="shared" si="32"/>
        <v/>
      </c>
      <c r="AU63" s="43" t="str">
        <f t="shared" si="33"/>
        <v/>
      </c>
      <c r="AX63">
        <f>HLOOKUP($AX$9&amp;$AX$10,Data!$A$1:$ZZ$1980,(MATCH($C63,Data!$A$1:$A$1980,0)),FALSE)</f>
        <v>359.1</v>
      </c>
    </row>
    <row r="64" spans="1:50">
      <c r="A64" s="59" t="str">
        <f>$D$1&amp;54</f>
        <v>UA54</v>
      </c>
      <c r="B64" s="60">
        <f>IF(ISERROR(VLOOKUP(A64,classifications!A:C,3,FALSE)),0,VLOOKUP(A64,classifications!A:C,3,FALSE))</f>
        <v>0</v>
      </c>
      <c r="C64" t="s">
        <v>34</v>
      </c>
      <c r="D64" t="str">
        <f>VLOOKUP($C64,classifications!$C:$J,4,FALSE)</f>
        <v>SD</v>
      </c>
      <c r="E64">
        <f>VLOOKUP(C64,classifications!C:K,9,FALSE)</f>
        <v>0</v>
      </c>
      <c r="F64">
        <f t="shared" si="25"/>
        <v>381</v>
      </c>
      <c r="G64" s="15"/>
      <c r="H64" s="42" t="str">
        <f t="shared" si="26"/>
        <v/>
      </c>
      <c r="I64" s="79" t="str">
        <f>IF(H64="","",IF($I$8="A",(RANK(H64,H$11:H$343,1)+COUNTIF(H$11:H64,H64)-1),(RANK(H64,H$11:H$343)+COUNTIF(H$11:H64,H64)-1)))</f>
        <v/>
      </c>
      <c r="J64" s="41"/>
      <c r="K64" s="36">
        <f t="shared" si="34"/>
        <v>54</v>
      </c>
      <c r="L64" t="str">
        <f t="shared" si="27"/>
        <v>Cornwall</v>
      </c>
      <c r="M64" s="117">
        <f t="shared" si="28"/>
        <v>457.1</v>
      </c>
      <c r="N64" s="112">
        <f t="shared" si="23"/>
        <v>457.1</v>
      </c>
      <c r="O64" s="96" t="str">
        <f t="shared" si="11"/>
        <v/>
      </c>
      <c r="P64" s="96" t="str">
        <f t="shared" si="19"/>
        <v/>
      </c>
      <c r="Q64" s="96" t="str">
        <f t="shared" si="20"/>
        <v/>
      </c>
      <c r="R64" s="92">
        <f t="shared" si="21"/>
        <v>457.1</v>
      </c>
      <c r="S64" s="42" t="str">
        <f t="shared" si="12"/>
        <v/>
      </c>
      <c r="T64" s="167" t="str">
        <f>IF(L64="","",VLOOKUP(L64,classifications!C:K,9,FALSE))</f>
        <v>Sparse</v>
      </c>
      <c r="U64" s="168">
        <f t="shared" si="29"/>
        <v>457.1</v>
      </c>
      <c r="V64" s="174">
        <f>IF(U64="","",IF($I$8="A",(RANK(U64,U$11:U$343)+COUNTIF(U$11:U64,U64)-1),(RANK(U64,U$11:U$343,1)+COUNTIF(U$11:U64,U64)-1)))</f>
        <v>5</v>
      </c>
      <c r="W64" s="175"/>
      <c r="X64" s="5" t="str">
        <f>IF(L64="","",VLOOKUP($L64,classifications!$C:$J,6,FALSE))</f>
        <v xml:space="preserve">Mainly Rural (rural including hub towns &gt;=80%) </v>
      </c>
      <c r="Y64">
        <f t="shared" si="4"/>
        <v>457.1</v>
      </c>
      <c r="Z64" s="40">
        <f>IF(Y64="","",IF(I$8="A",(RANK(Y64,Y$11:Y$343,1)+COUNTIF(Y$11:Y64,Y64)-1),(RANK(Y64,Y$11:Y$343)+COUNTIF(Y$11:Y64,Y64)-1)))</f>
        <v>16</v>
      </c>
      <c r="AA64" s="180" t="str">
        <f>IF(L64="","",VLOOKUP($L64,classifications!C:I,7,FALSE))</f>
        <v>Predominantly Rural</v>
      </c>
      <c r="AB64" s="174" t="str">
        <f t="shared" si="14"/>
        <v/>
      </c>
      <c r="AC64" s="174" t="str">
        <f>IF(AB64="","",IF($I$8="A",(RANK(AB64,AB$11:AB$343)+COUNTIF(AB$11:AB64,AB64)-1),(RANK(AB64,AB$11:AB$343,1)+COUNTIF(AB$11:AB64,AB64)-1)))</f>
        <v/>
      </c>
      <c r="AD64" s="174"/>
      <c r="AE64" s="36" t="str">
        <f t="shared" si="24"/>
        <v/>
      </c>
      <c r="AG64" s="15"/>
      <c r="AH64" s="3"/>
      <c r="AI64" s="5" t="str">
        <f>IF(L64="","",VLOOKUP($L64,classifications!$C:$J,8,FALSE))</f>
        <v>Unitary</v>
      </c>
      <c r="AJ64" s="43">
        <f t="shared" si="5"/>
        <v>457.1</v>
      </c>
      <c r="AK64" s="40">
        <f>IF(AJ64="","",IF(I$8="A",(RANK(AJ64,AJ$11:AJ$343,1)+COUNTIF(AJ$11:AJ64,AJ64)-1),(RANK(AJ64,AJ$11:AJ$343)+COUNTIF(AJ$11:AJ64,AJ64)-1)))</f>
        <v>53</v>
      </c>
      <c r="AL64" s="3">
        <f t="shared" si="35"/>
        <v>54</v>
      </c>
      <c r="AM64" t="str">
        <f t="shared" si="30"/>
        <v>East Riding of Yorkshire</v>
      </c>
      <c r="AN64">
        <f t="shared" si="31"/>
        <v>468.3</v>
      </c>
      <c r="AP64" s="5" t="str">
        <f>IF(L64="","",VLOOKUP($L64,classifications!$C:$E,3,FALSE))</f>
        <v>South West</v>
      </c>
      <c r="AQ64" s="43" t="str">
        <f t="shared" si="17"/>
        <v/>
      </c>
      <c r="AR64" s="40" t="str">
        <f>IF(AQ64="","",IF(I$8="A",(RANK(AQ64,AQ$11:AQ$343,1)+COUNTIF(AQ$11:AQ64,AQ64)-1),(RANK(AQ64,AQ$11:AQ$343)+COUNTIF(AQ$11:AQ64,AQ64)-1)))</f>
        <v/>
      </c>
      <c r="AS64" s="3" t="str">
        <f t="shared" si="36"/>
        <v/>
      </c>
      <c r="AT64" s="40" t="str">
        <f t="shared" si="32"/>
        <v/>
      </c>
      <c r="AU64" s="43" t="str">
        <f t="shared" si="33"/>
        <v/>
      </c>
      <c r="AX64">
        <f>HLOOKUP($AX$9&amp;$AX$10,Data!$A$1:$ZZ$1980,(MATCH($C64,Data!$A$1:$A$1980,0)),FALSE)</f>
        <v>381</v>
      </c>
    </row>
    <row r="65" spans="1:50">
      <c r="A65" s="59" t="str">
        <f>$D$1&amp;55</f>
        <v>UA55</v>
      </c>
      <c r="B65" s="60">
        <f>IF(ISERROR(VLOOKUP(A65,classifications!A:C,3,FALSE)),0,VLOOKUP(A65,classifications!A:C,3,FALSE))</f>
        <v>0</v>
      </c>
      <c r="C65" t="s">
        <v>35</v>
      </c>
      <c r="D65" t="str">
        <f>VLOOKUP($C65,classifications!$C:$J,4,FALSE)</f>
        <v>SD</v>
      </c>
      <c r="E65">
        <f>VLOOKUP(C65,classifications!C:K,9,FALSE)</f>
        <v>0</v>
      </c>
      <c r="F65">
        <f t="shared" si="25"/>
        <v>359.2</v>
      </c>
      <c r="G65" s="15"/>
      <c r="H65" s="42" t="str">
        <f t="shared" si="26"/>
        <v/>
      </c>
      <c r="I65" s="79" t="str">
        <f>IF(H65="","",IF($I$8="A",(RANK(H65,H$11:H$343,1)+COUNTIF(H$11:H65,H65)-1),(RANK(H65,H$11:H$343)+COUNTIF(H$11:H65,H65)-1)))</f>
        <v/>
      </c>
      <c r="J65" s="41"/>
      <c r="K65" s="36">
        <f t="shared" si="34"/>
        <v>55</v>
      </c>
      <c r="L65" t="str">
        <f t="shared" si="27"/>
        <v>East Riding of Yorkshire</v>
      </c>
      <c r="M65" s="117">
        <f t="shared" si="28"/>
        <v>468.3</v>
      </c>
      <c r="N65" s="112">
        <f t="shared" si="23"/>
        <v>468.3</v>
      </c>
      <c r="O65" s="96" t="str">
        <f t="shared" si="11"/>
        <v/>
      </c>
      <c r="P65" s="96" t="str">
        <f t="shared" si="19"/>
        <v/>
      </c>
      <c r="Q65" s="96" t="str">
        <f t="shared" si="20"/>
        <v/>
      </c>
      <c r="R65" s="92">
        <f t="shared" si="21"/>
        <v>468.3</v>
      </c>
      <c r="S65" s="42" t="str">
        <f t="shared" si="12"/>
        <v/>
      </c>
      <c r="T65" s="167" t="str">
        <f>IF(L65="","",VLOOKUP(L65,classifications!C:K,9,FALSE))</f>
        <v>Sparse</v>
      </c>
      <c r="U65" s="168">
        <f t="shared" si="29"/>
        <v>468.3</v>
      </c>
      <c r="V65" s="174">
        <f>IF(U65="","",IF($I$8="A",(RANK(U65,U$11:U$343)+COUNTIF(U$11:U65,U65)-1),(RANK(U65,U$11:U$343,1)+COUNTIF(U$11:U65,U65)-1)))</f>
        <v>3</v>
      </c>
      <c r="W65" s="175"/>
      <c r="X65" s="5" t="str">
        <f>IF(L65="","",VLOOKUP($L65,classifications!$C:$J,6,FALSE))</f>
        <v xml:space="preserve">Largely Rural (rural including hub towns 50-79%) </v>
      </c>
      <c r="Y65">
        <f t="shared" si="4"/>
        <v>468.3</v>
      </c>
      <c r="Z65" s="40">
        <f>IF(Y65="","",IF(I$8="A",(RANK(Y65,Y$11:Y$343,1)+COUNTIF(Y$11:Y65,Y65)-1),(RANK(Y65,Y$11:Y$343)+COUNTIF(Y$11:Y65,Y65)-1)))</f>
        <v>17</v>
      </c>
      <c r="AA65" s="180" t="str">
        <f>IF(L65="","",VLOOKUP($L65,classifications!C:I,7,FALSE))</f>
        <v>Predominantly Rural</v>
      </c>
      <c r="AB65" s="174" t="str">
        <f t="shared" si="14"/>
        <v/>
      </c>
      <c r="AC65" s="174" t="str">
        <f>IF(AB65="","",IF($I$8="A",(RANK(AB65,AB$11:AB$343)+COUNTIF(AB$11:AB65,AB65)-1),(RANK(AB65,AB$11:AB$343,1)+COUNTIF(AB$11:AB65,AB65)-1)))</f>
        <v/>
      </c>
      <c r="AD65" s="174"/>
      <c r="AE65" s="36" t="str">
        <f t="shared" si="24"/>
        <v/>
      </c>
      <c r="AG65" s="15"/>
      <c r="AH65" s="3"/>
      <c r="AI65" s="5" t="str">
        <f>IF(L65="","",VLOOKUP($L65,classifications!$C:$J,8,FALSE))</f>
        <v>Unitary</v>
      </c>
      <c r="AJ65" s="43">
        <f t="shared" si="5"/>
        <v>468.3</v>
      </c>
      <c r="AK65" s="40">
        <f>IF(AJ65="","",IF(I$8="A",(RANK(AJ65,AJ$11:AJ$343,1)+COUNTIF(AJ$11:AJ65,AJ65)-1),(RANK(AJ65,AJ$11:AJ$343)+COUNTIF(AJ$11:AJ65,AJ65)-1)))</f>
        <v>54</v>
      </c>
      <c r="AL65" s="3">
        <f t="shared" si="35"/>
        <v>55</v>
      </c>
      <c r="AM65" t="str">
        <f t="shared" si="30"/>
        <v>Rutland</v>
      </c>
      <c r="AN65">
        <f t="shared" si="31"/>
        <v>468.3</v>
      </c>
      <c r="AP65" s="5" t="str">
        <f>IF(L65="","",VLOOKUP($L65,classifications!$C:$E,3,FALSE))</f>
        <v>Yorkshire &amp; Humberside</v>
      </c>
      <c r="AQ65" s="43" t="str">
        <f t="shared" si="17"/>
        <v/>
      </c>
      <c r="AR65" s="40" t="str">
        <f>IF(AQ65="","",IF(I$8="A",(RANK(AQ65,AQ$11:AQ$343,1)+COUNTIF(AQ$11:AQ65,AQ65)-1),(RANK(AQ65,AQ$11:AQ$343)+COUNTIF(AQ$11:AQ65,AQ65)-1)))</f>
        <v/>
      </c>
      <c r="AS65" s="3" t="str">
        <f t="shared" si="36"/>
        <v/>
      </c>
      <c r="AT65" s="40" t="str">
        <f t="shared" si="32"/>
        <v/>
      </c>
      <c r="AU65" s="43" t="str">
        <f t="shared" si="33"/>
        <v/>
      </c>
      <c r="AX65">
        <f>HLOOKUP($AX$9&amp;$AX$10,Data!$A$1:$ZZ$1980,(MATCH($C65,Data!$A$1:$A$1980,0)),FALSE)</f>
        <v>359.2</v>
      </c>
    </row>
    <row r="66" spans="1:50">
      <c r="A66" s="59" t="str">
        <f>$D$1&amp;56</f>
        <v>UA56</v>
      </c>
      <c r="B66" s="60">
        <f>IF(ISERROR(VLOOKUP(A66,classifications!A:C,3,FALSE)),0,VLOOKUP(A66,classifications!A:C,3,FALSE))</f>
        <v>0</v>
      </c>
      <c r="C66" t="s">
        <v>305</v>
      </c>
      <c r="D66" t="str">
        <f>VLOOKUP($C66,classifications!$C:$J,4,FALSE)</f>
        <v>UA</v>
      </c>
      <c r="E66" t="str">
        <f>VLOOKUP(C66,classifications!C:K,9,FALSE)</f>
        <v>Sparse</v>
      </c>
      <c r="F66">
        <f t="shared" si="25"/>
        <v>442.4</v>
      </c>
      <c r="G66" s="15"/>
      <c r="H66" s="42">
        <f t="shared" si="26"/>
        <v>442.4</v>
      </c>
      <c r="I66" s="79">
        <f>IF(H66="","",IF($I$8="A",(RANK(H66,H$11:H$343,1)+COUNTIF(H$11:H66,H66)-1),(RANK(H66,H$11:H$343)+COUNTIF(H$11:H66,H66)-1)))</f>
        <v>52</v>
      </c>
      <c r="J66" s="41"/>
      <c r="K66" s="36">
        <f t="shared" si="34"/>
        <v>56</v>
      </c>
      <c r="L66" t="str">
        <f t="shared" si="27"/>
        <v>Rutland</v>
      </c>
      <c r="M66" s="117">
        <f t="shared" si="28"/>
        <v>468.3</v>
      </c>
      <c r="N66" s="112">
        <f t="shared" si="23"/>
        <v>468.3</v>
      </c>
      <c r="O66" s="96" t="str">
        <f t="shared" si="11"/>
        <v/>
      </c>
      <c r="P66" s="96" t="str">
        <f t="shared" si="19"/>
        <v/>
      </c>
      <c r="Q66" s="96" t="str">
        <f t="shared" si="20"/>
        <v/>
      </c>
      <c r="R66" s="92">
        <f t="shared" si="21"/>
        <v>468.3</v>
      </c>
      <c r="S66" s="42" t="str">
        <f t="shared" si="12"/>
        <v/>
      </c>
      <c r="T66" s="167" t="str">
        <f>IF(L66="","",VLOOKUP(L66,classifications!C:K,9,FALSE))</f>
        <v>Sparse</v>
      </c>
      <c r="U66" s="168">
        <f t="shared" si="29"/>
        <v>468.3</v>
      </c>
      <c r="V66" s="174">
        <f>IF(U66="","",IF($I$8="A",(RANK(U66,U$11:U$343)+COUNTIF(U$11:U66,U66)-1),(RANK(U66,U$11:U$343,1)+COUNTIF(U$11:U66,U66)-1)))</f>
        <v>4</v>
      </c>
      <c r="W66" s="175"/>
      <c r="X66" s="5" t="str">
        <f>IF(L66="","",VLOOKUP($L66,classifications!$C:$J,6,FALSE))</f>
        <v xml:space="preserve">Mainly Rural (rural including hub towns &gt;=80%) </v>
      </c>
      <c r="Y66">
        <f t="shared" si="4"/>
        <v>468.3</v>
      </c>
      <c r="Z66" s="40">
        <f>IF(Y66="","",IF(I$8="A",(RANK(Y66,Y$11:Y$343,1)+COUNTIF(Y$11:Y66,Y66)-1),(RANK(Y66,Y$11:Y$343)+COUNTIF(Y$11:Y66,Y66)-1)))</f>
        <v>18</v>
      </c>
      <c r="AA66" s="180" t="str">
        <f>IF(L66="","",VLOOKUP($L66,classifications!C:I,7,FALSE))</f>
        <v>Predominantly Rural</v>
      </c>
      <c r="AB66" s="174" t="str">
        <f t="shared" si="14"/>
        <v/>
      </c>
      <c r="AC66" s="174" t="str">
        <f>IF(AB66="","",IF($I$8="A",(RANK(AB66,AB$11:AB$343)+COUNTIF(AB$11:AB66,AB66)-1),(RANK(AB66,AB$11:AB$343,1)+COUNTIF(AB$11:AB66,AB66)-1)))</f>
        <v/>
      </c>
      <c r="AD66" s="174"/>
      <c r="AE66" s="36" t="str">
        <f t="shared" si="24"/>
        <v/>
      </c>
      <c r="AG66" s="15"/>
      <c r="AH66" s="3"/>
      <c r="AI66" s="5" t="str">
        <f>IF(L66="","",VLOOKUP($L66,classifications!$C:$J,8,FALSE))</f>
        <v>Unitary</v>
      </c>
      <c r="AJ66" s="43">
        <f t="shared" si="5"/>
        <v>468.3</v>
      </c>
      <c r="AK66" s="40">
        <f>IF(AJ66="","",IF(I$8="A",(RANK(AJ66,AJ$11:AJ$343,1)+COUNTIF(AJ$11:AJ66,AJ66)-1),(RANK(AJ66,AJ$11:AJ$343)+COUNTIF(AJ$11:AJ66,AJ66)-1)))</f>
        <v>55</v>
      </c>
      <c r="AL66" s="3">
        <f t="shared" si="35"/>
        <v>56</v>
      </c>
      <c r="AM66" t="str">
        <f t="shared" si="30"/>
        <v>North Lincolnshire</v>
      </c>
      <c r="AN66">
        <f t="shared" si="31"/>
        <v>468.4</v>
      </c>
      <c r="AP66" s="5" t="str">
        <f>IF(L66="","",VLOOKUP($L66,classifications!$C:$E,3,FALSE))</f>
        <v>East Midlands</v>
      </c>
      <c r="AQ66" s="43" t="str">
        <f t="shared" si="17"/>
        <v/>
      </c>
      <c r="AR66" s="40" t="str">
        <f>IF(AQ66="","",IF(I$8="A",(RANK(AQ66,AQ$11:AQ$343,1)+COUNTIF(AQ$11:AQ66,AQ66)-1),(RANK(AQ66,AQ$11:AQ$343)+COUNTIF(AQ$11:AQ66,AQ66)-1)))</f>
        <v/>
      </c>
      <c r="AS66" s="3" t="str">
        <f t="shared" si="36"/>
        <v/>
      </c>
      <c r="AT66" s="40" t="str">
        <f t="shared" si="32"/>
        <v/>
      </c>
      <c r="AU66" s="43" t="str">
        <f t="shared" si="33"/>
        <v/>
      </c>
      <c r="AX66">
        <f>HLOOKUP($AX$9&amp;$AX$10,Data!$A$1:$ZZ$1980,(MATCH($C66,Data!$A$1:$A$1980,0)),FALSE)</f>
        <v>442.4</v>
      </c>
    </row>
    <row r="67" spans="1:50">
      <c r="A67" s="59" t="str">
        <f>$D$1&amp;57</f>
        <v>UA57</v>
      </c>
      <c r="B67" s="60">
        <f>IF(ISERROR(VLOOKUP(A67,classifications!A:C,3,FALSE)),0,VLOOKUP(A67,classifications!A:C,3,FALSE))</f>
        <v>0</v>
      </c>
      <c r="C67" t="s">
        <v>814</v>
      </c>
      <c r="D67" t="str">
        <f>VLOOKUP($C67,classifications!$C:$J,4,FALSE)</f>
        <v>UA</v>
      </c>
      <c r="E67">
        <f>VLOOKUP(C67,classifications!C:K,9,FALSE)</f>
        <v>0</v>
      </c>
      <c r="F67">
        <f t="shared" si="25"/>
        <v>429.7</v>
      </c>
      <c r="G67" s="15"/>
      <c r="H67" s="42">
        <f t="shared" si="26"/>
        <v>429.7</v>
      </c>
      <c r="I67" s="79">
        <f>IF(H67="","",IF($I$8="A",(RANK(H67,H$11:H$343,1)+COUNTIF(H$11:H67,H67)-1),(RANK(H67,H$11:H$343)+COUNTIF(H$11:H67,H67)-1)))</f>
        <v>46</v>
      </c>
      <c r="J67" s="41"/>
      <c r="K67" s="36">
        <f t="shared" si="34"/>
        <v>57</v>
      </c>
      <c r="L67" t="str">
        <f t="shared" si="27"/>
        <v>North Lincolnshire</v>
      </c>
      <c r="M67" s="117">
        <f t="shared" si="28"/>
        <v>468.4</v>
      </c>
      <c r="N67" s="112">
        <f t="shared" si="23"/>
        <v>468.4</v>
      </c>
      <c r="O67" s="96" t="str">
        <f t="shared" si="11"/>
        <v/>
      </c>
      <c r="P67" s="96" t="str">
        <f t="shared" si="19"/>
        <v/>
      </c>
      <c r="Q67" s="96" t="str">
        <f t="shared" si="20"/>
        <v/>
      </c>
      <c r="R67" s="92">
        <f t="shared" si="21"/>
        <v>468.4</v>
      </c>
      <c r="S67" s="42" t="str">
        <f t="shared" si="12"/>
        <v/>
      </c>
      <c r="T67" s="167" t="str">
        <f>IF(L67="","",VLOOKUP(L67,classifications!C:K,9,FALSE))</f>
        <v>Sparse</v>
      </c>
      <c r="U67" s="168">
        <f t="shared" si="29"/>
        <v>468.4</v>
      </c>
      <c r="V67" s="174">
        <f>IF(U67="","",IF($I$8="A",(RANK(U67,U$11:U$343)+COUNTIF(U$11:U67,U67)-1),(RANK(U67,U$11:U$343,1)+COUNTIF(U$11:U67,U67)-1)))</f>
        <v>2</v>
      </c>
      <c r="W67" s="175"/>
      <c r="X67" s="5" t="str">
        <f>IF(L67="","",VLOOKUP($L67,classifications!$C:$J,6,FALSE))</f>
        <v>Urban with Significant Rural (rural including hub towns 26-49%)</v>
      </c>
      <c r="Y67">
        <f t="shared" si="4"/>
        <v>468.4</v>
      </c>
      <c r="Z67" s="40">
        <f>IF(Y67="","",IF(I$8="A",(RANK(Y67,Y$11:Y$343,1)+COUNTIF(Y$11:Y67,Y67)-1),(RANK(Y67,Y$11:Y$343)+COUNTIF(Y$11:Y67,Y67)-1)))</f>
        <v>19</v>
      </c>
      <c r="AA67" s="180" t="str">
        <f>IF(L67="","",VLOOKUP($L67,classifications!C:I,7,FALSE))</f>
        <v>Significant Rural</v>
      </c>
      <c r="AB67" s="174">
        <f t="shared" si="14"/>
        <v>468.4</v>
      </c>
      <c r="AC67" s="174">
        <f>IF(AB67="","",IF($I$8="A",(RANK(AB67,AB$11:AB$343)+COUNTIF(AB$11:AB67,AB67)-1),(RANK(AB67,AB$11:AB$343,1)+COUNTIF(AB$11:AB67,AB67)-1)))</f>
        <v>1</v>
      </c>
      <c r="AD67" s="174"/>
      <c r="AE67" s="36" t="str">
        <f t="shared" ref="AE67:AE85" si="37">IF(AE66="","",IF(AE66+1&gt;(COUNT(AG:AG)),"",AE66+1))</f>
        <v/>
      </c>
      <c r="AG67" s="15"/>
      <c r="AH67" s="3"/>
      <c r="AI67" s="5" t="str">
        <f>IF(L67="","",VLOOKUP($L67,classifications!$C:$J,8,FALSE))</f>
        <v>Unitary</v>
      </c>
      <c r="AJ67" s="43">
        <f t="shared" si="5"/>
        <v>468.4</v>
      </c>
      <c r="AK67" s="40">
        <f>IF(AJ67="","",IF(I$8="A",(RANK(AJ67,AJ$11:AJ$343,1)+COUNTIF(AJ$11:AJ67,AJ67)-1),(RANK(AJ67,AJ$11:AJ$343)+COUNTIF(AJ$11:AJ67,AJ67)-1)))</f>
        <v>56</v>
      </c>
      <c r="AL67" s="3">
        <f t="shared" si="35"/>
        <v>57</v>
      </c>
      <c r="AM67" t="str">
        <f t="shared" si="30"/>
        <v>Shropshire</v>
      </c>
      <c r="AN67">
        <f t="shared" si="31"/>
        <v>479.3</v>
      </c>
      <c r="AP67" s="5" t="str">
        <f>IF(L67="","",VLOOKUP($L67,classifications!$C:$E,3,FALSE))</f>
        <v>Yorkshire &amp; Humberside</v>
      </c>
      <c r="AQ67" s="43" t="str">
        <f t="shared" si="17"/>
        <v/>
      </c>
      <c r="AR67" s="40" t="str">
        <f>IF(AQ67="","",IF(I$8="A",(RANK(AQ67,AQ$11:AQ$343,1)+COUNTIF(AQ$11:AQ67,AQ67)-1),(RANK(AQ67,AQ$11:AQ$343)+COUNTIF(AQ$11:AQ67,AQ67)-1)))</f>
        <v/>
      </c>
      <c r="AS67" s="3" t="str">
        <f t="shared" si="36"/>
        <v/>
      </c>
      <c r="AT67" s="40" t="str">
        <f t="shared" si="32"/>
        <v/>
      </c>
      <c r="AU67" s="43" t="str">
        <f t="shared" si="33"/>
        <v/>
      </c>
      <c r="AX67">
        <f>HLOOKUP($AX$9&amp;$AX$10,Data!$A$1:$ZZ$1980,(MATCH($C67,Data!$A$1:$A$1980,0)),FALSE)</f>
        <v>429.7</v>
      </c>
    </row>
    <row r="68" spans="1:50">
      <c r="A68" s="59" t="str">
        <f>$D$1&amp;58</f>
        <v>UA58</v>
      </c>
      <c r="B68" s="60">
        <f>IF(ISERROR(VLOOKUP(A68,classifications!A:C,3,FALSE)),0,VLOOKUP(A68,classifications!A:C,3,FALSE))</f>
        <v>0</v>
      </c>
      <c r="C68" t="s">
        <v>36</v>
      </c>
      <c r="D68" t="str">
        <f>VLOOKUP($C68,classifications!$C:$J,4,FALSE)</f>
        <v>SD</v>
      </c>
      <c r="E68">
        <f>VLOOKUP(C68,classifications!C:K,9,FALSE)</f>
        <v>0</v>
      </c>
      <c r="F68">
        <f t="shared" si="25"/>
        <v>369.7</v>
      </c>
      <c r="G68" s="15"/>
      <c r="H68" s="42" t="str">
        <f t="shared" si="26"/>
        <v/>
      </c>
      <c r="I68" s="79" t="str">
        <f>IF(H68="","",IF($I$8="A",(RANK(H68,H$11:H$343,1)+COUNTIF(H$11:H68,H68)-1),(RANK(H68,H$11:H$343)+COUNTIF(H$11:H68,H68)-1)))</f>
        <v/>
      </c>
      <c r="J68" s="41"/>
      <c r="K68" s="36">
        <f t="shared" si="34"/>
        <v>58</v>
      </c>
      <c r="L68" t="str">
        <f t="shared" si="27"/>
        <v>Shropshire</v>
      </c>
      <c r="M68" s="117">
        <f t="shared" si="28"/>
        <v>479.3</v>
      </c>
      <c r="N68" s="112">
        <f t="shared" si="23"/>
        <v>479.3</v>
      </c>
      <c r="O68" s="96" t="str">
        <f t="shared" si="11"/>
        <v/>
      </c>
      <c r="P68" s="96" t="str">
        <f t="shared" si="19"/>
        <v/>
      </c>
      <c r="Q68" s="96" t="str">
        <f t="shared" si="20"/>
        <v/>
      </c>
      <c r="R68" s="92">
        <f t="shared" si="21"/>
        <v>479.3</v>
      </c>
      <c r="S68" s="42" t="str">
        <f t="shared" si="12"/>
        <v/>
      </c>
      <c r="T68" s="167" t="str">
        <f>IF(L68="","",VLOOKUP(L68,classifications!C:K,9,FALSE))</f>
        <v>Sparse</v>
      </c>
      <c r="U68" s="168">
        <f t="shared" si="29"/>
        <v>479.3</v>
      </c>
      <c r="V68" s="174">
        <f>IF(U68="","",IF($I$8="A",(RANK(U68,U$11:U$343)+COUNTIF(U$11:U68,U68)-1),(RANK(U68,U$11:U$343,1)+COUNTIF(U$11:U68,U68)-1)))</f>
        <v>1</v>
      </c>
      <c r="W68" s="175"/>
      <c r="X68" s="5" t="str">
        <f>IF(L68="","",VLOOKUP($L68,classifications!$C:$J,6,FALSE))</f>
        <v xml:space="preserve">Largely Rural (rural including hub towns 50-79%) </v>
      </c>
      <c r="Y68">
        <f t="shared" si="4"/>
        <v>479.3</v>
      </c>
      <c r="Z68" s="40">
        <f>IF(Y68="","",IF(I$8="A",(RANK(Y68,Y$11:Y$343,1)+COUNTIF(Y$11:Y68,Y68)-1),(RANK(Y68,Y$11:Y$343)+COUNTIF(Y$11:Y68,Y68)-1)))</f>
        <v>20</v>
      </c>
      <c r="AA68" s="180" t="str">
        <f>IF(L68="","",VLOOKUP($L68,classifications!C:I,7,FALSE))</f>
        <v>Predominantly Rural</v>
      </c>
      <c r="AB68" s="174" t="str">
        <f t="shared" si="14"/>
        <v/>
      </c>
      <c r="AC68" s="174" t="str">
        <f>IF(AB68="","",IF($I$8="A",(RANK(AB68,AB$11:AB$343)+COUNTIF(AB$11:AB68,AB68)-1),(RANK(AB68,AB$11:AB$343,1)+COUNTIF(AB$11:AB68,AB68)-1)))</f>
        <v/>
      </c>
      <c r="AD68" s="174"/>
      <c r="AE68" s="36" t="str">
        <f t="shared" si="37"/>
        <v/>
      </c>
      <c r="AG68" s="15"/>
      <c r="AH68" s="3"/>
      <c r="AI68" s="5" t="str">
        <f>IF(L68="","",VLOOKUP($L68,classifications!$C:$J,8,FALSE))</f>
        <v>Unitary</v>
      </c>
      <c r="AJ68" s="43">
        <f t="shared" si="5"/>
        <v>479.3</v>
      </c>
      <c r="AK68" s="40">
        <f>IF(AJ68="","",IF(I$8="A",(RANK(AJ68,AJ$11:AJ$343,1)+COUNTIF(AJ$11:AJ68,AJ68)-1),(RANK(AJ68,AJ$11:AJ$343)+COUNTIF(AJ$11:AJ68,AJ68)-1)))</f>
        <v>57</v>
      </c>
      <c r="AL68" s="3" t="str">
        <f t="shared" si="35"/>
        <v/>
      </c>
      <c r="AM68" t="str">
        <f t="shared" si="30"/>
        <v/>
      </c>
      <c r="AN68" t="str">
        <f t="shared" si="31"/>
        <v/>
      </c>
      <c r="AP68" s="5" t="str">
        <f>IF(L68="","",VLOOKUP($L68,classifications!$C:$E,3,FALSE))</f>
        <v>West Midlands</v>
      </c>
      <c r="AQ68" s="43" t="str">
        <f t="shared" si="17"/>
        <v/>
      </c>
      <c r="AR68" s="40" t="str">
        <f>IF(AQ68="","",IF(I$8="A",(RANK(AQ68,AQ$11:AQ$343,1)+COUNTIF(AQ$11:AQ68,AQ68)-1),(RANK(AQ68,AQ$11:AQ$343)+COUNTIF(AQ$11:AQ68,AQ68)-1)))</f>
        <v/>
      </c>
      <c r="AS68" s="3" t="str">
        <f t="shared" si="36"/>
        <v/>
      </c>
      <c r="AT68" s="40" t="str">
        <f t="shared" si="32"/>
        <v/>
      </c>
      <c r="AU68" s="43" t="str">
        <f t="shared" si="33"/>
        <v/>
      </c>
      <c r="AX68">
        <f>HLOOKUP($AX$9&amp;$AX$10,Data!$A$1:$ZZ$1980,(MATCH($C68,Data!$A$1:$A$1980,0)),FALSE)</f>
        <v>369.7</v>
      </c>
    </row>
    <row r="69" spans="1:50">
      <c r="A69" s="59" t="str">
        <f>$D$1&amp;59</f>
        <v>UA59</v>
      </c>
      <c r="B69" s="60">
        <f>IF(ISERROR(VLOOKUP(A69,classifications!A:C,3,FALSE)),0,VLOOKUP(A69,classifications!A:C,3,FALSE))</f>
        <v>0</v>
      </c>
      <c r="C69" t="s">
        <v>37</v>
      </c>
      <c r="D69" t="str">
        <f>VLOOKUP($C69,classifications!$C:$J,4,FALSE)</f>
        <v>SD</v>
      </c>
      <c r="E69" t="str">
        <f>VLOOKUP(C69,classifications!C:K,9,FALSE)</f>
        <v>Sparse</v>
      </c>
      <c r="F69">
        <f t="shared" si="25"/>
        <v>362</v>
      </c>
      <c r="G69" s="15"/>
      <c r="H69" s="42" t="str">
        <f t="shared" si="26"/>
        <v/>
      </c>
      <c r="I69" s="79" t="str">
        <f>IF(H69="","",IF($I$8="A",(RANK(H69,H$11:H$343,1)+COUNTIF(H$11:H69,H69)-1),(RANK(H69,H$11:H$343)+COUNTIF(H$11:H69,H69)-1)))</f>
        <v/>
      </c>
      <c r="J69" s="41"/>
      <c r="K69" s="36" t="str">
        <f t="shared" si="34"/>
        <v/>
      </c>
      <c r="L69" t="str">
        <f t="shared" si="27"/>
        <v/>
      </c>
      <c r="M69" s="117" t="str">
        <f t="shared" si="28"/>
        <v/>
      </c>
      <c r="N69" s="112" t="str">
        <f t="shared" si="23"/>
        <v/>
      </c>
      <c r="O69" s="96" t="str">
        <f t="shared" si="11"/>
        <v/>
      </c>
      <c r="P69" s="96" t="str">
        <f t="shared" si="19"/>
        <v/>
      </c>
      <c r="Q69" s="96" t="str">
        <f t="shared" si="20"/>
        <v/>
      </c>
      <c r="R69" s="92" t="str">
        <f t="shared" si="21"/>
        <v/>
      </c>
      <c r="S69" s="42" t="str">
        <f t="shared" si="12"/>
        <v/>
      </c>
      <c r="T69" s="167" t="str">
        <f>IF(L69="","",VLOOKUP(L69,classifications!C:K,9,FALSE))</f>
        <v/>
      </c>
      <c r="U69" s="168" t="str">
        <f t="shared" si="29"/>
        <v/>
      </c>
      <c r="V69" s="174" t="str">
        <f>IF(U69="","",IF($I$8="A",(RANK(U69,U$11:U$343)+COUNTIF(U$11:U69,U69)-1),(RANK(U69,U$11:U$343,1)+COUNTIF(U$11:U69,U69)-1)))</f>
        <v/>
      </c>
      <c r="W69" s="175"/>
      <c r="X69" s="5" t="str">
        <f>IF(L69="","",VLOOKUP($L69,classifications!$C:$J,6,FALSE))</f>
        <v/>
      </c>
      <c r="Y69" t="str">
        <f t="shared" si="4"/>
        <v/>
      </c>
      <c r="Z69" s="40" t="str">
        <f>IF(Y69="","",IF(I$8="A",(RANK(Y69,Y$11:Y$343,1)+COUNTIF(Y$11:Y69,Y69)-1),(RANK(Y69,Y$11:Y$343)+COUNTIF(Y$11:Y69,Y69)-1)))</f>
        <v/>
      </c>
      <c r="AA69" s="180" t="str">
        <f>IF(L69="","",VLOOKUP($L69,classifications!C:I,7,FALSE))</f>
        <v/>
      </c>
      <c r="AB69" s="174" t="str">
        <f t="shared" si="14"/>
        <v/>
      </c>
      <c r="AC69" s="174" t="str">
        <f>IF(AB69="","",IF($I$8="A",(RANK(AB69,AB$11:AB$343)+COUNTIF(AB$11:AB69,AB69)-1),(RANK(AB69,AB$11:AB$343,1)+COUNTIF(AB$11:AB69,AB69)-1)))</f>
        <v/>
      </c>
      <c r="AD69" s="174"/>
      <c r="AE69" s="36" t="str">
        <f t="shared" si="37"/>
        <v/>
      </c>
      <c r="AG69" s="15"/>
      <c r="AH69" s="3"/>
      <c r="AI69" s="5" t="str">
        <f>IF(L69="","",VLOOKUP($L69,classifications!$C:$J,8,FALSE))</f>
        <v/>
      </c>
      <c r="AJ69" s="43" t="str">
        <f t="shared" si="5"/>
        <v/>
      </c>
      <c r="AK69" s="40" t="str">
        <f>IF(AJ69="","",IF(I$8="A",(RANK(AJ69,AJ$11:AJ$343,1)+COUNTIF(AJ$11:AJ69,AJ69)-1),(RANK(AJ69,AJ$11:AJ$343)+COUNTIF(AJ$11:AJ69,AJ69)-1)))</f>
        <v/>
      </c>
      <c r="AL69" s="3" t="str">
        <f t="shared" si="35"/>
        <v/>
      </c>
      <c r="AM69" t="str">
        <f t="shared" si="30"/>
        <v/>
      </c>
      <c r="AN69" t="str">
        <f t="shared" si="31"/>
        <v/>
      </c>
      <c r="AP69" s="5" t="str">
        <f>IF(L69="","",VLOOKUP($L69,classifications!$C:$E,3,FALSE))</f>
        <v/>
      </c>
      <c r="AQ69" s="43" t="str">
        <f t="shared" si="17"/>
        <v/>
      </c>
      <c r="AR69" s="40" t="str">
        <f>IF(AQ69="","",IF(I$8="A",(RANK(AQ69,AQ$11:AQ$343,1)+COUNTIF(AQ$11:AQ69,AQ69)-1),(RANK(AQ69,AQ$11:AQ$343)+COUNTIF(AQ$11:AQ69,AQ69)-1)))</f>
        <v/>
      </c>
      <c r="AS69" s="3" t="str">
        <f t="shared" si="36"/>
        <v/>
      </c>
      <c r="AT69" s="40" t="str">
        <f t="shared" si="32"/>
        <v/>
      </c>
      <c r="AU69" s="43" t="str">
        <f t="shared" si="33"/>
        <v/>
      </c>
      <c r="AX69">
        <f>HLOOKUP($AX$9&amp;$AX$10,Data!$A$1:$ZZ$1980,(MATCH($C69,Data!$A$1:$A$1980,0)),FALSE)</f>
        <v>362</v>
      </c>
    </row>
    <row r="70" spans="1:50">
      <c r="A70" s="59" t="str">
        <f>$D$1&amp;60</f>
        <v>UA60</v>
      </c>
      <c r="B70" s="60">
        <f>IF(ISERROR(VLOOKUP(A70,classifications!A:C,3,FALSE)),0,VLOOKUP(A70,classifications!A:C,3,FALSE))</f>
        <v>0</v>
      </c>
      <c r="C70" t="s">
        <v>903</v>
      </c>
      <c r="D70" t="str">
        <f>VLOOKUP($C70,classifications!$C:$J,4,FALSE)</f>
        <v>UA</v>
      </c>
      <c r="E70">
        <f>VLOOKUP(C70,classifications!C:K,9,FALSE)</f>
        <v>0</v>
      </c>
      <c r="F70">
        <f t="shared" si="25"/>
        <v>392.2</v>
      </c>
      <c r="G70" s="15"/>
      <c r="H70" s="42">
        <f t="shared" si="26"/>
        <v>392.2</v>
      </c>
      <c r="I70" s="79">
        <f>IF(H70="","",IF($I$8="A",(RANK(H70,H$11:H$343,1)+COUNTIF(H$11:H70,H70)-1),(RANK(H70,H$11:H$343)+COUNTIF(H$11:H70,H70)-1)))</f>
        <v>28</v>
      </c>
      <c r="J70" s="41"/>
      <c r="K70" s="36" t="str">
        <f t="shared" si="34"/>
        <v/>
      </c>
      <c r="L70" t="str">
        <f t="shared" si="27"/>
        <v/>
      </c>
      <c r="M70" s="117" t="str">
        <f t="shared" si="28"/>
        <v/>
      </c>
      <c r="N70" s="112" t="str">
        <f t="shared" si="23"/>
        <v/>
      </c>
      <c r="O70" s="96" t="str">
        <f t="shared" si="11"/>
        <v/>
      </c>
      <c r="P70" s="96" t="str">
        <f t="shared" si="19"/>
        <v/>
      </c>
      <c r="Q70" s="96" t="str">
        <f t="shared" si="20"/>
        <v/>
      </c>
      <c r="R70" s="92" t="str">
        <f t="shared" si="21"/>
        <v/>
      </c>
      <c r="S70" s="42" t="str">
        <f t="shared" si="12"/>
        <v/>
      </c>
      <c r="T70" s="167" t="str">
        <f>IF(L70="","",VLOOKUP(L70,classifications!C:K,9,FALSE))</f>
        <v/>
      </c>
      <c r="U70" s="168" t="str">
        <f t="shared" si="29"/>
        <v/>
      </c>
      <c r="V70" s="174" t="str">
        <f>IF(U70="","",IF($I$8="A",(RANK(U70,U$11:U$343)+COUNTIF(U$11:U70,U70)-1),(RANK(U70,U$11:U$343,1)+COUNTIF(U$11:U70,U70)-1)))</f>
        <v/>
      </c>
      <c r="W70" s="175"/>
      <c r="X70" s="5" t="str">
        <f>IF(L70="","",VLOOKUP($L70,classifications!$C:$J,6,FALSE))</f>
        <v/>
      </c>
      <c r="Y70" t="str">
        <f t="shared" si="4"/>
        <v/>
      </c>
      <c r="Z70" s="40" t="str">
        <f>IF(Y70="","",IF(I$8="A",(RANK(Y70,Y$11:Y$343,1)+COUNTIF(Y$11:Y70,Y70)-1),(RANK(Y70,Y$11:Y$343)+COUNTIF(Y$11:Y70,Y70)-1)))</f>
        <v/>
      </c>
      <c r="AA70" s="180" t="str">
        <f>IF(L70="","",VLOOKUP($L70,classifications!C:I,7,FALSE))</f>
        <v/>
      </c>
      <c r="AB70" s="174" t="str">
        <f t="shared" si="14"/>
        <v/>
      </c>
      <c r="AC70" s="174" t="str">
        <f>IF(AB70="","",IF($I$8="A",(RANK(AB70,AB$11:AB$343)+COUNTIF(AB$11:AB70,AB70)-1),(RANK(AB70,AB$11:AB$343,1)+COUNTIF(AB$11:AB70,AB70)-1)))</f>
        <v/>
      </c>
      <c r="AD70" s="174"/>
      <c r="AE70" s="36" t="str">
        <f t="shared" si="37"/>
        <v/>
      </c>
      <c r="AG70" s="15"/>
      <c r="AH70" s="3"/>
      <c r="AI70" s="5" t="str">
        <f>IF(L70="","",VLOOKUP($L70,classifications!$C:$J,8,FALSE))</f>
        <v/>
      </c>
      <c r="AJ70" s="43" t="str">
        <f t="shared" si="5"/>
        <v/>
      </c>
      <c r="AK70" s="40" t="str">
        <f>IF(AJ70="","",IF(I$8="A",(RANK(AJ70,AJ$11:AJ$343,1)+COUNTIF(AJ$11:AJ70,AJ70)-1),(RANK(AJ70,AJ$11:AJ$343)+COUNTIF(AJ$11:AJ70,AJ70)-1)))</f>
        <v/>
      </c>
      <c r="AL70" s="3" t="str">
        <f t="shared" si="35"/>
        <v/>
      </c>
      <c r="AM70" t="str">
        <f t="shared" si="30"/>
        <v/>
      </c>
      <c r="AN70" t="str">
        <f t="shared" si="31"/>
        <v/>
      </c>
      <c r="AP70" s="5" t="str">
        <f>IF(L70="","",VLOOKUP($L70,classifications!$C:$E,3,FALSE))</f>
        <v/>
      </c>
      <c r="AQ70" s="43" t="str">
        <f t="shared" si="17"/>
        <v/>
      </c>
      <c r="AR70" s="40" t="str">
        <f>IF(AQ70="","",IF(I$8="A",(RANK(AQ70,AQ$11:AQ$343,1)+COUNTIF(AQ$11:AQ70,AQ70)-1),(RANK(AQ70,AQ$11:AQ$343)+COUNTIF(AQ$11:AQ70,AQ70)-1)))</f>
        <v/>
      </c>
      <c r="AS70" s="3" t="str">
        <f t="shared" si="36"/>
        <v/>
      </c>
      <c r="AT70" s="40" t="str">
        <f t="shared" si="32"/>
        <v/>
      </c>
      <c r="AU70" s="43" t="str">
        <f t="shared" si="33"/>
        <v/>
      </c>
      <c r="AX70">
        <f>HLOOKUP($AX$9&amp;$AX$10,Data!$A$1:$ZZ$1980,(MATCH($C70,Data!$A$1:$A$1980,0)),FALSE)</f>
        <v>392.2</v>
      </c>
    </row>
    <row r="71" spans="1:50">
      <c r="A71" s="59" t="str">
        <f>$D$1&amp;61</f>
        <v>UA61</v>
      </c>
      <c r="B71" s="60">
        <f>IF(ISERROR(VLOOKUP(A71,classifications!A:C,3,FALSE)),0,VLOOKUP(A71,classifications!A:C,3,FALSE))</f>
        <v>0</v>
      </c>
      <c r="C71" t="s">
        <v>39</v>
      </c>
      <c r="D71" t="str">
        <f>VLOOKUP($C71,classifications!$C:$J,4,FALSE)</f>
        <v>SD</v>
      </c>
      <c r="E71">
        <f>VLOOKUP(C71,classifications!C:K,9,FALSE)</f>
        <v>0</v>
      </c>
      <c r="F71">
        <f t="shared" si="25"/>
        <v>363.6</v>
      </c>
      <c r="G71" s="15"/>
      <c r="H71" s="42" t="str">
        <f t="shared" si="26"/>
        <v/>
      </c>
      <c r="I71" s="79" t="str">
        <f>IF(H71="","",IF($I$8="A",(RANK(H71,H$11:H$343,1)+COUNTIF(H$11:H71,H71)-1),(RANK(H71,H$11:H$343)+COUNTIF(H$11:H71,H71)-1)))</f>
        <v/>
      </c>
      <c r="J71" s="41"/>
      <c r="K71" s="36" t="str">
        <f t="shared" si="34"/>
        <v/>
      </c>
      <c r="L71" t="str">
        <f t="shared" si="27"/>
        <v/>
      </c>
      <c r="M71" s="117" t="str">
        <f t="shared" si="28"/>
        <v/>
      </c>
      <c r="N71" s="112" t="str">
        <f t="shared" si="23"/>
        <v/>
      </c>
      <c r="O71" s="96" t="str">
        <f t="shared" si="11"/>
        <v/>
      </c>
      <c r="P71" s="96" t="str">
        <f t="shared" si="19"/>
        <v/>
      </c>
      <c r="Q71" s="96" t="str">
        <f t="shared" si="20"/>
        <v/>
      </c>
      <c r="R71" s="92" t="str">
        <f t="shared" si="21"/>
        <v/>
      </c>
      <c r="S71" s="42" t="str">
        <f t="shared" si="12"/>
        <v/>
      </c>
      <c r="T71" s="167" t="str">
        <f>IF(L71="","",VLOOKUP(L71,classifications!C:K,9,FALSE))</f>
        <v/>
      </c>
      <c r="U71" s="168" t="str">
        <f t="shared" si="29"/>
        <v/>
      </c>
      <c r="V71" s="174" t="str">
        <f>IF(U71="","",IF($I$8="A",(RANK(U71,U$11:U$343)+COUNTIF(U$11:U71,U71)-1),(RANK(U71,U$11:U$343,1)+COUNTIF(U$11:U71,U71)-1)))</f>
        <v/>
      </c>
      <c r="W71" s="175"/>
      <c r="X71" s="5" t="str">
        <f>IF(L71="","",VLOOKUP($L71,classifications!$C:$J,6,FALSE))</f>
        <v/>
      </c>
      <c r="Y71" t="str">
        <f t="shared" si="4"/>
        <v/>
      </c>
      <c r="Z71" s="40" t="str">
        <f>IF(Y71="","",IF(I$8="A",(RANK(Y71,Y$11:Y$343,1)+COUNTIF(Y$11:Y71,Y71)-1),(RANK(Y71,Y$11:Y$343)+COUNTIF(Y$11:Y71,Y71)-1)))</f>
        <v/>
      </c>
      <c r="AA71" s="180" t="str">
        <f>IF(L71="","",VLOOKUP($L71,classifications!C:I,7,FALSE))</f>
        <v/>
      </c>
      <c r="AB71" s="174" t="str">
        <f t="shared" si="14"/>
        <v/>
      </c>
      <c r="AC71" s="174" t="str">
        <f>IF(AB71="","",IF($I$8="A",(RANK(AB71,AB$11:AB$343)+COUNTIF(AB$11:AB71,AB71)-1),(RANK(AB71,AB$11:AB$343,1)+COUNTIF(AB$11:AB71,AB71)-1)))</f>
        <v/>
      </c>
      <c r="AD71" s="174"/>
      <c r="AE71" s="36" t="str">
        <f t="shared" si="37"/>
        <v/>
      </c>
      <c r="AG71" s="15"/>
      <c r="AH71" s="3"/>
      <c r="AI71" s="5" t="str">
        <f>IF(L71="","",VLOOKUP($L71,classifications!$C:$J,8,FALSE))</f>
        <v/>
      </c>
      <c r="AJ71" s="43" t="str">
        <f t="shared" si="5"/>
        <v/>
      </c>
      <c r="AK71" s="40" t="str">
        <f>IF(AJ71="","",IF(I$8="A",(RANK(AJ71,AJ$11:AJ$343,1)+COUNTIF(AJ$11:AJ71,AJ71)-1),(RANK(AJ71,AJ$11:AJ$343)+COUNTIF(AJ$11:AJ71,AJ71)-1)))</f>
        <v/>
      </c>
      <c r="AL71" s="3" t="str">
        <f t="shared" si="35"/>
        <v/>
      </c>
      <c r="AM71" t="str">
        <f t="shared" si="30"/>
        <v/>
      </c>
      <c r="AN71" t="str">
        <f t="shared" si="31"/>
        <v/>
      </c>
      <c r="AP71" s="5" t="str">
        <f>IF(L71="","",VLOOKUP($L71,classifications!$C:$E,3,FALSE))</f>
        <v/>
      </c>
      <c r="AQ71" s="43" t="str">
        <f t="shared" si="17"/>
        <v/>
      </c>
      <c r="AR71" s="40" t="str">
        <f>IF(AQ71="","",IF(I$8="A",(RANK(AQ71,AQ$11:AQ$343,1)+COUNTIF(AQ$11:AQ71,AQ71)-1),(RANK(AQ71,AQ$11:AQ$343)+COUNTIF(AQ$11:AQ71,AQ71)-1)))</f>
        <v/>
      </c>
      <c r="AS71" s="3" t="str">
        <f t="shared" si="36"/>
        <v/>
      </c>
      <c r="AT71" s="40" t="str">
        <f t="shared" si="32"/>
        <v/>
      </c>
      <c r="AU71" s="43" t="str">
        <f t="shared" si="33"/>
        <v/>
      </c>
      <c r="AX71">
        <f>HLOOKUP($AX$9&amp;$AX$10,Data!$A$1:$ZZ$1980,(MATCH($C71,Data!$A$1:$A$1980,0)),FALSE)</f>
        <v>363.6</v>
      </c>
    </row>
    <row r="72" spans="1:50">
      <c r="A72" s="59" t="str">
        <f>$D$1&amp;62</f>
        <v>UA62</v>
      </c>
      <c r="B72" s="60">
        <f>IF(ISERROR(VLOOKUP(A72,classifications!A:C,3,FALSE)),0,VLOOKUP(A72,classifications!A:C,3,FALSE))</f>
        <v>0</v>
      </c>
      <c r="C72" t="s">
        <v>371</v>
      </c>
      <c r="D72" t="str">
        <f>VLOOKUP($C72,classifications!$C:$J,4,FALSE)</f>
        <v>L</v>
      </c>
      <c r="E72">
        <f>VLOOKUP(C72,classifications!C:K,9,FALSE)</f>
        <v>0</v>
      </c>
      <c r="F72">
        <f t="shared" si="25"/>
        <v>322.8</v>
      </c>
      <c r="G72" s="15"/>
      <c r="H72" s="42" t="str">
        <f t="shared" si="26"/>
        <v/>
      </c>
      <c r="I72" s="79" t="str">
        <f>IF(H72="","",IF($I$8="A",(RANK(H72,H$11:H$343,1)+COUNTIF(H$11:H72,H72)-1),(RANK(H72,H$11:H$343)+COUNTIF(H$11:H72,H72)-1)))</f>
        <v/>
      </c>
      <c r="J72" s="41"/>
      <c r="K72" s="36" t="str">
        <f t="shared" si="34"/>
        <v/>
      </c>
      <c r="L72" t="str">
        <f t="shared" si="27"/>
        <v/>
      </c>
      <c r="M72" s="117" t="str">
        <f t="shared" si="28"/>
        <v/>
      </c>
      <c r="N72" s="112" t="str">
        <f t="shared" si="23"/>
        <v/>
      </c>
      <c r="O72" s="96" t="str">
        <f t="shared" si="11"/>
        <v/>
      </c>
      <c r="P72" s="96" t="str">
        <f t="shared" si="19"/>
        <v/>
      </c>
      <c r="Q72" s="96" t="str">
        <f t="shared" si="20"/>
        <v/>
      </c>
      <c r="R72" s="92" t="str">
        <f t="shared" si="21"/>
        <v/>
      </c>
      <c r="S72" s="42" t="str">
        <f t="shared" si="12"/>
        <v/>
      </c>
      <c r="T72" s="167" t="str">
        <f>IF(L72="","",VLOOKUP(L72,classifications!C:K,9,FALSE))</f>
        <v/>
      </c>
      <c r="U72" s="168" t="str">
        <f t="shared" si="29"/>
        <v/>
      </c>
      <c r="V72" s="174" t="str">
        <f>IF(U72="","",IF($I$8="A",(RANK(U72,U$11:U$343)+COUNTIF(U$11:U72,U72)-1),(RANK(U72,U$11:U$343,1)+COUNTIF(U$11:U72,U72)-1)))</f>
        <v/>
      </c>
      <c r="W72" s="175"/>
      <c r="X72" s="5" t="str">
        <f>IF(L72="","",VLOOKUP($L72,classifications!$C:$J,6,FALSE))</f>
        <v/>
      </c>
      <c r="Y72" t="str">
        <f t="shared" si="4"/>
        <v/>
      </c>
      <c r="Z72" s="40" t="str">
        <f>IF(Y72="","",IF(I$8="A",(RANK(Y72,Y$11:Y$343,1)+COUNTIF(Y$11:Y72,Y72)-1),(RANK(Y72,Y$11:Y$343)+COUNTIF(Y$11:Y72,Y72)-1)))</f>
        <v/>
      </c>
      <c r="AA72" s="180" t="str">
        <f>IF(L72="","",VLOOKUP($L72,classifications!C:I,7,FALSE))</f>
        <v/>
      </c>
      <c r="AB72" s="174" t="str">
        <f t="shared" si="14"/>
        <v/>
      </c>
      <c r="AC72" s="174" t="str">
        <f>IF(AB72="","",IF($I$8="A",(RANK(AB72,AB$11:AB$343)+COUNTIF(AB$11:AB72,AB72)-1),(RANK(AB72,AB$11:AB$343,1)+COUNTIF(AB$11:AB72,AB72)-1)))</f>
        <v/>
      </c>
      <c r="AD72" s="174"/>
      <c r="AE72" s="36" t="str">
        <f t="shared" si="37"/>
        <v/>
      </c>
      <c r="AG72" s="15"/>
      <c r="AH72" s="3"/>
      <c r="AI72" s="5" t="str">
        <f>IF(L72="","",VLOOKUP($L72,classifications!$C:$J,8,FALSE))</f>
        <v/>
      </c>
      <c r="AJ72" s="43" t="str">
        <f t="shared" si="5"/>
        <v/>
      </c>
      <c r="AK72" s="40" t="str">
        <f>IF(AJ72="","",IF(I$8="A",(RANK(AJ72,AJ$11:AJ$343,1)+COUNTIF(AJ$11:AJ72,AJ72)-1),(RANK(AJ72,AJ$11:AJ$343)+COUNTIF(AJ$11:AJ72,AJ72)-1)))</f>
        <v/>
      </c>
      <c r="AL72" s="3" t="str">
        <f t="shared" si="35"/>
        <v/>
      </c>
      <c r="AM72" t="str">
        <f t="shared" si="30"/>
        <v/>
      </c>
      <c r="AN72" t="str">
        <f t="shared" si="31"/>
        <v/>
      </c>
      <c r="AP72" s="5" t="str">
        <f>IF(L72="","",VLOOKUP($L72,classifications!$C:$E,3,FALSE))</f>
        <v/>
      </c>
      <c r="AQ72" s="43" t="str">
        <f t="shared" si="17"/>
        <v/>
      </c>
      <c r="AR72" s="40" t="str">
        <f>IF(AQ72="","",IF(I$8="A",(RANK(AQ72,AQ$11:AQ$343,1)+COUNTIF(AQ$11:AQ72,AQ72)-1),(RANK(AQ72,AQ$11:AQ$343)+COUNTIF(AQ$11:AQ72,AQ72)-1)))</f>
        <v/>
      </c>
      <c r="AS72" s="3" t="str">
        <f t="shared" si="36"/>
        <v/>
      </c>
      <c r="AT72" s="40" t="str">
        <f t="shared" si="32"/>
        <v/>
      </c>
      <c r="AU72" s="43" t="str">
        <f t="shared" si="33"/>
        <v/>
      </c>
      <c r="AX72">
        <f>HLOOKUP($AX$9&amp;$AX$10,Data!$A$1:$ZZ$1980,(MATCH($C72,Data!$A$1:$A$1980,0)),FALSE)</f>
        <v>322.8</v>
      </c>
    </row>
    <row r="73" spans="1:50">
      <c r="A73" s="59" t="str">
        <f>$D$1&amp;63</f>
        <v>UA63</v>
      </c>
      <c r="B73" s="60">
        <f>IF(ISERROR(VLOOKUP(A73,classifications!A:C,3,FALSE)),0,VLOOKUP(A73,classifications!A:C,3,FALSE))</f>
        <v>0</v>
      </c>
      <c r="C73" t="s">
        <v>41</v>
      </c>
      <c r="D73" t="str">
        <f>VLOOKUP($C73,classifications!$C:$J,4,FALSE)</f>
        <v>SD</v>
      </c>
      <c r="E73">
        <f>VLOOKUP(C73,classifications!C:K,9,FALSE)</f>
        <v>0</v>
      </c>
      <c r="F73">
        <f t="shared" si="25"/>
        <v>303.89999999999998</v>
      </c>
      <c r="G73" s="15"/>
      <c r="H73" s="42" t="str">
        <f t="shared" si="26"/>
        <v/>
      </c>
      <c r="I73" s="79" t="str">
        <f>IF(H73="","",IF($I$8="A",(RANK(H73,H$11:H$343,1)+COUNTIF(H$11:H73,H73)-1),(RANK(H73,H$11:H$343)+COUNTIF(H$11:H73,H73)-1)))</f>
        <v/>
      </c>
      <c r="J73" s="41"/>
      <c r="K73" s="36" t="str">
        <f t="shared" si="34"/>
        <v/>
      </c>
      <c r="L73" t="str">
        <f t="shared" si="27"/>
        <v/>
      </c>
      <c r="M73" s="117" t="str">
        <f t="shared" si="28"/>
        <v/>
      </c>
      <c r="N73" s="112" t="str">
        <f t="shared" si="23"/>
        <v/>
      </c>
      <c r="O73" s="96" t="str">
        <f t="shared" si="11"/>
        <v/>
      </c>
      <c r="P73" s="96" t="str">
        <f t="shared" si="19"/>
        <v/>
      </c>
      <c r="Q73" s="96" t="str">
        <f t="shared" si="20"/>
        <v/>
      </c>
      <c r="R73" s="92" t="str">
        <f t="shared" si="21"/>
        <v/>
      </c>
      <c r="S73" s="42" t="str">
        <f t="shared" si="12"/>
        <v/>
      </c>
      <c r="T73" s="167" t="str">
        <f>IF(L73="","",VLOOKUP(L73,classifications!C:K,9,FALSE))</f>
        <v/>
      </c>
      <c r="U73" s="168" t="str">
        <f t="shared" si="29"/>
        <v/>
      </c>
      <c r="V73" s="174" t="str">
        <f>IF(U73="","",IF($I$8="A",(RANK(U73,U$11:U$343)+COUNTIF(U$11:U73,U73)-1),(RANK(U73,U$11:U$343,1)+COUNTIF(U$11:U73,U73)-1)))</f>
        <v/>
      </c>
      <c r="W73" s="175"/>
      <c r="X73" s="5" t="str">
        <f>IF(L73="","",VLOOKUP($L73,classifications!$C:$J,6,FALSE))</f>
        <v/>
      </c>
      <c r="Y73" t="str">
        <f t="shared" si="4"/>
        <v/>
      </c>
      <c r="Z73" s="40" t="str">
        <f>IF(Y73="","",IF(I$8="A",(RANK(Y73,Y$11:Y$343,1)+COUNTIF(Y$11:Y73,Y73)-1),(RANK(Y73,Y$11:Y$343)+COUNTIF(Y$11:Y73,Y73)-1)))</f>
        <v/>
      </c>
      <c r="AA73" s="180" t="str">
        <f>IF(L73="","",VLOOKUP($L73,classifications!C:I,7,FALSE))</f>
        <v/>
      </c>
      <c r="AB73" s="174" t="str">
        <f t="shared" si="14"/>
        <v/>
      </c>
      <c r="AC73" s="174" t="str">
        <f>IF(AB73="","",IF($I$8="A",(RANK(AB73,AB$11:AB$343)+COUNTIF(AB$11:AB73,AB73)-1),(RANK(AB73,AB$11:AB$343,1)+COUNTIF(AB$11:AB73,AB73)-1)))</f>
        <v/>
      </c>
      <c r="AD73" s="174"/>
      <c r="AE73" s="36" t="str">
        <f t="shared" si="37"/>
        <v/>
      </c>
      <c r="AG73" s="15"/>
      <c r="AH73" s="3"/>
      <c r="AI73" s="5" t="str">
        <f>IF(L73="","",VLOOKUP($L73,classifications!$C:$J,8,FALSE))</f>
        <v/>
      </c>
      <c r="AJ73" s="43" t="str">
        <f t="shared" si="5"/>
        <v/>
      </c>
      <c r="AK73" s="40" t="str">
        <f>IF(AJ73="","",IF(I$8="A",(RANK(AJ73,AJ$11:AJ$343,1)+COUNTIF(AJ$11:AJ73,AJ73)-1),(RANK(AJ73,AJ$11:AJ$343)+COUNTIF(AJ$11:AJ73,AJ73)-1)))</f>
        <v/>
      </c>
      <c r="AL73" s="3" t="str">
        <f t="shared" si="35"/>
        <v/>
      </c>
      <c r="AM73" t="str">
        <f t="shared" si="30"/>
        <v/>
      </c>
      <c r="AN73" t="str">
        <f t="shared" si="31"/>
        <v/>
      </c>
      <c r="AP73" s="5" t="str">
        <f>IF(L73="","",VLOOKUP($L73,classifications!$C:$E,3,FALSE))</f>
        <v/>
      </c>
      <c r="AQ73" s="43" t="str">
        <f t="shared" si="17"/>
        <v/>
      </c>
      <c r="AR73" s="40" t="str">
        <f>IF(AQ73="","",IF(I$8="A",(RANK(AQ73,AQ$11:AQ$343,1)+COUNTIF(AQ$11:AQ73,AQ73)-1),(RANK(AQ73,AQ$11:AQ$343)+COUNTIF(AQ$11:AQ73,AQ73)-1)))</f>
        <v/>
      </c>
      <c r="AS73" s="3" t="str">
        <f t="shared" si="36"/>
        <v/>
      </c>
      <c r="AT73" s="40" t="str">
        <f t="shared" si="32"/>
        <v/>
      </c>
      <c r="AU73" s="43" t="str">
        <f t="shared" si="33"/>
        <v/>
      </c>
      <c r="AX73">
        <f>HLOOKUP($AX$9&amp;$AX$10,Data!$A$1:$ZZ$1980,(MATCH($C73,Data!$A$1:$A$1980,0)),FALSE)</f>
        <v>303.89999999999998</v>
      </c>
    </row>
    <row r="74" spans="1:50">
      <c r="A74" s="59" t="str">
        <f>$D$1&amp;64</f>
        <v>UA64</v>
      </c>
      <c r="B74" s="60">
        <f>IF(ISERROR(VLOOKUP(A74,classifications!A:C,3,FALSE)),0,VLOOKUP(A74,classifications!A:C,3,FALSE))</f>
        <v>0</v>
      </c>
      <c r="C74" t="s">
        <v>42</v>
      </c>
      <c r="D74" t="str">
        <f>VLOOKUP($C74,classifications!$C:$J,4,FALSE)</f>
        <v>SD</v>
      </c>
      <c r="E74" t="str">
        <f>VLOOKUP(C74,classifications!C:K,9,FALSE)</f>
        <v>Sparse</v>
      </c>
      <c r="F74">
        <f t="shared" si="25"/>
        <v>382.9</v>
      </c>
      <c r="G74" s="15"/>
      <c r="H74" s="42" t="str">
        <f t="shared" si="26"/>
        <v/>
      </c>
      <c r="I74" s="79" t="str">
        <f>IF(H74="","",IF($I$8="A",(RANK(H74,H$11:H$343,1)+COUNTIF(H$11:H74,H74)-1),(RANK(H74,H$11:H$343)+COUNTIF(H$11:H74,H74)-1)))</f>
        <v/>
      </c>
      <c r="J74" s="41"/>
      <c r="K74" s="36" t="str">
        <f t="shared" si="34"/>
        <v/>
      </c>
      <c r="L74" t="str">
        <f t="shared" si="27"/>
        <v/>
      </c>
      <c r="M74" s="117" t="str">
        <f t="shared" si="28"/>
        <v/>
      </c>
      <c r="N74" s="112" t="str">
        <f t="shared" si="23"/>
        <v/>
      </c>
      <c r="O74" s="96" t="str">
        <f t="shared" si="11"/>
        <v/>
      </c>
      <c r="P74" s="96" t="str">
        <f t="shared" si="19"/>
        <v/>
      </c>
      <c r="Q74" s="96" t="str">
        <f t="shared" si="20"/>
        <v/>
      </c>
      <c r="R74" s="92" t="str">
        <f t="shared" si="21"/>
        <v/>
      </c>
      <c r="S74" s="42" t="str">
        <f t="shared" si="12"/>
        <v/>
      </c>
      <c r="T74" s="167" t="str">
        <f>IF(L74="","",VLOOKUP(L74,classifications!C:K,9,FALSE))</f>
        <v/>
      </c>
      <c r="U74" s="168" t="str">
        <f t="shared" si="29"/>
        <v/>
      </c>
      <c r="V74" s="174" t="str">
        <f>IF(U74="","",IF($I$8="A",(RANK(U74,U$11:U$343)+COUNTIF(U$11:U74,U74)-1),(RANK(U74,U$11:U$343,1)+COUNTIF(U$11:U74,U74)-1)))</f>
        <v/>
      </c>
      <c r="W74" s="175"/>
      <c r="X74" s="5" t="str">
        <f>IF(L74="","",VLOOKUP($L74,classifications!$C:$J,6,FALSE))</f>
        <v/>
      </c>
      <c r="Y74" t="str">
        <f t="shared" si="4"/>
        <v/>
      </c>
      <c r="Z74" s="40" t="str">
        <f>IF(Y74="","",IF(I$8="A",(RANK(Y74,Y$11:Y$343,1)+COUNTIF(Y$11:Y74,Y74)-1),(RANK(Y74,Y$11:Y$343)+COUNTIF(Y$11:Y74,Y74)-1)))</f>
        <v/>
      </c>
      <c r="AA74" s="180" t="str">
        <f>IF(L74="","",VLOOKUP($L74,classifications!C:I,7,FALSE))</f>
        <v/>
      </c>
      <c r="AB74" s="174" t="str">
        <f t="shared" si="14"/>
        <v/>
      </c>
      <c r="AC74" s="174" t="str">
        <f>IF(AB74="","",IF($I$8="A",(RANK(AB74,AB$11:AB$343)+COUNTIF(AB$11:AB74,AB74)-1),(RANK(AB74,AB$11:AB$343,1)+COUNTIF(AB$11:AB74,AB74)-1)))</f>
        <v/>
      </c>
      <c r="AD74" s="174"/>
      <c r="AE74" s="36" t="str">
        <f t="shared" si="37"/>
        <v/>
      </c>
      <c r="AG74" s="15"/>
      <c r="AH74" s="3"/>
      <c r="AI74" s="5" t="str">
        <f>IF(L74="","",VLOOKUP($L74,classifications!$C:$J,8,FALSE))</f>
        <v/>
      </c>
      <c r="AJ74" s="43" t="str">
        <f t="shared" si="5"/>
        <v/>
      </c>
      <c r="AK74" s="40" t="str">
        <f>IF(AJ74="","",IF(I$8="A",(RANK(AJ74,AJ$11:AJ$343,1)+COUNTIF(AJ$11:AJ74,AJ74)-1),(RANK(AJ74,AJ$11:AJ$343)+COUNTIF(AJ$11:AJ74,AJ74)-1)))</f>
        <v/>
      </c>
      <c r="AL74" s="3" t="str">
        <f t="shared" si="35"/>
        <v/>
      </c>
      <c r="AM74" t="str">
        <f t="shared" si="30"/>
        <v/>
      </c>
      <c r="AN74" t="str">
        <f t="shared" si="31"/>
        <v/>
      </c>
      <c r="AP74" s="5" t="str">
        <f>IF(L74="","",VLOOKUP($L74,classifications!$C:$E,3,FALSE))</f>
        <v/>
      </c>
      <c r="AQ74" s="43" t="str">
        <f t="shared" si="17"/>
        <v/>
      </c>
      <c r="AR74" s="40" t="str">
        <f>IF(AQ74="","",IF(I$8="A",(RANK(AQ74,AQ$11:AQ$343,1)+COUNTIF(AQ$11:AQ74,AQ74)-1),(RANK(AQ74,AQ$11:AQ$343)+COUNTIF(AQ$11:AQ74,AQ74)-1)))</f>
        <v/>
      </c>
      <c r="AS74" s="3" t="str">
        <f t="shared" si="36"/>
        <v/>
      </c>
      <c r="AT74" s="40" t="str">
        <f t="shared" si="32"/>
        <v/>
      </c>
      <c r="AU74" s="43" t="str">
        <f t="shared" si="33"/>
        <v/>
      </c>
      <c r="AX74">
        <f>HLOOKUP($AX$9&amp;$AX$10,Data!$A$1:$ZZ$1980,(MATCH($C74,Data!$A$1:$A$1980,0)),FALSE)</f>
        <v>382.9</v>
      </c>
    </row>
    <row r="75" spans="1:50">
      <c r="A75" s="59" t="str">
        <f>$D$1&amp;65</f>
        <v>UA65</v>
      </c>
      <c r="B75" s="60">
        <f>IF(ISERROR(VLOOKUP(A75,classifications!A:C,3,FALSE)),0,VLOOKUP(A75,classifications!A:C,3,FALSE))</f>
        <v>0</v>
      </c>
      <c r="C75" t="s">
        <v>905</v>
      </c>
      <c r="D75" t="str">
        <f>VLOOKUP($C75,classifications!$C:$J,4,FALSE)</f>
        <v>UA</v>
      </c>
      <c r="E75" t="str">
        <f>VLOOKUP(C75,classifications!C:K,9,FALSE)</f>
        <v>Sparse</v>
      </c>
      <c r="F75">
        <f t="shared" ref="F75:F85" si="38">HLOOKUP($D$6,AX$10:ZX$355,ROW()-9,FALSE)</f>
        <v>405.7</v>
      </c>
      <c r="G75" s="15"/>
      <c r="H75" s="42">
        <f t="shared" ref="H75:H85" si="39">IF(D75=$D$1,HLOOKUP($D$6,$AX$10:$ZZ$355,ROW()-9,FALSE),"")</f>
        <v>405.7</v>
      </c>
      <c r="I75" s="79">
        <f>IF(H75="","",IF($I$8="A",(RANK(H75,H$11:H$343,1)+COUNTIF(H$11:H75,H75)-1),(RANK(H75,H$11:H$343)+COUNTIF(H$11:H75,H75)-1)))</f>
        <v>37</v>
      </c>
      <c r="J75" s="41"/>
      <c r="K75" s="36" t="str">
        <f t="shared" si="34"/>
        <v/>
      </c>
      <c r="L75" t="str">
        <f t="shared" ref="L75:L85" si="40">IF(K75="","",INDEX(C$11:C$343,MATCH(K75,I$11:I$343,0)))</f>
        <v/>
      </c>
      <c r="M75" s="117" t="str">
        <f t="shared" ref="M75:M85" si="41">IF(L75="","",IF(VLOOKUP(L75,C:D,2,FALSE)=$F$3,VLOOKUP(L75,C:H,6,FALSE),""))</f>
        <v/>
      </c>
      <c r="N75" s="112" t="str">
        <f t="shared" si="23"/>
        <v/>
      </c>
      <c r="O75" s="96" t="str">
        <f t="shared" ref="O75:O85" si="42">IF(I$8="A",IF(N75&gt;=$P$7,IF(N75&lt;=$O$10,N75,""),""),IF(N75&lt;=$P$7,IF(N75&gt;=$O$10,N75,""),""))</f>
        <v/>
      </c>
      <c r="P75" s="96" t="str">
        <f t="shared" si="19"/>
        <v/>
      </c>
      <c r="Q75" s="96" t="str">
        <f t="shared" si="20"/>
        <v/>
      </c>
      <c r="R75" s="92" t="str">
        <f t="shared" si="21"/>
        <v/>
      </c>
      <c r="S75" s="42" t="str">
        <f t="shared" si="12"/>
        <v/>
      </c>
      <c r="T75" s="167" t="str">
        <f>IF(L75="","",VLOOKUP(L75,classifications!C:K,9,FALSE))</f>
        <v/>
      </c>
      <c r="U75" s="168" t="str">
        <f t="shared" ref="U75:U85" si="43">IF(T75="Sparse",M75,"")</f>
        <v/>
      </c>
      <c r="V75" s="174" t="str">
        <f>IF(U75="","",IF($I$8="A",(RANK(U75,U$11:U$343)+COUNTIF(U$11:U75,U75)-1),(RANK(U75,U$11:U$343,1)+COUNTIF(U$11:U75,U75)-1)))</f>
        <v/>
      </c>
      <c r="W75" s="175"/>
      <c r="X75" s="5" t="str">
        <f>IF(L75="","",VLOOKUP($L75,classifications!$C:$J,6,FALSE))</f>
        <v/>
      </c>
      <c r="Y75" t="str">
        <f t="shared" ref="Y75:Y85" si="44">IF($D$1="UA",IF(X75="Largely Rural (rural including hub towns 50-79%) ",M75,IF(X75="Mainly Rural (rural including hub towns &gt;=80%) ",M75,IF(X75="Urban with Significant Rural (rural including hub towns 26-49%)",M75,""))),IF($D$1="SD",IF(X75=$H$3,M75,"")))</f>
        <v/>
      </c>
      <c r="Z75" s="40" t="str">
        <f>IF(Y75="","",IF(I$8="A",(RANK(Y75,Y$11:Y$343,1)+COUNTIF(Y$11:Y75,Y75)-1),(RANK(Y75,Y$11:Y$343)+COUNTIF(Y$11:Y75,Y75)-1)))</f>
        <v/>
      </c>
      <c r="AA75" s="180" t="str">
        <f>IF(L75="","",VLOOKUP($L75,classifications!C:I,7,FALSE))</f>
        <v/>
      </c>
      <c r="AB75" s="174" t="str">
        <f t="shared" si="14"/>
        <v/>
      </c>
      <c r="AC75" s="174" t="str">
        <f>IF(AB75="","",IF($I$8="A",(RANK(AB75,AB$11:AB$343)+COUNTIF(AB$11:AB75,AB75)-1),(RANK(AB75,AB$11:AB$343,1)+COUNTIF(AB$11:AB75,AB75)-1)))</f>
        <v/>
      </c>
      <c r="AD75" s="174"/>
      <c r="AE75" s="36" t="str">
        <f t="shared" si="37"/>
        <v/>
      </c>
      <c r="AG75" s="15"/>
      <c r="AH75" s="3"/>
      <c r="AI75" s="5" t="str">
        <f>IF(L75="","",VLOOKUP($L75,classifications!$C:$J,8,FALSE))</f>
        <v/>
      </c>
      <c r="AJ75" s="43" t="str">
        <f t="shared" ref="AJ75:AJ85" si="45">IF(AI75=$I$3,M75,"")</f>
        <v/>
      </c>
      <c r="AK75" s="40" t="str">
        <f>IF(AJ75="","",IF(I$8="A",(RANK(AJ75,AJ$11:AJ$343,1)+COUNTIF(AJ$11:AJ75,AJ75)-1),(RANK(AJ75,AJ$11:AJ$343)+COUNTIF(AJ$11:AJ75,AJ75)-1)))</f>
        <v/>
      </c>
      <c r="AL75" s="3" t="str">
        <f t="shared" si="35"/>
        <v/>
      </c>
      <c r="AM75" t="str">
        <f t="shared" ref="AM75:AM85" si="46">IF(ISNA(IF(AL75="","",INDEX(L$11:L$343,MATCH(AL75,AK$11:AK$343,0)))),"",(IF(AL75="","",INDEX(L$11:L$343,MATCH(AL75,AK$11:AK$343,0)))))</f>
        <v/>
      </c>
      <c r="AN75" t="str">
        <f t="shared" ref="AN75:AN85" si="47">(VLOOKUP(AM75,L:M,2,FALSE))</f>
        <v/>
      </c>
      <c r="AP75" s="5" t="str">
        <f>IF(L75="","",VLOOKUP($L75,classifications!$C:$E,3,FALSE))</f>
        <v/>
      </c>
      <c r="AQ75" s="43" t="str">
        <f t="shared" si="17"/>
        <v/>
      </c>
      <c r="AR75" s="40" t="str">
        <f>IF(AQ75="","",IF(I$8="A",(RANK(AQ75,AQ$11:AQ$343,1)+COUNTIF(AQ$11:AQ75,AQ75)-1),(RANK(AQ75,AQ$11:AQ$343)+COUNTIF(AQ$11:AQ75,AQ75)-1)))</f>
        <v/>
      </c>
      <c r="AS75" s="3" t="str">
        <f t="shared" si="36"/>
        <v/>
      </c>
      <c r="AT75" s="40" t="str">
        <f t="shared" ref="AT75:AT85" si="48">IF(AS75="","",INDEX(L$11:L$343,MATCH(AS75,AR$11:AR$343,0)))</f>
        <v/>
      </c>
      <c r="AU75" s="43" t="str">
        <f t="shared" ref="AU75:AU85" si="49">IF(AT75="","",VLOOKUP(AT75,L:M,2,FALSE))</f>
        <v/>
      </c>
      <c r="AX75">
        <f>HLOOKUP($AX$9&amp;$AX$10,Data!$A$1:$ZZ$1980,(MATCH($C75,Data!$A$1:$A$1980,0)),FALSE)</f>
        <v>405.7</v>
      </c>
    </row>
    <row r="76" spans="1:50">
      <c r="A76" s="59" t="str">
        <f>$D$1&amp;66</f>
        <v>UA66</v>
      </c>
      <c r="B76" s="60">
        <f>IF(ISERROR(VLOOKUP(A76,classifications!A:C,3,FALSE)),0,VLOOKUP(A76,classifications!A:C,3,FALSE))</f>
        <v>0</v>
      </c>
      <c r="C76" t="s">
        <v>306</v>
      </c>
      <c r="D76" t="str">
        <f>VLOOKUP($C76,classifications!$C:$J,4,FALSE)</f>
        <v>UA</v>
      </c>
      <c r="E76" t="str">
        <f>VLOOKUP(C76,classifications!C:K,9,FALSE)</f>
        <v>Sparse</v>
      </c>
      <c r="F76">
        <f t="shared" si="38"/>
        <v>457.1</v>
      </c>
      <c r="G76" s="15"/>
      <c r="H76" s="42">
        <f t="shared" si="39"/>
        <v>457.1</v>
      </c>
      <c r="I76" s="79">
        <f>IF(H76="","",IF($I$8="A",(RANK(H76,H$11:H$343,1)+COUNTIF(H$11:H76,H76)-1),(RANK(H76,H$11:H$343)+COUNTIF(H$11:H76,H76)-1)))</f>
        <v>54</v>
      </c>
      <c r="J76" s="41"/>
      <c r="K76" s="36" t="str">
        <f t="shared" ref="K76:K85" si="50">IF(K75="","",IF(K75+1&gt;(COUNT(H$11:H$343)),"",K75+1))</f>
        <v/>
      </c>
      <c r="L76" t="str">
        <f t="shared" si="40"/>
        <v/>
      </c>
      <c r="M76" s="117" t="str">
        <f t="shared" si="41"/>
        <v/>
      </c>
      <c r="N76" s="112" t="str">
        <f t="shared" ref="N76:N85" si="51">IF(L76="","",IF($H$8="%%",M76*100,M76))</f>
        <v/>
      </c>
      <c r="O76" s="96" t="str">
        <f t="shared" si="42"/>
        <v/>
      </c>
      <c r="P76" s="96" t="str">
        <f t="shared" si="19"/>
        <v/>
      </c>
      <c r="Q76" s="96" t="str">
        <f t="shared" si="20"/>
        <v/>
      </c>
      <c r="R76" s="92" t="str">
        <f t="shared" si="21"/>
        <v/>
      </c>
      <c r="S76" s="42" t="str">
        <f t="shared" ref="S76:S85" si="52">IF(L76=D$3,"u","")</f>
        <v/>
      </c>
      <c r="T76" s="167" t="str">
        <f>IF(L76="","",VLOOKUP(L76,classifications!C:K,9,FALSE))</f>
        <v/>
      </c>
      <c r="U76" s="168" t="str">
        <f t="shared" si="43"/>
        <v/>
      </c>
      <c r="V76" s="174" t="str">
        <f>IF(U76="","",IF($I$8="A",(RANK(U76,U$11:U$343)+COUNTIF(U$11:U76,U76)-1),(RANK(U76,U$11:U$343,1)+COUNTIF(U$11:U76,U76)-1)))</f>
        <v/>
      </c>
      <c r="W76" s="175"/>
      <c r="X76" s="5" t="str">
        <f>IF(L76="","",VLOOKUP($L76,classifications!$C:$J,6,FALSE))</f>
        <v/>
      </c>
      <c r="Y76" t="str">
        <f t="shared" si="44"/>
        <v/>
      </c>
      <c r="Z76" s="40" t="str">
        <f>IF(Y76="","",IF(I$8="A",(RANK(Y76,Y$11:Y$343,1)+COUNTIF(Y$11:Y76,Y76)-1),(RANK(Y76,Y$11:Y$343)+COUNTIF(Y$11:Y76,Y76)-1)))</f>
        <v/>
      </c>
      <c r="AA76" s="180" t="str">
        <f>IF(L76="","",VLOOKUP($L76,classifications!C:I,7,FALSE))</f>
        <v/>
      </c>
      <c r="AB76" s="174" t="str">
        <f t="shared" ref="AB76:AB85" si="53">IF(AA76=$J$3,M76,"")</f>
        <v/>
      </c>
      <c r="AC76" s="174" t="str">
        <f>IF(AB76="","",IF($I$8="A",(RANK(AB76,AB$11:AB$343)+COUNTIF(AB$11:AB76,AB76)-1),(RANK(AB76,AB$11:AB$343,1)+COUNTIF(AB$11:AB76,AB76)-1)))</f>
        <v/>
      </c>
      <c r="AD76" s="174"/>
      <c r="AE76" s="36" t="str">
        <f t="shared" si="37"/>
        <v/>
      </c>
      <c r="AG76" s="15"/>
      <c r="AH76" s="3"/>
      <c r="AI76" s="5" t="str">
        <f>IF(L76="","",VLOOKUP($L76,classifications!$C:$J,8,FALSE))</f>
        <v/>
      </c>
      <c r="AJ76" s="43" t="str">
        <f t="shared" si="45"/>
        <v/>
      </c>
      <c r="AK76" s="40" t="str">
        <f>IF(AJ76="","",IF(I$8="A",(RANK(AJ76,AJ$11:AJ$343,1)+COUNTIF(AJ$11:AJ76,AJ76)-1),(RANK(AJ76,AJ$11:AJ$343)+COUNTIF(AJ$11:AJ76,AJ76)-1)))</f>
        <v/>
      </c>
      <c r="AL76" s="3" t="str">
        <f t="shared" ref="AL76:AL85" si="54">IF(AL75="","",IF(AL75+1&gt;(COUNT(AJ$11:AJ$343)),"",AL75+1))</f>
        <v/>
      </c>
      <c r="AM76" t="str">
        <f t="shared" si="46"/>
        <v/>
      </c>
      <c r="AN76" t="str">
        <f t="shared" si="47"/>
        <v/>
      </c>
      <c r="AP76" s="5" t="str">
        <f>IF(L76="","",VLOOKUP($L76,classifications!$C:$E,3,FALSE))</f>
        <v/>
      </c>
      <c r="AQ76" s="43" t="str">
        <f t="shared" ref="AQ76:AQ85" si="55">IF(AP76=$G$3,$M76,"")</f>
        <v/>
      </c>
      <c r="AR76" s="40" t="str">
        <f>IF(AQ76="","",IF(I$8="A",(RANK(AQ76,AQ$11:AQ$343,1)+COUNTIF(AQ$11:AQ76,AQ76)-1),(RANK(AQ76,AQ$11:AQ$343)+COUNTIF(AQ$11:AQ76,AQ76)-1)))</f>
        <v/>
      </c>
      <c r="AS76" s="3" t="str">
        <f t="shared" ref="AS76:AS85" si="56">IF(AS75="","",IF(AS75+1&gt;(COUNT(AQ$11:AQ$343)),"",AS75+1))</f>
        <v/>
      </c>
      <c r="AT76" s="40" t="str">
        <f t="shared" si="48"/>
        <v/>
      </c>
      <c r="AU76" s="43" t="str">
        <f t="shared" si="49"/>
        <v/>
      </c>
      <c r="AX76">
        <f>HLOOKUP($AX$9&amp;$AX$10,Data!$A$1:$ZZ$1980,(MATCH($C76,Data!$A$1:$A$1980,0)),FALSE)</f>
        <v>457.1</v>
      </c>
    </row>
    <row r="77" spans="1:50">
      <c r="A77" s="59" t="str">
        <f>$D$1&amp;67</f>
        <v>UA67</v>
      </c>
      <c r="B77" s="60">
        <f>IF(ISERROR(VLOOKUP(A77,classifications!A:C,3,FALSE)),0,VLOOKUP(A77,classifications!A:C,3,FALSE))</f>
        <v>0</v>
      </c>
      <c r="C77" t="s">
        <v>44</v>
      </c>
      <c r="D77" t="str">
        <f>VLOOKUP($C77,classifications!$C:$J,4,FALSE)</f>
        <v>SD</v>
      </c>
      <c r="E77" t="str">
        <f>VLOOKUP(C77,classifications!C:K,9,FALSE)</f>
        <v>Sparse</v>
      </c>
      <c r="F77">
        <f t="shared" si="38"/>
        <v>405.4</v>
      </c>
      <c r="G77" s="15"/>
      <c r="H77" s="42" t="str">
        <f t="shared" si="39"/>
        <v/>
      </c>
      <c r="I77" s="79" t="str">
        <f>IF(H77="","",IF($I$8="A",(RANK(H77,H$11:H$343,1)+COUNTIF(H$11:H77,H77)-1),(RANK(H77,H$11:H$343)+COUNTIF(H$11:H77,H77)-1)))</f>
        <v/>
      </c>
      <c r="J77" s="41"/>
      <c r="K77" s="36" t="str">
        <f t="shared" si="50"/>
        <v/>
      </c>
      <c r="L77" t="str">
        <f t="shared" si="40"/>
        <v/>
      </c>
      <c r="M77" s="117" t="str">
        <f t="shared" si="41"/>
        <v/>
      </c>
      <c r="N77" s="112" t="str">
        <f t="shared" si="51"/>
        <v/>
      </c>
      <c r="O77" s="96" t="str">
        <f t="shared" si="42"/>
        <v/>
      </c>
      <c r="P77" s="96" t="str">
        <f t="shared" ref="P77:P85" si="57">IF(I$8="A",IF(N77&gt;$O$10,IF(N77&lt;=$P$10,N77,""),""),IF(N77&lt;$O$10,IF(N77&gt;=$P$10,N77,""),""))</f>
        <v/>
      </c>
      <c r="Q77" s="96" t="str">
        <f t="shared" ref="Q77:Q85" si="58">IF(I$8="A",IF(N77&gt;$P$10,IF(N77&lt;=$Q$10,N77,""),""),IF(N77&lt;$P$10,IF(N77&gt;=$Q$10,N77,""),""))</f>
        <v/>
      </c>
      <c r="R77" s="92" t="str">
        <f t="shared" ref="R77:R85" si="59">IF(I$8="A",IF(N77&gt;$Q$10,N77,""),IF(N77&lt;$Q$10,N77,""))</f>
        <v/>
      </c>
      <c r="S77" s="42" t="str">
        <f t="shared" si="52"/>
        <v/>
      </c>
      <c r="T77" s="167" t="str">
        <f>IF(L77="","",VLOOKUP(L77,classifications!C:K,9,FALSE))</f>
        <v/>
      </c>
      <c r="U77" s="168" t="str">
        <f t="shared" si="43"/>
        <v/>
      </c>
      <c r="V77" s="174" t="str">
        <f>IF(U77="","",IF($I$8="A",(RANK(U77,U$11:U$343)+COUNTIF(U$11:U77,U77)-1),(RANK(U77,U$11:U$343,1)+COUNTIF(U$11:U77,U77)-1)))</f>
        <v/>
      </c>
      <c r="W77" s="175"/>
      <c r="X77" s="5" t="str">
        <f>IF(L77="","",VLOOKUP($L77,classifications!$C:$J,6,FALSE))</f>
        <v/>
      </c>
      <c r="Y77" t="str">
        <f t="shared" si="44"/>
        <v/>
      </c>
      <c r="Z77" s="40" t="str">
        <f>IF(Y77="","",IF(I$8="A",(RANK(Y77,Y$11:Y$343,1)+COUNTIF(Y$11:Y77,Y77)-1),(RANK(Y77,Y$11:Y$343)+COUNTIF(Y$11:Y77,Y77)-1)))</f>
        <v/>
      </c>
      <c r="AA77" s="180" t="str">
        <f>IF(L77="","",VLOOKUP($L77,classifications!C:I,7,FALSE))</f>
        <v/>
      </c>
      <c r="AB77" s="174" t="str">
        <f t="shared" si="53"/>
        <v/>
      </c>
      <c r="AC77" s="174" t="str">
        <f>IF(AB77="","",IF($I$8="A",(RANK(AB77,AB$11:AB$343)+COUNTIF(AB$11:AB77,AB77)-1),(RANK(AB77,AB$11:AB$343,1)+COUNTIF(AB$11:AB77,AB77)-1)))</f>
        <v/>
      </c>
      <c r="AD77" s="174"/>
      <c r="AE77" s="36" t="str">
        <f t="shared" si="37"/>
        <v/>
      </c>
      <c r="AG77" s="15"/>
      <c r="AH77" s="3"/>
      <c r="AI77" s="5" t="str">
        <f>IF(L77="","",VLOOKUP($L77,classifications!$C:$J,8,FALSE))</f>
        <v/>
      </c>
      <c r="AJ77" s="43" t="str">
        <f t="shared" si="45"/>
        <v/>
      </c>
      <c r="AK77" s="40" t="str">
        <f>IF(AJ77="","",IF(I$8="A",(RANK(AJ77,AJ$11:AJ$343,1)+COUNTIF(AJ$11:AJ77,AJ77)-1),(RANK(AJ77,AJ$11:AJ$343)+COUNTIF(AJ$11:AJ77,AJ77)-1)))</f>
        <v/>
      </c>
      <c r="AL77" s="3" t="str">
        <f t="shared" si="54"/>
        <v/>
      </c>
      <c r="AM77" t="str">
        <f t="shared" si="46"/>
        <v/>
      </c>
      <c r="AN77" t="str">
        <f t="shared" si="47"/>
        <v/>
      </c>
      <c r="AP77" s="5" t="str">
        <f>IF(L77="","",VLOOKUP($L77,classifications!$C:$E,3,FALSE))</f>
        <v/>
      </c>
      <c r="AQ77" s="43" t="str">
        <f t="shared" si="55"/>
        <v/>
      </c>
      <c r="AR77" s="40" t="str">
        <f>IF(AQ77="","",IF(I$8="A",(RANK(AQ77,AQ$11:AQ$343,1)+COUNTIF(AQ$11:AQ77,AQ77)-1),(RANK(AQ77,AQ$11:AQ$343)+COUNTIF(AQ$11:AQ77,AQ77)-1)))</f>
        <v/>
      </c>
      <c r="AS77" s="3" t="str">
        <f t="shared" si="56"/>
        <v/>
      </c>
      <c r="AT77" s="40" t="str">
        <f t="shared" si="48"/>
        <v/>
      </c>
      <c r="AU77" s="43" t="str">
        <f t="shared" si="49"/>
        <v/>
      </c>
      <c r="AX77">
        <f>HLOOKUP($AX$9&amp;$AX$10,Data!$A$1:$ZZ$1980,(MATCH($C77,Data!$A$1:$A$1980,0)),FALSE)</f>
        <v>405.4</v>
      </c>
    </row>
    <row r="78" spans="1:50">
      <c r="A78" s="59" t="str">
        <f>$D$1&amp;68</f>
        <v>UA68</v>
      </c>
      <c r="B78" s="60">
        <f>IF(ISERROR(VLOOKUP(A78,classifications!A:C,3,FALSE)),0,VLOOKUP(A78,classifications!A:C,3,FALSE))</f>
        <v>0</v>
      </c>
      <c r="C78" t="s">
        <v>229</v>
      </c>
      <c r="D78" t="str">
        <f>VLOOKUP($C78,classifications!$C:$J,4,FALSE)</f>
        <v>MD</v>
      </c>
      <c r="E78">
        <f>VLOOKUP(C78,classifications!C:K,9,FALSE)</f>
        <v>0</v>
      </c>
      <c r="F78">
        <f t="shared" si="38"/>
        <v>337.1</v>
      </c>
      <c r="G78" s="15"/>
      <c r="H78" s="42" t="str">
        <f t="shared" si="39"/>
        <v/>
      </c>
      <c r="I78" s="79" t="str">
        <f>IF(H78="","",IF($I$8="A",(RANK(H78,H$11:H$343,1)+COUNTIF(H$11:H78,H78)-1),(RANK(H78,H$11:H$343)+COUNTIF(H$11:H78,H78)-1)))</f>
        <v/>
      </c>
      <c r="J78" s="41"/>
      <c r="K78" s="36" t="str">
        <f t="shared" si="50"/>
        <v/>
      </c>
      <c r="L78" t="str">
        <f t="shared" si="40"/>
        <v/>
      </c>
      <c r="M78" s="117" t="str">
        <f t="shared" si="41"/>
        <v/>
      </c>
      <c r="N78" s="112" t="str">
        <f t="shared" si="51"/>
        <v/>
      </c>
      <c r="O78" s="96" t="str">
        <f t="shared" si="42"/>
        <v/>
      </c>
      <c r="P78" s="96" t="str">
        <f t="shared" si="57"/>
        <v/>
      </c>
      <c r="Q78" s="96" t="str">
        <f t="shared" si="58"/>
        <v/>
      </c>
      <c r="R78" s="92" t="str">
        <f t="shared" si="59"/>
        <v/>
      </c>
      <c r="S78" s="42" t="str">
        <f t="shared" si="52"/>
        <v/>
      </c>
      <c r="T78" s="167" t="str">
        <f>IF(L78="","",VLOOKUP(L78,classifications!C:K,9,FALSE))</f>
        <v/>
      </c>
      <c r="U78" s="168" t="str">
        <f t="shared" si="43"/>
        <v/>
      </c>
      <c r="V78" s="174" t="str">
        <f>IF(U78="","",IF($I$8="A",(RANK(U78,U$11:U$343)+COUNTIF(U$11:U78,U78)-1),(RANK(U78,U$11:U$343,1)+COUNTIF(U$11:U78,U78)-1)))</f>
        <v/>
      </c>
      <c r="W78" s="175"/>
      <c r="X78" s="5" t="str">
        <f>IF(L78="","",VLOOKUP($L78,classifications!$C:$J,6,FALSE))</f>
        <v/>
      </c>
      <c r="Y78" t="str">
        <f t="shared" si="44"/>
        <v/>
      </c>
      <c r="Z78" s="40" t="str">
        <f>IF(Y78="","",IF(I$8="A",(RANK(Y78,Y$11:Y$343,1)+COUNTIF(Y$11:Y78,Y78)-1),(RANK(Y78,Y$11:Y$343)+COUNTIF(Y$11:Y78,Y78)-1)))</f>
        <v/>
      </c>
      <c r="AA78" s="180" t="str">
        <f>IF(L78="","",VLOOKUP($L78,classifications!C:I,7,FALSE))</f>
        <v/>
      </c>
      <c r="AB78" s="174" t="str">
        <f t="shared" si="53"/>
        <v/>
      </c>
      <c r="AC78" s="174" t="str">
        <f>IF(AB78="","",IF($I$8="A",(RANK(AB78,AB$11:AB$343)+COUNTIF(AB$11:AB78,AB78)-1),(RANK(AB78,AB$11:AB$343,1)+COUNTIF(AB$11:AB78,AB78)-1)))</f>
        <v/>
      </c>
      <c r="AD78" s="174"/>
      <c r="AE78" s="36" t="str">
        <f t="shared" si="37"/>
        <v/>
      </c>
      <c r="AG78" s="15"/>
      <c r="AH78" s="3"/>
      <c r="AI78" s="5" t="str">
        <f>IF(L78="","",VLOOKUP($L78,classifications!$C:$J,8,FALSE))</f>
        <v/>
      </c>
      <c r="AJ78" s="43" t="str">
        <f t="shared" si="45"/>
        <v/>
      </c>
      <c r="AK78" s="40" t="str">
        <f>IF(AJ78="","",IF(I$8="A",(RANK(AJ78,AJ$11:AJ$343,1)+COUNTIF(AJ$11:AJ78,AJ78)-1),(RANK(AJ78,AJ$11:AJ$343)+COUNTIF(AJ$11:AJ78,AJ78)-1)))</f>
        <v/>
      </c>
      <c r="AL78" s="3" t="str">
        <f t="shared" si="54"/>
        <v/>
      </c>
      <c r="AM78" t="str">
        <f t="shared" si="46"/>
        <v/>
      </c>
      <c r="AN78" t="str">
        <f t="shared" si="47"/>
        <v/>
      </c>
      <c r="AP78" s="5" t="str">
        <f>IF(L78="","",VLOOKUP($L78,classifications!$C:$E,3,FALSE))</f>
        <v/>
      </c>
      <c r="AQ78" s="43" t="str">
        <f t="shared" si="55"/>
        <v/>
      </c>
      <c r="AR78" s="40" t="str">
        <f>IF(AQ78="","",IF(I$8="A",(RANK(AQ78,AQ$11:AQ$343,1)+COUNTIF(AQ$11:AQ78,AQ78)-1),(RANK(AQ78,AQ$11:AQ$343)+COUNTIF(AQ$11:AQ78,AQ78)-1)))</f>
        <v/>
      </c>
      <c r="AS78" s="3" t="str">
        <f t="shared" si="56"/>
        <v/>
      </c>
      <c r="AT78" s="40" t="str">
        <f t="shared" si="48"/>
        <v/>
      </c>
      <c r="AU78" s="43" t="str">
        <f t="shared" si="49"/>
        <v/>
      </c>
      <c r="AX78">
        <f>HLOOKUP($AX$9&amp;$AX$10,Data!$A$1:$ZZ$1980,(MATCH($C78,Data!$A$1:$A$1980,0)),FALSE)</f>
        <v>337.1</v>
      </c>
    </row>
    <row r="79" spans="1:50">
      <c r="A79" s="59" t="str">
        <f>$D$1&amp;69</f>
        <v>UA69</v>
      </c>
      <c r="B79" s="60">
        <f>IF(ISERROR(VLOOKUP(A79,classifications!A:C,3,FALSE)),0,VLOOKUP(A79,classifications!A:C,3,FALSE))</f>
        <v>0</v>
      </c>
      <c r="C79" t="s">
        <v>45</v>
      </c>
      <c r="D79" t="str">
        <f>VLOOKUP($C79,classifications!$C:$J,4,FALSE)</f>
        <v>SD</v>
      </c>
      <c r="E79" t="str">
        <f>VLOOKUP(C79,classifications!C:K,9,FALSE)</f>
        <v>Sparse</v>
      </c>
      <c r="F79">
        <f t="shared" si="38"/>
        <v>353.7</v>
      </c>
      <c r="G79" s="15"/>
      <c r="H79" s="42" t="str">
        <f t="shared" si="39"/>
        <v/>
      </c>
      <c r="I79" s="79" t="str">
        <f>IF(H79="","",IF($I$8="A",(RANK(H79,H$11:H$343,1)+COUNTIF(H$11:H79,H79)-1),(RANK(H79,H$11:H$343)+COUNTIF(H$11:H79,H79)-1)))</f>
        <v/>
      </c>
      <c r="J79" s="41"/>
      <c r="K79" s="36" t="str">
        <f t="shared" si="50"/>
        <v/>
      </c>
      <c r="L79" t="str">
        <f t="shared" si="40"/>
        <v/>
      </c>
      <c r="M79" s="117" t="str">
        <f t="shared" si="41"/>
        <v/>
      </c>
      <c r="N79" s="112" t="str">
        <f t="shared" si="51"/>
        <v/>
      </c>
      <c r="O79" s="96" t="str">
        <f t="shared" si="42"/>
        <v/>
      </c>
      <c r="P79" s="96" t="str">
        <f t="shared" si="57"/>
        <v/>
      </c>
      <c r="Q79" s="96" t="str">
        <f t="shared" si="58"/>
        <v/>
      </c>
      <c r="R79" s="92" t="str">
        <f t="shared" si="59"/>
        <v/>
      </c>
      <c r="S79" s="42" t="str">
        <f t="shared" si="52"/>
        <v/>
      </c>
      <c r="T79" s="167" t="str">
        <f>IF(L79="","",VLOOKUP(L79,classifications!C:K,9,FALSE))</f>
        <v/>
      </c>
      <c r="U79" s="168" t="str">
        <f t="shared" si="43"/>
        <v/>
      </c>
      <c r="V79" s="174" t="str">
        <f>IF(U79="","",IF($I$8="A",(RANK(U79,U$11:U$343)+COUNTIF(U$11:U79,U79)-1),(RANK(U79,U$11:U$343,1)+COUNTIF(U$11:U79,U79)-1)))</f>
        <v/>
      </c>
      <c r="W79" s="175"/>
      <c r="X79" s="5" t="str">
        <f>IF(L79="","",VLOOKUP($L79,classifications!$C:$J,6,FALSE))</f>
        <v/>
      </c>
      <c r="Y79" t="str">
        <f t="shared" si="44"/>
        <v/>
      </c>
      <c r="Z79" s="40" t="str">
        <f>IF(Y79="","",IF(I$8="A",(RANK(Y79,Y$11:Y$343,1)+COUNTIF(Y$11:Y79,Y79)-1),(RANK(Y79,Y$11:Y$343)+COUNTIF(Y$11:Y79,Y79)-1)))</f>
        <v/>
      </c>
      <c r="AA79" s="180" t="str">
        <f>IF(L79="","",VLOOKUP($L79,classifications!C:I,7,FALSE))</f>
        <v/>
      </c>
      <c r="AB79" s="174" t="str">
        <f t="shared" si="53"/>
        <v/>
      </c>
      <c r="AC79" s="174" t="str">
        <f>IF(AB79="","",IF($I$8="A",(RANK(AB79,AB$11:AB$343)+COUNTIF(AB$11:AB79,AB79)-1),(RANK(AB79,AB$11:AB$343,1)+COUNTIF(AB$11:AB79,AB79)-1)))</f>
        <v/>
      </c>
      <c r="AD79" s="174"/>
      <c r="AE79" s="36" t="str">
        <f t="shared" si="37"/>
        <v/>
      </c>
      <c r="AG79" s="15"/>
      <c r="AH79" s="3"/>
      <c r="AI79" s="5" t="str">
        <f>IF(L79="","",VLOOKUP($L79,classifications!$C:$J,8,FALSE))</f>
        <v/>
      </c>
      <c r="AJ79" s="43" t="str">
        <f t="shared" si="45"/>
        <v/>
      </c>
      <c r="AK79" s="40" t="str">
        <f>IF(AJ79="","",IF(I$8="A",(RANK(AJ79,AJ$11:AJ$343,1)+COUNTIF(AJ$11:AJ79,AJ79)-1),(RANK(AJ79,AJ$11:AJ$343)+COUNTIF(AJ$11:AJ79,AJ79)-1)))</f>
        <v/>
      </c>
      <c r="AL79" s="3" t="str">
        <f t="shared" si="54"/>
        <v/>
      </c>
      <c r="AM79" t="str">
        <f t="shared" si="46"/>
        <v/>
      </c>
      <c r="AN79" t="str">
        <f t="shared" si="47"/>
        <v/>
      </c>
      <c r="AP79" s="5" t="str">
        <f>IF(L79="","",VLOOKUP($L79,classifications!$C:$E,3,FALSE))</f>
        <v/>
      </c>
      <c r="AQ79" s="43" t="str">
        <f t="shared" si="55"/>
        <v/>
      </c>
      <c r="AR79" s="40" t="str">
        <f>IF(AQ79="","",IF(I$8="A",(RANK(AQ79,AQ$11:AQ$343,1)+COUNTIF(AQ$11:AQ79,AQ79)-1),(RANK(AQ79,AQ$11:AQ$343)+COUNTIF(AQ$11:AQ79,AQ79)-1)))</f>
        <v/>
      </c>
      <c r="AS79" s="3" t="str">
        <f t="shared" si="56"/>
        <v/>
      </c>
      <c r="AT79" s="40" t="str">
        <f t="shared" si="48"/>
        <v/>
      </c>
      <c r="AU79" s="43" t="str">
        <f t="shared" si="49"/>
        <v/>
      </c>
      <c r="AX79">
        <f>HLOOKUP($AX$9&amp;$AX$10,Data!$A$1:$ZZ$1980,(MATCH($C79,Data!$A$1:$A$1980,0)),FALSE)</f>
        <v>353.7</v>
      </c>
    </row>
    <row r="80" spans="1:50">
      <c r="A80" s="59" t="str">
        <f>$D$1&amp;70</f>
        <v>UA70</v>
      </c>
      <c r="B80" s="60">
        <f>IF(ISERROR(VLOOKUP(A80,classifications!A:C,3,FALSE)),0,VLOOKUP(A80,classifications!A:C,3,FALSE))</f>
        <v>0</v>
      </c>
      <c r="C80" t="s">
        <v>46</v>
      </c>
      <c r="D80" t="str">
        <f>VLOOKUP($C80,classifications!$C:$J,4,FALSE)</f>
        <v>SD</v>
      </c>
      <c r="E80">
        <f>VLOOKUP(C80,classifications!C:K,9,FALSE)</f>
        <v>0</v>
      </c>
      <c r="F80">
        <f t="shared" si="38"/>
        <v>283.2</v>
      </c>
      <c r="G80" s="15"/>
      <c r="H80" s="42" t="str">
        <f t="shared" si="39"/>
        <v/>
      </c>
      <c r="I80" s="79" t="str">
        <f>IF(H80="","",IF($I$8="A",(RANK(H80,H$11:H$343,1)+COUNTIF(H$11:H80,H80)-1),(RANK(H80,H$11:H$343)+COUNTIF(H$11:H80,H80)-1)))</f>
        <v/>
      </c>
      <c r="J80" s="41"/>
      <c r="K80" s="36" t="str">
        <f t="shared" si="50"/>
        <v/>
      </c>
      <c r="L80" t="str">
        <f t="shared" si="40"/>
        <v/>
      </c>
      <c r="M80" s="117" t="str">
        <f t="shared" si="41"/>
        <v/>
      </c>
      <c r="N80" s="112" t="str">
        <f t="shared" si="51"/>
        <v/>
      </c>
      <c r="O80" s="96" t="str">
        <f t="shared" si="42"/>
        <v/>
      </c>
      <c r="P80" s="96" t="str">
        <f t="shared" si="57"/>
        <v/>
      </c>
      <c r="Q80" s="96" t="str">
        <f t="shared" si="58"/>
        <v/>
      </c>
      <c r="R80" s="92" t="str">
        <f t="shared" si="59"/>
        <v/>
      </c>
      <c r="S80" s="42" t="str">
        <f t="shared" si="52"/>
        <v/>
      </c>
      <c r="T80" s="167" t="str">
        <f>IF(L80="","",VLOOKUP(L80,classifications!C:K,9,FALSE))</f>
        <v/>
      </c>
      <c r="U80" s="168" t="str">
        <f t="shared" si="43"/>
        <v/>
      </c>
      <c r="V80" s="174" t="str">
        <f>IF(U80="","",IF($I$8="A",(RANK(U80,U$11:U$343)+COUNTIF(U$11:U80,U80)-1),(RANK(U80,U$11:U$343,1)+COUNTIF(U$11:U80,U80)-1)))</f>
        <v/>
      </c>
      <c r="W80" s="175"/>
      <c r="X80" s="5" t="str">
        <f>IF(L80="","",VLOOKUP($L80,classifications!$C:$J,6,FALSE))</f>
        <v/>
      </c>
      <c r="Y80" t="str">
        <f t="shared" si="44"/>
        <v/>
      </c>
      <c r="Z80" s="40" t="str">
        <f>IF(Y80="","",IF(I$8="A",(RANK(Y80,Y$11:Y$343,1)+COUNTIF(Y$11:Y80,Y80)-1),(RANK(Y80,Y$11:Y$343)+COUNTIF(Y$11:Y80,Y80)-1)))</f>
        <v/>
      </c>
      <c r="AA80" s="180" t="str">
        <f>IF(L80="","",VLOOKUP($L80,classifications!C:I,7,FALSE))</f>
        <v/>
      </c>
      <c r="AB80" s="174" t="str">
        <f t="shared" si="53"/>
        <v/>
      </c>
      <c r="AC80" s="174" t="str">
        <f>IF(AB80="","",IF($I$8="A",(RANK(AB80,AB$11:AB$343)+COUNTIF(AB$11:AB80,AB80)-1),(RANK(AB80,AB$11:AB$343,1)+COUNTIF(AB$11:AB80,AB80)-1)))</f>
        <v/>
      </c>
      <c r="AD80" s="174"/>
      <c r="AE80" s="36" t="str">
        <f t="shared" si="37"/>
        <v/>
      </c>
      <c r="AG80" s="15"/>
      <c r="AH80" s="3"/>
      <c r="AI80" s="5" t="str">
        <f>IF(L80="","",VLOOKUP($L80,classifications!$C:$J,8,FALSE))</f>
        <v/>
      </c>
      <c r="AJ80" s="43" t="str">
        <f t="shared" si="45"/>
        <v/>
      </c>
      <c r="AK80" s="40" t="str">
        <f>IF(AJ80="","",IF(I$8="A",(RANK(AJ80,AJ$11:AJ$343,1)+COUNTIF(AJ$11:AJ80,AJ80)-1),(RANK(AJ80,AJ$11:AJ$343)+COUNTIF(AJ$11:AJ80,AJ80)-1)))</f>
        <v/>
      </c>
      <c r="AL80" s="3" t="str">
        <f t="shared" si="54"/>
        <v/>
      </c>
      <c r="AM80" t="str">
        <f t="shared" si="46"/>
        <v/>
      </c>
      <c r="AN80" t="str">
        <f t="shared" si="47"/>
        <v/>
      </c>
      <c r="AP80" s="5" t="str">
        <f>IF(L80="","",VLOOKUP($L80,classifications!$C:$E,3,FALSE))</f>
        <v/>
      </c>
      <c r="AQ80" s="43" t="str">
        <f t="shared" si="55"/>
        <v/>
      </c>
      <c r="AR80" s="40" t="str">
        <f>IF(AQ80="","",IF(I$8="A",(RANK(AQ80,AQ$11:AQ$343,1)+COUNTIF(AQ$11:AQ80,AQ80)-1),(RANK(AQ80,AQ$11:AQ$343)+COUNTIF(AQ$11:AQ80,AQ80)-1)))</f>
        <v/>
      </c>
      <c r="AS80" s="3" t="str">
        <f t="shared" si="56"/>
        <v/>
      </c>
      <c r="AT80" s="40" t="str">
        <f t="shared" si="48"/>
        <v/>
      </c>
      <c r="AU80" s="43" t="str">
        <f t="shared" si="49"/>
        <v/>
      </c>
      <c r="AX80">
        <f>HLOOKUP($AX$9&amp;$AX$10,Data!$A$1:$ZZ$1980,(MATCH($C80,Data!$A$1:$A$1980,0)),FALSE)</f>
        <v>283.2</v>
      </c>
    </row>
    <row r="81" spans="1:50">
      <c r="A81" s="59" t="str">
        <f>$D$1&amp;71</f>
        <v>UA71</v>
      </c>
      <c r="B81" s="60">
        <f>IF(ISERROR(VLOOKUP(A81,classifications!A:C,3,FALSE)),0,VLOOKUP(A81,classifications!A:C,3,FALSE))</f>
        <v>0</v>
      </c>
      <c r="C81" t="s">
        <v>202</v>
      </c>
      <c r="D81" t="str">
        <f>VLOOKUP($C81,classifications!$C:$J,4,FALSE)</f>
        <v>L</v>
      </c>
      <c r="E81">
        <f>VLOOKUP(C81,classifications!C:K,9,FALSE)</f>
        <v>0</v>
      </c>
      <c r="F81">
        <f t="shared" si="38"/>
        <v>331.8</v>
      </c>
      <c r="G81" s="15"/>
      <c r="H81" s="42" t="str">
        <f t="shared" si="39"/>
        <v/>
      </c>
      <c r="I81" s="79" t="str">
        <f>IF(H81="","",IF($I$8="A",(RANK(H81,H$11:H$343,1)+COUNTIF(H$11:H81,H81)-1),(RANK(H81,H$11:H$343)+COUNTIF(H$11:H81,H81)-1)))</f>
        <v/>
      </c>
      <c r="J81" s="41"/>
      <c r="K81" s="36" t="str">
        <f t="shared" si="50"/>
        <v/>
      </c>
      <c r="L81" t="str">
        <f t="shared" si="40"/>
        <v/>
      </c>
      <c r="M81" s="117" t="str">
        <f t="shared" si="41"/>
        <v/>
      </c>
      <c r="N81" s="112" t="str">
        <f t="shared" si="51"/>
        <v/>
      </c>
      <c r="O81" s="96" t="str">
        <f t="shared" si="42"/>
        <v/>
      </c>
      <c r="P81" s="96" t="str">
        <f t="shared" si="57"/>
        <v/>
      </c>
      <c r="Q81" s="96" t="str">
        <f t="shared" si="58"/>
        <v/>
      </c>
      <c r="R81" s="92" t="str">
        <f t="shared" si="59"/>
        <v/>
      </c>
      <c r="S81" s="42" t="str">
        <f t="shared" si="52"/>
        <v/>
      </c>
      <c r="T81" s="167" t="str">
        <f>IF(L81="","",VLOOKUP(L81,classifications!C:K,9,FALSE))</f>
        <v/>
      </c>
      <c r="U81" s="168" t="str">
        <f t="shared" si="43"/>
        <v/>
      </c>
      <c r="V81" s="174" t="str">
        <f>IF(U81="","",IF($I$8="A",(RANK(U81,U$11:U$343)+COUNTIF(U$11:U81,U81)-1),(RANK(U81,U$11:U$343,1)+COUNTIF(U$11:U81,U81)-1)))</f>
        <v/>
      </c>
      <c r="W81" s="175"/>
      <c r="X81" s="5" t="str">
        <f>IF(L81="","",VLOOKUP($L81,classifications!$C:$J,6,FALSE))</f>
        <v/>
      </c>
      <c r="Y81" t="str">
        <f t="shared" si="44"/>
        <v/>
      </c>
      <c r="Z81" s="40" t="str">
        <f>IF(Y81="","",IF(I$8="A",(RANK(Y81,Y$11:Y$343,1)+COUNTIF(Y$11:Y81,Y81)-1),(RANK(Y81,Y$11:Y$343)+COUNTIF(Y$11:Y81,Y81)-1)))</f>
        <v/>
      </c>
      <c r="AA81" s="180" t="str">
        <f>IF(L81="","",VLOOKUP($L81,classifications!C:I,7,FALSE))</f>
        <v/>
      </c>
      <c r="AB81" s="174" t="str">
        <f t="shared" si="53"/>
        <v/>
      </c>
      <c r="AC81" s="174" t="str">
        <f>IF(AB81="","",IF($I$8="A",(RANK(AB81,AB$11:AB$343)+COUNTIF(AB$11:AB81,AB81)-1),(RANK(AB81,AB$11:AB$343,1)+COUNTIF(AB$11:AB81,AB81)-1)))</f>
        <v/>
      </c>
      <c r="AD81" s="174"/>
      <c r="AE81" s="36" t="str">
        <f t="shared" si="37"/>
        <v/>
      </c>
      <c r="AG81" s="15"/>
      <c r="AH81" s="3"/>
      <c r="AI81" s="5" t="str">
        <f>IF(L81="","",VLOOKUP($L81,classifications!$C:$J,8,FALSE))</f>
        <v/>
      </c>
      <c r="AJ81" s="43" t="str">
        <f t="shared" si="45"/>
        <v/>
      </c>
      <c r="AK81" s="40" t="str">
        <f>IF(AJ81="","",IF(I$8="A",(RANK(AJ81,AJ$11:AJ$343,1)+COUNTIF(AJ$11:AJ81,AJ81)-1),(RANK(AJ81,AJ$11:AJ$343)+COUNTIF(AJ$11:AJ81,AJ81)-1)))</f>
        <v/>
      </c>
      <c r="AL81" s="3" t="str">
        <f t="shared" si="54"/>
        <v/>
      </c>
      <c r="AM81" t="str">
        <f t="shared" si="46"/>
        <v/>
      </c>
      <c r="AN81" t="str">
        <f t="shared" si="47"/>
        <v/>
      </c>
      <c r="AP81" s="5" t="str">
        <f>IF(L81="","",VLOOKUP($L81,classifications!$C:$E,3,FALSE))</f>
        <v/>
      </c>
      <c r="AQ81" s="43" t="str">
        <f t="shared" si="55"/>
        <v/>
      </c>
      <c r="AR81" s="40" t="str">
        <f>IF(AQ81="","",IF(I$8="A",(RANK(AQ81,AQ$11:AQ$343,1)+COUNTIF(AQ$11:AQ81,AQ81)-1),(RANK(AQ81,AQ$11:AQ$343)+COUNTIF(AQ$11:AQ81,AQ81)-1)))</f>
        <v/>
      </c>
      <c r="AS81" s="3" t="str">
        <f t="shared" si="56"/>
        <v/>
      </c>
      <c r="AT81" s="40" t="str">
        <f t="shared" si="48"/>
        <v/>
      </c>
      <c r="AU81" s="43" t="str">
        <f t="shared" si="49"/>
        <v/>
      </c>
      <c r="AX81">
        <f>HLOOKUP($AX$9&amp;$AX$10,Data!$A$1:$ZZ$1980,(MATCH($C81,Data!$A$1:$A$1980,0)),FALSE)</f>
        <v>331.8</v>
      </c>
    </row>
    <row r="82" spans="1:50">
      <c r="A82" s="59" t="str">
        <f>$D$1&amp;72</f>
        <v>UA72</v>
      </c>
      <c r="B82" s="60">
        <f>IF(ISERROR(VLOOKUP(A82,classifications!A:C,3,FALSE)),0,VLOOKUP(A82,classifications!A:C,3,FALSE))</f>
        <v>0</v>
      </c>
      <c r="C82" t="s">
        <v>307</v>
      </c>
      <c r="D82" t="str">
        <f>VLOOKUP($C82,classifications!$C:$J,4,FALSE)</f>
        <v>SC</v>
      </c>
      <c r="E82" t="str">
        <f>VLOOKUP(C82,classifications!C:K,9,FALSE)</f>
        <v>Sparse</v>
      </c>
      <c r="F82">
        <f t="shared" si="38"/>
        <v>466</v>
      </c>
      <c r="G82" s="15"/>
      <c r="H82" s="42" t="str">
        <f t="shared" si="39"/>
        <v/>
      </c>
      <c r="I82" s="79" t="str">
        <f>IF(H82="","",IF($I$8="A",(RANK(H82,H$11:H$343,1)+COUNTIF(H$11:H82,H82)-1),(RANK(H82,H$11:H$343)+COUNTIF(H$11:H82,H82)-1)))</f>
        <v/>
      </c>
      <c r="J82" s="41"/>
      <c r="K82" s="36" t="str">
        <f t="shared" si="50"/>
        <v/>
      </c>
      <c r="L82" t="str">
        <f t="shared" si="40"/>
        <v/>
      </c>
      <c r="M82" s="117" t="str">
        <f t="shared" si="41"/>
        <v/>
      </c>
      <c r="N82" s="112" t="str">
        <f t="shared" si="51"/>
        <v/>
      </c>
      <c r="O82" s="96" t="str">
        <f t="shared" si="42"/>
        <v/>
      </c>
      <c r="P82" s="96" t="str">
        <f t="shared" si="57"/>
        <v/>
      </c>
      <c r="Q82" s="96" t="str">
        <f t="shared" si="58"/>
        <v/>
      </c>
      <c r="R82" s="92" t="str">
        <f t="shared" si="59"/>
        <v/>
      </c>
      <c r="S82" s="42" t="str">
        <f t="shared" si="52"/>
        <v/>
      </c>
      <c r="T82" s="167" t="str">
        <f>IF(L82="","",VLOOKUP(L82,classifications!C:K,9,FALSE))</f>
        <v/>
      </c>
      <c r="U82" s="168" t="str">
        <f t="shared" si="43"/>
        <v/>
      </c>
      <c r="V82" s="174" t="str">
        <f>IF(U82="","",IF($I$8="A",(RANK(U82,U$11:U$343)+COUNTIF(U$11:U82,U82)-1),(RANK(U82,U$11:U$343,1)+COUNTIF(U$11:U82,U82)-1)))</f>
        <v/>
      </c>
      <c r="W82" s="175"/>
      <c r="X82" s="5" t="str">
        <f>IF(L82="","",VLOOKUP($L82,classifications!$C:$J,6,FALSE))</f>
        <v/>
      </c>
      <c r="Y82" t="str">
        <f t="shared" si="44"/>
        <v/>
      </c>
      <c r="Z82" s="40" t="str">
        <f>IF(Y82="","",IF(I$8="A",(RANK(Y82,Y$11:Y$343,1)+COUNTIF(Y$11:Y82,Y82)-1),(RANK(Y82,Y$11:Y$343)+COUNTIF(Y$11:Y82,Y82)-1)))</f>
        <v/>
      </c>
      <c r="AA82" s="180" t="str">
        <f>IF(L82="","",VLOOKUP($L82,classifications!C:I,7,FALSE))</f>
        <v/>
      </c>
      <c r="AB82" s="174" t="str">
        <f t="shared" si="53"/>
        <v/>
      </c>
      <c r="AC82" s="174" t="str">
        <f>IF(AB82="","",IF($I$8="A",(RANK(AB82,AB$11:AB$343)+COUNTIF(AB$11:AB82,AB82)-1),(RANK(AB82,AB$11:AB$343,1)+COUNTIF(AB$11:AB82,AB82)-1)))</f>
        <v/>
      </c>
      <c r="AD82" s="174"/>
      <c r="AE82" s="36" t="str">
        <f t="shared" si="37"/>
        <v/>
      </c>
      <c r="AG82" s="15"/>
      <c r="AH82" s="3"/>
      <c r="AI82" s="5" t="str">
        <f>IF(L82="","",VLOOKUP($L82,classifications!$C:$J,8,FALSE))</f>
        <v/>
      </c>
      <c r="AJ82" s="43" t="str">
        <f t="shared" si="45"/>
        <v/>
      </c>
      <c r="AK82" s="40" t="str">
        <f>IF(AJ82="","",IF(I$8="A",(RANK(AJ82,AJ$11:AJ$343,1)+COUNTIF(AJ$11:AJ82,AJ82)-1),(RANK(AJ82,AJ$11:AJ$343)+COUNTIF(AJ$11:AJ82,AJ82)-1)))</f>
        <v/>
      </c>
      <c r="AL82" s="3" t="str">
        <f t="shared" si="54"/>
        <v/>
      </c>
      <c r="AM82" t="str">
        <f t="shared" si="46"/>
        <v/>
      </c>
      <c r="AN82" t="str">
        <f t="shared" si="47"/>
        <v/>
      </c>
      <c r="AP82" s="5" t="str">
        <f>IF(L82="","",VLOOKUP($L82,classifications!$C:$E,3,FALSE))</f>
        <v/>
      </c>
      <c r="AQ82" s="43" t="str">
        <f t="shared" si="55"/>
        <v/>
      </c>
      <c r="AR82" s="40" t="str">
        <f>IF(AQ82="","",IF(I$8="A",(RANK(AQ82,AQ$11:AQ$343,1)+COUNTIF(AQ$11:AQ82,AQ82)-1),(RANK(AQ82,AQ$11:AQ$343)+COUNTIF(AQ$11:AQ82,AQ82)-1)))</f>
        <v/>
      </c>
      <c r="AS82" s="3" t="str">
        <f t="shared" si="56"/>
        <v/>
      </c>
      <c r="AT82" s="40" t="str">
        <f t="shared" si="48"/>
        <v/>
      </c>
      <c r="AU82" s="43" t="str">
        <f t="shared" si="49"/>
        <v/>
      </c>
      <c r="AX82">
        <f>HLOOKUP($AX$9&amp;$AX$10,Data!$A$1:$ZZ$1980,(MATCH($C82,Data!$A$1:$A$1980,0)),FALSE)</f>
        <v>466</v>
      </c>
    </row>
    <row r="83" spans="1:50">
      <c r="A83" s="59" t="str">
        <f>$D$1&amp;73</f>
        <v>UA73</v>
      </c>
      <c r="B83" s="60">
        <f>IF(ISERROR(VLOOKUP(A83,classifications!A:C,3,FALSE)),0,VLOOKUP(A83,classifications!A:C,3,FALSE))</f>
        <v>0</v>
      </c>
      <c r="C83" t="s">
        <v>47</v>
      </c>
      <c r="D83" t="str">
        <f>VLOOKUP($C83,classifications!$C:$J,4,FALSE)</f>
        <v>SD</v>
      </c>
      <c r="E83">
        <f>VLOOKUP(C83,classifications!C:K,9,FALSE)</f>
        <v>0</v>
      </c>
      <c r="F83">
        <f t="shared" si="38"/>
        <v>357.5</v>
      </c>
      <c r="G83" s="15"/>
      <c r="H83" s="42" t="str">
        <f t="shared" si="39"/>
        <v/>
      </c>
      <c r="I83" s="79" t="str">
        <f>IF(H83="","",IF($I$8="A",(RANK(H83,H$11:H$343,1)+COUNTIF(H$11:H83,H83)-1),(RANK(H83,H$11:H$343)+COUNTIF(H$11:H83,H83)-1)))</f>
        <v/>
      </c>
      <c r="J83" s="41"/>
      <c r="K83" s="36" t="str">
        <f t="shared" si="50"/>
        <v/>
      </c>
      <c r="L83" t="str">
        <f t="shared" si="40"/>
        <v/>
      </c>
      <c r="M83" s="117" t="str">
        <f t="shared" si="41"/>
        <v/>
      </c>
      <c r="N83" s="112" t="str">
        <f t="shared" si="51"/>
        <v/>
      </c>
      <c r="O83" s="96" t="str">
        <f t="shared" si="42"/>
        <v/>
      </c>
      <c r="P83" s="96" t="str">
        <f t="shared" si="57"/>
        <v/>
      </c>
      <c r="Q83" s="96" t="str">
        <f t="shared" si="58"/>
        <v/>
      </c>
      <c r="R83" s="92" t="str">
        <f t="shared" si="59"/>
        <v/>
      </c>
      <c r="S83" s="42" t="str">
        <f t="shared" si="52"/>
        <v/>
      </c>
      <c r="T83" s="167" t="str">
        <f>IF(L83="","",VLOOKUP(L83,classifications!C:K,9,FALSE))</f>
        <v/>
      </c>
      <c r="U83" s="168" t="str">
        <f t="shared" si="43"/>
        <v/>
      </c>
      <c r="V83" s="174" t="str">
        <f>IF(U83="","",IF($I$8="A",(RANK(U83,U$11:U$343)+COUNTIF(U$11:U83,U83)-1),(RANK(U83,U$11:U$343,1)+COUNTIF(U$11:U83,U83)-1)))</f>
        <v/>
      </c>
      <c r="W83" s="175"/>
      <c r="X83" s="5" t="str">
        <f>IF(L83="","",VLOOKUP($L83,classifications!$C:$J,6,FALSE))</f>
        <v/>
      </c>
      <c r="Y83" t="str">
        <f t="shared" si="44"/>
        <v/>
      </c>
      <c r="Z83" s="40" t="str">
        <f>IF(Y83="","",IF(I$8="A",(RANK(Y83,Y$11:Y$343,1)+COUNTIF(Y$11:Y83,Y83)-1),(RANK(Y83,Y$11:Y$343)+COUNTIF(Y$11:Y83,Y83)-1)))</f>
        <v/>
      </c>
      <c r="AA83" s="180" t="str">
        <f>IF(L83="","",VLOOKUP($L83,classifications!C:I,7,FALSE))</f>
        <v/>
      </c>
      <c r="AB83" s="174" t="str">
        <f t="shared" si="53"/>
        <v/>
      </c>
      <c r="AC83" s="174" t="str">
        <f>IF(AB83="","",IF($I$8="A",(RANK(AB83,AB$11:AB$343)+COUNTIF(AB$11:AB83,AB83)-1),(RANK(AB83,AB$11:AB$343,1)+COUNTIF(AB$11:AB83,AB83)-1)))</f>
        <v/>
      </c>
      <c r="AD83" s="174"/>
      <c r="AE83" s="36" t="str">
        <f t="shared" si="37"/>
        <v/>
      </c>
      <c r="AG83" s="15"/>
      <c r="AH83" s="3"/>
      <c r="AI83" s="5" t="str">
        <f>IF(L83="","",VLOOKUP($L83,classifications!$C:$J,8,FALSE))</f>
        <v/>
      </c>
      <c r="AJ83" s="43" t="str">
        <f t="shared" si="45"/>
        <v/>
      </c>
      <c r="AK83" s="40" t="str">
        <f>IF(AJ83="","",IF(I$8="A",(RANK(AJ83,AJ$11:AJ$343,1)+COUNTIF(AJ$11:AJ83,AJ83)-1),(RANK(AJ83,AJ$11:AJ$343)+COUNTIF(AJ$11:AJ83,AJ83)-1)))</f>
        <v/>
      </c>
      <c r="AL83" s="3" t="str">
        <f t="shared" si="54"/>
        <v/>
      </c>
      <c r="AM83" t="str">
        <f t="shared" si="46"/>
        <v/>
      </c>
      <c r="AN83" t="str">
        <f t="shared" si="47"/>
        <v/>
      </c>
      <c r="AP83" s="5" t="str">
        <f>IF(L83="","",VLOOKUP($L83,classifications!$C:$E,3,FALSE))</f>
        <v/>
      </c>
      <c r="AQ83" s="43" t="str">
        <f t="shared" si="55"/>
        <v/>
      </c>
      <c r="AR83" s="40" t="str">
        <f>IF(AQ83="","",IF(I$8="A",(RANK(AQ83,AQ$11:AQ$343,1)+COUNTIF(AQ$11:AQ83,AQ83)-1),(RANK(AQ83,AQ$11:AQ$343)+COUNTIF(AQ$11:AQ83,AQ83)-1)))</f>
        <v/>
      </c>
      <c r="AS83" s="3" t="str">
        <f t="shared" si="56"/>
        <v/>
      </c>
      <c r="AT83" s="40" t="str">
        <f t="shared" si="48"/>
        <v/>
      </c>
      <c r="AU83" s="43" t="str">
        <f t="shared" si="49"/>
        <v/>
      </c>
      <c r="AX83">
        <f>HLOOKUP($AX$9&amp;$AX$10,Data!$A$1:$ZZ$1980,(MATCH($C83,Data!$A$1:$A$1980,0)),FALSE)</f>
        <v>357.5</v>
      </c>
    </row>
    <row r="84" spans="1:50">
      <c r="A84" s="59" t="str">
        <f>$D$1&amp;74</f>
        <v>UA74</v>
      </c>
      <c r="B84" s="60">
        <f>IF(ISERROR(VLOOKUP(A84,classifications!A:C,3,FALSE)),0,VLOOKUP(A84,classifications!A:C,3,FALSE))</f>
        <v>0</v>
      </c>
      <c r="C84" t="s">
        <v>265</v>
      </c>
      <c r="D84" t="str">
        <f>VLOOKUP($C84,classifications!$C:$J,4,FALSE)</f>
        <v>UA</v>
      </c>
      <c r="E84">
        <f>VLOOKUP(C84,classifications!C:K,9,FALSE)</f>
        <v>0</v>
      </c>
      <c r="F84">
        <f t="shared" si="38"/>
        <v>407.2</v>
      </c>
      <c r="G84" s="15"/>
      <c r="H84" s="42">
        <f t="shared" si="39"/>
        <v>407.2</v>
      </c>
      <c r="I84" s="79">
        <f>IF(H84="","",IF($I$8="A",(RANK(H84,H$11:H$343,1)+COUNTIF(H$11:H84,H84)-1),(RANK(H84,H$11:H$343)+COUNTIF(H$11:H84,H84)-1)))</f>
        <v>38</v>
      </c>
      <c r="J84" s="41"/>
      <c r="K84" s="36" t="str">
        <f t="shared" si="50"/>
        <v/>
      </c>
      <c r="L84" t="str">
        <f t="shared" si="40"/>
        <v/>
      </c>
      <c r="M84" s="117" t="str">
        <f t="shared" si="41"/>
        <v/>
      </c>
      <c r="N84" s="112" t="str">
        <f t="shared" si="51"/>
        <v/>
      </c>
      <c r="O84" s="96" t="str">
        <f t="shared" si="42"/>
        <v/>
      </c>
      <c r="P84" s="96" t="str">
        <f t="shared" si="57"/>
        <v/>
      </c>
      <c r="Q84" s="96" t="str">
        <f t="shared" si="58"/>
        <v/>
      </c>
      <c r="R84" s="92" t="str">
        <f t="shared" si="59"/>
        <v/>
      </c>
      <c r="S84" s="42" t="str">
        <f t="shared" si="52"/>
        <v/>
      </c>
      <c r="T84" s="167" t="str">
        <f>IF(L84="","",VLOOKUP(L84,classifications!C:K,9,FALSE))</f>
        <v/>
      </c>
      <c r="U84" s="168" t="str">
        <f t="shared" si="43"/>
        <v/>
      </c>
      <c r="V84" s="174" t="str">
        <f>IF(U84="","",IF($I$8="A",(RANK(U84,U$11:U$343)+COUNTIF(U$11:U84,U84)-1),(RANK(U84,U$11:U$343,1)+COUNTIF(U$11:U84,U84)-1)))</f>
        <v/>
      </c>
      <c r="W84" s="175"/>
      <c r="X84" s="5" t="str">
        <f>IF(L84="","",VLOOKUP($L84,classifications!$C:$J,6,FALSE))</f>
        <v/>
      </c>
      <c r="Y84" t="str">
        <f t="shared" si="44"/>
        <v/>
      </c>
      <c r="Z84" s="40" t="str">
        <f>IF(Y84="","",IF(I$8="A",(RANK(Y84,Y$11:Y$343,1)+COUNTIF(Y$11:Y84,Y84)-1),(RANK(Y84,Y$11:Y$343)+COUNTIF(Y$11:Y84,Y84)-1)))</f>
        <v/>
      </c>
      <c r="AA84" s="180" t="str">
        <f>IF(L84="","",VLOOKUP($L84,classifications!C:I,7,FALSE))</f>
        <v/>
      </c>
      <c r="AB84" s="174" t="str">
        <f t="shared" si="53"/>
        <v/>
      </c>
      <c r="AC84" s="174" t="str">
        <f>IF(AB84="","",IF($I$8="A",(RANK(AB84,AB$11:AB$343)+COUNTIF(AB$11:AB84,AB84)-1),(RANK(AB84,AB$11:AB$343,1)+COUNTIF(AB$11:AB84,AB84)-1)))</f>
        <v/>
      </c>
      <c r="AD84" s="174"/>
      <c r="AE84" s="36" t="str">
        <f t="shared" si="37"/>
        <v/>
      </c>
      <c r="AG84" s="15"/>
      <c r="AH84" s="3"/>
      <c r="AI84" s="5" t="str">
        <f>IF(L84="","",VLOOKUP($L84,classifications!$C:$J,8,FALSE))</f>
        <v/>
      </c>
      <c r="AJ84" s="43" t="str">
        <f t="shared" si="45"/>
        <v/>
      </c>
      <c r="AK84" s="40" t="str">
        <f>IF(AJ84="","",IF(I$8="A",(RANK(AJ84,AJ$11:AJ$343,1)+COUNTIF(AJ$11:AJ84,AJ84)-1),(RANK(AJ84,AJ$11:AJ$343)+COUNTIF(AJ$11:AJ84,AJ84)-1)))</f>
        <v/>
      </c>
      <c r="AL84" s="3" t="str">
        <f t="shared" si="54"/>
        <v/>
      </c>
      <c r="AM84" t="str">
        <f t="shared" si="46"/>
        <v/>
      </c>
      <c r="AN84" t="str">
        <f t="shared" si="47"/>
        <v/>
      </c>
      <c r="AP84" s="5" t="str">
        <f>IF(L84="","",VLOOKUP($L84,classifications!$C:$E,3,FALSE))</f>
        <v/>
      </c>
      <c r="AQ84" s="43" t="str">
        <f t="shared" si="55"/>
        <v/>
      </c>
      <c r="AR84" s="40" t="str">
        <f>IF(AQ84="","",IF(I$8="A",(RANK(AQ84,AQ$11:AQ$343,1)+COUNTIF(AQ$11:AQ84,AQ84)-1),(RANK(AQ84,AQ$11:AQ$343)+COUNTIF(AQ$11:AQ84,AQ84)-1)))</f>
        <v/>
      </c>
      <c r="AS84" s="3" t="str">
        <f t="shared" si="56"/>
        <v/>
      </c>
      <c r="AT84" s="40" t="str">
        <f t="shared" si="48"/>
        <v/>
      </c>
      <c r="AU84" s="43" t="str">
        <f t="shared" si="49"/>
        <v/>
      </c>
      <c r="AX84">
        <f>HLOOKUP($AX$9&amp;$AX$10,Data!$A$1:$ZZ$1980,(MATCH($C84,Data!$A$1:$A$1980,0)),FALSE)</f>
        <v>407.2</v>
      </c>
    </row>
    <row r="85" spans="1:50">
      <c r="A85" s="59" t="str">
        <f>$D$1&amp;75</f>
        <v>UA75</v>
      </c>
      <c r="B85" s="60">
        <f>IF(ISERROR(VLOOKUP(A85,classifications!A:C,3,FALSE)),0,VLOOKUP(A85,classifications!A:C,3,FALSE))</f>
        <v>0</v>
      </c>
      <c r="C85" t="s">
        <v>48</v>
      </c>
      <c r="D85" t="str">
        <f>VLOOKUP($C85,classifications!$C:$J,4,FALSE)</f>
        <v>SD</v>
      </c>
      <c r="E85">
        <f>VLOOKUP(C85,classifications!C:K,9,FALSE)</f>
        <v>0</v>
      </c>
      <c r="F85">
        <f t="shared" si="38"/>
        <v>331.2</v>
      </c>
      <c r="G85" s="15"/>
      <c r="H85" s="42" t="str">
        <f t="shared" si="39"/>
        <v/>
      </c>
      <c r="I85" s="79" t="str">
        <f>IF(H85="","",IF($I$8="A",(RANK(H85,H$11:H$343,1)+COUNTIF(H$11:H85,H85)-1),(RANK(H85,H$11:H$343)+COUNTIF(H$11:H85,H85)-1)))</f>
        <v/>
      </c>
      <c r="J85" s="41"/>
      <c r="K85" s="36" t="str">
        <f t="shared" si="50"/>
        <v/>
      </c>
      <c r="L85" t="str">
        <f t="shared" si="40"/>
        <v/>
      </c>
      <c r="M85" s="117" t="str">
        <f t="shared" si="41"/>
        <v/>
      </c>
      <c r="N85" s="112" t="str">
        <f t="shared" si="51"/>
        <v/>
      </c>
      <c r="O85" s="96" t="str">
        <f t="shared" si="42"/>
        <v/>
      </c>
      <c r="P85" s="96" t="str">
        <f t="shared" si="57"/>
        <v/>
      </c>
      <c r="Q85" s="96" t="str">
        <f t="shared" si="58"/>
        <v/>
      </c>
      <c r="R85" s="92" t="str">
        <f t="shared" si="59"/>
        <v/>
      </c>
      <c r="S85" s="42" t="str">
        <f t="shared" si="52"/>
        <v/>
      </c>
      <c r="T85" s="167" t="str">
        <f>IF(L85="","",VLOOKUP(L85,classifications!C:K,9,FALSE))</f>
        <v/>
      </c>
      <c r="U85" s="168" t="str">
        <f t="shared" si="43"/>
        <v/>
      </c>
      <c r="V85" s="174" t="str">
        <f>IF(U85="","",IF($I$8="A",(RANK(U85,U$11:U$343)+COUNTIF(U$11:U85,U85)-1),(RANK(U85,U$11:U$343,1)+COUNTIF(U$11:U85,U85)-1)))</f>
        <v/>
      </c>
      <c r="W85" s="175"/>
      <c r="X85" s="5" t="str">
        <f>IF(L85="","",VLOOKUP($L85,classifications!$C:$J,6,FALSE))</f>
        <v/>
      </c>
      <c r="Y85" t="str">
        <f t="shared" si="44"/>
        <v/>
      </c>
      <c r="Z85" s="40" t="str">
        <f>IF(Y85="","",IF(I$8="A",(RANK(Y85,Y$11:Y$343,1)+COUNTIF(Y$11:Y85,Y85)-1),(RANK(Y85,Y$11:Y$343)+COUNTIF(Y$11:Y85,Y85)-1)))</f>
        <v/>
      </c>
      <c r="AA85" s="180" t="str">
        <f>IF(L85="","",VLOOKUP($L85,classifications!C:I,7,FALSE))</f>
        <v/>
      </c>
      <c r="AB85" s="174" t="str">
        <f t="shared" si="53"/>
        <v/>
      </c>
      <c r="AC85" s="174" t="str">
        <f>IF(AB85="","",IF($I$8="A",(RANK(AB85,AB$11:AB$343)+COUNTIF(AB$11:AB85,AB85)-1),(RANK(AB85,AB$11:AB$343,1)+COUNTIF(AB$11:AB85,AB85)-1)))</f>
        <v/>
      </c>
      <c r="AD85" s="174"/>
      <c r="AE85" s="36" t="str">
        <f t="shared" si="37"/>
        <v/>
      </c>
      <c r="AG85" s="15"/>
      <c r="AH85" s="3"/>
      <c r="AI85" s="5" t="str">
        <f>IF(L85="","",VLOOKUP($L85,classifications!$C:$J,8,FALSE))</f>
        <v/>
      </c>
      <c r="AJ85" s="43" t="str">
        <f t="shared" si="45"/>
        <v/>
      </c>
      <c r="AK85" s="40" t="str">
        <f>IF(AJ85="","",IF(I$8="A",(RANK(AJ85,AJ$11:AJ$343,1)+COUNTIF(AJ$11:AJ85,AJ85)-1),(RANK(AJ85,AJ$11:AJ$343)+COUNTIF(AJ$11:AJ85,AJ85)-1)))</f>
        <v/>
      </c>
      <c r="AL85" s="3" t="str">
        <f t="shared" si="54"/>
        <v/>
      </c>
      <c r="AM85" t="str">
        <f t="shared" si="46"/>
        <v/>
      </c>
      <c r="AN85" t="str">
        <f t="shared" si="47"/>
        <v/>
      </c>
      <c r="AP85" s="5" t="str">
        <f>IF(L85="","",VLOOKUP($L85,classifications!$C:$E,3,FALSE))</f>
        <v/>
      </c>
      <c r="AQ85" s="43" t="str">
        <f t="shared" si="55"/>
        <v/>
      </c>
      <c r="AR85" s="40" t="str">
        <f>IF(AQ85="","",IF(I$8="A",(RANK(AQ85,AQ$11:AQ$343,1)+COUNTIF(AQ$11:AQ85,AQ85)-1),(RANK(AQ85,AQ$11:AQ$343)+COUNTIF(AQ$11:AQ85,AQ85)-1)))</f>
        <v/>
      </c>
      <c r="AS85" s="3" t="str">
        <f t="shared" si="56"/>
        <v/>
      </c>
      <c r="AT85" s="40" t="str">
        <f t="shared" si="48"/>
        <v/>
      </c>
      <c r="AU85" s="43" t="str">
        <f t="shared" si="49"/>
        <v/>
      </c>
      <c r="AX85">
        <f>HLOOKUP($AX$9&amp;$AX$10,Data!$A$1:$ZZ$1980,(MATCH($C85,Data!$A$1:$A$1980,0)),FALSE)</f>
        <v>331.2</v>
      </c>
    </row>
    <row r="86" spans="1:50">
      <c r="A86" s="59" t="str">
        <f>$D$1&amp;76</f>
        <v>UA76</v>
      </c>
      <c r="B86" s="60">
        <f>IF(ISERROR(VLOOKUP(A87,classifications!A:C,3,FALSE)),0,VLOOKUP(A87,classifications!A:C,3,FALSE))</f>
        <v>0</v>
      </c>
      <c r="C86" t="s">
        <v>266</v>
      </c>
      <c r="D86" t="str">
        <f>VLOOKUP($C86,classifications!$C:$J,4,FALSE)</f>
        <v>UA</v>
      </c>
      <c r="E86">
        <f>VLOOKUP(C86,classifications!C:K,9,FALSE)</f>
        <v>0</v>
      </c>
      <c r="F86">
        <f t="shared" ref="F86:F149" si="60">HLOOKUP($D$6,AX$10:ZX$355,ROW()-9,FALSE)</f>
        <v>372.1</v>
      </c>
      <c r="G86" s="15"/>
      <c r="H86" s="42">
        <f t="shared" ref="H86:H149" si="61">IF(D86=$D$1,HLOOKUP($D$6,$AX$10:$ZZ$355,ROW()-9,FALSE),"")</f>
        <v>372.1</v>
      </c>
      <c r="I86" s="79">
        <f>IF(H86="","",IF($I$8="A",(RANK(H86,H$11:H$343,1)+COUNTIF(H$11:H86,H86)-1),(RANK(H86,H$11:H$343)+COUNTIF(H$11:H86,H86)-1)))</f>
        <v>16</v>
      </c>
      <c r="J86" s="41"/>
      <c r="K86" s="36" t="str">
        <f t="shared" ref="K86:K149" si="62">IF(K85="","",IF(K85+1&gt;(COUNT(H$11:H$343)),"",K85+1))</f>
        <v/>
      </c>
      <c r="L86" t="str">
        <f t="shared" ref="L86:L149" si="63">IF(K86="","",INDEX(C$11:C$343,MATCH(K86,I$11:I$343,0)))</f>
        <v/>
      </c>
      <c r="M86" s="117" t="str">
        <f t="shared" ref="M86:M149" si="64">IF(L86="","",IF(VLOOKUP(L86,C:D,2,FALSE)=$F$3,VLOOKUP(L86,C:H,6,FALSE),""))</f>
        <v/>
      </c>
      <c r="N86" s="112" t="str">
        <f t="shared" ref="N86:N149" si="65">IF(L86="","",IF($H$8="%%",M86*100,M86))</f>
        <v/>
      </c>
      <c r="O86" s="96" t="str">
        <f t="shared" ref="O86:O149" si="66">IF(I$8="A",IF(N86&gt;=$P$7,IF(N86&lt;=$O$10,N86,""),""),IF(N86&lt;=$P$7,IF(N86&gt;=$O$10,N86,""),""))</f>
        <v/>
      </c>
      <c r="P86" s="96" t="str">
        <f t="shared" ref="P86:P149" si="67">IF(I$8="A",IF(N86&gt;$O$10,IF(N86&lt;=$P$10,N86,""),""),IF(N86&lt;$O$10,IF(N86&gt;=$P$10,N86,""),""))</f>
        <v/>
      </c>
      <c r="Q86" s="96" t="str">
        <f t="shared" ref="Q86:Q149" si="68">IF(I$8="A",IF(N86&gt;$P$10,IF(N86&lt;=$Q$10,N86,""),""),IF(N86&lt;$P$10,IF(N86&gt;=$Q$10,N86,""),""))</f>
        <v/>
      </c>
      <c r="R86" s="92" t="str">
        <f t="shared" ref="R86:R149" si="69">IF(I$8="A",IF(N86&gt;$Q$10,N86,""),IF(N86&lt;$Q$10,N86,""))</f>
        <v/>
      </c>
      <c r="S86" s="42" t="str">
        <f t="shared" ref="S86:S149" si="70">IF(L86=D$3,"u","")</f>
        <v/>
      </c>
      <c r="T86" s="167" t="str">
        <f>IF(L86="","",VLOOKUP(L86,classifications!C:K,9,FALSE))</f>
        <v/>
      </c>
      <c r="U86" s="168" t="str">
        <f t="shared" ref="U86:U149" si="71">IF(T86="Sparse",M86,"")</f>
        <v/>
      </c>
      <c r="V86" s="174" t="str">
        <f>IF(U86="","",IF($I$8="A",(RANK(U86,U$11:U$343)+COUNTIF(U$11:U86,U86)-1),(RANK(U86,U$11:U$343,1)+COUNTIF(U$11:U86,U86)-1)))</f>
        <v/>
      </c>
      <c r="W86" s="175"/>
      <c r="X86" s="5" t="str">
        <f>IF(L86="","",VLOOKUP($L86,classifications!$C:$J,6,FALSE))</f>
        <v/>
      </c>
      <c r="Y86" t="str">
        <f t="shared" ref="Y86:Y149" si="72">IF($D$1="UA",IF(X86="Largely Rural (rural including hub towns 50-79%) ",M86,IF(X86="Mainly Rural (rural including hub towns &gt;=80%) ",M86,IF(X86="Urban with Significant Rural (rural including hub towns 26-49%)",M86,""))),IF($D$1="SD",IF(X86=$H$3,M86,"")))</f>
        <v/>
      </c>
      <c r="Z86" s="40" t="str">
        <f>IF(Y86="","",IF(I$8="A",(RANK(Y86,Y$11:Y$343,1)+COUNTIF(Y$11:Y86,Y86)-1),(RANK(Y86,Y$11:Y$343)+COUNTIF(Y$11:Y86,Y86)-1)))</f>
        <v/>
      </c>
      <c r="AA86" s="180" t="str">
        <f>IF(L86="","",VLOOKUP($L86,classifications!C:I,7,FALSE))</f>
        <v/>
      </c>
      <c r="AB86" s="174" t="str">
        <f t="shared" ref="AB86:AB149" si="73">IF(AA86=$J$3,M86,"")</f>
        <v/>
      </c>
      <c r="AC86" s="174" t="str">
        <f>IF(AB86="","",IF($I$8="A",(RANK(AB86,AB$11:AB$343)+COUNTIF(AB$11:AB86,AB86)-1),(RANK(AB86,AB$11:AB$343,1)+COUNTIF(AB$11:AB86,AB86)-1)))</f>
        <v/>
      </c>
      <c r="AD86" s="174"/>
      <c r="AE86" s="36" t="str">
        <f t="shared" ref="AE86:AE149" si="74">IF(AE85="","",IF(AE85+1&gt;(COUNT(AG:AG)),"",AE85+1))</f>
        <v/>
      </c>
      <c r="AG86" s="15"/>
      <c r="AH86" s="3"/>
      <c r="AI86" s="5" t="str">
        <f>IF(L86="","",VLOOKUP($L86,classifications!$C:$J,8,FALSE))</f>
        <v/>
      </c>
      <c r="AJ86" s="43" t="str">
        <f t="shared" ref="AJ86:AJ149" si="75">IF(AI86=$I$3,M86,"")</f>
        <v/>
      </c>
      <c r="AK86" s="40" t="str">
        <f>IF(AJ86="","",IF(I$8="A",(RANK(AJ86,AJ$11:AJ$343,1)+COUNTIF(AJ$11:AJ86,AJ86)-1),(RANK(AJ86,AJ$11:AJ$343)+COUNTIF(AJ$11:AJ86,AJ86)-1)))</f>
        <v/>
      </c>
      <c r="AL86" s="3" t="str">
        <f t="shared" ref="AL86:AL149" si="76">IF(AL85="","",IF(AL85+1&gt;(COUNT(AJ$11:AJ$343)),"",AL85+1))</f>
        <v/>
      </c>
      <c r="AM86" t="str">
        <f t="shared" ref="AM86:AM149" si="77">IF(ISNA(IF(AL86="","",INDEX(L$11:L$343,MATCH(AL86,AK$11:AK$343,0)))),"",(IF(AL86="","",INDEX(L$11:L$343,MATCH(AL86,AK$11:AK$343,0)))))</f>
        <v/>
      </c>
      <c r="AN86" t="str">
        <f t="shared" ref="AN86:AN149" si="78">(VLOOKUP(AM86,L:M,2,FALSE))</f>
        <v/>
      </c>
      <c r="AP86" s="5" t="str">
        <f>IF(L86="","",VLOOKUP($L86,classifications!$C:$E,3,FALSE))</f>
        <v/>
      </c>
      <c r="AQ86" s="43" t="str">
        <f t="shared" ref="AQ86:AQ149" si="79">IF(AP86=$G$3,$M86,"")</f>
        <v/>
      </c>
      <c r="AR86" s="40" t="str">
        <f>IF(AQ86="","",IF(I$8="A",(RANK(AQ86,AQ$11:AQ$343,1)+COUNTIF(AQ$11:AQ86,AQ86)-1),(RANK(AQ86,AQ$11:AQ$343)+COUNTIF(AQ$11:AQ86,AQ86)-1)))</f>
        <v/>
      </c>
      <c r="AS86" s="3" t="str">
        <f t="shared" ref="AS86:AS149" si="80">IF(AS85="","",IF(AS85+1&gt;(COUNT(AQ$11:AQ$343)),"",AS85+1))</f>
        <v/>
      </c>
      <c r="AT86" s="40" t="str">
        <f t="shared" ref="AT86:AT149" si="81">IF(AS86="","",INDEX(L$11:L$343,MATCH(AS86,AR$11:AR$343,0)))</f>
        <v/>
      </c>
      <c r="AU86" s="43" t="str">
        <f t="shared" ref="AU86:AU149" si="82">IF(AT86="","",VLOOKUP(AT86,L:M,2,FALSE))</f>
        <v/>
      </c>
      <c r="AX86">
        <f>HLOOKUP($AX$9&amp;$AX$10,Data!$A$1:$ZZ$1980,(MATCH($C86,Data!$A$1:$A$1980,0)),FALSE)</f>
        <v>372.1</v>
      </c>
    </row>
    <row r="87" spans="1:50">
      <c r="A87" s="59" t="str">
        <f>$D$1&amp;77</f>
        <v>UA77</v>
      </c>
      <c r="B87" s="60">
        <f>IF(ISERROR(VLOOKUP(A88,classifications!A:C,3,FALSE)),0,VLOOKUP(A88,classifications!A:C,3,FALSE))</f>
        <v>0</v>
      </c>
      <c r="C87" t="s">
        <v>308</v>
      </c>
      <c r="D87" t="str">
        <f>VLOOKUP($C87,classifications!$C:$J,4,FALSE)</f>
        <v>SC</v>
      </c>
      <c r="E87">
        <f>VLOOKUP(C87,classifications!C:K,9,FALSE)</f>
        <v>0</v>
      </c>
      <c r="F87">
        <f t="shared" si="60"/>
        <v>437.1</v>
      </c>
      <c r="G87" s="15"/>
      <c r="H87" s="42" t="str">
        <f t="shared" si="61"/>
        <v/>
      </c>
      <c r="I87" s="79" t="str">
        <f>IF(H87="","",IF($I$8="A",(RANK(H87,H$11:H$343,1)+COUNTIF(H$11:H87,H87)-1),(RANK(H87,H$11:H$343)+COUNTIF(H$11:H87,H87)-1)))</f>
        <v/>
      </c>
      <c r="J87" s="41"/>
      <c r="K87" s="36" t="str">
        <f t="shared" si="62"/>
        <v/>
      </c>
      <c r="L87" t="str">
        <f t="shared" si="63"/>
        <v/>
      </c>
      <c r="M87" s="117" t="str">
        <f t="shared" si="64"/>
        <v/>
      </c>
      <c r="N87" s="112" t="str">
        <f t="shared" si="65"/>
        <v/>
      </c>
      <c r="O87" s="96" t="str">
        <f t="shared" si="66"/>
        <v/>
      </c>
      <c r="P87" s="96" t="str">
        <f t="shared" si="67"/>
        <v/>
      </c>
      <c r="Q87" s="96" t="str">
        <f t="shared" si="68"/>
        <v/>
      </c>
      <c r="R87" s="92" t="str">
        <f t="shared" si="69"/>
        <v/>
      </c>
      <c r="S87" s="42" t="str">
        <f t="shared" si="70"/>
        <v/>
      </c>
      <c r="T87" s="167" t="str">
        <f>IF(L87="","",VLOOKUP(L87,classifications!C:K,9,FALSE))</f>
        <v/>
      </c>
      <c r="U87" s="168" t="str">
        <f t="shared" si="71"/>
        <v/>
      </c>
      <c r="V87" s="174" t="str">
        <f>IF(U87="","",IF($I$8="A",(RANK(U87,U$11:U$343)+COUNTIF(U$11:U87,U87)-1),(RANK(U87,U$11:U$343,1)+COUNTIF(U$11:U87,U87)-1)))</f>
        <v/>
      </c>
      <c r="W87" s="175"/>
      <c r="X87" s="5" t="str">
        <f>IF(L87="","",VLOOKUP($L87,classifications!$C:$J,6,FALSE))</f>
        <v/>
      </c>
      <c r="Y87" t="str">
        <f t="shared" si="72"/>
        <v/>
      </c>
      <c r="Z87" s="40" t="str">
        <f>IF(Y87="","",IF(I$8="A",(RANK(Y87,Y$11:Y$343,1)+COUNTIF(Y$11:Y87,Y87)-1),(RANK(Y87,Y$11:Y$343)+COUNTIF(Y$11:Y87,Y87)-1)))</f>
        <v/>
      </c>
      <c r="AA87" s="180" t="str">
        <f>IF(L87="","",VLOOKUP($L87,classifications!C:I,7,FALSE))</f>
        <v/>
      </c>
      <c r="AB87" s="174" t="str">
        <f t="shared" si="73"/>
        <v/>
      </c>
      <c r="AC87" s="174" t="str">
        <f>IF(AB87="","",IF($I$8="A",(RANK(AB87,AB$11:AB$343)+COUNTIF(AB$11:AB87,AB87)-1),(RANK(AB87,AB$11:AB$343,1)+COUNTIF(AB$11:AB87,AB87)-1)))</f>
        <v/>
      </c>
      <c r="AD87" s="174"/>
      <c r="AE87" s="36" t="str">
        <f t="shared" si="74"/>
        <v/>
      </c>
      <c r="AG87" s="15"/>
      <c r="AH87" s="3"/>
      <c r="AI87" s="5" t="str">
        <f>IF(L87="","",VLOOKUP($L87,classifications!$C:$J,8,FALSE))</f>
        <v/>
      </c>
      <c r="AJ87" s="43" t="str">
        <f t="shared" si="75"/>
        <v/>
      </c>
      <c r="AK87" s="40" t="str">
        <f>IF(AJ87="","",IF(I$8="A",(RANK(AJ87,AJ$11:AJ$343,1)+COUNTIF(AJ$11:AJ87,AJ87)-1),(RANK(AJ87,AJ$11:AJ$343)+COUNTIF(AJ$11:AJ87,AJ87)-1)))</f>
        <v/>
      </c>
      <c r="AL87" s="3" t="str">
        <f t="shared" si="76"/>
        <v/>
      </c>
      <c r="AM87" t="str">
        <f t="shared" si="77"/>
        <v/>
      </c>
      <c r="AN87" t="str">
        <f t="shared" si="78"/>
        <v/>
      </c>
      <c r="AP87" s="5" t="str">
        <f>IF(L87="","",VLOOKUP($L87,classifications!$C:$E,3,FALSE))</f>
        <v/>
      </c>
      <c r="AQ87" s="43" t="str">
        <f t="shared" si="79"/>
        <v/>
      </c>
      <c r="AR87" s="40" t="str">
        <f>IF(AQ87="","",IF(I$8="A",(RANK(AQ87,AQ$11:AQ$343,1)+COUNTIF(AQ$11:AQ87,AQ87)-1),(RANK(AQ87,AQ$11:AQ$343)+COUNTIF(AQ$11:AQ87,AQ87)-1)))</f>
        <v/>
      </c>
      <c r="AS87" s="3" t="str">
        <f t="shared" si="80"/>
        <v/>
      </c>
      <c r="AT87" s="40" t="str">
        <f t="shared" si="81"/>
        <v/>
      </c>
      <c r="AU87" s="43" t="str">
        <f t="shared" si="82"/>
        <v/>
      </c>
      <c r="AX87">
        <f>HLOOKUP($AX$9&amp;$AX$10,Data!$A$1:$ZZ$1980,(MATCH($C87,Data!$A$1:$A$1980,0)),FALSE)</f>
        <v>437.1</v>
      </c>
    </row>
    <row r="88" spans="1:50">
      <c r="A88" s="59" t="str">
        <f>$D$1&amp;78</f>
        <v>UA78</v>
      </c>
      <c r="B88" s="60">
        <f>IF(ISERROR(VLOOKUP(A89,classifications!A:C,3,FALSE)),0,VLOOKUP(A89,classifications!A:C,3,FALSE))</f>
        <v>0</v>
      </c>
      <c r="C88" t="s">
        <v>50</v>
      </c>
      <c r="D88" t="str">
        <f>VLOOKUP($C88,classifications!$C:$J,4,FALSE)</f>
        <v>SD</v>
      </c>
      <c r="E88" t="str">
        <f>VLOOKUP(C88,classifications!C:K,9,FALSE)</f>
        <v>Sparse</v>
      </c>
      <c r="F88">
        <f t="shared" si="60"/>
        <v>346.7</v>
      </c>
      <c r="G88" s="15"/>
      <c r="H88" s="42" t="str">
        <f t="shared" si="61"/>
        <v/>
      </c>
      <c r="I88" s="79" t="str">
        <f>IF(H88="","",IF($I$8="A",(RANK(H88,H$11:H$343,1)+COUNTIF(H$11:H88,H88)-1),(RANK(H88,H$11:H$343)+COUNTIF(H$11:H88,H88)-1)))</f>
        <v/>
      </c>
      <c r="J88" s="41"/>
      <c r="K88" s="36" t="str">
        <f t="shared" si="62"/>
        <v/>
      </c>
      <c r="L88" t="str">
        <f t="shared" si="63"/>
        <v/>
      </c>
      <c r="M88" s="117" t="str">
        <f t="shared" si="64"/>
        <v/>
      </c>
      <c r="N88" s="112" t="str">
        <f t="shared" si="65"/>
        <v/>
      </c>
      <c r="O88" s="96" t="str">
        <f t="shared" si="66"/>
        <v/>
      </c>
      <c r="P88" s="96" t="str">
        <f t="shared" si="67"/>
        <v/>
      </c>
      <c r="Q88" s="96" t="str">
        <f t="shared" si="68"/>
        <v/>
      </c>
      <c r="R88" s="92" t="str">
        <f t="shared" si="69"/>
        <v/>
      </c>
      <c r="S88" s="42" t="str">
        <f t="shared" si="70"/>
        <v/>
      </c>
      <c r="T88" s="167" t="str">
        <f>IF(L88="","",VLOOKUP(L88,classifications!C:K,9,FALSE))</f>
        <v/>
      </c>
      <c r="U88" s="168" t="str">
        <f t="shared" si="71"/>
        <v/>
      </c>
      <c r="V88" s="174" t="str">
        <f>IF(U88="","",IF($I$8="A",(RANK(U88,U$11:U$343)+COUNTIF(U$11:U88,U88)-1),(RANK(U88,U$11:U$343,1)+COUNTIF(U$11:U88,U88)-1)))</f>
        <v/>
      </c>
      <c r="W88" s="175"/>
      <c r="X88" s="5" t="str">
        <f>IF(L88="","",VLOOKUP($L88,classifications!$C:$J,6,FALSE))</f>
        <v/>
      </c>
      <c r="Y88" t="str">
        <f t="shared" si="72"/>
        <v/>
      </c>
      <c r="Z88" s="40" t="str">
        <f>IF(Y88="","",IF(I$8="A",(RANK(Y88,Y$11:Y$343,1)+COUNTIF(Y$11:Y88,Y88)-1),(RANK(Y88,Y$11:Y$343)+COUNTIF(Y$11:Y88,Y88)-1)))</f>
        <v/>
      </c>
      <c r="AA88" s="180" t="str">
        <f>IF(L88="","",VLOOKUP($L88,classifications!C:I,7,FALSE))</f>
        <v/>
      </c>
      <c r="AB88" s="174" t="str">
        <f t="shared" si="73"/>
        <v/>
      </c>
      <c r="AC88" s="174" t="str">
        <f>IF(AB88="","",IF($I$8="A",(RANK(AB88,AB$11:AB$343)+COUNTIF(AB$11:AB88,AB88)-1),(RANK(AB88,AB$11:AB$343,1)+COUNTIF(AB$11:AB88,AB88)-1)))</f>
        <v/>
      </c>
      <c r="AD88" s="174"/>
      <c r="AE88" s="36" t="str">
        <f t="shared" si="74"/>
        <v/>
      </c>
      <c r="AG88" s="15"/>
      <c r="AH88" s="3"/>
      <c r="AI88" s="5" t="str">
        <f>IF(L88="","",VLOOKUP($L88,classifications!$C:$J,8,FALSE))</f>
        <v/>
      </c>
      <c r="AJ88" s="43" t="str">
        <f t="shared" si="75"/>
        <v/>
      </c>
      <c r="AK88" s="40" t="str">
        <f>IF(AJ88="","",IF(I$8="A",(RANK(AJ88,AJ$11:AJ$343,1)+COUNTIF(AJ$11:AJ88,AJ88)-1),(RANK(AJ88,AJ$11:AJ$343)+COUNTIF(AJ$11:AJ88,AJ88)-1)))</f>
        <v/>
      </c>
      <c r="AL88" s="3" t="str">
        <f t="shared" si="76"/>
        <v/>
      </c>
      <c r="AM88" t="str">
        <f t="shared" si="77"/>
        <v/>
      </c>
      <c r="AN88" t="str">
        <f t="shared" si="78"/>
        <v/>
      </c>
      <c r="AP88" s="5" t="str">
        <f>IF(L88="","",VLOOKUP($L88,classifications!$C:$E,3,FALSE))</f>
        <v/>
      </c>
      <c r="AQ88" s="43" t="str">
        <f t="shared" si="79"/>
        <v/>
      </c>
      <c r="AR88" s="40" t="str">
        <f>IF(AQ88="","",IF(I$8="A",(RANK(AQ88,AQ$11:AQ$343,1)+COUNTIF(AQ$11:AQ88,AQ88)-1),(RANK(AQ88,AQ$11:AQ$343)+COUNTIF(AQ$11:AQ88,AQ88)-1)))</f>
        <v/>
      </c>
      <c r="AS88" s="3" t="str">
        <f t="shared" si="80"/>
        <v/>
      </c>
      <c r="AT88" s="40" t="str">
        <f t="shared" si="81"/>
        <v/>
      </c>
      <c r="AU88" s="43" t="str">
        <f t="shared" si="82"/>
        <v/>
      </c>
      <c r="AX88">
        <f>HLOOKUP($AX$9&amp;$AX$10,Data!$A$1:$ZZ$1980,(MATCH($C88,Data!$A$1:$A$1980,0)),FALSE)</f>
        <v>346.7</v>
      </c>
    </row>
    <row r="89" spans="1:50">
      <c r="A89" s="59" t="str">
        <f>$D$1&amp;79</f>
        <v>UA79</v>
      </c>
      <c r="B89" s="60">
        <f>IF(ISERROR(VLOOKUP(A90,classifications!A:C,3,FALSE)),0,VLOOKUP(A90,classifications!A:C,3,FALSE))</f>
        <v>0</v>
      </c>
      <c r="C89" t="s">
        <v>309</v>
      </c>
      <c r="D89" t="str">
        <f>VLOOKUP($C89,classifications!$C:$J,4,FALSE)</f>
        <v>SC</v>
      </c>
      <c r="E89" t="str">
        <f>VLOOKUP(C89,classifications!C:K,9,FALSE)</f>
        <v>Sparse</v>
      </c>
      <c r="F89">
        <f t="shared" si="60"/>
        <v>409.2</v>
      </c>
      <c r="G89" s="15"/>
      <c r="H89" s="42" t="str">
        <f t="shared" si="61"/>
        <v/>
      </c>
      <c r="I89" s="79" t="str">
        <f>IF(H89="","",IF($I$8="A",(RANK(H89,H$11:H$343,1)+COUNTIF(H$11:H89,H89)-1),(RANK(H89,H$11:H$343)+COUNTIF(H$11:H89,H89)-1)))</f>
        <v/>
      </c>
      <c r="J89" s="41"/>
      <c r="K89" s="36" t="str">
        <f t="shared" si="62"/>
        <v/>
      </c>
      <c r="L89" t="str">
        <f t="shared" si="63"/>
        <v/>
      </c>
      <c r="M89" s="117" t="str">
        <f t="shared" si="64"/>
        <v/>
      </c>
      <c r="N89" s="112" t="str">
        <f t="shared" si="65"/>
        <v/>
      </c>
      <c r="O89" s="96" t="str">
        <f t="shared" si="66"/>
        <v/>
      </c>
      <c r="P89" s="96" t="str">
        <f t="shared" si="67"/>
        <v/>
      </c>
      <c r="Q89" s="96" t="str">
        <f t="shared" si="68"/>
        <v/>
      </c>
      <c r="R89" s="92" t="str">
        <f t="shared" si="69"/>
        <v/>
      </c>
      <c r="S89" s="42" t="str">
        <f t="shared" si="70"/>
        <v/>
      </c>
      <c r="T89" s="167" t="str">
        <f>IF(L89="","",VLOOKUP(L89,classifications!C:K,9,FALSE))</f>
        <v/>
      </c>
      <c r="U89" s="168" t="str">
        <f t="shared" si="71"/>
        <v/>
      </c>
      <c r="V89" s="174" t="str">
        <f>IF(U89="","",IF($I$8="A",(RANK(U89,U$11:U$343)+COUNTIF(U$11:U89,U89)-1),(RANK(U89,U$11:U$343,1)+COUNTIF(U$11:U89,U89)-1)))</f>
        <v/>
      </c>
      <c r="W89" s="175"/>
      <c r="X89" s="5" t="str">
        <f>IF(L89="","",VLOOKUP($L89,classifications!$C:$J,6,FALSE))</f>
        <v/>
      </c>
      <c r="Y89" t="str">
        <f t="shared" si="72"/>
        <v/>
      </c>
      <c r="Z89" s="40" t="str">
        <f>IF(Y89="","",IF(I$8="A",(RANK(Y89,Y$11:Y$343,1)+COUNTIF(Y$11:Y89,Y89)-1),(RANK(Y89,Y$11:Y$343)+COUNTIF(Y$11:Y89,Y89)-1)))</f>
        <v/>
      </c>
      <c r="AA89" s="180" t="str">
        <f>IF(L89="","",VLOOKUP($L89,classifications!C:I,7,FALSE))</f>
        <v/>
      </c>
      <c r="AB89" s="174" t="str">
        <f t="shared" si="73"/>
        <v/>
      </c>
      <c r="AC89" s="174" t="str">
        <f>IF(AB89="","",IF($I$8="A",(RANK(AB89,AB$11:AB$343)+COUNTIF(AB$11:AB89,AB89)-1),(RANK(AB89,AB$11:AB$343,1)+COUNTIF(AB$11:AB89,AB89)-1)))</f>
        <v/>
      </c>
      <c r="AD89" s="174"/>
      <c r="AE89" s="36" t="str">
        <f t="shared" si="74"/>
        <v/>
      </c>
      <c r="AG89" s="15"/>
      <c r="AH89" s="3"/>
      <c r="AI89" s="5" t="str">
        <f>IF(L89="","",VLOOKUP($L89,classifications!$C:$J,8,FALSE))</f>
        <v/>
      </c>
      <c r="AJ89" s="43" t="str">
        <f t="shared" si="75"/>
        <v/>
      </c>
      <c r="AK89" s="40" t="str">
        <f>IF(AJ89="","",IF(I$8="A",(RANK(AJ89,AJ$11:AJ$343,1)+COUNTIF(AJ$11:AJ89,AJ89)-1),(RANK(AJ89,AJ$11:AJ$343)+COUNTIF(AJ$11:AJ89,AJ89)-1)))</f>
        <v/>
      </c>
      <c r="AL89" s="3" t="str">
        <f t="shared" si="76"/>
        <v/>
      </c>
      <c r="AM89" t="str">
        <f t="shared" si="77"/>
        <v/>
      </c>
      <c r="AN89" t="str">
        <f t="shared" si="78"/>
        <v/>
      </c>
      <c r="AP89" s="5" t="str">
        <f>IF(L89="","",VLOOKUP($L89,classifications!$C:$E,3,FALSE))</f>
        <v/>
      </c>
      <c r="AQ89" s="43" t="str">
        <f t="shared" si="79"/>
        <v/>
      </c>
      <c r="AR89" s="40" t="str">
        <f>IF(AQ89="","",IF(I$8="A",(RANK(AQ89,AQ$11:AQ$343,1)+COUNTIF(AQ$11:AQ89,AQ89)-1),(RANK(AQ89,AQ$11:AQ$343)+COUNTIF(AQ$11:AQ89,AQ89)-1)))</f>
        <v/>
      </c>
      <c r="AS89" s="3" t="str">
        <f t="shared" si="80"/>
        <v/>
      </c>
      <c r="AT89" s="40" t="str">
        <f t="shared" si="81"/>
        <v/>
      </c>
      <c r="AU89" s="43" t="str">
        <f t="shared" si="82"/>
        <v/>
      </c>
      <c r="AX89">
        <f>HLOOKUP($AX$9&amp;$AX$10,Data!$A$1:$ZZ$1980,(MATCH($C89,Data!$A$1:$A$1980,0)),FALSE)</f>
        <v>409.2</v>
      </c>
    </row>
    <row r="90" spans="1:50">
      <c r="A90" s="59" t="str">
        <f>$D$1&amp;80</f>
        <v>UA80</v>
      </c>
      <c r="B90" s="60">
        <f>IF(ISERROR(VLOOKUP(A91,classifications!A:C,3,FALSE)),0,VLOOKUP(A91,classifications!A:C,3,FALSE))</f>
        <v>0</v>
      </c>
      <c r="C90" t="s">
        <v>230</v>
      </c>
      <c r="D90" t="str">
        <f>VLOOKUP($C90,classifications!$C:$J,4,FALSE)</f>
        <v>MD</v>
      </c>
      <c r="E90">
        <f>VLOOKUP(C90,classifications!C:K,9,FALSE)</f>
        <v>0</v>
      </c>
      <c r="F90">
        <f t="shared" si="60"/>
        <v>426.8</v>
      </c>
      <c r="G90" s="15"/>
      <c r="H90" s="42" t="str">
        <f t="shared" si="61"/>
        <v/>
      </c>
      <c r="I90" s="79" t="str">
        <f>IF(H90="","",IF($I$8="A",(RANK(H90,H$11:H$343,1)+COUNTIF(H$11:H90,H90)-1),(RANK(H90,H$11:H$343)+COUNTIF(H$11:H90,H90)-1)))</f>
        <v/>
      </c>
      <c r="J90" s="41"/>
      <c r="K90" s="36" t="str">
        <f t="shared" si="62"/>
        <v/>
      </c>
      <c r="L90" t="str">
        <f t="shared" si="63"/>
        <v/>
      </c>
      <c r="M90" s="117" t="str">
        <f t="shared" si="64"/>
        <v/>
      </c>
      <c r="N90" s="112" t="str">
        <f t="shared" si="65"/>
        <v/>
      </c>
      <c r="O90" s="96" t="str">
        <f t="shared" si="66"/>
        <v/>
      </c>
      <c r="P90" s="96" t="str">
        <f t="shared" si="67"/>
        <v/>
      </c>
      <c r="Q90" s="96" t="str">
        <f t="shared" si="68"/>
        <v/>
      </c>
      <c r="R90" s="92" t="str">
        <f t="shared" si="69"/>
        <v/>
      </c>
      <c r="S90" s="42" t="str">
        <f t="shared" si="70"/>
        <v/>
      </c>
      <c r="T90" s="167" t="str">
        <f>IF(L90="","",VLOOKUP(L90,classifications!C:K,9,FALSE))</f>
        <v/>
      </c>
      <c r="U90" s="168" t="str">
        <f t="shared" si="71"/>
        <v/>
      </c>
      <c r="V90" s="174" t="str">
        <f>IF(U90="","",IF($I$8="A",(RANK(U90,U$11:U$343)+COUNTIF(U$11:U90,U90)-1),(RANK(U90,U$11:U$343,1)+COUNTIF(U$11:U90,U90)-1)))</f>
        <v/>
      </c>
      <c r="W90" s="175"/>
      <c r="X90" s="5" t="str">
        <f>IF(L90="","",VLOOKUP($L90,classifications!$C:$J,6,FALSE))</f>
        <v/>
      </c>
      <c r="Y90" t="str">
        <f t="shared" si="72"/>
        <v/>
      </c>
      <c r="Z90" s="40" t="str">
        <f>IF(Y90="","",IF(I$8="A",(RANK(Y90,Y$11:Y$343,1)+COUNTIF(Y$11:Y90,Y90)-1),(RANK(Y90,Y$11:Y$343)+COUNTIF(Y$11:Y90,Y90)-1)))</f>
        <v/>
      </c>
      <c r="AA90" s="180" t="str">
        <f>IF(L90="","",VLOOKUP($L90,classifications!C:I,7,FALSE))</f>
        <v/>
      </c>
      <c r="AB90" s="174" t="str">
        <f t="shared" si="73"/>
        <v/>
      </c>
      <c r="AC90" s="174" t="str">
        <f>IF(AB90="","",IF($I$8="A",(RANK(AB90,AB$11:AB$343)+COUNTIF(AB$11:AB90,AB90)-1),(RANK(AB90,AB$11:AB$343,1)+COUNTIF(AB$11:AB90,AB90)-1)))</f>
        <v/>
      </c>
      <c r="AD90" s="174"/>
      <c r="AE90" s="36" t="str">
        <f t="shared" si="74"/>
        <v/>
      </c>
      <c r="AG90" s="15"/>
      <c r="AH90" s="3"/>
      <c r="AI90" s="5" t="str">
        <f>IF(L90="","",VLOOKUP($L90,classifications!$C:$J,8,FALSE))</f>
        <v/>
      </c>
      <c r="AJ90" s="43" t="str">
        <f t="shared" si="75"/>
        <v/>
      </c>
      <c r="AK90" s="40" t="str">
        <f>IF(AJ90="","",IF(I$8="A",(RANK(AJ90,AJ$11:AJ$343,1)+COUNTIF(AJ$11:AJ90,AJ90)-1),(RANK(AJ90,AJ$11:AJ$343)+COUNTIF(AJ$11:AJ90,AJ90)-1)))</f>
        <v/>
      </c>
      <c r="AL90" s="3" t="str">
        <f t="shared" si="76"/>
        <v/>
      </c>
      <c r="AM90" t="str">
        <f t="shared" si="77"/>
        <v/>
      </c>
      <c r="AN90" t="str">
        <f t="shared" si="78"/>
        <v/>
      </c>
      <c r="AP90" s="5" t="str">
        <f>IF(L90="","",VLOOKUP($L90,classifications!$C:$E,3,FALSE))</f>
        <v/>
      </c>
      <c r="AQ90" s="43" t="str">
        <f t="shared" si="79"/>
        <v/>
      </c>
      <c r="AR90" s="40" t="str">
        <f>IF(AQ90="","",IF(I$8="A",(RANK(AQ90,AQ$11:AQ$343,1)+COUNTIF(AQ$11:AQ90,AQ90)-1),(RANK(AQ90,AQ$11:AQ$343)+COUNTIF(AQ$11:AQ90,AQ90)-1)))</f>
        <v/>
      </c>
      <c r="AS90" s="3" t="str">
        <f t="shared" si="80"/>
        <v/>
      </c>
      <c r="AT90" s="40" t="str">
        <f t="shared" si="81"/>
        <v/>
      </c>
      <c r="AU90" s="43" t="str">
        <f t="shared" si="82"/>
        <v/>
      </c>
      <c r="AX90">
        <f>HLOOKUP($AX$9&amp;$AX$10,Data!$A$1:$ZZ$1980,(MATCH($C90,Data!$A$1:$A$1980,0)),FALSE)</f>
        <v>426.8</v>
      </c>
    </row>
    <row r="91" spans="1:50">
      <c r="A91" s="59" t="str">
        <f>$D$1&amp;81</f>
        <v>UA81</v>
      </c>
      <c r="B91" s="60">
        <f>IF(ISERROR(VLOOKUP(A92,classifications!A:C,3,FALSE)),0,VLOOKUP(A92,classifications!A:C,3,FALSE))</f>
        <v>0</v>
      </c>
      <c r="C91" t="s">
        <v>310</v>
      </c>
      <c r="D91" t="str">
        <f>VLOOKUP($C91,classifications!$C:$J,4,FALSE)</f>
        <v>UA</v>
      </c>
      <c r="E91">
        <f>VLOOKUP(C91,classifications!C:K,9,FALSE)</f>
        <v>0</v>
      </c>
      <c r="F91">
        <f t="shared" si="60"/>
        <v>441.4</v>
      </c>
      <c r="G91" s="15"/>
      <c r="H91" s="42">
        <f t="shared" si="61"/>
        <v>441.4</v>
      </c>
      <c r="I91" s="79">
        <f>IF(H91="","",IF($I$8="A",(RANK(H91,H$11:H$343,1)+COUNTIF(H$11:H91,H91)-1),(RANK(H91,H$11:H$343)+COUNTIF(H$11:H91,H91)-1)))</f>
        <v>50</v>
      </c>
      <c r="J91" s="41"/>
      <c r="K91" s="36" t="str">
        <f t="shared" si="62"/>
        <v/>
      </c>
      <c r="L91" t="str">
        <f t="shared" si="63"/>
        <v/>
      </c>
      <c r="M91" s="117" t="str">
        <f t="shared" si="64"/>
        <v/>
      </c>
      <c r="N91" s="112" t="str">
        <f t="shared" si="65"/>
        <v/>
      </c>
      <c r="O91" s="96" t="str">
        <f t="shared" si="66"/>
        <v/>
      </c>
      <c r="P91" s="96" t="str">
        <f t="shared" si="67"/>
        <v/>
      </c>
      <c r="Q91" s="96" t="str">
        <f t="shared" si="68"/>
        <v/>
      </c>
      <c r="R91" s="92" t="str">
        <f t="shared" si="69"/>
        <v/>
      </c>
      <c r="S91" s="42" t="str">
        <f t="shared" si="70"/>
        <v/>
      </c>
      <c r="T91" s="167" t="str">
        <f>IF(L91="","",VLOOKUP(L91,classifications!C:K,9,FALSE))</f>
        <v/>
      </c>
      <c r="U91" s="168" t="str">
        <f t="shared" si="71"/>
        <v/>
      </c>
      <c r="V91" s="174" t="str">
        <f>IF(U91="","",IF($I$8="A",(RANK(U91,U$11:U$343)+COUNTIF(U$11:U91,U91)-1),(RANK(U91,U$11:U$343,1)+COUNTIF(U$11:U91,U91)-1)))</f>
        <v/>
      </c>
      <c r="W91" s="175"/>
      <c r="X91" s="5" t="str">
        <f>IF(L91="","",VLOOKUP($L91,classifications!$C:$J,6,FALSE))</f>
        <v/>
      </c>
      <c r="Y91" t="str">
        <f t="shared" si="72"/>
        <v/>
      </c>
      <c r="Z91" s="40" t="str">
        <f>IF(Y91="","",IF(I$8="A",(RANK(Y91,Y$11:Y$343,1)+COUNTIF(Y$11:Y91,Y91)-1),(RANK(Y91,Y$11:Y$343)+COUNTIF(Y$11:Y91,Y91)-1)))</f>
        <v/>
      </c>
      <c r="AA91" s="180" t="str">
        <f>IF(L91="","",VLOOKUP($L91,classifications!C:I,7,FALSE))</f>
        <v/>
      </c>
      <c r="AB91" s="174" t="str">
        <f t="shared" si="73"/>
        <v/>
      </c>
      <c r="AC91" s="174" t="str">
        <f>IF(AB91="","",IF($I$8="A",(RANK(AB91,AB$11:AB$343)+COUNTIF(AB$11:AB91,AB91)-1),(RANK(AB91,AB$11:AB$343,1)+COUNTIF(AB$11:AB91,AB91)-1)))</f>
        <v/>
      </c>
      <c r="AD91" s="174"/>
      <c r="AE91" s="36" t="str">
        <f t="shared" si="74"/>
        <v/>
      </c>
      <c r="AG91" s="15"/>
      <c r="AH91" s="3"/>
      <c r="AI91" s="5" t="str">
        <f>IF(L91="","",VLOOKUP($L91,classifications!$C:$J,8,FALSE))</f>
        <v/>
      </c>
      <c r="AJ91" s="43" t="str">
        <f t="shared" si="75"/>
        <v/>
      </c>
      <c r="AK91" s="40" t="str">
        <f>IF(AJ91="","",IF(I$8="A",(RANK(AJ91,AJ$11:AJ$343,1)+COUNTIF(AJ$11:AJ91,AJ91)-1),(RANK(AJ91,AJ$11:AJ$343)+COUNTIF(AJ$11:AJ91,AJ91)-1)))</f>
        <v/>
      </c>
      <c r="AL91" s="3" t="str">
        <f t="shared" si="76"/>
        <v/>
      </c>
      <c r="AM91" t="str">
        <f t="shared" si="77"/>
        <v/>
      </c>
      <c r="AN91" t="str">
        <f t="shared" si="78"/>
        <v/>
      </c>
      <c r="AP91" s="5" t="str">
        <f>IF(L91="","",VLOOKUP($L91,classifications!$C:$E,3,FALSE))</f>
        <v/>
      </c>
      <c r="AQ91" s="43" t="str">
        <f t="shared" si="79"/>
        <v/>
      </c>
      <c r="AR91" s="40" t="str">
        <f>IF(AQ91="","",IF(I$8="A",(RANK(AQ91,AQ$11:AQ$343,1)+COUNTIF(AQ$11:AQ91,AQ91)-1),(RANK(AQ91,AQ$11:AQ$343)+COUNTIF(AQ$11:AQ91,AQ91)-1)))</f>
        <v/>
      </c>
      <c r="AS91" s="3" t="str">
        <f t="shared" si="80"/>
        <v/>
      </c>
      <c r="AT91" s="40" t="str">
        <f t="shared" si="81"/>
        <v/>
      </c>
      <c r="AU91" s="43" t="str">
        <f t="shared" si="82"/>
        <v/>
      </c>
      <c r="AX91">
        <f>HLOOKUP($AX$9&amp;$AX$10,Data!$A$1:$ZZ$1980,(MATCH($C91,Data!$A$1:$A$1980,0)),FALSE)</f>
        <v>441.4</v>
      </c>
    </row>
    <row r="92" spans="1:50">
      <c r="A92" s="59" t="str">
        <f>$D$1&amp;82</f>
        <v>UA82</v>
      </c>
      <c r="B92" s="60">
        <f>IF(ISERROR(VLOOKUP(A93,classifications!A:C,3,FALSE)),0,VLOOKUP(A93,classifications!A:C,3,FALSE))</f>
        <v>0</v>
      </c>
      <c r="C92" t="s">
        <v>51</v>
      </c>
      <c r="D92" t="str">
        <f>VLOOKUP($C92,classifications!$C:$J,4,FALSE)</f>
        <v>SD</v>
      </c>
      <c r="E92">
        <f>VLOOKUP(C92,classifications!C:K,9,FALSE)</f>
        <v>0</v>
      </c>
      <c r="F92">
        <f t="shared" si="60"/>
        <v>349</v>
      </c>
      <c r="G92" s="15"/>
      <c r="H92" s="42" t="str">
        <f t="shared" si="61"/>
        <v/>
      </c>
      <c r="I92" s="79" t="str">
        <f>IF(H92="","",IF($I$8="A",(RANK(H92,H$11:H$343,1)+COUNTIF(H$11:H92,H92)-1),(RANK(H92,H$11:H$343)+COUNTIF(H$11:H92,H92)-1)))</f>
        <v/>
      </c>
      <c r="J92" s="41"/>
      <c r="K92" s="36" t="str">
        <f t="shared" si="62"/>
        <v/>
      </c>
      <c r="L92" t="str">
        <f t="shared" si="63"/>
        <v/>
      </c>
      <c r="M92" s="117" t="str">
        <f t="shared" si="64"/>
        <v/>
      </c>
      <c r="N92" s="112" t="str">
        <f t="shared" si="65"/>
        <v/>
      </c>
      <c r="O92" s="96" t="str">
        <f t="shared" si="66"/>
        <v/>
      </c>
      <c r="P92" s="96" t="str">
        <f t="shared" si="67"/>
        <v/>
      </c>
      <c r="Q92" s="96" t="str">
        <f t="shared" si="68"/>
        <v/>
      </c>
      <c r="R92" s="92" t="str">
        <f t="shared" si="69"/>
        <v/>
      </c>
      <c r="S92" s="42" t="str">
        <f t="shared" si="70"/>
        <v/>
      </c>
      <c r="T92" s="167" t="str">
        <f>IF(L92="","",VLOOKUP(L92,classifications!C:K,9,FALSE))</f>
        <v/>
      </c>
      <c r="U92" s="168" t="str">
        <f t="shared" si="71"/>
        <v/>
      </c>
      <c r="V92" s="174" t="str">
        <f>IF(U92="","",IF($I$8="A",(RANK(U92,U$11:U$343)+COUNTIF(U$11:U92,U92)-1),(RANK(U92,U$11:U$343,1)+COUNTIF(U$11:U92,U92)-1)))</f>
        <v/>
      </c>
      <c r="W92" s="175"/>
      <c r="X92" s="5" t="str">
        <f>IF(L92="","",VLOOKUP($L92,classifications!$C:$J,6,FALSE))</f>
        <v/>
      </c>
      <c r="Y92" t="str">
        <f t="shared" si="72"/>
        <v/>
      </c>
      <c r="Z92" s="40" t="str">
        <f>IF(Y92="","",IF(I$8="A",(RANK(Y92,Y$11:Y$343,1)+COUNTIF(Y$11:Y92,Y92)-1),(RANK(Y92,Y$11:Y$343)+COUNTIF(Y$11:Y92,Y92)-1)))</f>
        <v/>
      </c>
      <c r="AA92" s="180" t="str">
        <f>IF(L92="","",VLOOKUP($L92,classifications!C:I,7,FALSE))</f>
        <v/>
      </c>
      <c r="AB92" s="174" t="str">
        <f t="shared" si="73"/>
        <v/>
      </c>
      <c r="AC92" s="174" t="str">
        <f>IF(AB92="","",IF($I$8="A",(RANK(AB92,AB$11:AB$343)+COUNTIF(AB$11:AB92,AB92)-1),(RANK(AB92,AB$11:AB$343,1)+COUNTIF(AB$11:AB92,AB92)-1)))</f>
        <v/>
      </c>
      <c r="AD92" s="174"/>
      <c r="AE92" s="36" t="str">
        <f t="shared" si="74"/>
        <v/>
      </c>
      <c r="AG92" s="15"/>
      <c r="AH92" s="3"/>
      <c r="AI92" s="5" t="str">
        <f>IF(L92="","",VLOOKUP($L92,classifications!$C:$J,8,FALSE))</f>
        <v/>
      </c>
      <c r="AJ92" s="43" t="str">
        <f t="shared" si="75"/>
        <v/>
      </c>
      <c r="AK92" s="40" t="str">
        <f>IF(AJ92="","",IF(I$8="A",(RANK(AJ92,AJ$11:AJ$343,1)+COUNTIF(AJ$11:AJ92,AJ92)-1),(RANK(AJ92,AJ$11:AJ$343)+COUNTIF(AJ$11:AJ92,AJ92)-1)))</f>
        <v/>
      </c>
      <c r="AL92" s="3" t="str">
        <f t="shared" si="76"/>
        <v/>
      </c>
      <c r="AM92" t="str">
        <f t="shared" si="77"/>
        <v/>
      </c>
      <c r="AN92" t="str">
        <f t="shared" si="78"/>
        <v/>
      </c>
      <c r="AP92" s="5" t="str">
        <f>IF(L92="","",VLOOKUP($L92,classifications!$C:$E,3,FALSE))</f>
        <v/>
      </c>
      <c r="AQ92" s="43" t="str">
        <f t="shared" si="79"/>
        <v/>
      </c>
      <c r="AR92" s="40" t="str">
        <f>IF(AQ92="","",IF(I$8="A",(RANK(AQ92,AQ$11:AQ$343,1)+COUNTIF(AQ$11:AQ92,AQ92)-1),(RANK(AQ92,AQ$11:AQ$343)+COUNTIF(AQ$11:AQ92,AQ92)-1)))</f>
        <v/>
      </c>
      <c r="AS92" s="3" t="str">
        <f t="shared" si="80"/>
        <v/>
      </c>
      <c r="AT92" s="40" t="str">
        <f t="shared" si="81"/>
        <v/>
      </c>
      <c r="AU92" s="43" t="str">
        <f t="shared" si="82"/>
        <v/>
      </c>
      <c r="AX92">
        <f>HLOOKUP($AX$9&amp;$AX$10,Data!$A$1:$ZZ$1980,(MATCH($C92,Data!$A$1:$A$1980,0)),FALSE)</f>
        <v>349</v>
      </c>
    </row>
    <row r="93" spans="1:50">
      <c r="A93" s="59" t="str">
        <f>$D$1&amp;83</f>
        <v>UA83</v>
      </c>
      <c r="B93" s="60">
        <f>IF(ISERROR(VLOOKUP(A94,classifications!A:C,3,FALSE)),0,VLOOKUP(A94,classifications!A:C,3,FALSE))</f>
        <v>0</v>
      </c>
      <c r="C93" t="s">
        <v>267</v>
      </c>
      <c r="D93" t="str">
        <f>VLOOKUP($C93,classifications!$C:$J,4,FALSE)</f>
        <v>UA</v>
      </c>
      <c r="E93" t="str">
        <f>VLOOKUP(C93,classifications!C:K,9,FALSE)</f>
        <v>Sparse</v>
      </c>
      <c r="F93">
        <f t="shared" si="60"/>
        <v>428</v>
      </c>
      <c r="G93" s="15"/>
      <c r="H93" s="42">
        <f t="shared" si="61"/>
        <v>428</v>
      </c>
      <c r="I93" s="79">
        <f>IF(H93="","",IF($I$8="A",(RANK(H93,H$11:H$343,1)+COUNTIF(H$11:H93,H93)-1),(RANK(H93,H$11:H$343)+COUNTIF(H$11:H93,H93)-1)))</f>
        <v>45</v>
      </c>
      <c r="J93" s="41"/>
      <c r="K93" s="36" t="str">
        <f t="shared" si="62"/>
        <v/>
      </c>
      <c r="L93" t="str">
        <f t="shared" si="63"/>
        <v/>
      </c>
      <c r="M93" s="117" t="str">
        <f t="shared" si="64"/>
        <v/>
      </c>
      <c r="N93" s="112" t="str">
        <f t="shared" si="65"/>
        <v/>
      </c>
      <c r="O93" s="96" t="str">
        <f t="shared" si="66"/>
        <v/>
      </c>
      <c r="P93" s="96" t="str">
        <f t="shared" si="67"/>
        <v/>
      </c>
      <c r="Q93" s="96" t="str">
        <f t="shared" si="68"/>
        <v/>
      </c>
      <c r="R93" s="92" t="str">
        <f t="shared" si="69"/>
        <v/>
      </c>
      <c r="S93" s="42" t="str">
        <f t="shared" si="70"/>
        <v/>
      </c>
      <c r="T93" s="167" t="str">
        <f>IF(L93="","",VLOOKUP(L93,classifications!C:K,9,FALSE))</f>
        <v/>
      </c>
      <c r="U93" s="168" t="str">
        <f t="shared" si="71"/>
        <v/>
      </c>
      <c r="V93" s="174" t="str">
        <f>IF(U93="","",IF($I$8="A",(RANK(U93,U$11:U$343)+COUNTIF(U$11:U93,U93)-1),(RANK(U93,U$11:U$343,1)+COUNTIF(U$11:U93,U93)-1)))</f>
        <v/>
      </c>
      <c r="W93" s="175"/>
      <c r="X93" s="5" t="str">
        <f>IF(L93="","",VLOOKUP($L93,classifications!$C:$J,6,FALSE))</f>
        <v/>
      </c>
      <c r="Y93" t="str">
        <f t="shared" si="72"/>
        <v/>
      </c>
      <c r="Z93" s="40" t="str">
        <f>IF(Y93="","",IF(I$8="A",(RANK(Y93,Y$11:Y$343,1)+COUNTIF(Y$11:Y93,Y93)-1),(RANK(Y93,Y$11:Y$343)+COUNTIF(Y$11:Y93,Y93)-1)))</f>
        <v/>
      </c>
      <c r="AA93" s="180" t="str">
        <f>IF(L93="","",VLOOKUP($L93,classifications!C:I,7,FALSE))</f>
        <v/>
      </c>
      <c r="AB93" s="174" t="str">
        <f t="shared" si="73"/>
        <v/>
      </c>
      <c r="AC93" s="174" t="str">
        <f>IF(AB93="","",IF($I$8="A",(RANK(AB93,AB$11:AB$343)+COUNTIF(AB$11:AB93,AB93)-1),(RANK(AB93,AB$11:AB$343,1)+COUNTIF(AB$11:AB93,AB93)-1)))</f>
        <v/>
      </c>
      <c r="AD93" s="174"/>
      <c r="AE93" s="36" t="str">
        <f t="shared" si="74"/>
        <v/>
      </c>
      <c r="AG93" s="15"/>
      <c r="AH93" s="3"/>
      <c r="AI93" s="5" t="str">
        <f>IF(L93="","",VLOOKUP($L93,classifications!$C:$J,8,FALSE))</f>
        <v/>
      </c>
      <c r="AJ93" s="43" t="str">
        <f t="shared" si="75"/>
        <v/>
      </c>
      <c r="AK93" s="40" t="str">
        <f>IF(AJ93="","",IF(I$8="A",(RANK(AJ93,AJ$11:AJ$343,1)+COUNTIF(AJ$11:AJ93,AJ93)-1),(RANK(AJ93,AJ$11:AJ$343)+COUNTIF(AJ$11:AJ93,AJ93)-1)))</f>
        <v/>
      </c>
      <c r="AL93" s="3" t="str">
        <f t="shared" si="76"/>
        <v/>
      </c>
      <c r="AM93" t="str">
        <f t="shared" si="77"/>
        <v/>
      </c>
      <c r="AN93" t="str">
        <f t="shared" si="78"/>
        <v/>
      </c>
      <c r="AP93" s="5" t="str">
        <f>IF(L93="","",VLOOKUP($L93,classifications!$C:$E,3,FALSE))</f>
        <v/>
      </c>
      <c r="AQ93" s="43" t="str">
        <f t="shared" si="79"/>
        <v/>
      </c>
      <c r="AR93" s="40" t="str">
        <f>IF(AQ93="","",IF(I$8="A",(RANK(AQ93,AQ$11:AQ$343,1)+COUNTIF(AQ$11:AQ93,AQ93)-1),(RANK(AQ93,AQ$11:AQ$343)+COUNTIF(AQ$11:AQ93,AQ93)-1)))</f>
        <v/>
      </c>
      <c r="AS93" s="3" t="str">
        <f t="shared" si="80"/>
        <v/>
      </c>
      <c r="AT93" s="40" t="str">
        <f t="shared" si="81"/>
        <v/>
      </c>
      <c r="AU93" s="43" t="str">
        <f t="shared" si="82"/>
        <v/>
      </c>
      <c r="AX93">
        <f>HLOOKUP($AX$9&amp;$AX$10,Data!$A$1:$ZZ$1980,(MATCH($C93,Data!$A$1:$A$1980,0)),FALSE)</f>
        <v>428</v>
      </c>
    </row>
    <row r="94" spans="1:50">
      <c r="A94" s="59" t="str">
        <f>$D$1&amp;84</f>
        <v>UA84</v>
      </c>
      <c r="B94" s="60">
        <f>IF(ISERROR(VLOOKUP(A95,classifications!A:C,3,FALSE)),0,VLOOKUP(A95,classifications!A:C,3,FALSE))</f>
        <v>0</v>
      </c>
      <c r="C94" t="s">
        <v>231</v>
      </c>
      <c r="D94" t="str">
        <f>VLOOKUP($C94,classifications!$C:$J,4,FALSE)</f>
        <v>MD</v>
      </c>
      <c r="E94">
        <f>VLOOKUP(C94,classifications!C:K,9,FALSE)</f>
        <v>0</v>
      </c>
      <c r="F94">
        <f t="shared" si="60"/>
        <v>364.3</v>
      </c>
      <c r="G94" s="15"/>
      <c r="H94" s="42" t="str">
        <f t="shared" si="61"/>
        <v/>
      </c>
      <c r="I94" s="79" t="str">
        <f>IF(H94="","",IF($I$8="A",(RANK(H94,H$11:H$343,1)+COUNTIF(H$11:H94,H94)-1),(RANK(H94,H$11:H$343)+COUNTIF(H$11:H94,H94)-1)))</f>
        <v/>
      </c>
      <c r="J94" s="41"/>
      <c r="K94" s="36" t="str">
        <f t="shared" si="62"/>
        <v/>
      </c>
      <c r="L94" t="str">
        <f t="shared" si="63"/>
        <v/>
      </c>
      <c r="M94" s="117" t="str">
        <f t="shared" si="64"/>
        <v/>
      </c>
      <c r="N94" s="112" t="str">
        <f t="shared" si="65"/>
        <v/>
      </c>
      <c r="O94" s="96" t="str">
        <f t="shared" si="66"/>
        <v/>
      </c>
      <c r="P94" s="96" t="str">
        <f t="shared" si="67"/>
        <v/>
      </c>
      <c r="Q94" s="96" t="str">
        <f t="shared" si="68"/>
        <v/>
      </c>
      <c r="R94" s="92" t="str">
        <f t="shared" si="69"/>
        <v/>
      </c>
      <c r="S94" s="42" t="str">
        <f t="shared" si="70"/>
        <v/>
      </c>
      <c r="T94" s="167" t="str">
        <f>IF(L94="","",VLOOKUP(L94,classifications!C:K,9,FALSE))</f>
        <v/>
      </c>
      <c r="U94" s="168" t="str">
        <f t="shared" si="71"/>
        <v/>
      </c>
      <c r="V94" s="174" t="str">
        <f>IF(U94="","",IF($I$8="A",(RANK(U94,U$11:U$343)+COUNTIF(U$11:U94,U94)-1),(RANK(U94,U$11:U$343,1)+COUNTIF(U$11:U94,U94)-1)))</f>
        <v/>
      </c>
      <c r="W94" s="175"/>
      <c r="X94" s="5" t="str">
        <f>IF(L94="","",VLOOKUP($L94,classifications!$C:$J,6,FALSE))</f>
        <v/>
      </c>
      <c r="Y94" t="str">
        <f t="shared" si="72"/>
        <v/>
      </c>
      <c r="Z94" s="40" t="str">
        <f>IF(Y94="","",IF(I$8="A",(RANK(Y94,Y$11:Y$343,1)+COUNTIF(Y$11:Y94,Y94)-1),(RANK(Y94,Y$11:Y$343)+COUNTIF(Y$11:Y94,Y94)-1)))</f>
        <v/>
      </c>
      <c r="AA94" s="180" t="str">
        <f>IF(L94="","",VLOOKUP($L94,classifications!C:I,7,FALSE))</f>
        <v/>
      </c>
      <c r="AB94" s="174" t="str">
        <f t="shared" si="73"/>
        <v/>
      </c>
      <c r="AC94" s="174" t="str">
        <f>IF(AB94="","",IF($I$8="A",(RANK(AB94,AB$11:AB$343)+COUNTIF(AB$11:AB94,AB94)-1),(RANK(AB94,AB$11:AB$343,1)+COUNTIF(AB$11:AB94,AB94)-1)))</f>
        <v/>
      </c>
      <c r="AD94" s="174"/>
      <c r="AE94" s="36" t="str">
        <f t="shared" si="74"/>
        <v/>
      </c>
      <c r="AG94" s="15"/>
      <c r="AH94" s="3"/>
      <c r="AI94" s="5" t="str">
        <f>IF(L94="","",VLOOKUP($L94,classifications!$C:$J,8,FALSE))</f>
        <v/>
      </c>
      <c r="AJ94" s="43" t="str">
        <f t="shared" si="75"/>
        <v/>
      </c>
      <c r="AK94" s="40" t="str">
        <f>IF(AJ94="","",IF(I$8="A",(RANK(AJ94,AJ$11:AJ$343,1)+COUNTIF(AJ$11:AJ94,AJ94)-1),(RANK(AJ94,AJ$11:AJ$343)+COUNTIF(AJ$11:AJ94,AJ94)-1)))</f>
        <v/>
      </c>
      <c r="AL94" s="3" t="str">
        <f t="shared" si="76"/>
        <v/>
      </c>
      <c r="AM94" t="str">
        <f t="shared" si="77"/>
        <v/>
      </c>
      <c r="AN94" t="str">
        <f t="shared" si="78"/>
        <v/>
      </c>
      <c r="AP94" s="5" t="str">
        <f>IF(L94="","",VLOOKUP($L94,classifications!$C:$E,3,FALSE))</f>
        <v/>
      </c>
      <c r="AQ94" s="43" t="str">
        <f t="shared" si="79"/>
        <v/>
      </c>
      <c r="AR94" s="40" t="str">
        <f>IF(AQ94="","",IF(I$8="A",(RANK(AQ94,AQ$11:AQ$343,1)+COUNTIF(AQ$11:AQ94,AQ94)-1),(RANK(AQ94,AQ$11:AQ$343)+COUNTIF(AQ$11:AQ94,AQ94)-1)))</f>
        <v/>
      </c>
      <c r="AS94" s="3" t="str">
        <f t="shared" si="80"/>
        <v/>
      </c>
      <c r="AT94" s="40" t="str">
        <f t="shared" si="81"/>
        <v/>
      </c>
      <c r="AU94" s="43" t="str">
        <f t="shared" si="82"/>
        <v/>
      </c>
      <c r="AX94">
        <f>HLOOKUP($AX$9&amp;$AX$10,Data!$A$1:$ZZ$1980,(MATCH($C94,Data!$A$1:$A$1980,0)),FALSE)</f>
        <v>364.3</v>
      </c>
    </row>
    <row r="95" spans="1:50">
      <c r="A95" s="59" t="str">
        <f>$D$1&amp;85</f>
        <v>UA85</v>
      </c>
      <c r="B95" s="60">
        <f>IF(ISERROR(VLOOKUP(A96,classifications!A:C,3,FALSE)),0,VLOOKUP(A96,classifications!A:C,3,FALSE))</f>
        <v>0</v>
      </c>
      <c r="C95" t="s">
        <v>203</v>
      </c>
      <c r="D95" t="str">
        <f>VLOOKUP($C95,classifications!$C:$J,4,FALSE)</f>
        <v>L</v>
      </c>
      <c r="E95">
        <f>VLOOKUP(C95,classifications!C:K,9,FALSE)</f>
        <v>0</v>
      </c>
      <c r="F95">
        <f t="shared" si="60"/>
        <v>224.2</v>
      </c>
      <c r="G95" s="15"/>
      <c r="H95" s="42" t="str">
        <f t="shared" si="61"/>
        <v/>
      </c>
      <c r="I95" s="79" t="str">
        <f>IF(H95="","",IF($I$8="A",(RANK(H95,H$11:H$343,1)+COUNTIF(H$11:H95,H95)-1),(RANK(H95,H$11:H$343)+COUNTIF(H$11:H95,H95)-1)))</f>
        <v/>
      </c>
      <c r="J95" s="41"/>
      <c r="K95" s="36" t="str">
        <f t="shared" si="62"/>
        <v/>
      </c>
      <c r="L95" t="str">
        <f t="shared" si="63"/>
        <v/>
      </c>
      <c r="M95" s="117" t="str">
        <f t="shared" si="64"/>
        <v/>
      </c>
      <c r="N95" s="112" t="str">
        <f t="shared" si="65"/>
        <v/>
      </c>
      <c r="O95" s="96" t="str">
        <f t="shared" si="66"/>
        <v/>
      </c>
      <c r="P95" s="96" t="str">
        <f t="shared" si="67"/>
        <v/>
      </c>
      <c r="Q95" s="96" t="str">
        <f t="shared" si="68"/>
        <v/>
      </c>
      <c r="R95" s="92" t="str">
        <f t="shared" si="69"/>
        <v/>
      </c>
      <c r="S95" s="42" t="str">
        <f t="shared" si="70"/>
        <v/>
      </c>
      <c r="T95" s="167" t="str">
        <f>IF(L95="","",VLOOKUP(L95,classifications!C:K,9,FALSE))</f>
        <v/>
      </c>
      <c r="U95" s="168" t="str">
        <f t="shared" si="71"/>
        <v/>
      </c>
      <c r="V95" s="174" t="str">
        <f>IF(U95="","",IF($I$8="A",(RANK(U95,U$11:U$343)+COUNTIF(U$11:U95,U95)-1),(RANK(U95,U$11:U$343,1)+COUNTIF(U$11:U95,U95)-1)))</f>
        <v/>
      </c>
      <c r="W95" s="175"/>
      <c r="X95" s="5" t="str">
        <f>IF(L95="","",VLOOKUP($L95,classifications!$C:$J,6,FALSE))</f>
        <v/>
      </c>
      <c r="Y95" t="str">
        <f t="shared" si="72"/>
        <v/>
      </c>
      <c r="Z95" s="40" t="str">
        <f>IF(Y95="","",IF(I$8="A",(RANK(Y95,Y$11:Y$343,1)+COUNTIF(Y$11:Y95,Y95)-1),(RANK(Y95,Y$11:Y$343)+COUNTIF(Y$11:Y95,Y95)-1)))</f>
        <v/>
      </c>
      <c r="AA95" s="180" t="str">
        <f>IF(L95="","",VLOOKUP($L95,classifications!C:I,7,FALSE))</f>
        <v/>
      </c>
      <c r="AB95" s="174" t="str">
        <f t="shared" si="73"/>
        <v/>
      </c>
      <c r="AC95" s="174" t="str">
        <f>IF(AB95="","",IF($I$8="A",(RANK(AB95,AB$11:AB$343)+COUNTIF(AB$11:AB95,AB95)-1),(RANK(AB95,AB$11:AB$343,1)+COUNTIF(AB$11:AB95,AB95)-1)))</f>
        <v/>
      </c>
      <c r="AD95" s="174"/>
      <c r="AE95" s="36" t="str">
        <f t="shared" si="74"/>
        <v/>
      </c>
      <c r="AG95" s="15"/>
      <c r="AH95" s="3"/>
      <c r="AI95" s="5" t="str">
        <f>IF(L95="","",VLOOKUP($L95,classifications!$C:$J,8,FALSE))</f>
        <v/>
      </c>
      <c r="AJ95" s="43" t="str">
        <f t="shared" si="75"/>
        <v/>
      </c>
      <c r="AK95" s="40" t="str">
        <f>IF(AJ95="","",IF(I$8="A",(RANK(AJ95,AJ$11:AJ$343,1)+COUNTIF(AJ$11:AJ95,AJ95)-1),(RANK(AJ95,AJ$11:AJ$343)+COUNTIF(AJ$11:AJ95,AJ95)-1)))</f>
        <v/>
      </c>
      <c r="AL95" s="3" t="str">
        <f t="shared" si="76"/>
        <v/>
      </c>
      <c r="AM95" t="str">
        <f t="shared" si="77"/>
        <v/>
      </c>
      <c r="AN95" t="str">
        <f t="shared" si="78"/>
        <v/>
      </c>
      <c r="AP95" s="5" t="str">
        <f>IF(L95="","",VLOOKUP($L95,classifications!$C:$E,3,FALSE))</f>
        <v/>
      </c>
      <c r="AQ95" s="43" t="str">
        <f t="shared" si="79"/>
        <v/>
      </c>
      <c r="AR95" s="40" t="str">
        <f>IF(AQ95="","",IF(I$8="A",(RANK(AQ95,AQ$11:AQ$343,1)+COUNTIF(AQ$11:AQ95,AQ95)-1),(RANK(AQ95,AQ$11:AQ$343)+COUNTIF(AQ$11:AQ95,AQ95)-1)))</f>
        <v/>
      </c>
      <c r="AS95" s="3" t="str">
        <f t="shared" si="80"/>
        <v/>
      </c>
      <c r="AT95" s="40" t="str">
        <f t="shared" si="81"/>
        <v/>
      </c>
      <c r="AU95" s="43" t="str">
        <f t="shared" si="82"/>
        <v/>
      </c>
      <c r="AX95">
        <f>HLOOKUP($AX$9&amp;$AX$10,Data!$A$1:$ZZ$1980,(MATCH($C95,Data!$A$1:$A$1980,0)),FALSE)</f>
        <v>224.2</v>
      </c>
    </row>
    <row r="96" spans="1:50">
      <c r="A96" s="59" t="str">
        <f>$D$1&amp;86</f>
        <v>UA86</v>
      </c>
      <c r="B96" s="60">
        <f>IF(ISERROR(VLOOKUP(A97,classifications!A:C,3,FALSE)),0,VLOOKUP(A97,classifications!A:C,3,FALSE))</f>
        <v>0</v>
      </c>
      <c r="C96" t="s">
        <v>52</v>
      </c>
      <c r="D96" t="str">
        <f>VLOOKUP($C96,classifications!$C:$J,4,FALSE)</f>
        <v>SD</v>
      </c>
      <c r="E96" t="str">
        <f>VLOOKUP(C96,classifications!C:K,9,FALSE)</f>
        <v>Sparse</v>
      </c>
      <c r="F96">
        <f t="shared" si="60"/>
        <v>335.2</v>
      </c>
      <c r="G96" s="15"/>
      <c r="H96" s="42" t="str">
        <f t="shared" si="61"/>
        <v/>
      </c>
      <c r="I96" s="79" t="str">
        <f>IF(H96="","",IF($I$8="A",(RANK(H96,H$11:H$343,1)+COUNTIF(H$11:H96,H96)-1),(RANK(H96,H$11:H$343)+COUNTIF(H$11:H96,H96)-1)))</f>
        <v/>
      </c>
      <c r="J96" s="41"/>
      <c r="K96" s="36" t="str">
        <f t="shared" si="62"/>
        <v/>
      </c>
      <c r="L96" t="str">
        <f t="shared" si="63"/>
        <v/>
      </c>
      <c r="M96" s="117" t="str">
        <f t="shared" si="64"/>
        <v/>
      </c>
      <c r="N96" s="112" t="str">
        <f t="shared" si="65"/>
        <v/>
      </c>
      <c r="O96" s="96" t="str">
        <f t="shared" si="66"/>
        <v/>
      </c>
      <c r="P96" s="96" t="str">
        <f t="shared" si="67"/>
        <v/>
      </c>
      <c r="Q96" s="96" t="str">
        <f t="shared" si="68"/>
        <v/>
      </c>
      <c r="R96" s="92" t="str">
        <f t="shared" si="69"/>
        <v/>
      </c>
      <c r="S96" s="42" t="str">
        <f t="shared" si="70"/>
        <v/>
      </c>
      <c r="T96" s="167" t="str">
        <f>IF(L96="","",VLOOKUP(L96,classifications!C:K,9,FALSE))</f>
        <v/>
      </c>
      <c r="U96" s="168" t="str">
        <f t="shared" si="71"/>
        <v/>
      </c>
      <c r="V96" s="174" t="str">
        <f>IF(U96="","",IF($I$8="A",(RANK(U96,U$11:U$343)+COUNTIF(U$11:U96,U96)-1),(RANK(U96,U$11:U$343,1)+COUNTIF(U$11:U96,U96)-1)))</f>
        <v/>
      </c>
      <c r="W96" s="175"/>
      <c r="X96" s="5" t="str">
        <f>IF(L96="","",VLOOKUP($L96,classifications!$C:$J,6,FALSE))</f>
        <v/>
      </c>
      <c r="Y96" t="str">
        <f t="shared" si="72"/>
        <v/>
      </c>
      <c r="Z96" s="40" t="str">
        <f>IF(Y96="","",IF(I$8="A",(RANK(Y96,Y$11:Y$343,1)+COUNTIF(Y$11:Y96,Y96)-1),(RANK(Y96,Y$11:Y$343)+COUNTIF(Y$11:Y96,Y96)-1)))</f>
        <v/>
      </c>
      <c r="AA96" s="180" t="str">
        <f>IF(L96="","",VLOOKUP($L96,classifications!C:I,7,FALSE))</f>
        <v/>
      </c>
      <c r="AB96" s="174" t="str">
        <f t="shared" si="73"/>
        <v/>
      </c>
      <c r="AC96" s="174" t="str">
        <f>IF(AB96="","",IF($I$8="A",(RANK(AB96,AB$11:AB$343)+COUNTIF(AB$11:AB96,AB96)-1),(RANK(AB96,AB$11:AB$343,1)+COUNTIF(AB$11:AB96,AB96)-1)))</f>
        <v/>
      </c>
      <c r="AD96" s="174"/>
      <c r="AE96" s="36" t="str">
        <f t="shared" si="74"/>
        <v/>
      </c>
      <c r="AG96" s="15"/>
      <c r="AH96" s="3"/>
      <c r="AI96" s="5" t="str">
        <f>IF(L96="","",VLOOKUP($L96,classifications!$C:$J,8,FALSE))</f>
        <v/>
      </c>
      <c r="AJ96" s="43" t="str">
        <f t="shared" si="75"/>
        <v/>
      </c>
      <c r="AK96" s="40" t="str">
        <f>IF(AJ96="","",IF(I$8="A",(RANK(AJ96,AJ$11:AJ$343,1)+COUNTIF(AJ$11:AJ96,AJ96)-1),(RANK(AJ96,AJ$11:AJ$343)+COUNTIF(AJ$11:AJ96,AJ96)-1)))</f>
        <v/>
      </c>
      <c r="AL96" s="3" t="str">
        <f t="shared" si="76"/>
        <v/>
      </c>
      <c r="AM96" t="str">
        <f t="shared" si="77"/>
        <v/>
      </c>
      <c r="AN96" t="str">
        <f t="shared" si="78"/>
        <v/>
      </c>
      <c r="AP96" s="5" t="str">
        <f>IF(L96="","",VLOOKUP($L96,classifications!$C:$E,3,FALSE))</f>
        <v/>
      </c>
      <c r="AQ96" s="43" t="str">
        <f t="shared" si="79"/>
        <v/>
      </c>
      <c r="AR96" s="40" t="str">
        <f>IF(AQ96="","",IF(I$8="A",(RANK(AQ96,AQ$11:AQ$343,1)+COUNTIF(AQ$11:AQ96,AQ96)-1),(RANK(AQ96,AQ$11:AQ$343)+COUNTIF(AQ$11:AQ96,AQ96)-1)))</f>
        <v/>
      </c>
      <c r="AS96" s="3" t="str">
        <f t="shared" si="80"/>
        <v/>
      </c>
      <c r="AT96" s="40" t="str">
        <f t="shared" si="81"/>
        <v/>
      </c>
      <c r="AU96" s="43" t="str">
        <f t="shared" si="82"/>
        <v/>
      </c>
      <c r="AX96">
        <f>HLOOKUP($AX$9&amp;$AX$10,Data!$A$1:$ZZ$1980,(MATCH($C96,Data!$A$1:$A$1980,0)),FALSE)</f>
        <v>335.2</v>
      </c>
    </row>
    <row r="97" spans="1:50">
      <c r="A97" s="59" t="str">
        <f>$D$1&amp;87</f>
        <v>UA87</v>
      </c>
      <c r="B97" s="60">
        <f>IF(ISERROR(VLOOKUP(A98,classifications!A:C,3,FALSE)),0,VLOOKUP(A98,classifications!A:C,3,FALSE))</f>
        <v>0</v>
      </c>
      <c r="C97" t="s">
        <v>53</v>
      </c>
      <c r="D97" t="str">
        <f>VLOOKUP($C97,classifications!$C:$J,4,FALSE)</f>
        <v>SD</v>
      </c>
      <c r="E97" t="str">
        <f>VLOOKUP(C97,classifications!C:K,9,FALSE)</f>
        <v>Sparse</v>
      </c>
      <c r="F97">
        <f t="shared" si="60"/>
        <v>300.10000000000002</v>
      </c>
      <c r="G97" s="15"/>
      <c r="H97" s="42" t="str">
        <f t="shared" si="61"/>
        <v/>
      </c>
      <c r="I97" s="79" t="str">
        <f>IF(H97="","",IF($I$8="A",(RANK(H97,H$11:H$343,1)+COUNTIF(H$11:H97,H97)-1),(RANK(H97,H$11:H$343)+COUNTIF(H$11:H97,H97)-1)))</f>
        <v/>
      </c>
      <c r="J97" s="41"/>
      <c r="K97" s="36" t="str">
        <f t="shared" si="62"/>
        <v/>
      </c>
      <c r="L97" t="str">
        <f t="shared" si="63"/>
        <v/>
      </c>
      <c r="M97" s="117" t="str">
        <f t="shared" si="64"/>
        <v/>
      </c>
      <c r="N97" s="112" t="str">
        <f t="shared" si="65"/>
        <v/>
      </c>
      <c r="O97" s="96" t="str">
        <f t="shared" si="66"/>
        <v/>
      </c>
      <c r="P97" s="96" t="str">
        <f t="shared" si="67"/>
        <v/>
      </c>
      <c r="Q97" s="96" t="str">
        <f t="shared" si="68"/>
        <v/>
      </c>
      <c r="R97" s="92" t="str">
        <f t="shared" si="69"/>
        <v/>
      </c>
      <c r="S97" s="42" t="str">
        <f t="shared" si="70"/>
        <v/>
      </c>
      <c r="T97" s="167" t="str">
        <f>IF(L97="","",VLOOKUP(L97,classifications!C:K,9,FALSE))</f>
        <v/>
      </c>
      <c r="U97" s="168" t="str">
        <f t="shared" si="71"/>
        <v/>
      </c>
      <c r="V97" s="174" t="str">
        <f>IF(U97="","",IF($I$8="A",(RANK(U97,U$11:U$343)+COUNTIF(U$11:U97,U97)-1),(RANK(U97,U$11:U$343,1)+COUNTIF(U$11:U97,U97)-1)))</f>
        <v/>
      </c>
      <c r="W97" s="175"/>
      <c r="X97" s="5" t="str">
        <f>IF(L97="","",VLOOKUP($L97,classifications!$C:$J,6,FALSE))</f>
        <v/>
      </c>
      <c r="Y97" t="str">
        <f t="shared" si="72"/>
        <v/>
      </c>
      <c r="Z97" s="40" t="str">
        <f>IF(Y97="","",IF(I$8="A",(RANK(Y97,Y$11:Y$343,1)+COUNTIF(Y$11:Y97,Y97)-1),(RANK(Y97,Y$11:Y$343)+COUNTIF(Y$11:Y97,Y97)-1)))</f>
        <v/>
      </c>
      <c r="AA97" s="180" t="str">
        <f>IF(L97="","",VLOOKUP($L97,classifications!C:I,7,FALSE))</f>
        <v/>
      </c>
      <c r="AB97" s="174" t="str">
        <f t="shared" si="73"/>
        <v/>
      </c>
      <c r="AC97" s="174" t="str">
        <f>IF(AB97="","",IF($I$8="A",(RANK(AB97,AB$11:AB$343)+COUNTIF(AB$11:AB97,AB97)-1),(RANK(AB97,AB$11:AB$343,1)+COUNTIF(AB$11:AB97,AB97)-1)))</f>
        <v/>
      </c>
      <c r="AD97" s="174"/>
      <c r="AE97" s="36" t="str">
        <f t="shared" si="74"/>
        <v/>
      </c>
      <c r="AG97" s="15"/>
      <c r="AH97" s="3"/>
      <c r="AI97" s="5" t="str">
        <f>IF(L97="","",VLOOKUP($L97,classifications!$C:$J,8,FALSE))</f>
        <v/>
      </c>
      <c r="AJ97" s="43" t="str">
        <f t="shared" si="75"/>
        <v/>
      </c>
      <c r="AK97" s="40" t="str">
        <f>IF(AJ97="","",IF(I$8="A",(RANK(AJ97,AJ$11:AJ$343,1)+COUNTIF(AJ$11:AJ97,AJ97)-1),(RANK(AJ97,AJ$11:AJ$343)+COUNTIF(AJ$11:AJ97,AJ97)-1)))</f>
        <v/>
      </c>
      <c r="AL97" s="3" t="str">
        <f t="shared" si="76"/>
        <v/>
      </c>
      <c r="AM97" t="str">
        <f t="shared" si="77"/>
        <v/>
      </c>
      <c r="AN97" t="str">
        <f t="shared" si="78"/>
        <v/>
      </c>
      <c r="AP97" s="5" t="str">
        <f>IF(L97="","",VLOOKUP($L97,classifications!$C:$E,3,FALSE))</f>
        <v/>
      </c>
      <c r="AQ97" s="43" t="str">
        <f t="shared" si="79"/>
        <v/>
      </c>
      <c r="AR97" s="40" t="str">
        <f>IF(AQ97="","",IF(I$8="A",(RANK(AQ97,AQ$11:AQ$343,1)+COUNTIF(AQ$11:AQ97,AQ97)-1),(RANK(AQ97,AQ$11:AQ$343)+COUNTIF(AQ$11:AQ97,AQ97)-1)))</f>
        <v/>
      </c>
      <c r="AS97" s="3" t="str">
        <f t="shared" si="80"/>
        <v/>
      </c>
      <c r="AT97" s="40" t="str">
        <f t="shared" si="81"/>
        <v/>
      </c>
      <c r="AU97" s="43" t="str">
        <f t="shared" si="82"/>
        <v/>
      </c>
      <c r="AX97">
        <f>HLOOKUP($AX$9&amp;$AX$10,Data!$A$1:$ZZ$1980,(MATCH($C97,Data!$A$1:$A$1980,0)),FALSE)</f>
        <v>300.10000000000002</v>
      </c>
    </row>
    <row r="98" spans="1:50">
      <c r="A98" s="59" t="str">
        <f>$D$1&amp;88</f>
        <v>UA88</v>
      </c>
      <c r="B98" s="60">
        <f>IF(ISERROR(VLOOKUP(A99,classifications!A:C,3,FALSE)),0,VLOOKUP(A99,classifications!A:C,3,FALSE))</f>
        <v>0</v>
      </c>
      <c r="C98" t="s">
        <v>55</v>
      </c>
      <c r="D98" t="str">
        <f>VLOOKUP($C98,classifications!$C:$J,4,FALSE)</f>
        <v>SD</v>
      </c>
      <c r="E98">
        <f>VLOOKUP(C98,classifications!C:K,9,FALSE)</f>
        <v>0</v>
      </c>
      <c r="F98">
        <f t="shared" si="60"/>
        <v>307.10000000000002</v>
      </c>
      <c r="G98" s="15"/>
      <c r="H98" s="42" t="str">
        <f t="shared" si="61"/>
        <v/>
      </c>
      <c r="I98" s="79" t="str">
        <f>IF(H98="","",IF($I$8="A",(RANK(H98,H$11:H$343,1)+COUNTIF(H$11:H98,H98)-1),(RANK(H98,H$11:H$343)+COUNTIF(H$11:H98,H98)-1)))</f>
        <v/>
      </c>
      <c r="J98" s="41"/>
      <c r="K98" s="36" t="str">
        <f t="shared" si="62"/>
        <v/>
      </c>
      <c r="L98" t="str">
        <f t="shared" si="63"/>
        <v/>
      </c>
      <c r="M98" s="117" t="str">
        <f t="shared" si="64"/>
        <v/>
      </c>
      <c r="N98" s="112" t="str">
        <f t="shared" si="65"/>
        <v/>
      </c>
      <c r="O98" s="96" t="str">
        <f t="shared" si="66"/>
        <v/>
      </c>
      <c r="P98" s="96" t="str">
        <f t="shared" si="67"/>
        <v/>
      </c>
      <c r="Q98" s="96" t="str">
        <f t="shared" si="68"/>
        <v/>
      </c>
      <c r="R98" s="92" t="str">
        <f t="shared" si="69"/>
        <v/>
      </c>
      <c r="S98" s="42" t="str">
        <f t="shared" si="70"/>
        <v/>
      </c>
      <c r="T98" s="167" t="str">
        <f>IF(L98="","",VLOOKUP(L98,classifications!C:K,9,FALSE))</f>
        <v/>
      </c>
      <c r="U98" s="168" t="str">
        <f t="shared" si="71"/>
        <v/>
      </c>
      <c r="V98" s="174" t="str">
        <f>IF(U98="","",IF($I$8="A",(RANK(U98,U$11:U$343)+COUNTIF(U$11:U98,U98)-1),(RANK(U98,U$11:U$343,1)+COUNTIF(U$11:U98,U98)-1)))</f>
        <v/>
      </c>
      <c r="W98" s="175"/>
      <c r="X98" s="5" t="str">
        <f>IF(L98="","",VLOOKUP($L98,classifications!$C:$J,6,FALSE))</f>
        <v/>
      </c>
      <c r="Y98" t="str">
        <f t="shared" si="72"/>
        <v/>
      </c>
      <c r="Z98" s="40" t="str">
        <f>IF(Y98="","",IF(I$8="A",(RANK(Y98,Y$11:Y$343,1)+COUNTIF(Y$11:Y98,Y98)-1),(RANK(Y98,Y$11:Y$343)+COUNTIF(Y$11:Y98,Y98)-1)))</f>
        <v/>
      </c>
      <c r="AA98" s="180" t="str">
        <f>IF(L98="","",VLOOKUP($L98,classifications!C:I,7,FALSE))</f>
        <v/>
      </c>
      <c r="AB98" s="174" t="str">
        <f t="shared" si="73"/>
        <v/>
      </c>
      <c r="AC98" s="174" t="str">
        <f>IF(AB98="","",IF($I$8="A",(RANK(AB98,AB$11:AB$343)+COUNTIF(AB$11:AB98,AB98)-1),(RANK(AB98,AB$11:AB$343,1)+COUNTIF(AB$11:AB98,AB98)-1)))</f>
        <v/>
      </c>
      <c r="AD98" s="174"/>
      <c r="AE98" s="36" t="str">
        <f t="shared" si="74"/>
        <v/>
      </c>
      <c r="AG98" s="15"/>
      <c r="AH98" s="3"/>
      <c r="AI98" s="5" t="str">
        <f>IF(L98="","",VLOOKUP($L98,classifications!$C:$J,8,FALSE))</f>
        <v/>
      </c>
      <c r="AJ98" s="43" t="str">
        <f t="shared" si="75"/>
        <v/>
      </c>
      <c r="AK98" s="40" t="str">
        <f>IF(AJ98="","",IF(I$8="A",(RANK(AJ98,AJ$11:AJ$343,1)+COUNTIF(AJ$11:AJ98,AJ98)-1),(RANK(AJ98,AJ$11:AJ$343)+COUNTIF(AJ$11:AJ98,AJ98)-1)))</f>
        <v/>
      </c>
      <c r="AL98" s="3" t="str">
        <f t="shared" si="76"/>
        <v/>
      </c>
      <c r="AM98" t="str">
        <f t="shared" si="77"/>
        <v/>
      </c>
      <c r="AN98" t="str">
        <f t="shared" si="78"/>
        <v/>
      </c>
      <c r="AP98" s="5" t="str">
        <f>IF(L98="","",VLOOKUP($L98,classifications!$C:$E,3,FALSE))</f>
        <v/>
      </c>
      <c r="AQ98" s="43" t="str">
        <f t="shared" si="79"/>
        <v/>
      </c>
      <c r="AR98" s="40" t="str">
        <f>IF(AQ98="","",IF(I$8="A",(RANK(AQ98,AQ$11:AQ$343,1)+COUNTIF(AQ$11:AQ98,AQ98)-1),(RANK(AQ98,AQ$11:AQ$343)+COUNTIF(AQ$11:AQ98,AQ98)-1)))</f>
        <v/>
      </c>
      <c r="AS98" s="3" t="str">
        <f t="shared" si="80"/>
        <v/>
      </c>
      <c r="AT98" s="40" t="str">
        <f t="shared" si="81"/>
        <v/>
      </c>
      <c r="AU98" s="43" t="str">
        <f t="shared" si="82"/>
        <v/>
      </c>
      <c r="AX98">
        <f>HLOOKUP($AX$9&amp;$AX$10,Data!$A$1:$ZZ$1980,(MATCH($C98,Data!$A$1:$A$1980,0)),FALSE)</f>
        <v>307.10000000000002</v>
      </c>
    </row>
    <row r="99" spans="1:50">
      <c r="A99" s="59" t="str">
        <f>$D$1&amp;89</f>
        <v>UA89</v>
      </c>
      <c r="B99" s="60">
        <f>IF(ISERROR(VLOOKUP(A100,classifications!A:C,3,FALSE)),0,VLOOKUP(A100,classifications!A:C,3,FALSE))</f>
        <v>0</v>
      </c>
      <c r="C99" t="s">
        <v>56</v>
      </c>
      <c r="D99" t="str">
        <f>VLOOKUP($C99,classifications!$C:$J,4,FALSE)</f>
        <v>SD</v>
      </c>
      <c r="E99">
        <f>VLOOKUP(C99,classifications!C:K,9,FALSE)</f>
        <v>0</v>
      </c>
      <c r="F99">
        <f t="shared" si="60"/>
        <v>353.5</v>
      </c>
      <c r="G99" s="15"/>
      <c r="H99" s="42" t="str">
        <f t="shared" si="61"/>
        <v/>
      </c>
      <c r="I99" s="79" t="str">
        <f>IF(H99="","",IF($I$8="A",(RANK(H99,H$11:H$343,1)+COUNTIF(H$11:H99,H99)-1),(RANK(H99,H$11:H$343)+COUNTIF(H$11:H99,H99)-1)))</f>
        <v/>
      </c>
      <c r="J99" s="41"/>
      <c r="K99" s="36" t="str">
        <f t="shared" si="62"/>
        <v/>
      </c>
      <c r="L99" t="str">
        <f t="shared" si="63"/>
        <v/>
      </c>
      <c r="M99" s="117" t="str">
        <f t="shared" si="64"/>
        <v/>
      </c>
      <c r="N99" s="112" t="str">
        <f t="shared" si="65"/>
        <v/>
      </c>
      <c r="O99" s="96" t="str">
        <f t="shared" si="66"/>
        <v/>
      </c>
      <c r="P99" s="96" t="str">
        <f t="shared" si="67"/>
        <v/>
      </c>
      <c r="Q99" s="96" t="str">
        <f t="shared" si="68"/>
        <v/>
      </c>
      <c r="R99" s="92" t="str">
        <f t="shared" si="69"/>
        <v/>
      </c>
      <c r="S99" s="42" t="str">
        <f t="shared" si="70"/>
        <v/>
      </c>
      <c r="T99" s="167" t="str">
        <f>IF(L99="","",VLOOKUP(L99,classifications!C:K,9,FALSE))</f>
        <v/>
      </c>
      <c r="U99" s="168" t="str">
        <f t="shared" si="71"/>
        <v/>
      </c>
      <c r="V99" s="174" t="str">
        <f>IF(U99="","",IF($I$8="A",(RANK(U99,U$11:U$343)+COUNTIF(U$11:U99,U99)-1),(RANK(U99,U$11:U$343,1)+COUNTIF(U$11:U99,U99)-1)))</f>
        <v/>
      </c>
      <c r="W99" s="175"/>
      <c r="X99" s="5" t="str">
        <f>IF(L99="","",VLOOKUP($L99,classifications!$C:$J,6,FALSE))</f>
        <v/>
      </c>
      <c r="Y99" t="str">
        <f t="shared" si="72"/>
        <v/>
      </c>
      <c r="Z99" s="40" t="str">
        <f>IF(Y99="","",IF(I$8="A",(RANK(Y99,Y$11:Y$343,1)+COUNTIF(Y$11:Y99,Y99)-1),(RANK(Y99,Y$11:Y$343)+COUNTIF(Y$11:Y99,Y99)-1)))</f>
        <v/>
      </c>
      <c r="AA99" s="180" t="str">
        <f>IF(L99="","",VLOOKUP($L99,classifications!C:I,7,FALSE))</f>
        <v/>
      </c>
      <c r="AB99" s="174" t="str">
        <f t="shared" si="73"/>
        <v/>
      </c>
      <c r="AC99" s="174" t="str">
        <f>IF(AB99="","",IF($I$8="A",(RANK(AB99,AB$11:AB$343)+COUNTIF(AB$11:AB99,AB99)-1),(RANK(AB99,AB$11:AB$343,1)+COUNTIF(AB$11:AB99,AB99)-1)))</f>
        <v/>
      </c>
      <c r="AD99" s="174"/>
      <c r="AE99" s="36" t="str">
        <f t="shared" si="74"/>
        <v/>
      </c>
      <c r="AG99" s="15"/>
      <c r="AH99" s="3"/>
      <c r="AI99" s="5" t="str">
        <f>IF(L99="","",VLOOKUP($L99,classifications!$C:$J,8,FALSE))</f>
        <v/>
      </c>
      <c r="AJ99" s="43" t="str">
        <f t="shared" si="75"/>
        <v/>
      </c>
      <c r="AK99" s="40" t="str">
        <f>IF(AJ99="","",IF(I$8="A",(RANK(AJ99,AJ$11:AJ$343,1)+COUNTIF(AJ$11:AJ99,AJ99)-1),(RANK(AJ99,AJ$11:AJ$343)+COUNTIF(AJ$11:AJ99,AJ99)-1)))</f>
        <v/>
      </c>
      <c r="AL99" s="3" t="str">
        <f t="shared" si="76"/>
        <v/>
      </c>
      <c r="AM99" t="str">
        <f t="shared" si="77"/>
        <v/>
      </c>
      <c r="AN99" t="str">
        <f t="shared" si="78"/>
        <v/>
      </c>
      <c r="AP99" s="5" t="str">
        <f>IF(L99="","",VLOOKUP($L99,classifications!$C:$E,3,FALSE))</f>
        <v/>
      </c>
      <c r="AQ99" s="43" t="str">
        <f t="shared" si="79"/>
        <v/>
      </c>
      <c r="AR99" s="40" t="str">
        <f>IF(AQ99="","",IF(I$8="A",(RANK(AQ99,AQ$11:AQ$343,1)+COUNTIF(AQ$11:AQ99,AQ99)-1),(RANK(AQ99,AQ$11:AQ$343)+COUNTIF(AQ$11:AQ99,AQ99)-1)))</f>
        <v/>
      </c>
      <c r="AS99" s="3" t="str">
        <f t="shared" si="80"/>
        <v/>
      </c>
      <c r="AT99" s="40" t="str">
        <f t="shared" si="81"/>
        <v/>
      </c>
      <c r="AU99" s="43" t="str">
        <f t="shared" si="82"/>
        <v/>
      </c>
      <c r="AX99">
        <f>HLOOKUP($AX$9&amp;$AX$10,Data!$A$1:$ZZ$1980,(MATCH($C99,Data!$A$1:$A$1980,0)),FALSE)</f>
        <v>353.5</v>
      </c>
    </row>
    <row r="100" spans="1:50">
      <c r="A100" s="59" t="str">
        <f>$D$1&amp;90</f>
        <v>UA90</v>
      </c>
      <c r="B100" s="60">
        <f>IF(ISERROR(VLOOKUP(A101,classifications!A:C,3,FALSE)),0,VLOOKUP(A101,classifications!A:C,3,FALSE))</f>
        <v>0</v>
      </c>
      <c r="C100" t="s">
        <v>57</v>
      </c>
      <c r="D100" t="str">
        <f>VLOOKUP($C100,classifications!$C:$J,4,FALSE)</f>
        <v>SD</v>
      </c>
      <c r="E100" t="str">
        <f>VLOOKUP(C100,classifications!C:K,9,FALSE)</f>
        <v>Sparse</v>
      </c>
      <c r="F100">
        <f t="shared" si="60"/>
        <v>368.4</v>
      </c>
      <c r="G100" s="15"/>
      <c r="H100" s="42" t="str">
        <f t="shared" si="61"/>
        <v/>
      </c>
      <c r="I100" s="79" t="str">
        <f>IF(H100="","",IF($I$8="A",(RANK(H100,H$11:H$343,1)+COUNTIF(H$11:H100,H100)-1),(RANK(H100,H$11:H$343)+COUNTIF(H$11:H100,H100)-1)))</f>
        <v/>
      </c>
      <c r="J100" s="41"/>
      <c r="K100" s="36" t="str">
        <f t="shared" si="62"/>
        <v/>
      </c>
      <c r="L100" t="str">
        <f t="shared" si="63"/>
        <v/>
      </c>
      <c r="M100" s="117" t="str">
        <f t="shared" si="64"/>
        <v/>
      </c>
      <c r="N100" s="112" t="str">
        <f t="shared" si="65"/>
        <v/>
      </c>
      <c r="O100" s="96" t="str">
        <f t="shared" si="66"/>
        <v/>
      </c>
      <c r="P100" s="96" t="str">
        <f t="shared" si="67"/>
        <v/>
      </c>
      <c r="Q100" s="96" t="str">
        <f t="shared" si="68"/>
        <v/>
      </c>
      <c r="R100" s="92" t="str">
        <f t="shared" si="69"/>
        <v/>
      </c>
      <c r="S100" s="42" t="str">
        <f t="shared" si="70"/>
        <v/>
      </c>
      <c r="T100" s="167" t="str">
        <f>IF(L100="","",VLOOKUP(L100,classifications!C:K,9,FALSE))</f>
        <v/>
      </c>
      <c r="U100" s="168" t="str">
        <f t="shared" si="71"/>
        <v/>
      </c>
      <c r="V100" s="174" t="str">
        <f>IF(U100="","",IF($I$8="A",(RANK(U100,U$11:U$343)+COUNTIF(U$11:U100,U100)-1),(RANK(U100,U$11:U$343,1)+COUNTIF(U$11:U100,U100)-1)))</f>
        <v/>
      </c>
      <c r="W100" s="175"/>
      <c r="X100" s="5" t="str">
        <f>IF(L100="","",VLOOKUP($L100,classifications!$C:$J,6,FALSE))</f>
        <v/>
      </c>
      <c r="Y100" t="str">
        <f t="shared" si="72"/>
        <v/>
      </c>
      <c r="Z100" s="40" t="str">
        <f>IF(Y100="","",IF(I$8="A",(RANK(Y100,Y$11:Y$343,1)+COUNTIF(Y$11:Y100,Y100)-1),(RANK(Y100,Y$11:Y$343)+COUNTIF(Y$11:Y100,Y100)-1)))</f>
        <v/>
      </c>
      <c r="AA100" s="180" t="str">
        <f>IF(L100="","",VLOOKUP($L100,classifications!C:I,7,FALSE))</f>
        <v/>
      </c>
      <c r="AB100" s="174" t="str">
        <f t="shared" si="73"/>
        <v/>
      </c>
      <c r="AC100" s="174" t="str">
        <f>IF(AB100="","",IF($I$8="A",(RANK(AB100,AB$11:AB$343)+COUNTIF(AB$11:AB100,AB100)-1),(RANK(AB100,AB$11:AB$343,1)+COUNTIF(AB$11:AB100,AB100)-1)))</f>
        <v/>
      </c>
      <c r="AD100" s="174"/>
      <c r="AE100" s="36" t="str">
        <f t="shared" si="74"/>
        <v/>
      </c>
      <c r="AG100" s="15"/>
      <c r="AH100" s="3"/>
      <c r="AI100" s="5" t="str">
        <f>IF(L100="","",VLOOKUP($L100,classifications!$C:$J,8,FALSE))</f>
        <v/>
      </c>
      <c r="AJ100" s="43" t="str">
        <f t="shared" si="75"/>
        <v/>
      </c>
      <c r="AK100" s="40" t="str">
        <f>IF(AJ100="","",IF(I$8="A",(RANK(AJ100,AJ$11:AJ$343,1)+COUNTIF(AJ$11:AJ100,AJ100)-1),(RANK(AJ100,AJ$11:AJ$343)+COUNTIF(AJ$11:AJ100,AJ100)-1)))</f>
        <v/>
      </c>
      <c r="AL100" s="3" t="str">
        <f t="shared" si="76"/>
        <v/>
      </c>
      <c r="AM100" t="str">
        <f t="shared" si="77"/>
        <v/>
      </c>
      <c r="AN100" t="str">
        <f t="shared" si="78"/>
        <v/>
      </c>
      <c r="AP100" s="5" t="str">
        <f>IF(L100="","",VLOOKUP($L100,classifications!$C:$E,3,FALSE))</f>
        <v/>
      </c>
      <c r="AQ100" s="43" t="str">
        <f t="shared" si="79"/>
        <v/>
      </c>
      <c r="AR100" s="40" t="str">
        <f>IF(AQ100="","",IF(I$8="A",(RANK(AQ100,AQ$11:AQ$343,1)+COUNTIF(AQ$11:AQ100,AQ100)-1),(RANK(AQ100,AQ$11:AQ$343)+COUNTIF(AQ$11:AQ100,AQ100)-1)))</f>
        <v/>
      </c>
      <c r="AS100" s="3" t="str">
        <f t="shared" si="80"/>
        <v/>
      </c>
      <c r="AT100" s="40" t="str">
        <f t="shared" si="81"/>
        <v/>
      </c>
      <c r="AU100" s="43" t="str">
        <f t="shared" si="82"/>
        <v/>
      </c>
      <c r="AX100">
        <f>HLOOKUP($AX$9&amp;$AX$10,Data!$A$1:$ZZ$1980,(MATCH($C100,Data!$A$1:$A$1980,0)),FALSE)</f>
        <v>368.4</v>
      </c>
    </row>
    <row r="101" spans="1:50">
      <c r="A101" s="59" t="str">
        <f>$D$1&amp;91</f>
        <v>UA91</v>
      </c>
      <c r="B101" s="60">
        <f>IF(ISERROR(VLOOKUP(A103,classifications!A:C,3,FALSE)),0,VLOOKUP(A103,classifications!A:C,3,FALSE))</f>
        <v>0</v>
      </c>
      <c r="C101" t="s">
        <v>268</v>
      </c>
      <c r="D101" t="str">
        <f>VLOOKUP($C101,classifications!$C:$J,4,FALSE)</f>
        <v>UA</v>
      </c>
      <c r="E101" t="str">
        <f>VLOOKUP(C101,classifications!C:K,9,FALSE)</f>
        <v>Sparse</v>
      </c>
      <c r="F101">
        <f t="shared" si="60"/>
        <v>468.3</v>
      </c>
      <c r="G101" s="15"/>
      <c r="H101" s="42">
        <f t="shared" si="61"/>
        <v>468.3</v>
      </c>
      <c r="I101" s="79">
        <f>IF(H101="","",IF($I$8="A",(RANK(H101,H$11:H$343,1)+COUNTIF(H$11:H101,H101)-1),(RANK(H101,H$11:H$343)+COUNTIF(H$11:H101,H101)-1)))</f>
        <v>55</v>
      </c>
      <c r="J101" s="41"/>
      <c r="K101" s="36" t="str">
        <f t="shared" si="62"/>
        <v/>
      </c>
      <c r="L101" t="str">
        <f t="shared" si="63"/>
        <v/>
      </c>
      <c r="M101" s="117" t="str">
        <f t="shared" si="64"/>
        <v/>
      </c>
      <c r="N101" s="112" t="str">
        <f t="shared" si="65"/>
        <v/>
      </c>
      <c r="O101" s="96" t="str">
        <f t="shared" si="66"/>
        <v/>
      </c>
      <c r="P101" s="96" t="str">
        <f t="shared" si="67"/>
        <v/>
      </c>
      <c r="Q101" s="96" t="str">
        <f t="shared" si="68"/>
        <v/>
      </c>
      <c r="R101" s="92" t="str">
        <f t="shared" si="69"/>
        <v/>
      </c>
      <c r="S101" s="42" t="str">
        <f t="shared" si="70"/>
        <v/>
      </c>
      <c r="T101" s="167" t="str">
        <f>IF(L101="","",VLOOKUP(L101,classifications!C:K,9,FALSE))</f>
        <v/>
      </c>
      <c r="U101" s="168" t="str">
        <f t="shared" si="71"/>
        <v/>
      </c>
      <c r="V101" s="174" t="str">
        <f>IF(U101="","",IF($I$8="A",(RANK(U101,U$11:U$343)+COUNTIF(U$11:U101,U101)-1),(RANK(U101,U$11:U$343,1)+COUNTIF(U$11:U101,U101)-1)))</f>
        <v/>
      </c>
      <c r="W101" s="175"/>
      <c r="X101" s="5" t="str">
        <f>IF(L101="","",VLOOKUP($L101,classifications!$C:$J,6,FALSE))</f>
        <v/>
      </c>
      <c r="Y101" t="str">
        <f t="shared" si="72"/>
        <v/>
      </c>
      <c r="Z101" s="40" t="str">
        <f>IF(Y101="","",IF(I$8="A",(RANK(Y101,Y$11:Y$343,1)+COUNTIF(Y$11:Y101,Y101)-1),(RANK(Y101,Y$11:Y$343)+COUNTIF(Y$11:Y101,Y101)-1)))</f>
        <v/>
      </c>
      <c r="AA101" s="180" t="str">
        <f>IF(L101="","",VLOOKUP($L101,classifications!C:I,7,FALSE))</f>
        <v/>
      </c>
      <c r="AB101" s="174" t="str">
        <f t="shared" si="73"/>
        <v/>
      </c>
      <c r="AC101" s="174" t="str">
        <f>IF(AB101="","",IF($I$8="A",(RANK(AB101,AB$11:AB$343)+COUNTIF(AB$11:AB101,AB101)-1),(RANK(AB101,AB$11:AB$343,1)+COUNTIF(AB$11:AB101,AB101)-1)))</f>
        <v/>
      </c>
      <c r="AD101" s="174"/>
      <c r="AE101" s="36" t="str">
        <f t="shared" si="74"/>
        <v/>
      </c>
      <c r="AG101" s="15"/>
      <c r="AH101" s="3"/>
      <c r="AI101" s="5" t="str">
        <f>IF(L101="","",VLOOKUP($L101,classifications!$C:$J,8,FALSE))</f>
        <v/>
      </c>
      <c r="AJ101" s="43" t="str">
        <f t="shared" si="75"/>
        <v/>
      </c>
      <c r="AK101" s="40" t="str">
        <f>IF(AJ101="","",IF(I$8="A",(RANK(AJ101,AJ$11:AJ$343,1)+COUNTIF(AJ$11:AJ101,AJ101)-1),(RANK(AJ101,AJ$11:AJ$343)+COUNTIF(AJ$11:AJ101,AJ101)-1)))</f>
        <v/>
      </c>
      <c r="AL101" s="3" t="str">
        <f t="shared" si="76"/>
        <v/>
      </c>
      <c r="AM101" t="str">
        <f t="shared" si="77"/>
        <v/>
      </c>
      <c r="AN101" t="str">
        <f t="shared" si="78"/>
        <v/>
      </c>
      <c r="AP101" s="5" t="str">
        <f>IF(L101="","",VLOOKUP($L101,classifications!$C:$E,3,FALSE))</f>
        <v/>
      </c>
      <c r="AQ101" s="43" t="str">
        <f t="shared" si="79"/>
        <v/>
      </c>
      <c r="AR101" s="40" t="str">
        <f>IF(AQ101="","",IF(I$8="A",(RANK(AQ101,AQ$11:AQ$343,1)+COUNTIF(AQ$11:AQ101,AQ101)-1),(RANK(AQ101,AQ$11:AQ$343)+COUNTIF(AQ$11:AQ101,AQ101)-1)))</f>
        <v/>
      </c>
      <c r="AS101" s="3" t="str">
        <f t="shared" si="80"/>
        <v/>
      </c>
      <c r="AT101" s="40" t="str">
        <f t="shared" si="81"/>
        <v/>
      </c>
      <c r="AU101" s="43" t="str">
        <f t="shared" si="82"/>
        <v/>
      </c>
      <c r="AX101">
        <f>HLOOKUP($AX$9&amp;$AX$10,Data!$A$1:$ZZ$1980,(MATCH($C101,Data!$A$1:$A$1980,0)),FALSE)</f>
        <v>468.3</v>
      </c>
    </row>
    <row r="102" spans="1:50">
      <c r="A102" s="59" t="str">
        <f>$D$1&amp;92</f>
        <v>UA92</v>
      </c>
      <c r="B102" s="60">
        <f>IF(ISERROR(VLOOKUP(A104,classifications!A:C,3,FALSE)),0,VLOOKUP(A104,classifications!A:C,3,FALSE))</f>
        <v>0</v>
      </c>
      <c r="C102" t="s">
        <v>59</v>
      </c>
      <c r="D102" t="str">
        <f>VLOOKUP($C102,classifications!$C:$J,4,FALSE)</f>
        <v>SD</v>
      </c>
      <c r="E102">
        <f>VLOOKUP(C102,classifications!C:K,9,FALSE)</f>
        <v>0</v>
      </c>
      <c r="F102">
        <f t="shared" si="60"/>
        <v>358.7</v>
      </c>
      <c r="G102" s="15"/>
      <c r="H102" s="42" t="str">
        <f t="shared" si="61"/>
        <v/>
      </c>
      <c r="I102" s="79" t="str">
        <f>IF(H102="","",IF($I$8="A",(RANK(H102,H$11:H$343,1)+COUNTIF(H$11:H102,H102)-1),(RANK(H102,H$11:H$343)+COUNTIF(H$11:H102,H102)-1)))</f>
        <v/>
      </c>
      <c r="J102" s="41"/>
      <c r="K102" s="36" t="str">
        <f t="shared" si="62"/>
        <v/>
      </c>
      <c r="L102" t="str">
        <f t="shared" si="63"/>
        <v/>
      </c>
      <c r="M102" s="117" t="str">
        <f t="shared" si="64"/>
        <v/>
      </c>
      <c r="N102" s="112" t="str">
        <f t="shared" si="65"/>
        <v/>
      </c>
      <c r="O102" s="96" t="str">
        <f t="shared" si="66"/>
        <v/>
      </c>
      <c r="P102" s="96" t="str">
        <f t="shared" si="67"/>
        <v/>
      </c>
      <c r="Q102" s="96" t="str">
        <f t="shared" si="68"/>
        <v/>
      </c>
      <c r="R102" s="92" t="str">
        <f t="shared" si="69"/>
        <v/>
      </c>
      <c r="S102" s="42" t="str">
        <f t="shared" si="70"/>
        <v/>
      </c>
      <c r="T102" s="167" t="str">
        <f>IF(L102="","",VLOOKUP(L102,classifications!C:K,9,FALSE))</f>
        <v/>
      </c>
      <c r="U102" s="168" t="str">
        <f t="shared" si="71"/>
        <v/>
      </c>
      <c r="V102" s="174" t="str">
        <f>IF(U102="","",IF($I$8="A",(RANK(U102,U$11:U$343)+COUNTIF(U$11:U102,U102)-1),(RANK(U102,U$11:U$343,1)+COUNTIF(U$11:U102,U102)-1)))</f>
        <v/>
      </c>
      <c r="W102" s="175"/>
      <c r="X102" s="5" t="str">
        <f>IF(L102="","",VLOOKUP($L102,classifications!$C:$J,6,FALSE))</f>
        <v/>
      </c>
      <c r="Y102" t="str">
        <f t="shared" si="72"/>
        <v/>
      </c>
      <c r="Z102" s="40" t="str">
        <f>IF(Y102="","",IF(I$8="A",(RANK(Y102,Y$11:Y$343,1)+COUNTIF(Y$11:Y102,Y102)-1),(RANK(Y102,Y$11:Y$343)+COUNTIF(Y$11:Y102,Y102)-1)))</f>
        <v/>
      </c>
      <c r="AA102" s="180" t="str">
        <f>IF(L102="","",VLOOKUP($L102,classifications!C:I,7,FALSE))</f>
        <v/>
      </c>
      <c r="AB102" s="174" t="str">
        <f t="shared" si="73"/>
        <v/>
      </c>
      <c r="AC102" s="174" t="str">
        <f>IF(AB102="","",IF($I$8="A",(RANK(AB102,AB$11:AB$343)+COUNTIF(AB$11:AB102,AB102)-1),(RANK(AB102,AB$11:AB$343,1)+COUNTIF(AB$11:AB102,AB102)-1)))</f>
        <v/>
      </c>
      <c r="AD102" s="174"/>
      <c r="AE102" s="36" t="str">
        <f t="shared" si="74"/>
        <v/>
      </c>
      <c r="AG102" s="15"/>
      <c r="AH102" s="3"/>
      <c r="AI102" s="5" t="str">
        <f>IF(L102="","",VLOOKUP($L102,classifications!$C:$J,8,FALSE))</f>
        <v/>
      </c>
      <c r="AJ102" s="43" t="str">
        <f t="shared" si="75"/>
        <v/>
      </c>
      <c r="AK102" s="40" t="str">
        <f>IF(AJ102="","",IF(I$8="A",(RANK(AJ102,AJ$11:AJ$343,1)+COUNTIF(AJ$11:AJ102,AJ102)-1),(RANK(AJ102,AJ$11:AJ$343)+COUNTIF(AJ$11:AJ102,AJ102)-1)))</f>
        <v/>
      </c>
      <c r="AL102" s="3" t="str">
        <f t="shared" si="76"/>
        <v/>
      </c>
      <c r="AM102" t="str">
        <f t="shared" si="77"/>
        <v/>
      </c>
      <c r="AN102" t="str">
        <f t="shared" si="78"/>
        <v/>
      </c>
      <c r="AP102" s="5" t="str">
        <f>IF(L102="","",VLOOKUP($L102,classifications!$C:$E,3,FALSE))</f>
        <v/>
      </c>
      <c r="AQ102" s="43" t="str">
        <f t="shared" si="79"/>
        <v/>
      </c>
      <c r="AR102" s="40" t="str">
        <f>IF(AQ102="","",IF(I$8="A",(RANK(AQ102,AQ$11:AQ$343,1)+COUNTIF(AQ$11:AQ102,AQ102)-1),(RANK(AQ102,AQ$11:AQ$343)+COUNTIF(AQ$11:AQ102,AQ102)-1)))</f>
        <v/>
      </c>
      <c r="AS102" s="3" t="str">
        <f t="shared" si="80"/>
        <v/>
      </c>
      <c r="AT102" s="40" t="str">
        <f t="shared" si="81"/>
        <v/>
      </c>
      <c r="AU102" s="43" t="str">
        <f t="shared" si="82"/>
        <v/>
      </c>
      <c r="AX102">
        <f>HLOOKUP($AX$9&amp;$AX$10,Data!$A$1:$ZZ$1980,(MATCH($C102,Data!$A$1:$A$1980,0)),FALSE)</f>
        <v>358.7</v>
      </c>
    </row>
    <row r="103" spans="1:50">
      <c r="A103" s="59" t="str">
        <f>$D$1&amp;93</f>
        <v>UA93</v>
      </c>
      <c r="B103" s="60">
        <f>IF(ISERROR(VLOOKUP(A105,classifications!A:C,3,FALSE)),0,VLOOKUP(A105,classifications!A:C,3,FALSE))</f>
        <v>0</v>
      </c>
      <c r="C103" t="s">
        <v>311</v>
      </c>
      <c r="D103" t="str">
        <f>VLOOKUP($C103,classifications!$C:$J,4,FALSE)</f>
        <v>SC</v>
      </c>
      <c r="E103">
        <f>VLOOKUP(C103,classifications!C:K,9,FALSE)</f>
        <v>0</v>
      </c>
      <c r="F103">
        <f t="shared" si="60"/>
        <v>421</v>
      </c>
      <c r="G103" s="15"/>
      <c r="H103" s="42" t="str">
        <f t="shared" si="61"/>
        <v/>
      </c>
      <c r="I103" s="79" t="str">
        <f>IF(H103="","",IF($I$8="A",(RANK(H103,H$11:H$343,1)+COUNTIF(H$11:H103,H103)-1),(RANK(H103,H$11:H$343)+COUNTIF(H$11:H103,H103)-1)))</f>
        <v/>
      </c>
      <c r="J103" s="41"/>
      <c r="K103" s="36" t="str">
        <f t="shared" si="62"/>
        <v/>
      </c>
      <c r="L103" t="str">
        <f t="shared" si="63"/>
        <v/>
      </c>
      <c r="M103" s="117" t="str">
        <f t="shared" si="64"/>
        <v/>
      </c>
      <c r="N103" s="112" t="str">
        <f t="shared" si="65"/>
        <v/>
      </c>
      <c r="O103" s="96" t="str">
        <f t="shared" si="66"/>
        <v/>
      </c>
      <c r="P103" s="96" t="str">
        <f t="shared" si="67"/>
        <v/>
      </c>
      <c r="Q103" s="96" t="str">
        <f t="shared" si="68"/>
        <v/>
      </c>
      <c r="R103" s="92" t="str">
        <f t="shared" si="69"/>
        <v/>
      </c>
      <c r="S103" s="42" t="str">
        <f t="shared" si="70"/>
        <v/>
      </c>
      <c r="T103" s="167" t="str">
        <f>IF(L103="","",VLOOKUP(L103,classifications!C:K,9,FALSE))</f>
        <v/>
      </c>
      <c r="U103" s="168" t="str">
        <f t="shared" si="71"/>
        <v/>
      </c>
      <c r="V103" s="174" t="str">
        <f>IF(U103="","",IF($I$8="A",(RANK(U103,U$11:U$343)+COUNTIF(U$11:U103,U103)-1),(RANK(U103,U$11:U$343,1)+COUNTIF(U$11:U103,U103)-1)))</f>
        <v/>
      </c>
      <c r="W103" s="175"/>
      <c r="X103" s="5" t="str">
        <f>IF(L103="","",VLOOKUP($L103,classifications!$C:$J,6,FALSE))</f>
        <v/>
      </c>
      <c r="Y103" t="str">
        <f t="shared" si="72"/>
        <v/>
      </c>
      <c r="Z103" s="40" t="str">
        <f>IF(Y103="","",IF(I$8="A",(RANK(Y103,Y$11:Y$343,1)+COUNTIF(Y$11:Y103,Y103)-1),(RANK(Y103,Y$11:Y$343)+COUNTIF(Y$11:Y103,Y103)-1)))</f>
        <v/>
      </c>
      <c r="AA103" s="180" t="str">
        <f>IF(L103="","",VLOOKUP($L103,classifications!C:I,7,FALSE))</f>
        <v/>
      </c>
      <c r="AB103" s="174" t="str">
        <f t="shared" si="73"/>
        <v/>
      </c>
      <c r="AC103" s="174" t="str">
        <f>IF(AB103="","",IF($I$8="A",(RANK(AB103,AB$11:AB$343)+COUNTIF(AB$11:AB103,AB103)-1),(RANK(AB103,AB$11:AB$343,1)+COUNTIF(AB$11:AB103,AB103)-1)))</f>
        <v/>
      </c>
      <c r="AD103" s="174"/>
      <c r="AE103" s="36" t="str">
        <f t="shared" si="74"/>
        <v/>
      </c>
      <c r="AG103" s="15"/>
      <c r="AH103" s="3"/>
      <c r="AI103" s="5" t="str">
        <f>IF(L103="","",VLOOKUP($L103,classifications!$C:$J,8,FALSE))</f>
        <v/>
      </c>
      <c r="AJ103" s="43" t="str">
        <f t="shared" si="75"/>
        <v/>
      </c>
      <c r="AK103" s="40" t="str">
        <f>IF(AJ103="","",IF(I$8="A",(RANK(AJ103,AJ$11:AJ$343,1)+COUNTIF(AJ$11:AJ103,AJ103)-1),(RANK(AJ103,AJ$11:AJ$343)+COUNTIF(AJ$11:AJ103,AJ103)-1)))</f>
        <v/>
      </c>
      <c r="AL103" s="3" t="str">
        <f t="shared" si="76"/>
        <v/>
      </c>
      <c r="AM103" t="str">
        <f t="shared" si="77"/>
        <v/>
      </c>
      <c r="AN103" t="str">
        <f t="shared" si="78"/>
        <v/>
      </c>
      <c r="AP103" s="5" t="str">
        <f>IF(L103="","",VLOOKUP($L103,classifications!$C:$E,3,FALSE))</f>
        <v/>
      </c>
      <c r="AQ103" s="43" t="str">
        <f t="shared" si="79"/>
        <v/>
      </c>
      <c r="AR103" s="40" t="str">
        <f>IF(AQ103="","",IF(I$8="A",(RANK(AQ103,AQ$11:AQ$343,1)+COUNTIF(AQ$11:AQ103,AQ103)-1),(RANK(AQ103,AQ$11:AQ$343)+COUNTIF(AQ$11:AQ103,AQ103)-1)))</f>
        <v/>
      </c>
      <c r="AS103" s="3" t="str">
        <f t="shared" si="80"/>
        <v/>
      </c>
      <c r="AT103" s="40" t="str">
        <f t="shared" si="81"/>
        <v/>
      </c>
      <c r="AU103" s="43" t="str">
        <f t="shared" si="82"/>
        <v/>
      </c>
      <c r="AX103">
        <f>HLOOKUP($AX$9&amp;$AX$10,Data!$A$1:$ZZ$1980,(MATCH($C103,Data!$A$1:$A$1980,0)),FALSE)</f>
        <v>421</v>
      </c>
    </row>
    <row r="104" spans="1:50">
      <c r="A104" s="59" t="str">
        <f>$D$1&amp;94</f>
        <v>UA94</v>
      </c>
      <c r="B104" s="60">
        <f>IF(ISERROR(VLOOKUP(A106,classifications!A:C,3,FALSE)),0,VLOOKUP(A106,classifications!A:C,3,FALSE))</f>
        <v>0</v>
      </c>
      <c r="C104" t="s">
        <v>60</v>
      </c>
      <c r="D104" t="str">
        <f>VLOOKUP($C104,classifications!$C:$J,4,FALSE)</f>
        <v>SD</v>
      </c>
      <c r="E104">
        <f>VLOOKUP(C104,classifications!C:K,9,FALSE)</f>
        <v>0</v>
      </c>
      <c r="F104">
        <f t="shared" si="60"/>
        <v>321.2</v>
      </c>
      <c r="G104" s="15"/>
      <c r="H104" s="42" t="str">
        <f t="shared" si="61"/>
        <v/>
      </c>
      <c r="I104" s="79" t="str">
        <f>IF(H104="","",IF($I$8="A",(RANK(H104,H$11:H$343,1)+COUNTIF(H$11:H104,H104)-1),(RANK(H104,H$11:H$343)+COUNTIF(H$11:H104,H104)-1)))</f>
        <v/>
      </c>
      <c r="J104" s="41"/>
      <c r="K104" s="36" t="str">
        <f t="shared" si="62"/>
        <v/>
      </c>
      <c r="L104" t="str">
        <f t="shared" si="63"/>
        <v/>
      </c>
      <c r="M104" s="117" t="str">
        <f t="shared" si="64"/>
        <v/>
      </c>
      <c r="N104" s="112" t="str">
        <f t="shared" si="65"/>
        <v/>
      </c>
      <c r="O104" s="96" t="str">
        <f t="shared" si="66"/>
        <v/>
      </c>
      <c r="P104" s="96" t="str">
        <f t="shared" si="67"/>
        <v/>
      </c>
      <c r="Q104" s="96" t="str">
        <f t="shared" si="68"/>
        <v/>
      </c>
      <c r="R104" s="92" t="str">
        <f t="shared" si="69"/>
        <v/>
      </c>
      <c r="S104" s="42" t="str">
        <f t="shared" si="70"/>
        <v/>
      </c>
      <c r="T104" s="167" t="str">
        <f>IF(L104="","",VLOOKUP(L104,classifications!C:K,9,FALSE))</f>
        <v/>
      </c>
      <c r="U104" s="168" t="str">
        <f t="shared" si="71"/>
        <v/>
      </c>
      <c r="V104" s="174" t="str">
        <f>IF(U104="","",IF($I$8="A",(RANK(U104,U$11:U$343)+COUNTIF(U$11:U104,U104)-1),(RANK(U104,U$11:U$343,1)+COUNTIF(U$11:U104,U104)-1)))</f>
        <v/>
      </c>
      <c r="W104" s="175"/>
      <c r="X104" s="5" t="str">
        <f>IF(L104="","",VLOOKUP($L104,classifications!$C:$J,6,FALSE))</f>
        <v/>
      </c>
      <c r="Y104" t="str">
        <f t="shared" si="72"/>
        <v/>
      </c>
      <c r="Z104" s="40" t="str">
        <f>IF(Y104="","",IF(I$8="A",(RANK(Y104,Y$11:Y$343,1)+COUNTIF(Y$11:Y104,Y104)-1),(RANK(Y104,Y$11:Y$343)+COUNTIF(Y$11:Y104,Y104)-1)))</f>
        <v/>
      </c>
      <c r="AA104" s="180" t="str">
        <f>IF(L104="","",VLOOKUP($L104,classifications!C:I,7,FALSE))</f>
        <v/>
      </c>
      <c r="AB104" s="174" t="str">
        <f t="shared" si="73"/>
        <v/>
      </c>
      <c r="AC104" s="174" t="str">
        <f>IF(AB104="","",IF($I$8="A",(RANK(AB104,AB$11:AB$343)+COUNTIF(AB$11:AB104,AB104)-1),(RANK(AB104,AB$11:AB$343,1)+COUNTIF(AB$11:AB104,AB104)-1)))</f>
        <v/>
      </c>
      <c r="AD104" s="174"/>
      <c r="AE104" s="36" t="str">
        <f t="shared" si="74"/>
        <v/>
      </c>
      <c r="AG104" s="15"/>
      <c r="AH104" s="3"/>
      <c r="AI104" s="5" t="str">
        <f>IF(L104="","",VLOOKUP($L104,classifications!$C:$J,8,FALSE))</f>
        <v/>
      </c>
      <c r="AJ104" s="43" t="str">
        <f t="shared" si="75"/>
        <v/>
      </c>
      <c r="AK104" s="40" t="str">
        <f>IF(AJ104="","",IF(I$8="A",(RANK(AJ104,AJ$11:AJ$343,1)+COUNTIF(AJ$11:AJ104,AJ104)-1),(RANK(AJ104,AJ$11:AJ$343)+COUNTIF(AJ$11:AJ104,AJ104)-1)))</f>
        <v/>
      </c>
      <c r="AL104" s="3" t="str">
        <f t="shared" si="76"/>
        <v/>
      </c>
      <c r="AM104" t="str">
        <f t="shared" si="77"/>
        <v/>
      </c>
      <c r="AN104" t="str">
        <f t="shared" si="78"/>
        <v/>
      </c>
      <c r="AP104" s="5" t="str">
        <f>IF(L104="","",VLOOKUP($L104,classifications!$C:$E,3,FALSE))</f>
        <v/>
      </c>
      <c r="AQ104" s="43" t="str">
        <f t="shared" si="79"/>
        <v/>
      </c>
      <c r="AR104" s="40" t="str">
        <f>IF(AQ104="","",IF(I$8="A",(RANK(AQ104,AQ$11:AQ$343,1)+COUNTIF(AQ$11:AQ104,AQ104)-1),(RANK(AQ104,AQ$11:AQ$343)+COUNTIF(AQ$11:AQ104,AQ104)-1)))</f>
        <v/>
      </c>
      <c r="AS104" s="3" t="str">
        <f t="shared" si="80"/>
        <v/>
      </c>
      <c r="AT104" s="40" t="str">
        <f t="shared" si="81"/>
        <v/>
      </c>
      <c r="AU104" s="43" t="str">
        <f t="shared" si="82"/>
        <v/>
      </c>
      <c r="AX104">
        <f>HLOOKUP($AX$9&amp;$AX$10,Data!$A$1:$ZZ$1980,(MATCH($C104,Data!$A$1:$A$1980,0)),FALSE)</f>
        <v>321.2</v>
      </c>
    </row>
    <row r="105" spans="1:50">
      <c r="A105" s="59" t="str">
        <f>$D$1&amp;95</f>
        <v>UA95</v>
      </c>
      <c r="B105" s="60">
        <f>IF(ISERROR(VLOOKUP(A107,classifications!A:C,3,FALSE)),0,VLOOKUP(A107,classifications!A:C,3,FALSE))</f>
        <v>0</v>
      </c>
      <c r="C105" t="s">
        <v>61</v>
      </c>
      <c r="D105" t="str">
        <f>VLOOKUP($C105,classifications!$C:$J,4,FALSE)</f>
        <v>SD</v>
      </c>
      <c r="E105">
        <f>VLOOKUP(C105,classifications!C:K,9,FALSE)</f>
        <v>0</v>
      </c>
      <c r="F105">
        <f t="shared" si="60"/>
        <v>323.2</v>
      </c>
      <c r="G105" s="15"/>
      <c r="H105" s="42" t="str">
        <f t="shared" si="61"/>
        <v/>
      </c>
      <c r="I105" s="79" t="str">
        <f>IF(H105="","",IF($I$8="A",(RANK(H105,H$11:H$343,1)+COUNTIF(H$11:H105,H105)-1),(RANK(H105,H$11:H$343)+COUNTIF(H$11:H105,H105)-1)))</f>
        <v/>
      </c>
      <c r="J105" s="41"/>
      <c r="K105" s="36" t="str">
        <f t="shared" si="62"/>
        <v/>
      </c>
      <c r="L105" t="str">
        <f t="shared" si="63"/>
        <v/>
      </c>
      <c r="M105" s="117" t="str">
        <f t="shared" si="64"/>
        <v/>
      </c>
      <c r="N105" s="112" t="str">
        <f t="shared" si="65"/>
        <v/>
      </c>
      <c r="O105" s="96" t="str">
        <f t="shared" si="66"/>
        <v/>
      </c>
      <c r="P105" s="96" t="str">
        <f t="shared" si="67"/>
        <v/>
      </c>
      <c r="Q105" s="96" t="str">
        <f t="shared" si="68"/>
        <v/>
      </c>
      <c r="R105" s="92" t="str">
        <f t="shared" si="69"/>
        <v/>
      </c>
      <c r="S105" s="42" t="str">
        <f t="shared" si="70"/>
        <v/>
      </c>
      <c r="T105" s="167" t="str">
        <f>IF(L105="","",VLOOKUP(L105,classifications!C:K,9,FALSE))</f>
        <v/>
      </c>
      <c r="U105" s="168" t="str">
        <f t="shared" si="71"/>
        <v/>
      </c>
      <c r="V105" s="174" t="str">
        <f>IF(U105="","",IF($I$8="A",(RANK(U105,U$11:U$343)+COUNTIF(U$11:U105,U105)-1),(RANK(U105,U$11:U$343,1)+COUNTIF(U$11:U105,U105)-1)))</f>
        <v/>
      </c>
      <c r="W105" s="175"/>
      <c r="X105" s="5" t="str">
        <f>IF(L105="","",VLOOKUP($L105,classifications!$C:$J,6,FALSE))</f>
        <v/>
      </c>
      <c r="Y105" t="str">
        <f t="shared" si="72"/>
        <v/>
      </c>
      <c r="Z105" s="40" t="str">
        <f>IF(Y105="","",IF(I$8="A",(RANK(Y105,Y$11:Y$343,1)+COUNTIF(Y$11:Y105,Y105)-1),(RANK(Y105,Y$11:Y$343)+COUNTIF(Y$11:Y105,Y105)-1)))</f>
        <v/>
      </c>
      <c r="AA105" s="180" t="str">
        <f>IF(L105="","",VLOOKUP($L105,classifications!C:I,7,FALSE))</f>
        <v/>
      </c>
      <c r="AB105" s="174" t="str">
        <f t="shared" si="73"/>
        <v/>
      </c>
      <c r="AC105" s="174" t="str">
        <f>IF(AB105="","",IF($I$8="A",(RANK(AB105,AB$11:AB$343)+COUNTIF(AB$11:AB105,AB105)-1),(RANK(AB105,AB$11:AB$343,1)+COUNTIF(AB$11:AB105,AB105)-1)))</f>
        <v/>
      </c>
      <c r="AD105" s="174"/>
      <c r="AE105" s="36" t="str">
        <f t="shared" si="74"/>
        <v/>
      </c>
      <c r="AG105" s="15"/>
      <c r="AH105" s="3"/>
      <c r="AI105" s="5" t="str">
        <f>IF(L105="","",VLOOKUP($L105,classifications!$C:$J,8,FALSE))</f>
        <v/>
      </c>
      <c r="AJ105" s="43" t="str">
        <f t="shared" si="75"/>
        <v/>
      </c>
      <c r="AK105" s="40" t="str">
        <f>IF(AJ105="","",IF(I$8="A",(RANK(AJ105,AJ$11:AJ$343,1)+COUNTIF(AJ$11:AJ105,AJ105)-1),(RANK(AJ105,AJ$11:AJ$343)+COUNTIF(AJ$11:AJ105,AJ105)-1)))</f>
        <v/>
      </c>
      <c r="AL105" s="3" t="str">
        <f t="shared" si="76"/>
        <v/>
      </c>
      <c r="AM105" t="str">
        <f t="shared" si="77"/>
        <v/>
      </c>
      <c r="AN105" t="str">
        <f t="shared" si="78"/>
        <v/>
      </c>
      <c r="AP105" s="5" t="str">
        <f>IF(L105="","",VLOOKUP($L105,classifications!$C:$E,3,FALSE))</f>
        <v/>
      </c>
      <c r="AQ105" s="43" t="str">
        <f t="shared" si="79"/>
        <v/>
      </c>
      <c r="AR105" s="40" t="str">
        <f>IF(AQ105="","",IF(I$8="A",(RANK(AQ105,AQ$11:AQ$343,1)+COUNTIF(AQ$11:AQ105,AQ105)-1),(RANK(AQ105,AQ$11:AQ$343)+COUNTIF(AQ$11:AQ105,AQ105)-1)))</f>
        <v/>
      </c>
      <c r="AS105" s="3" t="str">
        <f t="shared" si="80"/>
        <v/>
      </c>
      <c r="AT105" s="40" t="str">
        <f t="shared" si="81"/>
        <v/>
      </c>
      <c r="AU105" s="43" t="str">
        <f t="shared" si="82"/>
        <v/>
      </c>
      <c r="AX105">
        <f>HLOOKUP($AX$9&amp;$AX$10,Data!$A$1:$ZZ$1980,(MATCH($C105,Data!$A$1:$A$1980,0)),FALSE)</f>
        <v>323.2</v>
      </c>
    </row>
    <row r="106" spans="1:50">
      <c r="A106" s="59" t="str">
        <f>$D$1&amp;96</f>
        <v>UA96</v>
      </c>
      <c r="B106" s="60">
        <f>IF(ISERROR(VLOOKUP(A108,classifications!A:C,3,FALSE)),0,VLOOKUP(A108,classifications!A:C,3,FALSE))</f>
        <v>0</v>
      </c>
      <c r="C106" t="s">
        <v>62</v>
      </c>
      <c r="D106" t="str">
        <f>VLOOKUP($C106,classifications!$C:$J,4,FALSE)</f>
        <v>SD</v>
      </c>
      <c r="E106" t="str">
        <f>VLOOKUP(C106,classifications!C:K,9,FALSE)</f>
        <v>Sparse</v>
      </c>
      <c r="F106">
        <f t="shared" si="60"/>
        <v>379.8</v>
      </c>
      <c r="G106" s="15"/>
      <c r="H106" s="42" t="str">
        <f t="shared" si="61"/>
        <v/>
      </c>
      <c r="I106" s="79" t="str">
        <f>IF(H106="","",IF($I$8="A",(RANK(H106,H$11:H$343,1)+COUNTIF(H$11:H106,H106)-1),(RANK(H106,H$11:H$343)+COUNTIF(H$11:H106,H106)-1)))</f>
        <v/>
      </c>
      <c r="J106" s="41"/>
      <c r="K106" s="36" t="str">
        <f t="shared" si="62"/>
        <v/>
      </c>
      <c r="L106" t="str">
        <f t="shared" si="63"/>
        <v/>
      </c>
      <c r="M106" s="117" t="str">
        <f t="shared" si="64"/>
        <v/>
      </c>
      <c r="N106" s="112" t="str">
        <f t="shared" si="65"/>
        <v/>
      </c>
      <c r="O106" s="96" t="str">
        <f t="shared" si="66"/>
        <v/>
      </c>
      <c r="P106" s="96" t="str">
        <f t="shared" si="67"/>
        <v/>
      </c>
      <c r="Q106" s="96" t="str">
        <f t="shared" si="68"/>
        <v/>
      </c>
      <c r="R106" s="92" t="str">
        <f t="shared" si="69"/>
        <v/>
      </c>
      <c r="S106" s="42" t="str">
        <f t="shared" si="70"/>
        <v/>
      </c>
      <c r="T106" s="167" t="str">
        <f>IF(L106="","",VLOOKUP(L106,classifications!C:K,9,FALSE))</f>
        <v/>
      </c>
      <c r="U106" s="168" t="str">
        <f t="shared" si="71"/>
        <v/>
      </c>
      <c r="V106" s="174" t="str">
        <f>IF(U106="","",IF($I$8="A",(RANK(U106,U$11:U$343)+COUNTIF(U$11:U106,U106)-1),(RANK(U106,U$11:U$343,1)+COUNTIF(U$11:U106,U106)-1)))</f>
        <v/>
      </c>
      <c r="W106" s="175"/>
      <c r="X106" s="5" t="str">
        <f>IF(L106="","",VLOOKUP($L106,classifications!$C:$J,6,FALSE))</f>
        <v/>
      </c>
      <c r="Y106" t="str">
        <f t="shared" si="72"/>
        <v/>
      </c>
      <c r="Z106" s="40" t="str">
        <f>IF(Y106="","",IF(I$8="A",(RANK(Y106,Y$11:Y$343,1)+COUNTIF(Y$11:Y106,Y106)-1),(RANK(Y106,Y$11:Y$343)+COUNTIF(Y$11:Y106,Y106)-1)))</f>
        <v/>
      </c>
      <c r="AA106" s="180" t="str">
        <f>IF(L106="","",VLOOKUP($L106,classifications!C:I,7,FALSE))</f>
        <v/>
      </c>
      <c r="AB106" s="174" t="str">
        <f t="shared" si="73"/>
        <v/>
      </c>
      <c r="AC106" s="174" t="str">
        <f>IF(AB106="","",IF($I$8="A",(RANK(AB106,AB$11:AB$343)+COUNTIF(AB$11:AB106,AB106)-1),(RANK(AB106,AB$11:AB$343,1)+COUNTIF(AB$11:AB106,AB106)-1)))</f>
        <v/>
      </c>
      <c r="AD106" s="174"/>
      <c r="AE106" s="36" t="str">
        <f t="shared" si="74"/>
        <v/>
      </c>
      <c r="AG106" s="15"/>
      <c r="AH106" s="3"/>
      <c r="AI106" s="5" t="str">
        <f>IF(L106="","",VLOOKUP($L106,classifications!$C:$J,8,FALSE))</f>
        <v/>
      </c>
      <c r="AJ106" s="43" t="str">
        <f t="shared" si="75"/>
        <v/>
      </c>
      <c r="AK106" s="40" t="str">
        <f>IF(AJ106="","",IF(I$8="A",(RANK(AJ106,AJ$11:AJ$343,1)+COUNTIF(AJ$11:AJ106,AJ106)-1),(RANK(AJ106,AJ$11:AJ$343)+COUNTIF(AJ$11:AJ106,AJ106)-1)))</f>
        <v/>
      </c>
      <c r="AL106" s="3" t="str">
        <f t="shared" si="76"/>
        <v/>
      </c>
      <c r="AM106" t="str">
        <f t="shared" si="77"/>
        <v/>
      </c>
      <c r="AN106" t="str">
        <f t="shared" si="78"/>
        <v/>
      </c>
      <c r="AP106" s="5" t="str">
        <f>IF(L106="","",VLOOKUP($L106,classifications!$C:$E,3,FALSE))</f>
        <v/>
      </c>
      <c r="AQ106" s="43" t="str">
        <f t="shared" si="79"/>
        <v/>
      </c>
      <c r="AR106" s="40" t="str">
        <f>IF(AQ106="","",IF(I$8="A",(RANK(AQ106,AQ$11:AQ$343,1)+COUNTIF(AQ$11:AQ106,AQ106)-1),(RANK(AQ106,AQ$11:AQ$343)+COUNTIF(AQ$11:AQ106,AQ106)-1)))</f>
        <v/>
      </c>
      <c r="AS106" s="3" t="str">
        <f t="shared" si="80"/>
        <v/>
      </c>
      <c r="AT106" s="40" t="str">
        <f t="shared" si="81"/>
        <v/>
      </c>
      <c r="AU106" s="43" t="str">
        <f t="shared" si="82"/>
        <v/>
      </c>
      <c r="AX106">
        <f>HLOOKUP($AX$9&amp;$AX$10,Data!$A$1:$ZZ$1980,(MATCH($C106,Data!$A$1:$A$1980,0)),FALSE)</f>
        <v>379.8</v>
      </c>
    </row>
    <row r="107" spans="1:50">
      <c r="A107" s="59" t="str">
        <f>$D$1&amp;97</f>
        <v>UA97</v>
      </c>
      <c r="B107" s="60">
        <f>IF(ISERROR(VLOOKUP(A109,classifications!A:C,3,FALSE)),0,VLOOKUP(A109,classifications!A:C,3,FALSE))</f>
        <v>0</v>
      </c>
      <c r="C107" t="s">
        <v>63</v>
      </c>
      <c r="D107" t="str">
        <f>VLOOKUP($C107,classifications!$C:$J,4,FALSE)</f>
        <v>SD</v>
      </c>
      <c r="E107">
        <f>VLOOKUP(C107,classifications!C:K,9,FALSE)</f>
        <v>0</v>
      </c>
      <c r="F107">
        <f t="shared" si="60"/>
        <v>374.1</v>
      </c>
      <c r="G107" s="15"/>
      <c r="H107" s="42" t="str">
        <f t="shared" si="61"/>
        <v/>
      </c>
      <c r="I107" s="79" t="str">
        <f>IF(H107="","",IF($I$8="A",(RANK(H107,H$11:H$343,1)+COUNTIF(H$11:H107,H107)-1),(RANK(H107,H$11:H$343)+COUNTIF(H$11:H107,H107)-1)))</f>
        <v/>
      </c>
      <c r="J107" s="41"/>
      <c r="K107" s="36" t="str">
        <f t="shared" si="62"/>
        <v/>
      </c>
      <c r="L107" t="str">
        <f t="shared" si="63"/>
        <v/>
      </c>
      <c r="M107" s="117" t="str">
        <f t="shared" si="64"/>
        <v/>
      </c>
      <c r="N107" s="112" t="str">
        <f t="shared" si="65"/>
        <v/>
      </c>
      <c r="O107" s="96" t="str">
        <f t="shared" si="66"/>
        <v/>
      </c>
      <c r="P107" s="96" t="str">
        <f t="shared" si="67"/>
        <v/>
      </c>
      <c r="Q107" s="96" t="str">
        <f t="shared" si="68"/>
        <v/>
      </c>
      <c r="R107" s="92" t="str">
        <f t="shared" si="69"/>
        <v/>
      </c>
      <c r="S107" s="42" t="str">
        <f t="shared" si="70"/>
        <v/>
      </c>
      <c r="T107" s="167" t="str">
        <f>IF(L107="","",VLOOKUP(L107,classifications!C:K,9,FALSE))</f>
        <v/>
      </c>
      <c r="U107" s="168" t="str">
        <f t="shared" si="71"/>
        <v/>
      </c>
      <c r="V107" s="174" t="str">
        <f>IF(U107="","",IF($I$8="A",(RANK(U107,U$11:U$343)+COUNTIF(U$11:U107,U107)-1),(RANK(U107,U$11:U$343,1)+COUNTIF(U$11:U107,U107)-1)))</f>
        <v/>
      </c>
      <c r="W107" s="175"/>
      <c r="X107" s="5" t="str">
        <f>IF(L107="","",VLOOKUP($L107,classifications!$C:$J,6,FALSE))</f>
        <v/>
      </c>
      <c r="Y107" t="str">
        <f t="shared" si="72"/>
        <v/>
      </c>
      <c r="Z107" s="40" t="str">
        <f>IF(Y107="","",IF(I$8="A",(RANK(Y107,Y$11:Y$343,1)+COUNTIF(Y$11:Y107,Y107)-1),(RANK(Y107,Y$11:Y$343)+COUNTIF(Y$11:Y107,Y107)-1)))</f>
        <v/>
      </c>
      <c r="AA107" s="180" t="str">
        <f>IF(L107="","",VLOOKUP($L107,classifications!C:I,7,FALSE))</f>
        <v/>
      </c>
      <c r="AB107" s="174" t="str">
        <f t="shared" si="73"/>
        <v/>
      </c>
      <c r="AC107" s="174" t="str">
        <f>IF(AB107="","",IF($I$8="A",(RANK(AB107,AB$11:AB$343)+COUNTIF(AB$11:AB107,AB107)-1),(RANK(AB107,AB$11:AB$343,1)+COUNTIF(AB$11:AB107,AB107)-1)))</f>
        <v/>
      </c>
      <c r="AD107" s="174"/>
      <c r="AE107" s="36" t="str">
        <f t="shared" si="74"/>
        <v/>
      </c>
      <c r="AG107" s="15"/>
      <c r="AH107" s="3"/>
      <c r="AI107" s="5" t="str">
        <f>IF(L107="","",VLOOKUP($L107,classifications!$C:$J,8,FALSE))</f>
        <v/>
      </c>
      <c r="AJ107" s="43" t="str">
        <f t="shared" si="75"/>
        <v/>
      </c>
      <c r="AK107" s="40" t="str">
        <f>IF(AJ107="","",IF(I$8="A",(RANK(AJ107,AJ$11:AJ$343,1)+COUNTIF(AJ$11:AJ107,AJ107)-1),(RANK(AJ107,AJ$11:AJ$343)+COUNTIF(AJ$11:AJ107,AJ107)-1)))</f>
        <v/>
      </c>
      <c r="AL107" s="3" t="str">
        <f t="shared" si="76"/>
        <v/>
      </c>
      <c r="AM107" t="str">
        <f t="shared" si="77"/>
        <v/>
      </c>
      <c r="AN107" t="str">
        <f t="shared" si="78"/>
        <v/>
      </c>
      <c r="AP107" s="5" t="str">
        <f>IF(L107="","",VLOOKUP($L107,classifications!$C:$E,3,FALSE))</f>
        <v/>
      </c>
      <c r="AQ107" s="43" t="str">
        <f t="shared" si="79"/>
        <v/>
      </c>
      <c r="AR107" s="40" t="str">
        <f>IF(AQ107="","",IF(I$8="A",(RANK(AQ107,AQ$11:AQ$343,1)+COUNTIF(AQ$11:AQ107,AQ107)-1),(RANK(AQ107,AQ$11:AQ$343)+COUNTIF(AQ$11:AQ107,AQ107)-1)))</f>
        <v/>
      </c>
      <c r="AS107" s="3" t="str">
        <f t="shared" si="80"/>
        <v/>
      </c>
      <c r="AT107" s="40" t="str">
        <f t="shared" si="81"/>
        <v/>
      </c>
      <c r="AU107" s="43" t="str">
        <f t="shared" si="82"/>
        <v/>
      </c>
      <c r="AX107">
        <f>HLOOKUP($AX$9&amp;$AX$10,Data!$A$1:$ZZ$1980,(MATCH($C107,Data!$A$1:$A$1980,0)),FALSE)</f>
        <v>374.1</v>
      </c>
    </row>
    <row r="108" spans="1:50">
      <c r="A108" s="59" t="str">
        <f>$D$1&amp;98</f>
        <v>UA98</v>
      </c>
      <c r="B108" s="60">
        <f>IF(ISERROR(VLOOKUP(A110,classifications!A:C,3,FALSE)),0,VLOOKUP(A110,classifications!A:C,3,FALSE))</f>
        <v>0</v>
      </c>
      <c r="C108" t="s">
        <v>204</v>
      </c>
      <c r="D108" t="str">
        <f>VLOOKUP($C108,classifications!$C:$J,4,FALSE)</f>
        <v>L</v>
      </c>
      <c r="E108">
        <f>VLOOKUP(C108,classifications!C:K,9,FALSE)</f>
        <v>0</v>
      </c>
      <c r="F108">
        <f t="shared" si="60"/>
        <v>313</v>
      </c>
      <c r="G108" s="15"/>
      <c r="H108" s="42" t="str">
        <f t="shared" si="61"/>
        <v/>
      </c>
      <c r="I108" s="79" t="str">
        <f>IF(H108="","",IF($I$8="A",(RANK(H108,H$11:H$343,1)+COUNTIF(H$11:H108,H108)-1),(RANK(H108,H$11:H$343)+COUNTIF(H$11:H108,H108)-1)))</f>
        <v/>
      </c>
      <c r="J108" s="41"/>
      <c r="K108" s="36" t="str">
        <f t="shared" si="62"/>
        <v/>
      </c>
      <c r="L108" t="str">
        <f t="shared" si="63"/>
        <v/>
      </c>
      <c r="M108" s="117" t="str">
        <f t="shared" si="64"/>
        <v/>
      </c>
      <c r="N108" s="112" t="str">
        <f t="shared" si="65"/>
        <v/>
      </c>
      <c r="O108" s="96" t="str">
        <f t="shared" si="66"/>
        <v/>
      </c>
      <c r="P108" s="96" t="str">
        <f t="shared" si="67"/>
        <v/>
      </c>
      <c r="Q108" s="96" t="str">
        <f t="shared" si="68"/>
        <v/>
      </c>
      <c r="R108" s="92" t="str">
        <f t="shared" si="69"/>
        <v/>
      </c>
      <c r="S108" s="42" t="str">
        <f t="shared" si="70"/>
        <v/>
      </c>
      <c r="T108" s="167" t="str">
        <f>IF(L108="","",VLOOKUP(L108,classifications!C:K,9,FALSE))</f>
        <v/>
      </c>
      <c r="U108" s="168" t="str">
        <f t="shared" si="71"/>
        <v/>
      </c>
      <c r="V108" s="174" t="str">
        <f>IF(U108="","",IF($I$8="A",(RANK(U108,U$11:U$343)+COUNTIF(U$11:U108,U108)-1),(RANK(U108,U$11:U$343,1)+COUNTIF(U$11:U108,U108)-1)))</f>
        <v/>
      </c>
      <c r="W108" s="175"/>
      <c r="X108" s="5" t="str">
        <f>IF(L108="","",VLOOKUP($L108,classifications!$C:$J,6,FALSE))</f>
        <v/>
      </c>
      <c r="Y108" t="str">
        <f t="shared" si="72"/>
        <v/>
      </c>
      <c r="Z108" s="40" t="str">
        <f>IF(Y108="","",IF(I$8="A",(RANK(Y108,Y$11:Y$343,1)+COUNTIF(Y$11:Y108,Y108)-1),(RANK(Y108,Y$11:Y$343)+COUNTIF(Y$11:Y108,Y108)-1)))</f>
        <v/>
      </c>
      <c r="AA108" s="180" t="str">
        <f>IF(L108="","",VLOOKUP($L108,classifications!C:I,7,FALSE))</f>
        <v/>
      </c>
      <c r="AB108" s="174" t="str">
        <f t="shared" si="73"/>
        <v/>
      </c>
      <c r="AC108" s="174" t="str">
        <f>IF(AB108="","",IF($I$8="A",(RANK(AB108,AB$11:AB$343)+COUNTIF(AB$11:AB108,AB108)-1),(RANK(AB108,AB$11:AB$343,1)+COUNTIF(AB$11:AB108,AB108)-1)))</f>
        <v/>
      </c>
      <c r="AD108" s="174"/>
      <c r="AE108" s="36" t="str">
        <f t="shared" si="74"/>
        <v/>
      </c>
      <c r="AG108" s="15"/>
      <c r="AH108" s="3"/>
      <c r="AI108" s="5" t="str">
        <f>IF(L108="","",VLOOKUP($L108,classifications!$C:$J,8,FALSE))</f>
        <v/>
      </c>
      <c r="AJ108" s="43" t="str">
        <f t="shared" si="75"/>
        <v/>
      </c>
      <c r="AK108" s="40" t="str">
        <f>IF(AJ108="","",IF(I$8="A",(RANK(AJ108,AJ$11:AJ$343,1)+COUNTIF(AJ$11:AJ108,AJ108)-1),(RANK(AJ108,AJ$11:AJ$343)+COUNTIF(AJ$11:AJ108,AJ108)-1)))</f>
        <v/>
      </c>
      <c r="AL108" s="3" t="str">
        <f t="shared" si="76"/>
        <v/>
      </c>
      <c r="AM108" t="str">
        <f t="shared" si="77"/>
        <v/>
      </c>
      <c r="AN108" t="str">
        <f t="shared" si="78"/>
        <v/>
      </c>
      <c r="AP108" s="5" t="str">
        <f>IF(L108="","",VLOOKUP($L108,classifications!$C:$E,3,FALSE))</f>
        <v/>
      </c>
      <c r="AQ108" s="43" t="str">
        <f t="shared" si="79"/>
        <v/>
      </c>
      <c r="AR108" s="40" t="str">
        <f>IF(AQ108="","",IF(I$8="A",(RANK(AQ108,AQ$11:AQ$343,1)+COUNTIF(AQ$11:AQ108,AQ108)-1),(RANK(AQ108,AQ$11:AQ$343)+COUNTIF(AQ$11:AQ108,AQ108)-1)))</f>
        <v/>
      </c>
      <c r="AS108" s="3" t="str">
        <f t="shared" si="80"/>
        <v/>
      </c>
      <c r="AT108" s="40" t="str">
        <f t="shared" si="81"/>
        <v/>
      </c>
      <c r="AU108" s="43" t="str">
        <f t="shared" si="82"/>
        <v/>
      </c>
      <c r="AX108">
        <f>HLOOKUP($AX$9&amp;$AX$10,Data!$A$1:$ZZ$1980,(MATCH($C108,Data!$A$1:$A$1980,0)),FALSE)</f>
        <v>313</v>
      </c>
    </row>
    <row r="109" spans="1:50">
      <c r="A109" s="59" t="str">
        <f>$D$1&amp;99</f>
        <v>UA99</v>
      </c>
      <c r="B109" s="60">
        <f>IF(ISERROR(VLOOKUP(A111,classifications!A:C,3,FALSE)),0,VLOOKUP(A111,classifications!A:C,3,FALSE))</f>
        <v>0</v>
      </c>
      <c r="C109" t="s">
        <v>64</v>
      </c>
      <c r="D109" t="str">
        <f>VLOOKUP($C109,classifications!$C:$J,4,FALSE)</f>
        <v>SD</v>
      </c>
      <c r="E109">
        <f>VLOOKUP(C109,classifications!C:K,9,FALSE)</f>
        <v>0</v>
      </c>
      <c r="F109">
        <f t="shared" si="60"/>
        <v>383.1</v>
      </c>
      <c r="G109" s="15"/>
      <c r="H109" s="42" t="str">
        <f t="shared" si="61"/>
        <v/>
      </c>
      <c r="I109" s="79" t="str">
        <f>IF(H109="","",IF($I$8="A",(RANK(H109,H$11:H$343,1)+COUNTIF(H$11:H109,H109)-1),(RANK(H109,H$11:H$343)+COUNTIF(H$11:H109,H109)-1)))</f>
        <v/>
      </c>
      <c r="J109" s="41"/>
      <c r="K109" s="36" t="str">
        <f t="shared" si="62"/>
        <v/>
      </c>
      <c r="L109" t="str">
        <f t="shared" si="63"/>
        <v/>
      </c>
      <c r="M109" s="117" t="str">
        <f t="shared" si="64"/>
        <v/>
      </c>
      <c r="N109" s="112" t="str">
        <f t="shared" si="65"/>
        <v/>
      </c>
      <c r="O109" s="96" t="str">
        <f t="shared" si="66"/>
        <v/>
      </c>
      <c r="P109" s="96" t="str">
        <f t="shared" si="67"/>
        <v/>
      </c>
      <c r="Q109" s="96" t="str">
        <f t="shared" si="68"/>
        <v/>
      </c>
      <c r="R109" s="92" t="str">
        <f t="shared" si="69"/>
        <v/>
      </c>
      <c r="S109" s="42" t="str">
        <f t="shared" si="70"/>
        <v/>
      </c>
      <c r="T109" s="167" t="str">
        <f>IF(L109="","",VLOOKUP(L109,classifications!C:K,9,FALSE))</f>
        <v/>
      </c>
      <c r="U109" s="168" t="str">
        <f t="shared" si="71"/>
        <v/>
      </c>
      <c r="V109" s="174" t="str">
        <f>IF(U109="","",IF($I$8="A",(RANK(U109,U$11:U$343)+COUNTIF(U$11:U109,U109)-1),(RANK(U109,U$11:U$343,1)+COUNTIF(U$11:U109,U109)-1)))</f>
        <v/>
      </c>
      <c r="W109" s="175"/>
      <c r="X109" s="5" t="str">
        <f>IF(L109="","",VLOOKUP($L109,classifications!$C:$J,6,FALSE))</f>
        <v/>
      </c>
      <c r="Y109" t="str">
        <f t="shared" si="72"/>
        <v/>
      </c>
      <c r="Z109" s="40" t="str">
        <f>IF(Y109="","",IF(I$8="A",(RANK(Y109,Y$11:Y$343,1)+COUNTIF(Y$11:Y109,Y109)-1),(RANK(Y109,Y$11:Y$343)+COUNTIF(Y$11:Y109,Y109)-1)))</f>
        <v/>
      </c>
      <c r="AA109" s="180" t="str">
        <f>IF(L109="","",VLOOKUP($L109,classifications!C:I,7,FALSE))</f>
        <v/>
      </c>
      <c r="AB109" s="174" t="str">
        <f t="shared" si="73"/>
        <v/>
      </c>
      <c r="AC109" s="174" t="str">
        <f>IF(AB109="","",IF($I$8="A",(RANK(AB109,AB$11:AB$343)+COUNTIF(AB$11:AB109,AB109)-1),(RANK(AB109,AB$11:AB$343,1)+COUNTIF(AB$11:AB109,AB109)-1)))</f>
        <v/>
      </c>
      <c r="AD109" s="174"/>
      <c r="AE109" s="36" t="str">
        <f t="shared" si="74"/>
        <v/>
      </c>
      <c r="AG109" s="15"/>
      <c r="AH109" s="3"/>
      <c r="AI109" s="5" t="str">
        <f>IF(L109="","",VLOOKUP($L109,classifications!$C:$J,8,FALSE))</f>
        <v/>
      </c>
      <c r="AJ109" s="43" t="str">
        <f t="shared" si="75"/>
        <v/>
      </c>
      <c r="AK109" s="40" t="str">
        <f>IF(AJ109="","",IF(I$8="A",(RANK(AJ109,AJ$11:AJ$343,1)+COUNTIF(AJ$11:AJ109,AJ109)-1),(RANK(AJ109,AJ$11:AJ$343)+COUNTIF(AJ$11:AJ109,AJ109)-1)))</f>
        <v/>
      </c>
      <c r="AL109" s="3" t="str">
        <f t="shared" si="76"/>
        <v/>
      </c>
      <c r="AM109" t="str">
        <f t="shared" si="77"/>
        <v/>
      </c>
      <c r="AN109" t="str">
        <f t="shared" si="78"/>
        <v/>
      </c>
      <c r="AP109" s="5" t="str">
        <f>IF(L109="","",VLOOKUP($L109,classifications!$C:$E,3,FALSE))</f>
        <v/>
      </c>
      <c r="AQ109" s="43" t="str">
        <f t="shared" si="79"/>
        <v/>
      </c>
      <c r="AR109" s="40" t="str">
        <f>IF(AQ109="","",IF(I$8="A",(RANK(AQ109,AQ$11:AQ$343,1)+COUNTIF(AQ$11:AQ109,AQ109)-1),(RANK(AQ109,AQ$11:AQ$343)+COUNTIF(AQ$11:AQ109,AQ109)-1)))</f>
        <v/>
      </c>
      <c r="AS109" s="3" t="str">
        <f t="shared" si="80"/>
        <v/>
      </c>
      <c r="AT109" s="40" t="str">
        <f t="shared" si="81"/>
        <v/>
      </c>
      <c r="AU109" s="43" t="str">
        <f t="shared" si="82"/>
        <v/>
      </c>
      <c r="AX109">
        <f>HLOOKUP($AX$9&amp;$AX$10,Data!$A$1:$ZZ$1980,(MATCH($C109,Data!$A$1:$A$1980,0)),FALSE)</f>
        <v>383.1</v>
      </c>
    </row>
    <row r="110" spans="1:50">
      <c r="A110" s="59" t="str">
        <f>$D$1&amp;100</f>
        <v>UA100</v>
      </c>
      <c r="B110" s="60">
        <f>IF(ISERROR(VLOOKUP(A112,classifications!A:C,3,FALSE)),0,VLOOKUP(A112,classifications!A:C,3,FALSE))</f>
        <v>0</v>
      </c>
      <c r="C110" t="s">
        <v>345</v>
      </c>
      <c r="D110" t="str">
        <f>VLOOKUP($C110,classifications!$C:$J,4,FALSE)</f>
        <v>SD</v>
      </c>
      <c r="E110">
        <f>VLOOKUP(C110,classifications!C:K,9,FALSE)</f>
        <v>0</v>
      </c>
      <c r="F110">
        <f t="shared" si="60"/>
        <v>337</v>
      </c>
      <c r="G110" s="15"/>
      <c r="H110" s="42" t="str">
        <f t="shared" si="61"/>
        <v/>
      </c>
      <c r="I110" s="79" t="str">
        <f>IF(H110="","",IF($I$8="A",(RANK(H110,H$11:H$343,1)+COUNTIF(H$11:H110,H110)-1),(RANK(H110,H$11:H$343)+COUNTIF(H$11:H110,H110)-1)))</f>
        <v/>
      </c>
      <c r="J110" s="41"/>
      <c r="K110" s="36" t="str">
        <f t="shared" si="62"/>
        <v/>
      </c>
      <c r="L110" t="str">
        <f t="shared" si="63"/>
        <v/>
      </c>
      <c r="M110" s="117" t="str">
        <f t="shared" si="64"/>
        <v/>
      </c>
      <c r="N110" s="112" t="str">
        <f t="shared" si="65"/>
        <v/>
      </c>
      <c r="O110" s="96" t="str">
        <f t="shared" si="66"/>
        <v/>
      </c>
      <c r="P110" s="96" t="str">
        <f t="shared" si="67"/>
        <v/>
      </c>
      <c r="Q110" s="96" t="str">
        <f t="shared" si="68"/>
        <v/>
      </c>
      <c r="R110" s="92" t="str">
        <f t="shared" si="69"/>
        <v/>
      </c>
      <c r="S110" s="42" t="str">
        <f t="shared" si="70"/>
        <v/>
      </c>
      <c r="T110" s="167" t="str">
        <f>IF(L110="","",VLOOKUP(L110,classifications!C:K,9,FALSE))</f>
        <v/>
      </c>
      <c r="U110" s="168" t="str">
        <f t="shared" si="71"/>
        <v/>
      </c>
      <c r="V110" s="174" t="str">
        <f>IF(U110="","",IF($I$8="A",(RANK(U110,U$11:U$343)+COUNTIF(U$11:U110,U110)-1),(RANK(U110,U$11:U$343,1)+COUNTIF(U$11:U110,U110)-1)))</f>
        <v/>
      </c>
      <c r="W110" s="175"/>
      <c r="X110" s="5" t="str">
        <f>IF(L110="","",VLOOKUP($L110,classifications!$C:$J,6,FALSE))</f>
        <v/>
      </c>
      <c r="Y110" t="str">
        <f t="shared" si="72"/>
        <v/>
      </c>
      <c r="Z110" s="40" t="str">
        <f>IF(Y110="","",IF(I$8="A",(RANK(Y110,Y$11:Y$343,1)+COUNTIF(Y$11:Y110,Y110)-1),(RANK(Y110,Y$11:Y$343)+COUNTIF(Y$11:Y110,Y110)-1)))</f>
        <v/>
      </c>
      <c r="AA110" s="180" t="str">
        <f>IF(L110="","",VLOOKUP($L110,classifications!C:I,7,FALSE))</f>
        <v/>
      </c>
      <c r="AB110" s="174" t="str">
        <f t="shared" si="73"/>
        <v/>
      </c>
      <c r="AC110" s="174" t="str">
        <f>IF(AB110="","",IF($I$8="A",(RANK(AB110,AB$11:AB$343)+COUNTIF(AB$11:AB110,AB110)-1),(RANK(AB110,AB$11:AB$343,1)+COUNTIF(AB$11:AB110,AB110)-1)))</f>
        <v/>
      </c>
      <c r="AD110" s="174"/>
      <c r="AE110" s="36" t="str">
        <f t="shared" si="74"/>
        <v/>
      </c>
      <c r="AG110" s="15"/>
      <c r="AH110" s="3"/>
      <c r="AI110" s="5" t="str">
        <f>IF(L110="","",VLOOKUP($L110,classifications!$C:$J,8,FALSE))</f>
        <v/>
      </c>
      <c r="AJ110" s="43" t="str">
        <f t="shared" si="75"/>
        <v/>
      </c>
      <c r="AK110" s="40" t="str">
        <f>IF(AJ110="","",IF(I$8="A",(RANK(AJ110,AJ$11:AJ$343,1)+COUNTIF(AJ$11:AJ110,AJ110)-1),(RANK(AJ110,AJ$11:AJ$343)+COUNTIF(AJ$11:AJ110,AJ110)-1)))</f>
        <v/>
      </c>
      <c r="AL110" s="3" t="str">
        <f t="shared" si="76"/>
        <v/>
      </c>
      <c r="AM110" t="str">
        <f t="shared" si="77"/>
        <v/>
      </c>
      <c r="AN110" t="str">
        <f t="shared" si="78"/>
        <v/>
      </c>
      <c r="AP110" s="5" t="str">
        <f>IF(L110="","",VLOOKUP($L110,classifications!$C:$E,3,FALSE))</f>
        <v/>
      </c>
      <c r="AQ110" s="43" t="str">
        <f t="shared" si="79"/>
        <v/>
      </c>
      <c r="AR110" s="40" t="str">
        <f>IF(AQ110="","",IF(I$8="A",(RANK(AQ110,AQ$11:AQ$343,1)+COUNTIF(AQ$11:AQ110,AQ110)-1),(RANK(AQ110,AQ$11:AQ$343)+COUNTIF(AQ$11:AQ110,AQ110)-1)))</f>
        <v/>
      </c>
      <c r="AS110" s="3" t="str">
        <f t="shared" si="80"/>
        <v/>
      </c>
      <c r="AT110" s="40" t="str">
        <f t="shared" si="81"/>
        <v/>
      </c>
      <c r="AU110" s="43" t="str">
        <f t="shared" si="82"/>
        <v/>
      </c>
      <c r="AX110">
        <f>HLOOKUP($AX$9&amp;$AX$10,Data!$A$1:$ZZ$1980,(MATCH($C110,Data!$A$1:$A$1980,0)),FALSE)</f>
        <v>337</v>
      </c>
    </row>
    <row r="111" spans="1:50">
      <c r="A111" s="59" t="str">
        <f>$D$1&amp;101</f>
        <v>UA101</v>
      </c>
      <c r="B111" s="60">
        <f>IF(ISERROR(VLOOKUP(A113,classifications!A:C,3,FALSE)),0,VLOOKUP(A113,classifications!A:C,3,FALSE))</f>
        <v>0</v>
      </c>
      <c r="C111" t="s">
        <v>65</v>
      </c>
      <c r="D111" t="str">
        <f>VLOOKUP($C111,classifications!$C:$J,4,FALSE)</f>
        <v>SD</v>
      </c>
      <c r="E111">
        <f>VLOOKUP(C111,classifications!C:K,9,FALSE)</f>
        <v>0</v>
      </c>
      <c r="F111">
        <f t="shared" si="60"/>
        <v>375.3</v>
      </c>
      <c r="G111" s="15"/>
      <c r="H111" s="42" t="str">
        <f t="shared" si="61"/>
        <v/>
      </c>
      <c r="I111" s="79" t="str">
        <f>IF(H111="","",IF($I$8="A",(RANK(H111,H$11:H$343,1)+COUNTIF(H$11:H111,H111)-1),(RANK(H111,H$11:H$343)+COUNTIF(H$11:H111,H111)-1)))</f>
        <v/>
      </c>
      <c r="J111" s="41"/>
      <c r="K111" s="36" t="str">
        <f t="shared" si="62"/>
        <v/>
      </c>
      <c r="L111" t="str">
        <f t="shared" si="63"/>
        <v/>
      </c>
      <c r="M111" s="117" t="str">
        <f t="shared" si="64"/>
        <v/>
      </c>
      <c r="N111" s="112" t="str">
        <f t="shared" si="65"/>
        <v/>
      </c>
      <c r="O111" s="96" t="str">
        <f t="shared" si="66"/>
        <v/>
      </c>
      <c r="P111" s="96" t="str">
        <f t="shared" si="67"/>
        <v/>
      </c>
      <c r="Q111" s="96" t="str">
        <f t="shared" si="68"/>
        <v/>
      </c>
      <c r="R111" s="92" t="str">
        <f t="shared" si="69"/>
        <v/>
      </c>
      <c r="S111" s="42" t="str">
        <f t="shared" si="70"/>
        <v/>
      </c>
      <c r="T111" s="167" t="str">
        <f>IF(L111="","",VLOOKUP(L111,classifications!C:K,9,FALSE))</f>
        <v/>
      </c>
      <c r="U111" s="168" t="str">
        <f t="shared" si="71"/>
        <v/>
      </c>
      <c r="V111" s="174" t="str">
        <f>IF(U111="","",IF($I$8="A",(RANK(U111,U$11:U$343)+COUNTIF(U$11:U111,U111)-1),(RANK(U111,U$11:U$343,1)+COUNTIF(U$11:U111,U111)-1)))</f>
        <v/>
      </c>
      <c r="W111" s="175"/>
      <c r="X111" s="5" t="str">
        <f>IF(L111="","",VLOOKUP($L111,classifications!$C:$J,6,FALSE))</f>
        <v/>
      </c>
      <c r="Y111" t="str">
        <f t="shared" si="72"/>
        <v/>
      </c>
      <c r="Z111" s="40" t="str">
        <f>IF(Y111="","",IF(I$8="A",(RANK(Y111,Y$11:Y$343,1)+COUNTIF(Y$11:Y111,Y111)-1),(RANK(Y111,Y$11:Y$343)+COUNTIF(Y$11:Y111,Y111)-1)))</f>
        <v/>
      </c>
      <c r="AA111" s="180" t="str">
        <f>IF(L111="","",VLOOKUP($L111,classifications!C:I,7,FALSE))</f>
        <v/>
      </c>
      <c r="AB111" s="174" t="str">
        <f t="shared" si="73"/>
        <v/>
      </c>
      <c r="AC111" s="174" t="str">
        <f>IF(AB111="","",IF($I$8="A",(RANK(AB111,AB$11:AB$343)+COUNTIF(AB$11:AB111,AB111)-1),(RANK(AB111,AB$11:AB$343,1)+COUNTIF(AB$11:AB111,AB111)-1)))</f>
        <v/>
      </c>
      <c r="AD111" s="174"/>
      <c r="AE111" s="36" t="str">
        <f t="shared" si="74"/>
        <v/>
      </c>
      <c r="AG111" s="15"/>
      <c r="AH111" s="3"/>
      <c r="AI111" s="5" t="str">
        <f>IF(L111="","",VLOOKUP($L111,classifications!$C:$J,8,FALSE))</f>
        <v/>
      </c>
      <c r="AJ111" s="43" t="str">
        <f t="shared" si="75"/>
        <v/>
      </c>
      <c r="AK111" s="40" t="str">
        <f>IF(AJ111="","",IF(I$8="A",(RANK(AJ111,AJ$11:AJ$343,1)+COUNTIF(AJ$11:AJ111,AJ111)-1),(RANK(AJ111,AJ$11:AJ$343)+COUNTIF(AJ$11:AJ111,AJ111)-1)))</f>
        <v/>
      </c>
      <c r="AL111" s="3" t="str">
        <f t="shared" si="76"/>
        <v/>
      </c>
      <c r="AM111" t="str">
        <f t="shared" si="77"/>
        <v/>
      </c>
      <c r="AN111" t="str">
        <f t="shared" si="78"/>
        <v/>
      </c>
      <c r="AP111" s="5" t="str">
        <f>IF(L111="","",VLOOKUP($L111,classifications!$C:$E,3,FALSE))</f>
        <v/>
      </c>
      <c r="AQ111" s="43" t="str">
        <f t="shared" si="79"/>
        <v/>
      </c>
      <c r="AR111" s="40" t="str">
        <f>IF(AQ111="","",IF(I$8="A",(RANK(AQ111,AQ$11:AQ$343,1)+COUNTIF(AQ$11:AQ111,AQ111)-1),(RANK(AQ111,AQ$11:AQ$343)+COUNTIF(AQ$11:AQ111,AQ111)-1)))</f>
        <v/>
      </c>
      <c r="AS111" s="3" t="str">
        <f t="shared" si="80"/>
        <v/>
      </c>
      <c r="AT111" s="40" t="str">
        <f t="shared" si="81"/>
        <v/>
      </c>
      <c r="AU111" s="43" t="str">
        <f t="shared" si="82"/>
        <v/>
      </c>
      <c r="AX111">
        <f>HLOOKUP($AX$9&amp;$AX$10,Data!$A$1:$ZZ$1980,(MATCH($C111,Data!$A$1:$A$1980,0)),FALSE)</f>
        <v>375.3</v>
      </c>
    </row>
    <row r="112" spans="1:50">
      <c r="A112" s="59" t="str">
        <f>$D$1&amp;102</f>
        <v>UA102</v>
      </c>
      <c r="B112" s="60">
        <f>IF(ISERROR(VLOOKUP(A114,classifications!A:C,3,FALSE)),0,VLOOKUP(A114,classifications!A:C,3,FALSE))</f>
        <v>0</v>
      </c>
      <c r="C112" t="s">
        <v>312</v>
      </c>
      <c r="D112" t="str">
        <f>VLOOKUP($C112,classifications!$C:$J,4,FALSE)</f>
        <v>SC</v>
      </c>
      <c r="E112">
        <f>VLOOKUP(C112,classifications!C:K,9,FALSE)</f>
        <v>0</v>
      </c>
      <c r="F112">
        <f t="shared" si="60"/>
        <v>412.8</v>
      </c>
      <c r="G112" s="15"/>
      <c r="H112" s="42" t="str">
        <f t="shared" si="61"/>
        <v/>
      </c>
      <c r="I112" s="79" t="str">
        <f>IF(H112="","",IF($I$8="A",(RANK(H112,H$11:H$343,1)+COUNTIF(H$11:H112,H112)-1),(RANK(H112,H$11:H$343)+COUNTIF(H$11:H112,H112)-1)))</f>
        <v/>
      </c>
      <c r="J112" s="41"/>
      <c r="K112" s="36" t="str">
        <f t="shared" si="62"/>
        <v/>
      </c>
      <c r="L112" t="str">
        <f t="shared" si="63"/>
        <v/>
      </c>
      <c r="M112" s="117" t="str">
        <f t="shared" si="64"/>
        <v/>
      </c>
      <c r="N112" s="112" t="str">
        <f t="shared" si="65"/>
        <v/>
      </c>
      <c r="O112" s="96" t="str">
        <f t="shared" si="66"/>
        <v/>
      </c>
      <c r="P112" s="96" t="str">
        <f t="shared" si="67"/>
        <v/>
      </c>
      <c r="Q112" s="96" t="str">
        <f t="shared" si="68"/>
        <v/>
      </c>
      <c r="R112" s="92" t="str">
        <f t="shared" si="69"/>
        <v/>
      </c>
      <c r="S112" s="42" t="str">
        <f t="shared" si="70"/>
        <v/>
      </c>
      <c r="T112" s="167" t="str">
        <f>IF(L112="","",VLOOKUP(L112,classifications!C:K,9,FALSE))</f>
        <v/>
      </c>
      <c r="U112" s="168" t="str">
        <f t="shared" si="71"/>
        <v/>
      </c>
      <c r="V112" s="174" t="str">
        <f>IF(U112="","",IF($I$8="A",(RANK(U112,U$11:U$343)+COUNTIF(U$11:U112,U112)-1),(RANK(U112,U$11:U$343,1)+COUNTIF(U$11:U112,U112)-1)))</f>
        <v/>
      </c>
      <c r="W112" s="175"/>
      <c r="X112" s="5" t="str">
        <f>IF(L112="","",VLOOKUP($L112,classifications!$C:$J,6,FALSE))</f>
        <v/>
      </c>
      <c r="Y112" t="str">
        <f t="shared" si="72"/>
        <v/>
      </c>
      <c r="Z112" s="40" t="str">
        <f>IF(Y112="","",IF(I$8="A",(RANK(Y112,Y$11:Y$343,1)+COUNTIF(Y$11:Y112,Y112)-1),(RANK(Y112,Y$11:Y$343)+COUNTIF(Y$11:Y112,Y112)-1)))</f>
        <v/>
      </c>
      <c r="AA112" s="180" t="str">
        <f>IF(L112="","",VLOOKUP($L112,classifications!C:I,7,FALSE))</f>
        <v/>
      </c>
      <c r="AB112" s="174" t="str">
        <f t="shared" si="73"/>
        <v/>
      </c>
      <c r="AC112" s="174" t="str">
        <f>IF(AB112="","",IF($I$8="A",(RANK(AB112,AB$11:AB$343)+COUNTIF(AB$11:AB112,AB112)-1),(RANK(AB112,AB$11:AB$343,1)+COUNTIF(AB$11:AB112,AB112)-1)))</f>
        <v/>
      </c>
      <c r="AD112" s="174"/>
      <c r="AE112" s="36" t="str">
        <f t="shared" si="74"/>
        <v/>
      </c>
      <c r="AG112" s="15"/>
      <c r="AH112" s="3"/>
      <c r="AI112" s="5" t="str">
        <f>IF(L112="","",VLOOKUP($L112,classifications!$C:$J,8,FALSE))</f>
        <v/>
      </c>
      <c r="AJ112" s="43" t="str">
        <f t="shared" si="75"/>
        <v/>
      </c>
      <c r="AK112" s="40" t="str">
        <f>IF(AJ112="","",IF(I$8="A",(RANK(AJ112,AJ$11:AJ$343,1)+COUNTIF(AJ$11:AJ112,AJ112)-1),(RANK(AJ112,AJ$11:AJ$343)+COUNTIF(AJ$11:AJ112,AJ112)-1)))</f>
        <v/>
      </c>
      <c r="AL112" s="3" t="str">
        <f t="shared" si="76"/>
        <v/>
      </c>
      <c r="AM112" t="str">
        <f t="shared" si="77"/>
        <v/>
      </c>
      <c r="AN112" t="str">
        <f t="shared" si="78"/>
        <v/>
      </c>
      <c r="AP112" s="5" t="str">
        <f>IF(L112="","",VLOOKUP($L112,classifications!$C:$E,3,FALSE))</f>
        <v/>
      </c>
      <c r="AQ112" s="43" t="str">
        <f t="shared" si="79"/>
        <v/>
      </c>
      <c r="AR112" s="40" t="str">
        <f>IF(AQ112="","",IF(I$8="A",(RANK(AQ112,AQ$11:AQ$343,1)+COUNTIF(AQ$11:AQ112,AQ112)-1),(RANK(AQ112,AQ$11:AQ$343)+COUNTIF(AQ$11:AQ112,AQ112)-1)))</f>
        <v/>
      </c>
      <c r="AS112" s="3" t="str">
        <f t="shared" si="80"/>
        <v/>
      </c>
      <c r="AT112" s="40" t="str">
        <f t="shared" si="81"/>
        <v/>
      </c>
      <c r="AU112" s="43" t="str">
        <f t="shared" si="82"/>
        <v/>
      </c>
      <c r="AX112">
        <f>HLOOKUP($AX$9&amp;$AX$10,Data!$A$1:$ZZ$1980,(MATCH($C112,Data!$A$1:$A$1980,0)),FALSE)</f>
        <v>412.8</v>
      </c>
    </row>
    <row r="113" spans="1:50">
      <c r="A113" s="59" t="str">
        <f>$D$1&amp;103</f>
        <v>UA103</v>
      </c>
      <c r="B113" s="60">
        <f>IF(ISERROR(VLOOKUP(A115,classifications!A:C,3,FALSE)),0,VLOOKUP(A115,classifications!A:C,3,FALSE))</f>
        <v>0</v>
      </c>
      <c r="C113" t="s">
        <v>66</v>
      </c>
      <c r="D113" t="str">
        <f>VLOOKUP($C113,classifications!$C:$J,4,FALSE)</f>
        <v>SD</v>
      </c>
      <c r="E113">
        <f>VLOOKUP(C113,classifications!C:K,9,FALSE)</f>
        <v>0</v>
      </c>
      <c r="F113">
        <f t="shared" si="60"/>
        <v>266.8</v>
      </c>
      <c r="G113" s="15"/>
      <c r="H113" s="42" t="str">
        <f t="shared" si="61"/>
        <v/>
      </c>
      <c r="I113" s="79" t="str">
        <f>IF(H113="","",IF($I$8="A",(RANK(H113,H$11:H$343,1)+COUNTIF(H$11:H113,H113)-1),(RANK(H113,H$11:H$343)+COUNTIF(H$11:H113,H113)-1)))</f>
        <v/>
      </c>
      <c r="J113" s="41"/>
      <c r="K113" s="36" t="str">
        <f t="shared" si="62"/>
        <v/>
      </c>
      <c r="L113" t="str">
        <f t="shared" si="63"/>
        <v/>
      </c>
      <c r="M113" s="117" t="str">
        <f t="shared" si="64"/>
        <v/>
      </c>
      <c r="N113" s="112" t="str">
        <f t="shared" si="65"/>
        <v/>
      </c>
      <c r="O113" s="96" t="str">
        <f t="shared" si="66"/>
        <v/>
      </c>
      <c r="P113" s="96" t="str">
        <f t="shared" si="67"/>
        <v/>
      </c>
      <c r="Q113" s="96" t="str">
        <f t="shared" si="68"/>
        <v/>
      </c>
      <c r="R113" s="92" t="str">
        <f t="shared" si="69"/>
        <v/>
      </c>
      <c r="S113" s="42" t="str">
        <f t="shared" si="70"/>
        <v/>
      </c>
      <c r="T113" s="167" t="str">
        <f>IF(L113="","",VLOOKUP(L113,classifications!C:K,9,FALSE))</f>
        <v/>
      </c>
      <c r="U113" s="168" t="str">
        <f t="shared" si="71"/>
        <v/>
      </c>
      <c r="V113" s="174" t="str">
        <f>IF(U113="","",IF($I$8="A",(RANK(U113,U$11:U$343)+COUNTIF(U$11:U113,U113)-1),(RANK(U113,U$11:U$343,1)+COUNTIF(U$11:U113,U113)-1)))</f>
        <v/>
      </c>
      <c r="W113" s="175"/>
      <c r="X113" s="5" t="str">
        <f>IF(L113="","",VLOOKUP($L113,classifications!$C:$J,6,FALSE))</f>
        <v/>
      </c>
      <c r="Y113" t="str">
        <f t="shared" si="72"/>
        <v/>
      </c>
      <c r="Z113" s="40" t="str">
        <f>IF(Y113="","",IF(I$8="A",(RANK(Y113,Y$11:Y$343,1)+COUNTIF(Y$11:Y113,Y113)-1),(RANK(Y113,Y$11:Y$343)+COUNTIF(Y$11:Y113,Y113)-1)))</f>
        <v/>
      </c>
      <c r="AA113" s="180" t="str">
        <f>IF(L113="","",VLOOKUP($L113,classifications!C:I,7,FALSE))</f>
        <v/>
      </c>
      <c r="AB113" s="174" t="str">
        <f t="shared" si="73"/>
        <v/>
      </c>
      <c r="AC113" s="174" t="str">
        <f>IF(AB113="","",IF($I$8="A",(RANK(AB113,AB$11:AB$343)+COUNTIF(AB$11:AB113,AB113)-1),(RANK(AB113,AB$11:AB$343,1)+COUNTIF(AB$11:AB113,AB113)-1)))</f>
        <v/>
      </c>
      <c r="AD113" s="174"/>
      <c r="AE113" s="36" t="str">
        <f t="shared" si="74"/>
        <v/>
      </c>
      <c r="AG113" s="15"/>
      <c r="AH113" s="3"/>
      <c r="AI113" s="5" t="str">
        <f>IF(L113="","",VLOOKUP($L113,classifications!$C:$J,8,FALSE))</f>
        <v/>
      </c>
      <c r="AJ113" s="43" t="str">
        <f t="shared" si="75"/>
        <v/>
      </c>
      <c r="AK113" s="40" t="str">
        <f>IF(AJ113="","",IF(I$8="A",(RANK(AJ113,AJ$11:AJ$343,1)+COUNTIF(AJ$11:AJ113,AJ113)-1),(RANK(AJ113,AJ$11:AJ$343)+COUNTIF(AJ$11:AJ113,AJ113)-1)))</f>
        <v/>
      </c>
      <c r="AL113" s="3" t="str">
        <f t="shared" si="76"/>
        <v/>
      </c>
      <c r="AM113" t="str">
        <f t="shared" si="77"/>
        <v/>
      </c>
      <c r="AN113" t="str">
        <f t="shared" si="78"/>
        <v/>
      </c>
      <c r="AP113" s="5" t="str">
        <f>IF(L113="","",VLOOKUP($L113,classifications!$C:$E,3,FALSE))</f>
        <v/>
      </c>
      <c r="AQ113" s="43" t="str">
        <f t="shared" si="79"/>
        <v/>
      </c>
      <c r="AR113" s="40" t="str">
        <f>IF(AQ113="","",IF(I$8="A",(RANK(AQ113,AQ$11:AQ$343,1)+COUNTIF(AQ$11:AQ113,AQ113)-1),(RANK(AQ113,AQ$11:AQ$343)+COUNTIF(AQ$11:AQ113,AQ113)-1)))</f>
        <v/>
      </c>
      <c r="AS113" s="3" t="str">
        <f t="shared" si="80"/>
        <v/>
      </c>
      <c r="AT113" s="40" t="str">
        <f t="shared" si="81"/>
        <v/>
      </c>
      <c r="AU113" s="43" t="str">
        <f t="shared" si="82"/>
        <v/>
      </c>
      <c r="AX113">
        <f>HLOOKUP($AX$9&amp;$AX$10,Data!$A$1:$ZZ$1980,(MATCH($C113,Data!$A$1:$A$1980,0)),FALSE)</f>
        <v>266.8</v>
      </c>
    </row>
    <row r="114" spans="1:50">
      <c r="A114" s="59" t="str">
        <f>$D$1&amp;104</f>
        <v>UA104</v>
      </c>
      <c r="B114" s="60">
        <f>IF(ISERROR(VLOOKUP(A116,classifications!A:C,3,FALSE)),0,VLOOKUP(A116,classifications!A:C,3,FALSE))</f>
        <v>0</v>
      </c>
      <c r="C114" t="s">
        <v>67</v>
      </c>
      <c r="D114" t="str">
        <f>VLOOKUP($C114,classifications!$C:$J,4,FALSE)</f>
        <v>SD</v>
      </c>
      <c r="E114">
        <f>VLOOKUP(C114,classifications!C:K,9,FALSE)</f>
        <v>0</v>
      </c>
      <c r="F114">
        <f t="shared" si="60"/>
        <v>307.39999999999998</v>
      </c>
      <c r="G114" s="15"/>
      <c r="H114" s="42" t="str">
        <f t="shared" si="61"/>
        <v/>
      </c>
      <c r="I114" s="79" t="str">
        <f>IF(H114="","",IF($I$8="A",(RANK(H114,H$11:H$343,1)+COUNTIF(H$11:H114,H114)-1),(RANK(H114,H$11:H$343)+COUNTIF(H$11:H114,H114)-1)))</f>
        <v/>
      </c>
      <c r="J114" s="41"/>
      <c r="K114" s="36" t="str">
        <f t="shared" si="62"/>
        <v/>
      </c>
      <c r="L114" t="str">
        <f t="shared" si="63"/>
        <v/>
      </c>
      <c r="M114" s="117" t="str">
        <f t="shared" si="64"/>
        <v/>
      </c>
      <c r="N114" s="112" t="str">
        <f t="shared" si="65"/>
        <v/>
      </c>
      <c r="O114" s="96" t="str">
        <f t="shared" si="66"/>
        <v/>
      </c>
      <c r="P114" s="96" t="str">
        <f t="shared" si="67"/>
        <v/>
      </c>
      <c r="Q114" s="96" t="str">
        <f t="shared" si="68"/>
        <v/>
      </c>
      <c r="R114" s="92" t="str">
        <f t="shared" si="69"/>
        <v/>
      </c>
      <c r="S114" s="42" t="str">
        <f t="shared" si="70"/>
        <v/>
      </c>
      <c r="T114" s="167" t="str">
        <f>IF(L114="","",VLOOKUP(L114,classifications!C:K,9,FALSE))</f>
        <v/>
      </c>
      <c r="U114" s="168" t="str">
        <f t="shared" si="71"/>
        <v/>
      </c>
      <c r="V114" s="174" t="str">
        <f>IF(U114="","",IF($I$8="A",(RANK(U114,U$11:U$343)+COUNTIF(U$11:U114,U114)-1),(RANK(U114,U$11:U$343,1)+COUNTIF(U$11:U114,U114)-1)))</f>
        <v/>
      </c>
      <c r="W114" s="175"/>
      <c r="X114" s="5" t="str">
        <f>IF(L114="","",VLOOKUP($L114,classifications!$C:$J,6,FALSE))</f>
        <v/>
      </c>
      <c r="Y114" t="str">
        <f t="shared" si="72"/>
        <v/>
      </c>
      <c r="Z114" s="40" t="str">
        <f>IF(Y114="","",IF(I$8="A",(RANK(Y114,Y$11:Y$343,1)+COUNTIF(Y$11:Y114,Y114)-1),(RANK(Y114,Y$11:Y$343)+COUNTIF(Y$11:Y114,Y114)-1)))</f>
        <v/>
      </c>
      <c r="AA114" s="180" t="str">
        <f>IF(L114="","",VLOOKUP($L114,classifications!C:I,7,FALSE))</f>
        <v/>
      </c>
      <c r="AB114" s="174" t="str">
        <f t="shared" si="73"/>
        <v/>
      </c>
      <c r="AC114" s="174" t="str">
        <f>IF(AB114="","",IF($I$8="A",(RANK(AB114,AB$11:AB$343)+COUNTIF(AB$11:AB114,AB114)-1),(RANK(AB114,AB$11:AB$343,1)+COUNTIF(AB$11:AB114,AB114)-1)))</f>
        <v/>
      </c>
      <c r="AD114" s="174"/>
      <c r="AE114" s="36" t="str">
        <f t="shared" si="74"/>
        <v/>
      </c>
      <c r="AG114" s="15"/>
      <c r="AH114" s="3"/>
      <c r="AI114" s="5" t="str">
        <f>IF(L114="","",VLOOKUP($L114,classifications!$C:$J,8,FALSE))</f>
        <v/>
      </c>
      <c r="AJ114" s="43" t="str">
        <f t="shared" si="75"/>
        <v/>
      </c>
      <c r="AK114" s="40" t="str">
        <f>IF(AJ114="","",IF(I$8="A",(RANK(AJ114,AJ$11:AJ$343,1)+COUNTIF(AJ$11:AJ114,AJ114)-1),(RANK(AJ114,AJ$11:AJ$343)+COUNTIF(AJ$11:AJ114,AJ114)-1)))</f>
        <v/>
      </c>
      <c r="AL114" s="3" t="str">
        <f t="shared" si="76"/>
        <v/>
      </c>
      <c r="AM114" t="str">
        <f t="shared" si="77"/>
        <v/>
      </c>
      <c r="AN114" t="str">
        <f t="shared" si="78"/>
        <v/>
      </c>
      <c r="AP114" s="5" t="str">
        <f>IF(L114="","",VLOOKUP($L114,classifications!$C:$E,3,FALSE))</f>
        <v/>
      </c>
      <c r="AQ114" s="43" t="str">
        <f t="shared" si="79"/>
        <v/>
      </c>
      <c r="AR114" s="40" t="str">
        <f>IF(AQ114="","",IF(I$8="A",(RANK(AQ114,AQ$11:AQ$343,1)+COUNTIF(AQ$11:AQ114,AQ114)-1),(RANK(AQ114,AQ$11:AQ$343)+COUNTIF(AQ$11:AQ114,AQ114)-1)))</f>
        <v/>
      </c>
      <c r="AS114" s="3" t="str">
        <f t="shared" si="80"/>
        <v/>
      </c>
      <c r="AT114" s="40" t="str">
        <f t="shared" si="81"/>
        <v/>
      </c>
      <c r="AU114" s="43" t="str">
        <f t="shared" si="82"/>
        <v/>
      </c>
      <c r="AX114">
        <f>HLOOKUP($AX$9&amp;$AX$10,Data!$A$1:$ZZ$1980,(MATCH($C114,Data!$A$1:$A$1980,0)),FALSE)</f>
        <v>307.39999999999998</v>
      </c>
    </row>
    <row r="115" spans="1:50">
      <c r="A115" s="59" t="str">
        <f>$D$1&amp;105</f>
        <v>UA105</v>
      </c>
      <c r="B115" s="60">
        <f>IF(ISERROR(VLOOKUP(A117,classifications!A:C,3,FALSE)),0,VLOOKUP(A117,classifications!A:C,3,FALSE))</f>
        <v>0</v>
      </c>
      <c r="C115" t="s">
        <v>68</v>
      </c>
      <c r="D115" t="str">
        <f>VLOOKUP($C115,classifications!$C:$J,4,FALSE)</f>
        <v>SD</v>
      </c>
      <c r="E115">
        <f>VLOOKUP(C115,classifications!C:K,9,FALSE)</f>
        <v>0</v>
      </c>
      <c r="F115">
        <f t="shared" si="60"/>
        <v>403.8</v>
      </c>
      <c r="G115" s="15"/>
      <c r="H115" s="42" t="str">
        <f t="shared" si="61"/>
        <v/>
      </c>
      <c r="I115" s="79" t="str">
        <f>IF(H115="","",IF($I$8="A",(RANK(H115,H$11:H$343,1)+COUNTIF(H$11:H115,H115)-1),(RANK(H115,H$11:H$343)+COUNTIF(H$11:H115,H115)-1)))</f>
        <v/>
      </c>
      <c r="J115" s="41"/>
      <c r="K115" s="36" t="str">
        <f t="shared" si="62"/>
        <v/>
      </c>
      <c r="L115" t="str">
        <f t="shared" si="63"/>
        <v/>
      </c>
      <c r="M115" s="117" t="str">
        <f t="shared" si="64"/>
        <v/>
      </c>
      <c r="N115" s="112" t="str">
        <f t="shared" si="65"/>
        <v/>
      </c>
      <c r="O115" s="96" t="str">
        <f t="shared" si="66"/>
        <v/>
      </c>
      <c r="P115" s="96" t="str">
        <f t="shared" si="67"/>
        <v/>
      </c>
      <c r="Q115" s="96" t="str">
        <f t="shared" si="68"/>
        <v/>
      </c>
      <c r="R115" s="92" t="str">
        <f t="shared" si="69"/>
        <v/>
      </c>
      <c r="S115" s="42" t="str">
        <f t="shared" si="70"/>
        <v/>
      </c>
      <c r="T115" s="167" t="str">
        <f>IF(L115="","",VLOOKUP(L115,classifications!C:K,9,FALSE))</f>
        <v/>
      </c>
      <c r="U115" s="168" t="str">
        <f t="shared" si="71"/>
        <v/>
      </c>
      <c r="V115" s="174" t="str">
        <f>IF(U115="","",IF($I$8="A",(RANK(U115,U$11:U$343)+COUNTIF(U$11:U115,U115)-1),(RANK(U115,U$11:U$343,1)+COUNTIF(U$11:U115,U115)-1)))</f>
        <v/>
      </c>
      <c r="W115" s="175"/>
      <c r="X115" s="5" t="str">
        <f>IF(L115="","",VLOOKUP($L115,classifications!$C:$J,6,FALSE))</f>
        <v/>
      </c>
      <c r="Y115" t="str">
        <f t="shared" si="72"/>
        <v/>
      </c>
      <c r="Z115" s="40" t="str">
        <f>IF(Y115="","",IF(I$8="A",(RANK(Y115,Y$11:Y$343,1)+COUNTIF(Y$11:Y115,Y115)-1),(RANK(Y115,Y$11:Y$343)+COUNTIF(Y$11:Y115,Y115)-1)))</f>
        <v/>
      </c>
      <c r="AA115" s="180" t="str">
        <f>IF(L115="","",VLOOKUP($L115,classifications!C:I,7,FALSE))</f>
        <v/>
      </c>
      <c r="AB115" s="174" t="str">
        <f t="shared" si="73"/>
        <v/>
      </c>
      <c r="AC115" s="174" t="str">
        <f>IF(AB115="","",IF($I$8="A",(RANK(AB115,AB$11:AB$343)+COUNTIF(AB$11:AB115,AB115)-1),(RANK(AB115,AB$11:AB$343,1)+COUNTIF(AB$11:AB115,AB115)-1)))</f>
        <v/>
      </c>
      <c r="AD115" s="174"/>
      <c r="AE115" s="36" t="str">
        <f t="shared" si="74"/>
        <v/>
      </c>
      <c r="AG115" s="15"/>
      <c r="AH115" s="3"/>
      <c r="AI115" s="5" t="str">
        <f>IF(L115="","",VLOOKUP($L115,classifications!$C:$J,8,FALSE))</f>
        <v/>
      </c>
      <c r="AJ115" s="43" t="str">
        <f t="shared" si="75"/>
        <v/>
      </c>
      <c r="AK115" s="40" t="str">
        <f>IF(AJ115="","",IF(I$8="A",(RANK(AJ115,AJ$11:AJ$343,1)+COUNTIF(AJ$11:AJ115,AJ115)-1),(RANK(AJ115,AJ$11:AJ$343)+COUNTIF(AJ$11:AJ115,AJ115)-1)))</f>
        <v/>
      </c>
      <c r="AL115" s="3" t="str">
        <f t="shared" si="76"/>
        <v/>
      </c>
      <c r="AM115" t="str">
        <f t="shared" si="77"/>
        <v/>
      </c>
      <c r="AN115" t="str">
        <f t="shared" si="78"/>
        <v/>
      </c>
      <c r="AP115" s="5" t="str">
        <f>IF(L115="","",VLOOKUP($L115,classifications!$C:$E,3,FALSE))</f>
        <v/>
      </c>
      <c r="AQ115" s="43" t="str">
        <f t="shared" si="79"/>
        <v/>
      </c>
      <c r="AR115" s="40" t="str">
        <f>IF(AQ115="","",IF(I$8="A",(RANK(AQ115,AQ$11:AQ$343,1)+COUNTIF(AQ$11:AQ115,AQ115)-1),(RANK(AQ115,AQ$11:AQ$343)+COUNTIF(AQ$11:AQ115,AQ115)-1)))</f>
        <v/>
      </c>
      <c r="AS115" s="3" t="str">
        <f t="shared" si="80"/>
        <v/>
      </c>
      <c r="AT115" s="40" t="str">
        <f t="shared" si="81"/>
        <v/>
      </c>
      <c r="AU115" s="43" t="str">
        <f t="shared" si="82"/>
        <v/>
      </c>
      <c r="AX115">
        <f>HLOOKUP($AX$9&amp;$AX$10,Data!$A$1:$ZZ$1980,(MATCH($C115,Data!$A$1:$A$1980,0)),FALSE)</f>
        <v>403.8</v>
      </c>
    </row>
    <row r="116" spans="1:50">
      <c r="A116" s="59" t="str">
        <f>$D$1&amp;106</f>
        <v>UA106</v>
      </c>
      <c r="B116" s="60">
        <f>IF(ISERROR(VLOOKUP(A118,classifications!A:C,3,FALSE)),0,VLOOKUP(A118,classifications!A:C,3,FALSE))</f>
        <v>0</v>
      </c>
      <c r="C116" t="s">
        <v>70</v>
      </c>
      <c r="D116" t="str">
        <f>VLOOKUP($C116,classifications!$C:$J,4,FALSE)</f>
        <v>SD</v>
      </c>
      <c r="E116" t="str">
        <f>VLOOKUP(C116,classifications!C:K,9,FALSE)</f>
        <v>Sparse</v>
      </c>
      <c r="F116">
        <f t="shared" si="60"/>
        <v>376.2</v>
      </c>
      <c r="G116" s="15"/>
      <c r="H116" s="42" t="str">
        <f t="shared" si="61"/>
        <v/>
      </c>
      <c r="I116" s="79" t="str">
        <f>IF(H116="","",IF($I$8="A",(RANK(H116,H$11:H$343,1)+COUNTIF(H$11:H116,H116)-1),(RANK(H116,H$11:H$343)+COUNTIF(H$11:H116,H116)-1)))</f>
        <v/>
      </c>
      <c r="J116" s="41"/>
      <c r="K116" s="36" t="str">
        <f t="shared" si="62"/>
        <v/>
      </c>
      <c r="L116" t="str">
        <f t="shared" si="63"/>
        <v/>
      </c>
      <c r="M116" s="117" t="str">
        <f t="shared" si="64"/>
        <v/>
      </c>
      <c r="N116" s="112" t="str">
        <f t="shared" si="65"/>
        <v/>
      </c>
      <c r="O116" s="96" t="str">
        <f t="shared" si="66"/>
        <v/>
      </c>
      <c r="P116" s="96" t="str">
        <f t="shared" si="67"/>
        <v/>
      </c>
      <c r="Q116" s="96" t="str">
        <f t="shared" si="68"/>
        <v/>
      </c>
      <c r="R116" s="92" t="str">
        <f t="shared" si="69"/>
        <v/>
      </c>
      <c r="S116" s="42" t="str">
        <f t="shared" si="70"/>
        <v/>
      </c>
      <c r="T116" s="167" t="str">
        <f>IF(L116="","",VLOOKUP(L116,classifications!C:K,9,FALSE))</f>
        <v/>
      </c>
      <c r="U116" s="168" t="str">
        <f t="shared" si="71"/>
        <v/>
      </c>
      <c r="V116" s="174" t="str">
        <f>IF(U116="","",IF($I$8="A",(RANK(U116,U$11:U$343)+COUNTIF(U$11:U116,U116)-1),(RANK(U116,U$11:U$343,1)+COUNTIF(U$11:U116,U116)-1)))</f>
        <v/>
      </c>
      <c r="W116" s="175"/>
      <c r="X116" s="5" t="str">
        <f>IF(L116="","",VLOOKUP($L116,classifications!$C:$J,6,FALSE))</f>
        <v/>
      </c>
      <c r="Y116" t="str">
        <f t="shared" si="72"/>
        <v/>
      </c>
      <c r="Z116" s="40" t="str">
        <f>IF(Y116="","",IF(I$8="A",(RANK(Y116,Y$11:Y$343,1)+COUNTIF(Y$11:Y116,Y116)-1),(RANK(Y116,Y$11:Y$343)+COUNTIF(Y$11:Y116,Y116)-1)))</f>
        <v/>
      </c>
      <c r="AA116" s="180" t="str">
        <f>IF(L116="","",VLOOKUP($L116,classifications!C:I,7,FALSE))</f>
        <v/>
      </c>
      <c r="AB116" s="174" t="str">
        <f t="shared" si="73"/>
        <v/>
      </c>
      <c r="AC116" s="174" t="str">
        <f>IF(AB116="","",IF($I$8="A",(RANK(AB116,AB$11:AB$343)+COUNTIF(AB$11:AB116,AB116)-1),(RANK(AB116,AB$11:AB$343,1)+COUNTIF(AB$11:AB116,AB116)-1)))</f>
        <v/>
      </c>
      <c r="AD116" s="174"/>
      <c r="AE116" s="36" t="str">
        <f t="shared" si="74"/>
        <v/>
      </c>
      <c r="AG116" s="15"/>
      <c r="AH116" s="3"/>
      <c r="AI116" s="5" t="str">
        <f>IF(L116="","",VLOOKUP($L116,classifications!$C:$J,8,FALSE))</f>
        <v/>
      </c>
      <c r="AJ116" s="43" t="str">
        <f t="shared" si="75"/>
        <v/>
      </c>
      <c r="AK116" s="40" t="str">
        <f>IF(AJ116="","",IF(I$8="A",(RANK(AJ116,AJ$11:AJ$343,1)+COUNTIF(AJ$11:AJ116,AJ116)-1),(RANK(AJ116,AJ$11:AJ$343)+COUNTIF(AJ$11:AJ116,AJ116)-1)))</f>
        <v/>
      </c>
      <c r="AL116" s="3" t="str">
        <f t="shared" si="76"/>
        <v/>
      </c>
      <c r="AM116" t="str">
        <f t="shared" si="77"/>
        <v/>
      </c>
      <c r="AN116" t="str">
        <f t="shared" si="78"/>
        <v/>
      </c>
      <c r="AP116" s="5" t="str">
        <f>IF(L116="","",VLOOKUP($L116,classifications!$C:$E,3,FALSE))</f>
        <v/>
      </c>
      <c r="AQ116" s="43" t="str">
        <f t="shared" si="79"/>
        <v/>
      </c>
      <c r="AR116" s="40" t="str">
        <f>IF(AQ116="","",IF(I$8="A",(RANK(AQ116,AQ$11:AQ$343,1)+COUNTIF(AQ$11:AQ116,AQ116)-1),(RANK(AQ116,AQ$11:AQ$343)+COUNTIF(AQ$11:AQ116,AQ116)-1)))</f>
        <v/>
      </c>
      <c r="AS116" s="3" t="str">
        <f t="shared" si="80"/>
        <v/>
      </c>
      <c r="AT116" s="40" t="str">
        <f t="shared" si="81"/>
        <v/>
      </c>
      <c r="AU116" s="43" t="str">
        <f t="shared" si="82"/>
        <v/>
      </c>
      <c r="AX116">
        <f>HLOOKUP($AX$9&amp;$AX$10,Data!$A$1:$ZZ$1980,(MATCH($C116,Data!$A$1:$A$1980,0)),FALSE)</f>
        <v>376.2</v>
      </c>
    </row>
    <row r="117" spans="1:50">
      <c r="A117" s="59" t="str">
        <f>$D$1&amp;107</f>
        <v>UA107</v>
      </c>
      <c r="B117" s="60">
        <f>IF(ISERROR(VLOOKUP(A119,classifications!A:C,3,FALSE)),0,VLOOKUP(A119,classifications!A:C,3,FALSE))</f>
        <v>0</v>
      </c>
      <c r="C117" t="s">
        <v>71</v>
      </c>
      <c r="D117" t="str">
        <f>VLOOKUP($C117,classifications!$C:$J,4,FALSE)</f>
        <v>SD</v>
      </c>
      <c r="E117">
        <f>VLOOKUP(C117,classifications!C:K,9,FALSE)</f>
        <v>0</v>
      </c>
      <c r="F117">
        <f t="shared" si="60"/>
        <v>385.5</v>
      </c>
      <c r="G117" s="15"/>
      <c r="H117" s="42" t="str">
        <f t="shared" si="61"/>
        <v/>
      </c>
      <c r="I117" s="79" t="str">
        <f>IF(H117="","",IF($I$8="A",(RANK(H117,H$11:H$343,1)+COUNTIF(H$11:H117,H117)-1),(RANK(H117,H$11:H$343)+COUNTIF(H$11:H117,H117)-1)))</f>
        <v/>
      </c>
      <c r="J117" s="41"/>
      <c r="K117" s="36" t="str">
        <f t="shared" si="62"/>
        <v/>
      </c>
      <c r="L117" t="str">
        <f t="shared" si="63"/>
        <v/>
      </c>
      <c r="M117" s="117" t="str">
        <f t="shared" si="64"/>
        <v/>
      </c>
      <c r="N117" s="112" t="str">
        <f t="shared" si="65"/>
        <v/>
      </c>
      <c r="O117" s="96" t="str">
        <f t="shared" si="66"/>
        <v/>
      </c>
      <c r="P117" s="96" t="str">
        <f t="shared" si="67"/>
        <v/>
      </c>
      <c r="Q117" s="96" t="str">
        <f t="shared" si="68"/>
        <v/>
      </c>
      <c r="R117" s="92" t="str">
        <f t="shared" si="69"/>
        <v/>
      </c>
      <c r="S117" s="42" t="str">
        <f t="shared" si="70"/>
        <v/>
      </c>
      <c r="T117" s="167" t="str">
        <f>IF(L117="","",VLOOKUP(L117,classifications!C:K,9,FALSE))</f>
        <v/>
      </c>
      <c r="U117" s="168" t="str">
        <f t="shared" si="71"/>
        <v/>
      </c>
      <c r="V117" s="174" t="str">
        <f>IF(U117="","",IF($I$8="A",(RANK(U117,U$11:U$343)+COUNTIF(U$11:U117,U117)-1),(RANK(U117,U$11:U$343,1)+COUNTIF(U$11:U117,U117)-1)))</f>
        <v/>
      </c>
      <c r="W117" s="175"/>
      <c r="X117" s="5" t="str">
        <f>IF(L117="","",VLOOKUP($L117,classifications!$C:$J,6,FALSE))</f>
        <v/>
      </c>
      <c r="Y117" t="str">
        <f t="shared" si="72"/>
        <v/>
      </c>
      <c r="Z117" s="40" t="str">
        <f>IF(Y117="","",IF(I$8="A",(RANK(Y117,Y$11:Y$343,1)+COUNTIF(Y$11:Y117,Y117)-1),(RANK(Y117,Y$11:Y$343)+COUNTIF(Y$11:Y117,Y117)-1)))</f>
        <v/>
      </c>
      <c r="AA117" s="180" t="str">
        <f>IF(L117="","",VLOOKUP($L117,classifications!C:I,7,FALSE))</f>
        <v/>
      </c>
      <c r="AB117" s="174" t="str">
        <f t="shared" si="73"/>
        <v/>
      </c>
      <c r="AC117" s="174" t="str">
        <f>IF(AB117="","",IF($I$8="A",(RANK(AB117,AB$11:AB$343)+COUNTIF(AB$11:AB117,AB117)-1),(RANK(AB117,AB$11:AB$343,1)+COUNTIF(AB$11:AB117,AB117)-1)))</f>
        <v/>
      </c>
      <c r="AD117" s="174"/>
      <c r="AE117" s="36" t="str">
        <f t="shared" si="74"/>
        <v/>
      </c>
      <c r="AG117" s="15"/>
      <c r="AH117" s="3"/>
      <c r="AI117" s="5" t="str">
        <f>IF(L117="","",VLOOKUP($L117,classifications!$C:$J,8,FALSE))</f>
        <v/>
      </c>
      <c r="AJ117" s="43" t="str">
        <f t="shared" si="75"/>
        <v/>
      </c>
      <c r="AK117" s="40" t="str">
        <f>IF(AJ117="","",IF(I$8="A",(RANK(AJ117,AJ$11:AJ$343,1)+COUNTIF(AJ$11:AJ117,AJ117)-1),(RANK(AJ117,AJ$11:AJ$343)+COUNTIF(AJ$11:AJ117,AJ117)-1)))</f>
        <v/>
      </c>
      <c r="AL117" s="3" t="str">
        <f t="shared" si="76"/>
        <v/>
      </c>
      <c r="AM117" t="str">
        <f t="shared" si="77"/>
        <v/>
      </c>
      <c r="AN117" t="str">
        <f t="shared" si="78"/>
        <v/>
      </c>
      <c r="AP117" s="5" t="str">
        <f>IF(L117="","",VLOOKUP($L117,classifications!$C:$E,3,FALSE))</f>
        <v/>
      </c>
      <c r="AQ117" s="43" t="str">
        <f t="shared" si="79"/>
        <v/>
      </c>
      <c r="AR117" s="40" t="str">
        <f>IF(AQ117="","",IF(I$8="A",(RANK(AQ117,AQ$11:AQ$343,1)+COUNTIF(AQ$11:AQ117,AQ117)-1),(RANK(AQ117,AQ$11:AQ$343)+COUNTIF(AQ$11:AQ117,AQ117)-1)))</f>
        <v/>
      </c>
      <c r="AS117" s="3" t="str">
        <f t="shared" si="80"/>
        <v/>
      </c>
      <c r="AT117" s="40" t="str">
        <f t="shared" si="81"/>
        <v/>
      </c>
      <c r="AU117" s="43" t="str">
        <f t="shared" si="82"/>
        <v/>
      </c>
      <c r="AX117">
        <f>HLOOKUP($AX$9&amp;$AX$10,Data!$A$1:$ZZ$1980,(MATCH($C117,Data!$A$1:$A$1980,0)),FALSE)</f>
        <v>385.5</v>
      </c>
    </row>
    <row r="118" spans="1:50">
      <c r="A118" s="59" t="str">
        <f>$D$1&amp;108</f>
        <v>UA108</v>
      </c>
      <c r="B118" s="60">
        <f>IF(ISERROR(VLOOKUP(A120,classifications!A:C,3,FALSE)),0,VLOOKUP(A120,classifications!A:C,3,FALSE))</f>
        <v>0</v>
      </c>
      <c r="C118" t="s">
        <v>232</v>
      </c>
      <c r="D118" t="str">
        <f>VLOOKUP($C118,classifications!$C:$J,4,FALSE)</f>
        <v>MD</v>
      </c>
      <c r="E118">
        <f>VLOOKUP(C118,classifications!C:K,9,FALSE)</f>
        <v>0</v>
      </c>
      <c r="F118">
        <f t="shared" si="60"/>
        <v>431.8</v>
      </c>
      <c r="G118" s="15"/>
      <c r="H118" s="42" t="str">
        <f t="shared" si="61"/>
        <v/>
      </c>
      <c r="I118" s="79" t="str">
        <f>IF(H118="","",IF($I$8="A",(RANK(H118,H$11:H$343,1)+COUNTIF(H$11:H118,H118)-1),(RANK(H118,H$11:H$343)+COUNTIF(H$11:H118,H118)-1)))</f>
        <v/>
      </c>
      <c r="J118" s="41"/>
      <c r="K118" s="36" t="str">
        <f t="shared" si="62"/>
        <v/>
      </c>
      <c r="L118" t="str">
        <f t="shared" si="63"/>
        <v/>
      </c>
      <c r="M118" s="117" t="str">
        <f t="shared" si="64"/>
        <v/>
      </c>
      <c r="N118" s="112" t="str">
        <f t="shared" si="65"/>
        <v/>
      </c>
      <c r="O118" s="96" t="str">
        <f t="shared" si="66"/>
        <v/>
      </c>
      <c r="P118" s="96" t="str">
        <f t="shared" si="67"/>
        <v/>
      </c>
      <c r="Q118" s="96" t="str">
        <f t="shared" si="68"/>
        <v/>
      </c>
      <c r="R118" s="92" t="str">
        <f t="shared" si="69"/>
        <v/>
      </c>
      <c r="S118" s="42" t="str">
        <f t="shared" si="70"/>
        <v/>
      </c>
      <c r="T118" s="167" t="str">
        <f>IF(L118="","",VLOOKUP(L118,classifications!C:K,9,FALSE))</f>
        <v/>
      </c>
      <c r="U118" s="168" t="str">
        <f t="shared" si="71"/>
        <v/>
      </c>
      <c r="V118" s="174" t="str">
        <f>IF(U118="","",IF($I$8="A",(RANK(U118,U$11:U$343)+COUNTIF(U$11:U118,U118)-1),(RANK(U118,U$11:U$343,1)+COUNTIF(U$11:U118,U118)-1)))</f>
        <v/>
      </c>
      <c r="W118" s="175"/>
      <c r="X118" s="5" t="str">
        <f>IF(L118="","",VLOOKUP($L118,classifications!$C:$J,6,FALSE))</f>
        <v/>
      </c>
      <c r="Y118" t="str">
        <f t="shared" si="72"/>
        <v/>
      </c>
      <c r="Z118" s="40" t="str">
        <f>IF(Y118="","",IF(I$8="A",(RANK(Y118,Y$11:Y$343,1)+COUNTIF(Y$11:Y118,Y118)-1),(RANK(Y118,Y$11:Y$343)+COUNTIF(Y$11:Y118,Y118)-1)))</f>
        <v/>
      </c>
      <c r="AA118" s="180" t="str">
        <f>IF(L118="","",VLOOKUP($L118,classifications!C:I,7,FALSE))</f>
        <v/>
      </c>
      <c r="AB118" s="174" t="str">
        <f t="shared" si="73"/>
        <v/>
      </c>
      <c r="AC118" s="174" t="str">
        <f>IF(AB118="","",IF($I$8="A",(RANK(AB118,AB$11:AB$343)+COUNTIF(AB$11:AB118,AB118)-1),(RANK(AB118,AB$11:AB$343,1)+COUNTIF(AB$11:AB118,AB118)-1)))</f>
        <v/>
      </c>
      <c r="AD118" s="174"/>
      <c r="AE118" s="36" t="str">
        <f t="shared" si="74"/>
        <v/>
      </c>
      <c r="AG118" s="15"/>
      <c r="AH118" s="3"/>
      <c r="AI118" s="5" t="str">
        <f>IF(L118="","",VLOOKUP($L118,classifications!$C:$J,8,FALSE))</f>
        <v/>
      </c>
      <c r="AJ118" s="43" t="str">
        <f t="shared" si="75"/>
        <v/>
      </c>
      <c r="AK118" s="40" t="str">
        <f>IF(AJ118="","",IF(I$8="A",(RANK(AJ118,AJ$11:AJ$343,1)+COUNTIF(AJ$11:AJ118,AJ118)-1),(RANK(AJ118,AJ$11:AJ$343)+COUNTIF(AJ$11:AJ118,AJ118)-1)))</f>
        <v/>
      </c>
      <c r="AL118" s="3" t="str">
        <f t="shared" si="76"/>
        <v/>
      </c>
      <c r="AM118" t="str">
        <f t="shared" si="77"/>
        <v/>
      </c>
      <c r="AN118" t="str">
        <f t="shared" si="78"/>
        <v/>
      </c>
      <c r="AP118" s="5" t="str">
        <f>IF(L118="","",VLOOKUP($L118,classifications!$C:$E,3,FALSE))</f>
        <v/>
      </c>
      <c r="AQ118" s="43" t="str">
        <f t="shared" si="79"/>
        <v/>
      </c>
      <c r="AR118" s="40" t="str">
        <f>IF(AQ118="","",IF(I$8="A",(RANK(AQ118,AQ$11:AQ$343,1)+COUNTIF(AQ$11:AQ118,AQ118)-1),(RANK(AQ118,AQ$11:AQ$343)+COUNTIF(AQ$11:AQ118,AQ118)-1)))</f>
        <v/>
      </c>
      <c r="AS118" s="3" t="str">
        <f t="shared" si="80"/>
        <v/>
      </c>
      <c r="AT118" s="40" t="str">
        <f t="shared" si="81"/>
        <v/>
      </c>
      <c r="AU118" s="43" t="str">
        <f t="shared" si="82"/>
        <v/>
      </c>
      <c r="AX118">
        <f>HLOOKUP($AX$9&amp;$AX$10,Data!$A$1:$ZZ$1980,(MATCH($C118,Data!$A$1:$A$1980,0)),FALSE)</f>
        <v>431.8</v>
      </c>
    </row>
    <row r="119" spans="1:50">
      <c r="A119" s="59" t="str">
        <f>$D$1&amp;109</f>
        <v>UA109</v>
      </c>
      <c r="B119" s="60">
        <f>IF(ISERROR(VLOOKUP(A121,classifications!A:C,3,FALSE)),0,VLOOKUP(A121,classifications!A:C,3,FALSE))</f>
        <v>0</v>
      </c>
      <c r="C119" t="s">
        <v>72</v>
      </c>
      <c r="D119" t="str">
        <f>VLOOKUP($C119,classifications!$C:$J,4,FALSE)</f>
        <v>SD</v>
      </c>
      <c r="E119">
        <f>VLOOKUP(C119,classifications!C:K,9,FALSE)</f>
        <v>0</v>
      </c>
      <c r="F119">
        <f t="shared" si="60"/>
        <v>365.7</v>
      </c>
      <c r="G119" s="15"/>
      <c r="H119" s="42" t="str">
        <f t="shared" si="61"/>
        <v/>
      </c>
      <c r="I119" s="79" t="str">
        <f>IF(H119="","",IF($I$8="A",(RANK(H119,H$11:H$343,1)+COUNTIF(H$11:H119,H119)-1),(RANK(H119,H$11:H$343)+COUNTIF(H$11:H119,H119)-1)))</f>
        <v/>
      </c>
      <c r="J119" s="41"/>
      <c r="K119" s="36" t="str">
        <f t="shared" si="62"/>
        <v/>
      </c>
      <c r="L119" t="str">
        <f t="shared" si="63"/>
        <v/>
      </c>
      <c r="M119" s="117" t="str">
        <f t="shared" si="64"/>
        <v/>
      </c>
      <c r="N119" s="112" t="str">
        <f t="shared" si="65"/>
        <v/>
      </c>
      <c r="O119" s="96" t="str">
        <f t="shared" si="66"/>
        <v/>
      </c>
      <c r="P119" s="96" t="str">
        <f t="shared" si="67"/>
        <v/>
      </c>
      <c r="Q119" s="96" t="str">
        <f t="shared" si="68"/>
        <v/>
      </c>
      <c r="R119" s="92" t="str">
        <f t="shared" si="69"/>
        <v/>
      </c>
      <c r="S119" s="42" t="str">
        <f t="shared" si="70"/>
        <v/>
      </c>
      <c r="T119" s="167" t="str">
        <f>IF(L119="","",VLOOKUP(L119,classifications!C:K,9,FALSE))</f>
        <v/>
      </c>
      <c r="U119" s="168" t="str">
        <f t="shared" si="71"/>
        <v/>
      </c>
      <c r="V119" s="174" t="str">
        <f>IF(U119="","",IF($I$8="A",(RANK(U119,U$11:U$343)+COUNTIF(U$11:U119,U119)-1),(RANK(U119,U$11:U$343,1)+COUNTIF(U$11:U119,U119)-1)))</f>
        <v/>
      </c>
      <c r="W119" s="175"/>
      <c r="X119" s="5" t="str">
        <f>IF(L119="","",VLOOKUP($L119,classifications!$C:$J,6,FALSE))</f>
        <v/>
      </c>
      <c r="Y119" t="str">
        <f t="shared" si="72"/>
        <v/>
      </c>
      <c r="Z119" s="40" t="str">
        <f>IF(Y119="","",IF(I$8="A",(RANK(Y119,Y$11:Y$343,1)+COUNTIF(Y$11:Y119,Y119)-1),(RANK(Y119,Y$11:Y$343)+COUNTIF(Y$11:Y119,Y119)-1)))</f>
        <v/>
      </c>
      <c r="AA119" s="180" t="str">
        <f>IF(L119="","",VLOOKUP($L119,classifications!C:I,7,FALSE))</f>
        <v/>
      </c>
      <c r="AB119" s="174" t="str">
        <f t="shared" si="73"/>
        <v/>
      </c>
      <c r="AC119" s="174" t="str">
        <f>IF(AB119="","",IF($I$8="A",(RANK(AB119,AB$11:AB$343)+COUNTIF(AB$11:AB119,AB119)-1),(RANK(AB119,AB$11:AB$343,1)+COUNTIF(AB$11:AB119,AB119)-1)))</f>
        <v/>
      </c>
      <c r="AD119" s="174"/>
      <c r="AE119" s="36" t="str">
        <f t="shared" si="74"/>
        <v/>
      </c>
      <c r="AG119" s="15"/>
      <c r="AH119" s="3"/>
      <c r="AI119" s="5" t="str">
        <f>IF(L119="","",VLOOKUP($L119,classifications!$C:$J,8,FALSE))</f>
        <v/>
      </c>
      <c r="AJ119" s="43" t="str">
        <f t="shared" si="75"/>
        <v/>
      </c>
      <c r="AK119" s="40" t="str">
        <f>IF(AJ119="","",IF(I$8="A",(RANK(AJ119,AJ$11:AJ$343,1)+COUNTIF(AJ$11:AJ119,AJ119)-1),(RANK(AJ119,AJ$11:AJ$343)+COUNTIF(AJ$11:AJ119,AJ119)-1)))</f>
        <v/>
      </c>
      <c r="AL119" s="3" t="str">
        <f t="shared" si="76"/>
        <v/>
      </c>
      <c r="AM119" t="str">
        <f t="shared" si="77"/>
        <v/>
      </c>
      <c r="AN119" t="str">
        <f t="shared" si="78"/>
        <v/>
      </c>
      <c r="AP119" s="5" t="str">
        <f>IF(L119="","",VLOOKUP($L119,classifications!$C:$E,3,FALSE))</f>
        <v/>
      </c>
      <c r="AQ119" s="43" t="str">
        <f t="shared" si="79"/>
        <v/>
      </c>
      <c r="AR119" s="40" t="str">
        <f>IF(AQ119="","",IF(I$8="A",(RANK(AQ119,AQ$11:AQ$343,1)+COUNTIF(AQ$11:AQ119,AQ119)-1),(RANK(AQ119,AQ$11:AQ$343)+COUNTIF(AQ$11:AQ119,AQ119)-1)))</f>
        <v/>
      </c>
      <c r="AS119" s="3" t="str">
        <f t="shared" si="80"/>
        <v/>
      </c>
      <c r="AT119" s="40" t="str">
        <f t="shared" si="81"/>
        <v/>
      </c>
      <c r="AU119" s="43" t="str">
        <f t="shared" si="82"/>
        <v/>
      </c>
      <c r="AX119">
        <f>HLOOKUP($AX$9&amp;$AX$10,Data!$A$1:$ZZ$1980,(MATCH($C119,Data!$A$1:$A$1980,0)),FALSE)</f>
        <v>365.7</v>
      </c>
    </row>
    <row r="120" spans="1:50">
      <c r="A120" s="59" t="str">
        <f>$D$1&amp;110</f>
        <v>UA110</v>
      </c>
      <c r="B120" s="60">
        <f>IF(ISERROR(VLOOKUP(A122,classifications!A:C,3,FALSE)),0,VLOOKUP(A122,classifications!A:C,3,FALSE))</f>
        <v>0</v>
      </c>
      <c r="C120" t="s">
        <v>73</v>
      </c>
      <c r="D120" t="str">
        <f>VLOOKUP($C120,classifications!$C:$J,4,FALSE)</f>
        <v>SD</v>
      </c>
      <c r="E120">
        <f>VLOOKUP(C120,classifications!C:K,9,FALSE)</f>
        <v>0</v>
      </c>
      <c r="F120">
        <f t="shared" si="60"/>
        <v>330.8</v>
      </c>
      <c r="G120" s="15"/>
      <c r="H120" s="42" t="str">
        <f t="shared" si="61"/>
        <v/>
      </c>
      <c r="I120" s="79" t="str">
        <f>IF(H120="","",IF($I$8="A",(RANK(H120,H$11:H$343,1)+COUNTIF(H$11:H120,H120)-1),(RANK(H120,H$11:H$343)+COUNTIF(H$11:H120,H120)-1)))</f>
        <v/>
      </c>
      <c r="J120" s="41"/>
      <c r="K120" s="36" t="str">
        <f t="shared" si="62"/>
        <v/>
      </c>
      <c r="L120" t="str">
        <f t="shared" si="63"/>
        <v/>
      </c>
      <c r="M120" s="117" t="str">
        <f t="shared" si="64"/>
        <v/>
      </c>
      <c r="N120" s="112" t="str">
        <f t="shared" si="65"/>
        <v/>
      </c>
      <c r="O120" s="96" t="str">
        <f t="shared" si="66"/>
        <v/>
      </c>
      <c r="P120" s="96" t="str">
        <f t="shared" si="67"/>
        <v/>
      </c>
      <c r="Q120" s="96" t="str">
        <f t="shared" si="68"/>
        <v/>
      </c>
      <c r="R120" s="92" t="str">
        <f t="shared" si="69"/>
        <v/>
      </c>
      <c r="S120" s="42" t="str">
        <f t="shared" si="70"/>
        <v/>
      </c>
      <c r="T120" s="167" t="str">
        <f>IF(L120="","",VLOOKUP(L120,classifications!C:K,9,FALSE))</f>
        <v/>
      </c>
      <c r="U120" s="168" t="str">
        <f t="shared" si="71"/>
        <v/>
      </c>
      <c r="V120" s="174" t="str">
        <f>IF(U120="","",IF($I$8="A",(RANK(U120,U$11:U$343)+COUNTIF(U$11:U120,U120)-1),(RANK(U120,U$11:U$343,1)+COUNTIF(U$11:U120,U120)-1)))</f>
        <v/>
      </c>
      <c r="W120" s="175"/>
      <c r="X120" s="5" t="str">
        <f>IF(L120="","",VLOOKUP($L120,classifications!$C:$J,6,FALSE))</f>
        <v/>
      </c>
      <c r="Y120" t="str">
        <f t="shared" si="72"/>
        <v/>
      </c>
      <c r="Z120" s="40" t="str">
        <f>IF(Y120="","",IF(I$8="A",(RANK(Y120,Y$11:Y$343,1)+COUNTIF(Y$11:Y120,Y120)-1),(RANK(Y120,Y$11:Y$343)+COUNTIF(Y$11:Y120,Y120)-1)))</f>
        <v/>
      </c>
      <c r="AA120" s="180" t="str">
        <f>IF(L120="","",VLOOKUP($L120,classifications!C:I,7,FALSE))</f>
        <v/>
      </c>
      <c r="AB120" s="174" t="str">
        <f t="shared" si="73"/>
        <v/>
      </c>
      <c r="AC120" s="174" t="str">
        <f>IF(AB120="","",IF($I$8="A",(RANK(AB120,AB$11:AB$343)+COUNTIF(AB$11:AB120,AB120)-1),(RANK(AB120,AB$11:AB$343,1)+COUNTIF(AB$11:AB120,AB120)-1)))</f>
        <v/>
      </c>
      <c r="AD120" s="174"/>
      <c r="AE120" s="36" t="str">
        <f t="shared" si="74"/>
        <v/>
      </c>
      <c r="AG120" s="15"/>
      <c r="AH120" s="3"/>
      <c r="AI120" s="5" t="str">
        <f>IF(L120="","",VLOOKUP($L120,classifications!$C:$J,8,FALSE))</f>
        <v/>
      </c>
      <c r="AJ120" s="43" t="str">
        <f t="shared" si="75"/>
        <v/>
      </c>
      <c r="AK120" s="40" t="str">
        <f>IF(AJ120="","",IF(I$8="A",(RANK(AJ120,AJ$11:AJ$343,1)+COUNTIF(AJ$11:AJ120,AJ120)-1),(RANK(AJ120,AJ$11:AJ$343)+COUNTIF(AJ$11:AJ120,AJ120)-1)))</f>
        <v/>
      </c>
      <c r="AL120" s="3" t="str">
        <f t="shared" si="76"/>
        <v/>
      </c>
      <c r="AM120" t="str">
        <f t="shared" si="77"/>
        <v/>
      </c>
      <c r="AN120" t="str">
        <f t="shared" si="78"/>
        <v/>
      </c>
      <c r="AP120" s="5" t="str">
        <f>IF(L120="","",VLOOKUP($L120,classifications!$C:$E,3,FALSE))</f>
        <v/>
      </c>
      <c r="AQ120" s="43" t="str">
        <f t="shared" si="79"/>
        <v/>
      </c>
      <c r="AR120" s="40" t="str">
        <f>IF(AQ120="","",IF(I$8="A",(RANK(AQ120,AQ$11:AQ$343,1)+COUNTIF(AQ$11:AQ120,AQ120)-1),(RANK(AQ120,AQ$11:AQ$343)+COUNTIF(AQ$11:AQ120,AQ120)-1)))</f>
        <v/>
      </c>
      <c r="AS120" s="3" t="str">
        <f t="shared" si="80"/>
        <v/>
      </c>
      <c r="AT120" s="40" t="str">
        <f t="shared" si="81"/>
        <v/>
      </c>
      <c r="AU120" s="43" t="str">
        <f t="shared" si="82"/>
        <v/>
      </c>
      <c r="AX120">
        <f>HLOOKUP($AX$9&amp;$AX$10,Data!$A$1:$ZZ$1980,(MATCH($C120,Data!$A$1:$A$1980,0)),FALSE)</f>
        <v>330.8</v>
      </c>
    </row>
    <row r="121" spans="1:50">
      <c r="A121" s="59" t="str">
        <f>$D$1&amp;111</f>
        <v>UA111</v>
      </c>
      <c r="B121" s="60">
        <f>IF(ISERROR(VLOOKUP(A123,classifications!A:C,3,FALSE)),0,VLOOKUP(A123,classifications!A:C,3,FALSE))</f>
        <v>0</v>
      </c>
      <c r="C121" t="s">
        <v>313</v>
      </c>
      <c r="D121" t="str">
        <f>VLOOKUP($C121,classifications!$C:$J,4,FALSE)</f>
        <v>SC</v>
      </c>
      <c r="E121">
        <f>VLOOKUP(C121,classifications!C:K,9,FALSE)</f>
        <v>0</v>
      </c>
      <c r="F121">
        <f t="shared" si="60"/>
        <v>407.8</v>
      </c>
      <c r="G121" s="15"/>
      <c r="H121" s="42" t="str">
        <f t="shared" si="61"/>
        <v/>
      </c>
      <c r="I121" s="79" t="str">
        <f>IF(H121="","",IF($I$8="A",(RANK(H121,H$11:H$343,1)+COUNTIF(H$11:H121,H121)-1),(RANK(H121,H$11:H$343)+COUNTIF(H$11:H121,H121)-1)))</f>
        <v/>
      </c>
      <c r="J121" s="41"/>
      <c r="K121" s="36" t="str">
        <f t="shared" si="62"/>
        <v/>
      </c>
      <c r="L121" t="str">
        <f t="shared" si="63"/>
        <v/>
      </c>
      <c r="M121" s="117" t="str">
        <f t="shared" si="64"/>
        <v/>
      </c>
      <c r="N121" s="112" t="str">
        <f t="shared" si="65"/>
        <v/>
      </c>
      <c r="O121" s="96" t="str">
        <f t="shared" si="66"/>
        <v/>
      </c>
      <c r="P121" s="96" t="str">
        <f t="shared" si="67"/>
        <v/>
      </c>
      <c r="Q121" s="96" t="str">
        <f t="shared" si="68"/>
        <v/>
      </c>
      <c r="R121" s="92" t="str">
        <f t="shared" si="69"/>
        <v/>
      </c>
      <c r="S121" s="42" t="str">
        <f t="shared" si="70"/>
        <v/>
      </c>
      <c r="T121" s="167" t="str">
        <f>IF(L121="","",VLOOKUP(L121,classifications!C:K,9,FALSE))</f>
        <v/>
      </c>
      <c r="U121" s="168" t="str">
        <f t="shared" si="71"/>
        <v/>
      </c>
      <c r="V121" s="174" t="str">
        <f>IF(U121="","",IF($I$8="A",(RANK(U121,U$11:U$343)+COUNTIF(U$11:U121,U121)-1),(RANK(U121,U$11:U$343,1)+COUNTIF(U$11:U121,U121)-1)))</f>
        <v/>
      </c>
      <c r="W121" s="175"/>
      <c r="X121" s="5" t="str">
        <f>IF(L121="","",VLOOKUP($L121,classifications!$C:$J,6,FALSE))</f>
        <v/>
      </c>
      <c r="Y121" t="str">
        <f t="shared" si="72"/>
        <v/>
      </c>
      <c r="Z121" s="40" t="str">
        <f>IF(Y121="","",IF(I$8="A",(RANK(Y121,Y$11:Y$343,1)+COUNTIF(Y$11:Y121,Y121)-1),(RANK(Y121,Y$11:Y$343)+COUNTIF(Y$11:Y121,Y121)-1)))</f>
        <v/>
      </c>
      <c r="AA121" s="180" t="str">
        <f>IF(L121="","",VLOOKUP($L121,classifications!C:I,7,FALSE))</f>
        <v/>
      </c>
      <c r="AB121" s="174" t="str">
        <f t="shared" si="73"/>
        <v/>
      </c>
      <c r="AC121" s="174" t="str">
        <f>IF(AB121="","",IF($I$8="A",(RANK(AB121,AB$11:AB$343)+COUNTIF(AB$11:AB121,AB121)-1),(RANK(AB121,AB$11:AB$343,1)+COUNTIF(AB$11:AB121,AB121)-1)))</f>
        <v/>
      </c>
      <c r="AD121" s="174"/>
      <c r="AE121" s="36" t="str">
        <f t="shared" si="74"/>
        <v/>
      </c>
      <c r="AG121" s="15"/>
      <c r="AH121" s="3"/>
      <c r="AI121" s="5" t="str">
        <f>IF(L121="","",VLOOKUP($L121,classifications!$C:$J,8,FALSE))</f>
        <v/>
      </c>
      <c r="AJ121" s="43" t="str">
        <f t="shared" si="75"/>
        <v/>
      </c>
      <c r="AK121" s="40" t="str">
        <f>IF(AJ121="","",IF(I$8="A",(RANK(AJ121,AJ$11:AJ$343,1)+COUNTIF(AJ$11:AJ121,AJ121)-1),(RANK(AJ121,AJ$11:AJ$343)+COUNTIF(AJ$11:AJ121,AJ121)-1)))</f>
        <v/>
      </c>
      <c r="AL121" s="3" t="str">
        <f t="shared" si="76"/>
        <v/>
      </c>
      <c r="AM121" t="str">
        <f t="shared" si="77"/>
        <v/>
      </c>
      <c r="AN121" t="str">
        <f t="shared" si="78"/>
        <v/>
      </c>
      <c r="AP121" s="5" t="str">
        <f>IF(L121="","",VLOOKUP($L121,classifications!$C:$E,3,FALSE))</f>
        <v/>
      </c>
      <c r="AQ121" s="43" t="str">
        <f t="shared" si="79"/>
        <v/>
      </c>
      <c r="AR121" s="40" t="str">
        <f>IF(AQ121="","",IF(I$8="A",(RANK(AQ121,AQ$11:AQ$343,1)+COUNTIF(AQ$11:AQ121,AQ121)-1),(RANK(AQ121,AQ$11:AQ$343)+COUNTIF(AQ$11:AQ121,AQ121)-1)))</f>
        <v/>
      </c>
      <c r="AS121" s="3" t="str">
        <f t="shared" si="80"/>
        <v/>
      </c>
      <c r="AT121" s="40" t="str">
        <f t="shared" si="81"/>
        <v/>
      </c>
      <c r="AU121" s="43" t="str">
        <f t="shared" si="82"/>
        <v/>
      </c>
      <c r="AX121">
        <f>HLOOKUP($AX$9&amp;$AX$10,Data!$A$1:$ZZ$1980,(MATCH($C121,Data!$A$1:$A$1980,0)),FALSE)</f>
        <v>407.8</v>
      </c>
    </row>
    <row r="122" spans="1:50">
      <c r="A122" s="59" t="str">
        <f>$D$1&amp;112</f>
        <v>UA112</v>
      </c>
      <c r="B122" s="60">
        <f>IF(ISERROR(VLOOKUP(A124,classifications!A:C,3,FALSE)),0,VLOOKUP(A124,classifications!A:C,3,FALSE))</f>
        <v>0</v>
      </c>
      <c r="C122" t="s">
        <v>74</v>
      </c>
      <c r="D122" t="str">
        <f>VLOOKUP($C122,classifications!$C:$J,4,FALSE)</f>
        <v>SD</v>
      </c>
      <c r="E122">
        <f>VLOOKUP(C122,classifications!C:K,9,FALSE)</f>
        <v>0</v>
      </c>
      <c r="F122">
        <f t="shared" si="60"/>
        <v>287.39999999999998</v>
      </c>
      <c r="G122" s="15"/>
      <c r="H122" s="42" t="str">
        <f t="shared" si="61"/>
        <v/>
      </c>
      <c r="I122" s="79" t="str">
        <f>IF(H122="","",IF($I$8="A",(RANK(H122,H$11:H$343,1)+COUNTIF(H$11:H122,H122)-1),(RANK(H122,H$11:H$343)+COUNTIF(H$11:H122,H122)-1)))</f>
        <v/>
      </c>
      <c r="J122" s="41"/>
      <c r="K122" s="36" t="str">
        <f t="shared" si="62"/>
        <v/>
      </c>
      <c r="L122" t="str">
        <f t="shared" si="63"/>
        <v/>
      </c>
      <c r="M122" s="117" t="str">
        <f t="shared" si="64"/>
        <v/>
      </c>
      <c r="N122" s="112" t="str">
        <f t="shared" si="65"/>
        <v/>
      </c>
      <c r="O122" s="96" t="str">
        <f t="shared" si="66"/>
        <v/>
      </c>
      <c r="P122" s="96" t="str">
        <f t="shared" si="67"/>
        <v/>
      </c>
      <c r="Q122" s="96" t="str">
        <f t="shared" si="68"/>
        <v/>
      </c>
      <c r="R122" s="92" t="str">
        <f t="shared" si="69"/>
        <v/>
      </c>
      <c r="S122" s="42" t="str">
        <f t="shared" si="70"/>
        <v/>
      </c>
      <c r="T122" s="167" t="str">
        <f>IF(L122="","",VLOOKUP(L122,classifications!C:K,9,FALSE))</f>
        <v/>
      </c>
      <c r="U122" s="168" t="str">
        <f t="shared" si="71"/>
        <v/>
      </c>
      <c r="V122" s="174" t="str">
        <f>IF(U122="","",IF($I$8="A",(RANK(U122,U$11:U$343)+COUNTIF(U$11:U122,U122)-1),(RANK(U122,U$11:U$343,1)+COUNTIF(U$11:U122,U122)-1)))</f>
        <v/>
      </c>
      <c r="W122" s="175"/>
      <c r="X122" s="5" t="str">
        <f>IF(L122="","",VLOOKUP($L122,classifications!$C:$J,6,FALSE))</f>
        <v/>
      </c>
      <c r="Y122" t="str">
        <f t="shared" si="72"/>
        <v/>
      </c>
      <c r="Z122" s="40" t="str">
        <f>IF(Y122="","",IF(I$8="A",(RANK(Y122,Y$11:Y$343,1)+COUNTIF(Y$11:Y122,Y122)-1),(RANK(Y122,Y$11:Y$343)+COUNTIF(Y$11:Y122,Y122)-1)))</f>
        <v/>
      </c>
      <c r="AA122" s="180" t="str">
        <f>IF(L122="","",VLOOKUP($L122,classifications!C:I,7,FALSE))</f>
        <v/>
      </c>
      <c r="AB122" s="174" t="str">
        <f t="shared" si="73"/>
        <v/>
      </c>
      <c r="AC122" s="174" t="str">
        <f>IF(AB122="","",IF($I$8="A",(RANK(AB122,AB$11:AB$343)+COUNTIF(AB$11:AB122,AB122)-1),(RANK(AB122,AB$11:AB$343,1)+COUNTIF(AB$11:AB122,AB122)-1)))</f>
        <v/>
      </c>
      <c r="AD122" s="174"/>
      <c r="AE122" s="36" t="str">
        <f t="shared" si="74"/>
        <v/>
      </c>
      <c r="AG122" s="15"/>
      <c r="AH122" s="3"/>
      <c r="AI122" s="5" t="str">
        <f>IF(L122="","",VLOOKUP($L122,classifications!$C:$J,8,FALSE))</f>
        <v/>
      </c>
      <c r="AJ122" s="43" t="str">
        <f t="shared" si="75"/>
        <v/>
      </c>
      <c r="AK122" s="40" t="str">
        <f>IF(AJ122="","",IF(I$8="A",(RANK(AJ122,AJ$11:AJ$343,1)+COUNTIF(AJ$11:AJ122,AJ122)-1),(RANK(AJ122,AJ$11:AJ$343)+COUNTIF(AJ$11:AJ122,AJ122)-1)))</f>
        <v/>
      </c>
      <c r="AL122" s="3" t="str">
        <f t="shared" si="76"/>
        <v/>
      </c>
      <c r="AM122" t="str">
        <f t="shared" si="77"/>
        <v/>
      </c>
      <c r="AN122" t="str">
        <f t="shared" si="78"/>
        <v/>
      </c>
      <c r="AP122" s="5" t="str">
        <f>IF(L122="","",VLOOKUP($L122,classifications!$C:$E,3,FALSE))</f>
        <v/>
      </c>
      <c r="AQ122" s="43" t="str">
        <f t="shared" si="79"/>
        <v/>
      </c>
      <c r="AR122" s="40" t="str">
        <f>IF(AQ122="","",IF(I$8="A",(RANK(AQ122,AQ$11:AQ$343,1)+COUNTIF(AQ$11:AQ122,AQ122)-1),(RANK(AQ122,AQ$11:AQ$343)+COUNTIF(AQ$11:AQ122,AQ122)-1)))</f>
        <v/>
      </c>
      <c r="AS122" s="3" t="str">
        <f t="shared" si="80"/>
        <v/>
      </c>
      <c r="AT122" s="40" t="str">
        <f t="shared" si="81"/>
        <v/>
      </c>
      <c r="AU122" s="43" t="str">
        <f t="shared" si="82"/>
        <v/>
      </c>
      <c r="AX122">
        <f>HLOOKUP($AX$9&amp;$AX$10,Data!$A$1:$ZZ$1980,(MATCH($C122,Data!$A$1:$A$1980,0)),FALSE)</f>
        <v>287.39999999999998</v>
      </c>
    </row>
    <row r="123" spans="1:50">
      <c r="A123" s="59" t="str">
        <f>$D$1&amp;113</f>
        <v>UA113</v>
      </c>
      <c r="B123" s="60">
        <f>IF(ISERROR(VLOOKUP(A125,classifications!A:C,3,FALSE)),0,VLOOKUP(A125,classifications!A:C,3,FALSE))</f>
        <v>0</v>
      </c>
      <c r="C123" t="s">
        <v>75</v>
      </c>
      <c r="D123" t="str">
        <f>VLOOKUP($C123,classifications!$C:$J,4,FALSE)</f>
        <v>SD</v>
      </c>
      <c r="E123">
        <f>VLOOKUP(C123,classifications!C:K,9,FALSE)</f>
        <v>0</v>
      </c>
      <c r="F123">
        <f t="shared" si="60"/>
        <v>331.8</v>
      </c>
      <c r="G123" s="15"/>
      <c r="H123" s="42" t="str">
        <f t="shared" si="61"/>
        <v/>
      </c>
      <c r="I123" s="79" t="str">
        <f>IF(H123="","",IF($I$8="A",(RANK(H123,H$11:H$343,1)+COUNTIF(H$11:H123,H123)-1),(RANK(H123,H$11:H$343)+COUNTIF(H$11:H123,H123)-1)))</f>
        <v/>
      </c>
      <c r="J123" s="41"/>
      <c r="K123" s="36" t="str">
        <f t="shared" si="62"/>
        <v/>
      </c>
      <c r="L123" t="str">
        <f t="shared" si="63"/>
        <v/>
      </c>
      <c r="M123" s="117" t="str">
        <f t="shared" si="64"/>
        <v/>
      </c>
      <c r="N123" s="112" t="str">
        <f t="shared" si="65"/>
        <v/>
      </c>
      <c r="O123" s="96" t="str">
        <f t="shared" si="66"/>
        <v/>
      </c>
      <c r="P123" s="96" t="str">
        <f t="shared" si="67"/>
        <v/>
      </c>
      <c r="Q123" s="96" t="str">
        <f t="shared" si="68"/>
        <v/>
      </c>
      <c r="R123" s="92" t="str">
        <f t="shared" si="69"/>
        <v/>
      </c>
      <c r="S123" s="42" t="str">
        <f t="shared" si="70"/>
        <v/>
      </c>
      <c r="T123" s="167" t="str">
        <f>IF(L123="","",VLOOKUP(L123,classifications!C:K,9,FALSE))</f>
        <v/>
      </c>
      <c r="U123" s="168" t="str">
        <f t="shared" si="71"/>
        <v/>
      </c>
      <c r="V123" s="174" t="str">
        <f>IF(U123="","",IF($I$8="A",(RANK(U123,U$11:U$343)+COUNTIF(U$11:U123,U123)-1),(RANK(U123,U$11:U$343,1)+COUNTIF(U$11:U123,U123)-1)))</f>
        <v/>
      </c>
      <c r="W123" s="175"/>
      <c r="X123" s="5" t="str">
        <f>IF(L123="","",VLOOKUP($L123,classifications!$C:$J,6,FALSE))</f>
        <v/>
      </c>
      <c r="Y123" t="str">
        <f t="shared" si="72"/>
        <v/>
      </c>
      <c r="Z123" s="40" t="str">
        <f>IF(Y123="","",IF(I$8="A",(RANK(Y123,Y$11:Y$343,1)+COUNTIF(Y$11:Y123,Y123)-1),(RANK(Y123,Y$11:Y$343)+COUNTIF(Y$11:Y123,Y123)-1)))</f>
        <v/>
      </c>
      <c r="AA123" s="180" t="str">
        <f>IF(L123="","",VLOOKUP($L123,classifications!C:I,7,FALSE))</f>
        <v/>
      </c>
      <c r="AB123" s="174" t="str">
        <f t="shared" si="73"/>
        <v/>
      </c>
      <c r="AC123" s="174" t="str">
        <f>IF(AB123="","",IF($I$8="A",(RANK(AB123,AB$11:AB$343)+COUNTIF(AB$11:AB123,AB123)-1),(RANK(AB123,AB$11:AB$343,1)+COUNTIF(AB$11:AB123,AB123)-1)))</f>
        <v/>
      </c>
      <c r="AD123" s="174"/>
      <c r="AE123" s="36" t="str">
        <f t="shared" si="74"/>
        <v/>
      </c>
      <c r="AG123" s="15"/>
      <c r="AH123" s="3"/>
      <c r="AI123" s="5" t="str">
        <f>IF(L123="","",VLOOKUP($L123,classifications!$C:$J,8,FALSE))</f>
        <v/>
      </c>
      <c r="AJ123" s="43" t="str">
        <f t="shared" si="75"/>
        <v/>
      </c>
      <c r="AK123" s="40" t="str">
        <f>IF(AJ123="","",IF(I$8="A",(RANK(AJ123,AJ$11:AJ$343,1)+COUNTIF(AJ$11:AJ123,AJ123)-1),(RANK(AJ123,AJ$11:AJ$343)+COUNTIF(AJ$11:AJ123,AJ123)-1)))</f>
        <v/>
      </c>
      <c r="AL123" s="3" t="str">
        <f t="shared" si="76"/>
        <v/>
      </c>
      <c r="AM123" t="str">
        <f t="shared" si="77"/>
        <v/>
      </c>
      <c r="AN123" t="str">
        <f t="shared" si="78"/>
        <v/>
      </c>
      <c r="AP123" s="5" t="str">
        <f>IF(L123="","",VLOOKUP($L123,classifications!$C:$E,3,FALSE))</f>
        <v/>
      </c>
      <c r="AQ123" s="43" t="str">
        <f t="shared" si="79"/>
        <v/>
      </c>
      <c r="AR123" s="40" t="str">
        <f>IF(AQ123="","",IF(I$8="A",(RANK(AQ123,AQ$11:AQ$343,1)+COUNTIF(AQ$11:AQ123,AQ123)-1),(RANK(AQ123,AQ$11:AQ$343)+COUNTIF(AQ$11:AQ123,AQ123)-1)))</f>
        <v/>
      </c>
      <c r="AS123" s="3" t="str">
        <f t="shared" si="80"/>
        <v/>
      </c>
      <c r="AT123" s="40" t="str">
        <f t="shared" si="81"/>
        <v/>
      </c>
      <c r="AU123" s="43" t="str">
        <f t="shared" si="82"/>
        <v/>
      </c>
      <c r="AX123">
        <f>HLOOKUP($AX$9&amp;$AX$10,Data!$A$1:$ZZ$1980,(MATCH($C123,Data!$A$1:$A$1980,0)),FALSE)</f>
        <v>331.8</v>
      </c>
    </row>
    <row r="124" spans="1:50">
      <c r="A124" s="59" t="str">
        <f>$D$1&amp;114</f>
        <v>UA114</v>
      </c>
      <c r="B124" s="60">
        <f>IF(ISERROR(VLOOKUP(A126,classifications!A:C,3,FALSE)),0,VLOOKUP(A126,classifications!A:C,3,FALSE))</f>
        <v>0</v>
      </c>
      <c r="C124" t="s">
        <v>76</v>
      </c>
      <c r="D124" t="str">
        <f>VLOOKUP($C124,classifications!$C:$J,4,FALSE)</f>
        <v>SD</v>
      </c>
      <c r="E124">
        <f>VLOOKUP(C124,classifications!C:K,9,FALSE)</f>
        <v>0</v>
      </c>
      <c r="F124">
        <f t="shared" si="60"/>
        <v>375.2</v>
      </c>
      <c r="G124" s="15"/>
      <c r="H124" s="42" t="str">
        <f t="shared" si="61"/>
        <v/>
      </c>
      <c r="I124" s="79" t="str">
        <f>IF(H124="","",IF($I$8="A",(RANK(H124,H$11:H$343,1)+COUNTIF(H$11:H124,H124)-1),(RANK(H124,H$11:H$343)+COUNTIF(H$11:H124,H124)-1)))</f>
        <v/>
      </c>
      <c r="J124" s="41"/>
      <c r="K124" s="36" t="str">
        <f t="shared" si="62"/>
        <v/>
      </c>
      <c r="L124" t="str">
        <f t="shared" si="63"/>
        <v/>
      </c>
      <c r="M124" s="117" t="str">
        <f t="shared" si="64"/>
        <v/>
      </c>
      <c r="N124" s="112" t="str">
        <f t="shared" si="65"/>
        <v/>
      </c>
      <c r="O124" s="96" t="str">
        <f t="shared" si="66"/>
        <v/>
      </c>
      <c r="P124" s="96" t="str">
        <f t="shared" si="67"/>
        <v/>
      </c>
      <c r="Q124" s="96" t="str">
        <f t="shared" si="68"/>
        <v/>
      </c>
      <c r="R124" s="92" t="str">
        <f t="shared" si="69"/>
        <v/>
      </c>
      <c r="S124" s="42" t="str">
        <f t="shared" si="70"/>
        <v/>
      </c>
      <c r="T124" s="167" t="str">
        <f>IF(L124="","",VLOOKUP(L124,classifications!C:K,9,FALSE))</f>
        <v/>
      </c>
      <c r="U124" s="168" t="str">
        <f t="shared" si="71"/>
        <v/>
      </c>
      <c r="V124" s="174" t="str">
        <f>IF(U124="","",IF($I$8="A",(RANK(U124,U$11:U$343)+COUNTIF(U$11:U124,U124)-1),(RANK(U124,U$11:U$343,1)+COUNTIF(U$11:U124,U124)-1)))</f>
        <v/>
      </c>
      <c r="W124" s="175"/>
      <c r="X124" s="5" t="str">
        <f>IF(L124="","",VLOOKUP($L124,classifications!$C:$J,6,FALSE))</f>
        <v/>
      </c>
      <c r="Y124" t="str">
        <f t="shared" si="72"/>
        <v/>
      </c>
      <c r="Z124" s="40" t="str">
        <f>IF(Y124="","",IF(I$8="A",(RANK(Y124,Y$11:Y$343,1)+COUNTIF(Y$11:Y124,Y124)-1),(RANK(Y124,Y$11:Y$343)+COUNTIF(Y$11:Y124,Y124)-1)))</f>
        <v/>
      </c>
      <c r="AA124" s="180" t="str">
        <f>IF(L124="","",VLOOKUP($L124,classifications!C:I,7,FALSE))</f>
        <v/>
      </c>
      <c r="AB124" s="174" t="str">
        <f t="shared" si="73"/>
        <v/>
      </c>
      <c r="AC124" s="174" t="str">
        <f>IF(AB124="","",IF($I$8="A",(RANK(AB124,AB$11:AB$343)+COUNTIF(AB$11:AB124,AB124)-1),(RANK(AB124,AB$11:AB$343,1)+COUNTIF(AB$11:AB124,AB124)-1)))</f>
        <v/>
      </c>
      <c r="AD124" s="174"/>
      <c r="AE124" s="36" t="str">
        <f t="shared" si="74"/>
        <v/>
      </c>
      <c r="AG124" s="15"/>
      <c r="AH124" s="3"/>
      <c r="AI124" s="5" t="str">
        <f>IF(L124="","",VLOOKUP($L124,classifications!$C:$J,8,FALSE))</f>
        <v/>
      </c>
      <c r="AJ124" s="43" t="str">
        <f t="shared" si="75"/>
        <v/>
      </c>
      <c r="AK124" s="40" t="str">
        <f>IF(AJ124="","",IF(I$8="A",(RANK(AJ124,AJ$11:AJ$343,1)+COUNTIF(AJ$11:AJ124,AJ124)-1),(RANK(AJ124,AJ$11:AJ$343)+COUNTIF(AJ$11:AJ124,AJ124)-1)))</f>
        <v/>
      </c>
      <c r="AL124" s="3" t="str">
        <f t="shared" si="76"/>
        <v/>
      </c>
      <c r="AM124" t="str">
        <f t="shared" si="77"/>
        <v/>
      </c>
      <c r="AN124" t="str">
        <f t="shared" si="78"/>
        <v/>
      </c>
      <c r="AP124" s="5" t="str">
        <f>IF(L124="","",VLOOKUP($L124,classifications!$C:$E,3,FALSE))</f>
        <v/>
      </c>
      <c r="AQ124" s="43" t="str">
        <f t="shared" si="79"/>
        <v/>
      </c>
      <c r="AR124" s="40" t="str">
        <f>IF(AQ124="","",IF(I$8="A",(RANK(AQ124,AQ$11:AQ$343,1)+COUNTIF(AQ$11:AQ124,AQ124)-1),(RANK(AQ124,AQ$11:AQ$343)+COUNTIF(AQ$11:AQ124,AQ124)-1)))</f>
        <v/>
      </c>
      <c r="AS124" s="3" t="str">
        <f t="shared" si="80"/>
        <v/>
      </c>
      <c r="AT124" s="40" t="str">
        <f t="shared" si="81"/>
        <v/>
      </c>
      <c r="AU124" s="43" t="str">
        <f t="shared" si="82"/>
        <v/>
      </c>
      <c r="AX124">
        <f>HLOOKUP($AX$9&amp;$AX$10,Data!$A$1:$ZZ$1980,(MATCH($C124,Data!$A$1:$A$1980,0)),FALSE)</f>
        <v>375.2</v>
      </c>
    </row>
    <row r="125" spans="1:50">
      <c r="A125" s="59" t="str">
        <f>$D$1&amp;115</f>
        <v>UA115</v>
      </c>
      <c r="B125" s="60">
        <f>IF(ISERROR(VLOOKUP(A127,classifications!A:C,3,FALSE)),0,VLOOKUP(A127,classifications!A:C,3,FALSE))</f>
        <v>0</v>
      </c>
      <c r="C125" t="s">
        <v>205</v>
      </c>
      <c r="D125" t="str">
        <f>VLOOKUP($C125,classifications!$C:$J,4,FALSE)</f>
        <v>L</v>
      </c>
      <c r="E125">
        <f>VLOOKUP(C125,classifications!C:K,9,FALSE)</f>
        <v>0</v>
      </c>
      <c r="F125">
        <f t="shared" si="60"/>
        <v>343.5</v>
      </c>
      <c r="G125" s="15"/>
      <c r="H125" s="42" t="str">
        <f t="shared" si="61"/>
        <v/>
      </c>
      <c r="I125" s="79" t="str">
        <f>IF(H125="","",IF($I$8="A",(RANK(H125,H$11:H$343,1)+COUNTIF(H$11:H125,H125)-1),(RANK(H125,H$11:H$343)+COUNTIF(H$11:H125,H125)-1)))</f>
        <v/>
      </c>
      <c r="J125" s="41"/>
      <c r="K125" s="36" t="str">
        <f t="shared" si="62"/>
        <v/>
      </c>
      <c r="L125" t="str">
        <f t="shared" si="63"/>
        <v/>
      </c>
      <c r="M125" s="117" t="str">
        <f t="shared" si="64"/>
        <v/>
      </c>
      <c r="N125" s="112" t="str">
        <f t="shared" si="65"/>
        <v/>
      </c>
      <c r="O125" s="96" t="str">
        <f t="shared" si="66"/>
        <v/>
      </c>
      <c r="P125" s="96" t="str">
        <f t="shared" si="67"/>
        <v/>
      </c>
      <c r="Q125" s="96" t="str">
        <f t="shared" si="68"/>
        <v/>
      </c>
      <c r="R125" s="92" t="str">
        <f t="shared" si="69"/>
        <v/>
      </c>
      <c r="S125" s="42" t="str">
        <f t="shared" si="70"/>
        <v/>
      </c>
      <c r="T125" s="167" t="str">
        <f>IF(L125="","",VLOOKUP(L125,classifications!C:K,9,FALSE))</f>
        <v/>
      </c>
      <c r="U125" s="168" t="str">
        <f t="shared" si="71"/>
        <v/>
      </c>
      <c r="V125" s="174" t="str">
        <f>IF(U125="","",IF($I$8="A",(RANK(U125,U$11:U$343)+COUNTIF(U$11:U125,U125)-1),(RANK(U125,U$11:U$343,1)+COUNTIF(U$11:U125,U125)-1)))</f>
        <v/>
      </c>
      <c r="W125" s="175"/>
      <c r="X125" s="5" t="str">
        <f>IF(L125="","",VLOOKUP($L125,classifications!$C:$J,6,FALSE))</f>
        <v/>
      </c>
      <c r="Y125" t="str">
        <f t="shared" si="72"/>
        <v/>
      </c>
      <c r="Z125" s="40" t="str">
        <f>IF(Y125="","",IF(I$8="A",(RANK(Y125,Y$11:Y$343,1)+COUNTIF(Y$11:Y125,Y125)-1),(RANK(Y125,Y$11:Y$343)+COUNTIF(Y$11:Y125,Y125)-1)))</f>
        <v/>
      </c>
      <c r="AA125" s="180" t="str">
        <f>IF(L125="","",VLOOKUP($L125,classifications!C:I,7,FALSE))</f>
        <v/>
      </c>
      <c r="AB125" s="174" t="str">
        <f t="shared" si="73"/>
        <v/>
      </c>
      <c r="AC125" s="174" t="str">
        <f>IF(AB125="","",IF($I$8="A",(RANK(AB125,AB$11:AB$343)+COUNTIF(AB$11:AB125,AB125)-1),(RANK(AB125,AB$11:AB$343,1)+COUNTIF(AB$11:AB125,AB125)-1)))</f>
        <v/>
      </c>
      <c r="AD125" s="174"/>
      <c r="AE125" s="36" t="str">
        <f t="shared" si="74"/>
        <v/>
      </c>
      <c r="AG125" s="15"/>
      <c r="AH125" s="3"/>
      <c r="AI125" s="5" t="str">
        <f>IF(L125="","",VLOOKUP($L125,classifications!$C:$J,8,FALSE))</f>
        <v/>
      </c>
      <c r="AJ125" s="43" t="str">
        <f t="shared" si="75"/>
        <v/>
      </c>
      <c r="AK125" s="40" t="str">
        <f>IF(AJ125="","",IF(I$8="A",(RANK(AJ125,AJ$11:AJ$343,1)+COUNTIF(AJ$11:AJ125,AJ125)-1),(RANK(AJ125,AJ$11:AJ$343)+COUNTIF(AJ$11:AJ125,AJ125)-1)))</f>
        <v/>
      </c>
      <c r="AL125" s="3" t="str">
        <f t="shared" si="76"/>
        <v/>
      </c>
      <c r="AM125" t="str">
        <f t="shared" si="77"/>
        <v/>
      </c>
      <c r="AN125" t="str">
        <f t="shared" si="78"/>
        <v/>
      </c>
      <c r="AP125" s="5" t="str">
        <f>IF(L125="","",VLOOKUP($L125,classifications!$C:$E,3,FALSE))</f>
        <v/>
      </c>
      <c r="AQ125" s="43" t="str">
        <f t="shared" si="79"/>
        <v/>
      </c>
      <c r="AR125" s="40" t="str">
        <f>IF(AQ125="","",IF(I$8="A",(RANK(AQ125,AQ$11:AQ$343,1)+COUNTIF(AQ$11:AQ125,AQ125)-1),(RANK(AQ125,AQ$11:AQ$343)+COUNTIF(AQ$11:AQ125,AQ125)-1)))</f>
        <v/>
      </c>
      <c r="AS125" s="3" t="str">
        <f t="shared" si="80"/>
        <v/>
      </c>
      <c r="AT125" s="40" t="str">
        <f t="shared" si="81"/>
        <v/>
      </c>
      <c r="AU125" s="43" t="str">
        <f t="shared" si="82"/>
        <v/>
      </c>
      <c r="AX125">
        <f>HLOOKUP($AX$9&amp;$AX$10,Data!$A$1:$ZZ$1980,(MATCH($C125,Data!$A$1:$A$1980,0)),FALSE)</f>
        <v>343.5</v>
      </c>
    </row>
    <row r="126" spans="1:50">
      <c r="A126" s="59" t="str">
        <f>$D$1&amp;116</f>
        <v>UA116</v>
      </c>
      <c r="B126" s="60">
        <f>IF(ISERROR(VLOOKUP(A128,classifications!A:C,3,FALSE)),0,VLOOKUP(A128,classifications!A:C,3,FALSE))</f>
        <v>0</v>
      </c>
      <c r="C126" t="s">
        <v>77</v>
      </c>
      <c r="D126" t="str">
        <f>VLOOKUP($C126,classifications!$C:$J,4,FALSE)</f>
        <v>SD</v>
      </c>
      <c r="E126">
        <f>VLOOKUP(C126,classifications!C:K,9,FALSE)</f>
        <v>0</v>
      </c>
      <c r="F126">
        <f t="shared" si="60"/>
        <v>347.3</v>
      </c>
      <c r="G126" s="15"/>
      <c r="H126" s="42" t="str">
        <f t="shared" si="61"/>
        <v/>
      </c>
      <c r="I126" s="79" t="str">
        <f>IF(H126="","",IF($I$8="A",(RANK(H126,H$11:H$343,1)+COUNTIF(H$11:H126,H126)-1),(RANK(H126,H$11:H$343)+COUNTIF(H$11:H126,H126)-1)))</f>
        <v/>
      </c>
      <c r="J126" s="41"/>
      <c r="K126" s="36" t="str">
        <f t="shared" si="62"/>
        <v/>
      </c>
      <c r="L126" t="str">
        <f t="shared" si="63"/>
        <v/>
      </c>
      <c r="M126" s="117" t="str">
        <f t="shared" si="64"/>
        <v/>
      </c>
      <c r="N126" s="112" t="str">
        <f t="shared" si="65"/>
        <v/>
      </c>
      <c r="O126" s="96" t="str">
        <f t="shared" si="66"/>
        <v/>
      </c>
      <c r="P126" s="96" t="str">
        <f t="shared" si="67"/>
        <v/>
      </c>
      <c r="Q126" s="96" t="str">
        <f t="shared" si="68"/>
        <v/>
      </c>
      <c r="R126" s="92" t="str">
        <f t="shared" si="69"/>
        <v/>
      </c>
      <c r="S126" s="42" t="str">
        <f t="shared" si="70"/>
        <v/>
      </c>
      <c r="T126" s="167" t="str">
        <f>IF(L126="","",VLOOKUP(L126,classifications!C:K,9,FALSE))</f>
        <v/>
      </c>
      <c r="U126" s="168" t="str">
        <f t="shared" si="71"/>
        <v/>
      </c>
      <c r="V126" s="174" t="str">
        <f>IF(U126="","",IF($I$8="A",(RANK(U126,U$11:U$343)+COUNTIF(U$11:U126,U126)-1),(RANK(U126,U$11:U$343,1)+COUNTIF(U$11:U126,U126)-1)))</f>
        <v/>
      </c>
      <c r="W126" s="175"/>
      <c r="X126" s="5" t="str">
        <f>IF(L126="","",VLOOKUP($L126,classifications!$C:$J,6,FALSE))</f>
        <v/>
      </c>
      <c r="Y126" t="str">
        <f t="shared" si="72"/>
        <v/>
      </c>
      <c r="Z126" s="40" t="str">
        <f>IF(Y126="","",IF(I$8="A",(RANK(Y126,Y$11:Y$343,1)+COUNTIF(Y$11:Y126,Y126)-1),(RANK(Y126,Y$11:Y$343)+COUNTIF(Y$11:Y126,Y126)-1)))</f>
        <v/>
      </c>
      <c r="AA126" s="180" t="str">
        <f>IF(L126="","",VLOOKUP($L126,classifications!C:I,7,FALSE))</f>
        <v/>
      </c>
      <c r="AB126" s="174" t="str">
        <f t="shared" si="73"/>
        <v/>
      </c>
      <c r="AC126" s="174" t="str">
        <f>IF(AB126="","",IF($I$8="A",(RANK(AB126,AB$11:AB$343)+COUNTIF(AB$11:AB126,AB126)-1),(RANK(AB126,AB$11:AB$343,1)+COUNTIF(AB$11:AB126,AB126)-1)))</f>
        <v/>
      </c>
      <c r="AD126" s="174"/>
      <c r="AE126" s="36" t="str">
        <f t="shared" si="74"/>
        <v/>
      </c>
      <c r="AG126" s="15"/>
      <c r="AH126" s="3"/>
      <c r="AI126" s="5" t="str">
        <f>IF(L126="","",VLOOKUP($L126,classifications!$C:$J,8,FALSE))</f>
        <v/>
      </c>
      <c r="AJ126" s="43" t="str">
        <f t="shared" si="75"/>
        <v/>
      </c>
      <c r="AK126" s="40" t="str">
        <f>IF(AJ126="","",IF(I$8="A",(RANK(AJ126,AJ$11:AJ$343,1)+COUNTIF(AJ$11:AJ126,AJ126)-1),(RANK(AJ126,AJ$11:AJ$343)+COUNTIF(AJ$11:AJ126,AJ126)-1)))</f>
        <v/>
      </c>
      <c r="AL126" s="3" t="str">
        <f t="shared" si="76"/>
        <v/>
      </c>
      <c r="AM126" t="str">
        <f t="shared" si="77"/>
        <v/>
      </c>
      <c r="AN126" t="str">
        <f t="shared" si="78"/>
        <v/>
      </c>
      <c r="AP126" s="5" t="str">
        <f>IF(L126="","",VLOOKUP($L126,classifications!$C:$E,3,FALSE))</f>
        <v/>
      </c>
      <c r="AQ126" s="43" t="str">
        <f t="shared" si="79"/>
        <v/>
      </c>
      <c r="AR126" s="40" t="str">
        <f>IF(AQ126="","",IF(I$8="A",(RANK(AQ126,AQ$11:AQ$343,1)+COUNTIF(AQ$11:AQ126,AQ126)-1),(RANK(AQ126,AQ$11:AQ$343)+COUNTIF(AQ$11:AQ126,AQ126)-1)))</f>
        <v/>
      </c>
      <c r="AS126" s="3" t="str">
        <f t="shared" si="80"/>
        <v/>
      </c>
      <c r="AT126" s="40" t="str">
        <f t="shared" si="81"/>
        <v/>
      </c>
      <c r="AU126" s="43" t="str">
        <f t="shared" si="82"/>
        <v/>
      </c>
      <c r="AX126">
        <f>HLOOKUP($AX$9&amp;$AX$10,Data!$A$1:$ZZ$1980,(MATCH($C126,Data!$A$1:$A$1980,0)),FALSE)</f>
        <v>347.3</v>
      </c>
    </row>
    <row r="127" spans="1:50">
      <c r="A127" s="59" t="str">
        <f>$D$1&amp;117</f>
        <v>UA117</v>
      </c>
      <c r="B127" s="60">
        <f>IF(ISERROR(VLOOKUP(A129,classifications!A:C,3,FALSE)),0,VLOOKUP(A129,classifications!A:C,3,FALSE))</f>
        <v>0</v>
      </c>
      <c r="C127" t="s">
        <v>206</v>
      </c>
      <c r="D127" t="str">
        <f>VLOOKUP($C127,classifications!$C:$J,4,FALSE)</f>
        <v>L</v>
      </c>
      <c r="E127">
        <f>VLOOKUP(C127,classifications!C:K,9,FALSE)</f>
        <v>0</v>
      </c>
      <c r="F127">
        <f t="shared" si="60"/>
        <v>316.39999999999998</v>
      </c>
      <c r="G127" s="15"/>
      <c r="H127" s="42" t="str">
        <f t="shared" si="61"/>
        <v/>
      </c>
      <c r="I127" s="79" t="str">
        <f>IF(H127="","",IF($I$8="A",(RANK(H127,H$11:H$343,1)+COUNTIF(H$11:H127,H127)-1),(RANK(H127,H$11:H$343)+COUNTIF(H$11:H127,H127)-1)))</f>
        <v/>
      </c>
      <c r="J127" s="41"/>
      <c r="K127" s="36" t="str">
        <f t="shared" si="62"/>
        <v/>
      </c>
      <c r="L127" t="str">
        <f t="shared" si="63"/>
        <v/>
      </c>
      <c r="M127" s="117" t="str">
        <f t="shared" si="64"/>
        <v/>
      </c>
      <c r="N127" s="112" t="str">
        <f t="shared" si="65"/>
        <v/>
      </c>
      <c r="O127" s="96" t="str">
        <f t="shared" si="66"/>
        <v/>
      </c>
      <c r="P127" s="96" t="str">
        <f t="shared" si="67"/>
        <v/>
      </c>
      <c r="Q127" s="96" t="str">
        <f t="shared" si="68"/>
        <v/>
      </c>
      <c r="R127" s="92" t="str">
        <f t="shared" si="69"/>
        <v/>
      </c>
      <c r="S127" s="42" t="str">
        <f t="shared" si="70"/>
        <v/>
      </c>
      <c r="T127" s="167" t="str">
        <f>IF(L127="","",VLOOKUP(L127,classifications!C:K,9,FALSE))</f>
        <v/>
      </c>
      <c r="U127" s="168" t="str">
        <f t="shared" si="71"/>
        <v/>
      </c>
      <c r="V127" s="174" t="str">
        <f>IF(U127="","",IF($I$8="A",(RANK(U127,U$11:U$343)+COUNTIF(U$11:U127,U127)-1),(RANK(U127,U$11:U$343,1)+COUNTIF(U$11:U127,U127)-1)))</f>
        <v/>
      </c>
      <c r="W127" s="175"/>
      <c r="X127" s="5" t="str">
        <f>IF(L127="","",VLOOKUP($L127,classifications!$C:$J,6,FALSE))</f>
        <v/>
      </c>
      <c r="Y127" t="str">
        <f t="shared" si="72"/>
        <v/>
      </c>
      <c r="Z127" s="40" t="str">
        <f>IF(Y127="","",IF(I$8="A",(RANK(Y127,Y$11:Y$343,1)+COUNTIF(Y$11:Y127,Y127)-1),(RANK(Y127,Y$11:Y$343)+COUNTIF(Y$11:Y127,Y127)-1)))</f>
        <v/>
      </c>
      <c r="AA127" s="180" t="str">
        <f>IF(L127="","",VLOOKUP($L127,classifications!C:I,7,FALSE))</f>
        <v/>
      </c>
      <c r="AB127" s="174" t="str">
        <f t="shared" si="73"/>
        <v/>
      </c>
      <c r="AC127" s="174" t="str">
        <f>IF(AB127="","",IF($I$8="A",(RANK(AB127,AB$11:AB$343)+COUNTIF(AB$11:AB127,AB127)-1),(RANK(AB127,AB$11:AB$343,1)+COUNTIF(AB$11:AB127,AB127)-1)))</f>
        <v/>
      </c>
      <c r="AD127" s="174"/>
      <c r="AE127" s="36" t="str">
        <f t="shared" si="74"/>
        <v/>
      </c>
      <c r="AG127" s="15"/>
      <c r="AH127" s="3"/>
      <c r="AI127" s="5" t="str">
        <f>IF(L127="","",VLOOKUP($L127,classifications!$C:$J,8,FALSE))</f>
        <v/>
      </c>
      <c r="AJ127" s="43" t="str">
        <f t="shared" si="75"/>
        <v/>
      </c>
      <c r="AK127" s="40" t="str">
        <f>IF(AJ127="","",IF(I$8="A",(RANK(AJ127,AJ$11:AJ$343,1)+COUNTIF(AJ$11:AJ127,AJ127)-1),(RANK(AJ127,AJ$11:AJ$343)+COUNTIF(AJ$11:AJ127,AJ127)-1)))</f>
        <v/>
      </c>
      <c r="AL127" s="3" t="str">
        <f t="shared" si="76"/>
        <v/>
      </c>
      <c r="AM127" t="str">
        <f t="shared" si="77"/>
        <v/>
      </c>
      <c r="AN127" t="str">
        <f t="shared" si="78"/>
        <v/>
      </c>
      <c r="AP127" s="5" t="str">
        <f>IF(L127="","",VLOOKUP($L127,classifications!$C:$E,3,FALSE))</f>
        <v/>
      </c>
      <c r="AQ127" s="43" t="str">
        <f t="shared" si="79"/>
        <v/>
      </c>
      <c r="AR127" s="40" t="str">
        <f>IF(AQ127="","",IF(I$8="A",(RANK(AQ127,AQ$11:AQ$343,1)+COUNTIF(AQ$11:AQ127,AQ127)-1),(RANK(AQ127,AQ$11:AQ$343)+COUNTIF(AQ$11:AQ127,AQ127)-1)))</f>
        <v/>
      </c>
      <c r="AS127" s="3" t="str">
        <f t="shared" si="80"/>
        <v/>
      </c>
      <c r="AT127" s="40" t="str">
        <f t="shared" si="81"/>
        <v/>
      </c>
      <c r="AU127" s="43" t="str">
        <f t="shared" si="82"/>
        <v/>
      </c>
      <c r="AX127">
        <f>HLOOKUP($AX$9&amp;$AX$10,Data!$A$1:$ZZ$1980,(MATCH($C127,Data!$A$1:$A$1980,0)),FALSE)</f>
        <v>316.39999999999998</v>
      </c>
    </row>
    <row r="128" spans="1:50">
      <c r="A128" s="59" t="str">
        <f>$D$1&amp;118</f>
        <v>UA118</v>
      </c>
      <c r="B128" s="60">
        <f>IF(ISERROR(VLOOKUP(A130,classifications!A:C,3,FALSE)),0,VLOOKUP(A130,classifications!A:C,3,FALSE))</f>
        <v>0</v>
      </c>
      <c r="C128" t="s">
        <v>269</v>
      </c>
      <c r="D128" t="str">
        <f>VLOOKUP($C128,classifications!$C:$J,4,FALSE)</f>
        <v>UA</v>
      </c>
      <c r="E128">
        <f>VLOOKUP(C128,classifications!C:K,9,FALSE)</f>
        <v>0</v>
      </c>
      <c r="F128">
        <f t="shared" si="60"/>
        <v>422.3</v>
      </c>
      <c r="G128" s="15"/>
      <c r="H128" s="42">
        <f t="shared" si="61"/>
        <v>422.3</v>
      </c>
      <c r="I128" s="79">
        <f>IF(H128="","",IF($I$8="A",(RANK(H128,H$11:H$343,1)+COUNTIF(H$11:H128,H128)-1),(RANK(H128,H$11:H$343)+COUNTIF(H$11:H128,H128)-1)))</f>
        <v>43</v>
      </c>
      <c r="J128" s="41"/>
      <c r="K128" s="36" t="str">
        <f t="shared" si="62"/>
        <v/>
      </c>
      <c r="L128" t="str">
        <f t="shared" si="63"/>
        <v/>
      </c>
      <c r="M128" s="117" t="str">
        <f t="shared" si="64"/>
        <v/>
      </c>
      <c r="N128" s="112" t="str">
        <f t="shared" si="65"/>
        <v/>
      </c>
      <c r="O128" s="96" t="str">
        <f t="shared" si="66"/>
        <v/>
      </c>
      <c r="P128" s="96" t="str">
        <f t="shared" si="67"/>
        <v/>
      </c>
      <c r="Q128" s="96" t="str">
        <f t="shared" si="68"/>
        <v/>
      </c>
      <c r="R128" s="92" t="str">
        <f t="shared" si="69"/>
        <v/>
      </c>
      <c r="S128" s="42" t="str">
        <f t="shared" si="70"/>
        <v/>
      </c>
      <c r="T128" s="167" t="str">
        <f>IF(L128="","",VLOOKUP(L128,classifications!C:K,9,FALSE))</f>
        <v/>
      </c>
      <c r="U128" s="168" t="str">
        <f t="shared" si="71"/>
        <v/>
      </c>
      <c r="V128" s="174" t="str">
        <f>IF(U128="","",IF($I$8="A",(RANK(U128,U$11:U$343)+COUNTIF(U$11:U128,U128)-1),(RANK(U128,U$11:U$343,1)+COUNTIF(U$11:U128,U128)-1)))</f>
        <v/>
      </c>
      <c r="W128" s="175"/>
      <c r="X128" s="5" t="str">
        <f>IF(L128="","",VLOOKUP($L128,classifications!$C:$J,6,FALSE))</f>
        <v/>
      </c>
      <c r="Y128" t="str">
        <f t="shared" si="72"/>
        <v/>
      </c>
      <c r="Z128" s="40" t="str">
        <f>IF(Y128="","",IF(I$8="A",(RANK(Y128,Y$11:Y$343,1)+COUNTIF(Y$11:Y128,Y128)-1),(RANK(Y128,Y$11:Y$343)+COUNTIF(Y$11:Y128,Y128)-1)))</f>
        <v/>
      </c>
      <c r="AA128" s="180" t="str">
        <f>IF(L128="","",VLOOKUP($L128,classifications!C:I,7,FALSE))</f>
        <v/>
      </c>
      <c r="AB128" s="174" t="str">
        <f t="shared" si="73"/>
        <v/>
      </c>
      <c r="AC128" s="174" t="str">
        <f>IF(AB128="","",IF($I$8="A",(RANK(AB128,AB$11:AB$343)+COUNTIF(AB$11:AB128,AB128)-1),(RANK(AB128,AB$11:AB$343,1)+COUNTIF(AB$11:AB128,AB128)-1)))</f>
        <v/>
      </c>
      <c r="AD128" s="174"/>
      <c r="AE128" s="36" t="str">
        <f t="shared" si="74"/>
        <v/>
      </c>
      <c r="AG128" s="15"/>
      <c r="AH128" s="3"/>
      <c r="AI128" s="5" t="str">
        <f>IF(L128="","",VLOOKUP($L128,classifications!$C:$J,8,FALSE))</f>
        <v/>
      </c>
      <c r="AJ128" s="43" t="str">
        <f t="shared" si="75"/>
        <v/>
      </c>
      <c r="AK128" s="40" t="str">
        <f>IF(AJ128="","",IF(I$8="A",(RANK(AJ128,AJ$11:AJ$343,1)+COUNTIF(AJ$11:AJ128,AJ128)-1),(RANK(AJ128,AJ$11:AJ$343)+COUNTIF(AJ$11:AJ128,AJ128)-1)))</f>
        <v/>
      </c>
      <c r="AL128" s="3" t="str">
        <f t="shared" si="76"/>
        <v/>
      </c>
      <c r="AM128" t="str">
        <f t="shared" si="77"/>
        <v/>
      </c>
      <c r="AN128" t="str">
        <f t="shared" si="78"/>
        <v/>
      </c>
      <c r="AP128" s="5" t="str">
        <f>IF(L128="","",VLOOKUP($L128,classifications!$C:$E,3,FALSE))</f>
        <v/>
      </c>
      <c r="AQ128" s="43" t="str">
        <f t="shared" si="79"/>
        <v/>
      </c>
      <c r="AR128" s="40" t="str">
        <f>IF(AQ128="","",IF(I$8="A",(RANK(AQ128,AQ$11:AQ$343,1)+COUNTIF(AQ$11:AQ128,AQ128)-1),(RANK(AQ128,AQ$11:AQ$343)+COUNTIF(AQ$11:AQ128,AQ128)-1)))</f>
        <v/>
      </c>
      <c r="AS128" s="3" t="str">
        <f t="shared" si="80"/>
        <v/>
      </c>
      <c r="AT128" s="40" t="str">
        <f t="shared" si="81"/>
        <v/>
      </c>
      <c r="AU128" s="43" t="str">
        <f t="shared" si="82"/>
        <v/>
      </c>
      <c r="AX128">
        <f>HLOOKUP($AX$9&amp;$AX$10,Data!$A$1:$ZZ$1980,(MATCH($C128,Data!$A$1:$A$1980,0)),FALSE)</f>
        <v>422.3</v>
      </c>
    </row>
    <row r="129" spans="1:50">
      <c r="A129" s="59" t="str">
        <f>$D$1&amp;119</f>
        <v>UA119</v>
      </c>
      <c r="B129" s="60">
        <f>IF(ISERROR(VLOOKUP(A131,classifications!A:C,3,FALSE)),0,VLOOKUP(A131,classifications!A:C,3,FALSE))</f>
        <v>0</v>
      </c>
      <c r="C129" t="s">
        <v>78</v>
      </c>
      <c r="D129" t="str">
        <f>VLOOKUP($C129,classifications!$C:$J,4,FALSE)</f>
        <v>SD</v>
      </c>
      <c r="E129" t="str">
        <f>VLOOKUP(C129,classifications!C:K,9,FALSE)</f>
        <v>Sparse</v>
      </c>
      <c r="F129">
        <f t="shared" si="60"/>
        <v>378.3</v>
      </c>
      <c r="G129" s="15"/>
      <c r="H129" s="42" t="str">
        <f t="shared" si="61"/>
        <v/>
      </c>
      <c r="I129" s="79" t="str">
        <f>IF(H129="","",IF($I$8="A",(RANK(H129,H$11:H$343,1)+COUNTIF(H$11:H129,H129)-1),(RANK(H129,H$11:H$343)+COUNTIF(H$11:H129,H129)-1)))</f>
        <v/>
      </c>
      <c r="J129" s="41"/>
      <c r="K129" s="36" t="str">
        <f t="shared" si="62"/>
        <v/>
      </c>
      <c r="L129" t="str">
        <f t="shared" si="63"/>
        <v/>
      </c>
      <c r="M129" s="117" t="str">
        <f t="shared" si="64"/>
        <v/>
      </c>
      <c r="N129" s="112" t="str">
        <f t="shared" si="65"/>
        <v/>
      </c>
      <c r="O129" s="96" t="str">
        <f t="shared" si="66"/>
        <v/>
      </c>
      <c r="P129" s="96" t="str">
        <f t="shared" si="67"/>
        <v/>
      </c>
      <c r="Q129" s="96" t="str">
        <f t="shared" si="68"/>
        <v/>
      </c>
      <c r="R129" s="92" t="str">
        <f t="shared" si="69"/>
        <v/>
      </c>
      <c r="S129" s="42" t="str">
        <f t="shared" si="70"/>
        <v/>
      </c>
      <c r="T129" s="167" t="str">
        <f>IF(L129="","",VLOOKUP(L129,classifications!C:K,9,FALSE))</f>
        <v/>
      </c>
      <c r="U129" s="168" t="str">
        <f t="shared" si="71"/>
        <v/>
      </c>
      <c r="V129" s="174" t="str">
        <f>IF(U129="","",IF($I$8="A",(RANK(U129,U$11:U$343)+COUNTIF(U$11:U129,U129)-1),(RANK(U129,U$11:U$343,1)+COUNTIF(U$11:U129,U129)-1)))</f>
        <v/>
      </c>
      <c r="W129" s="175"/>
      <c r="X129" s="5" t="str">
        <f>IF(L129="","",VLOOKUP($L129,classifications!$C:$J,6,FALSE))</f>
        <v/>
      </c>
      <c r="Y129" t="str">
        <f t="shared" si="72"/>
        <v/>
      </c>
      <c r="Z129" s="40" t="str">
        <f>IF(Y129="","",IF(I$8="A",(RANK(Y129,Y$11:Y$343,1)+COUNTIF(Y$11:Y129,Y129)-1),(RANK(Y129,Y$11:Y$343)+COUNTIF(Y$11:Y129,Y129)-1)))</f>
        <v/>
      </c>
      <c r="AA129" s="180" t="str">
        <f>IF(L129="","",VLOOKUP($L129,classifications!C:I,7,FALSE))</f>
        <v/>
      </c>
      <c r="AB129" s="174" t="str">
        <f t="shared" si="73"/>
        <v/>
      </c>
      <c r="AC129" s="174" t="str">
        <f>IF(AB129="","",IF($I$8="A",(RANK(AB129,AB$11:AB$343)+COUNTIF(AB$11:AB129,AB129)-1),(RANK(AB129,AB$11:AB$343,1)+COUNTIF(AB$11:AB129,AB129)-1)))</f>
        <v/>
      </c>
      <c r="AD129" s="174"/>
      <c r="AE129" s="36" t="str">
        <f t="shared" si="74"/>
        <v/>
      </c>
      <c r="AG129" s="15"/>
      <c r="AH129" s="3"/>
      <c r="AI129" s="5" t="str">
        <f>IF(L129="","",VLOOKUP($L129,classifications!$C:$J,8,FALSE))</f>
        <v/>
      </c>
      <c r="AJ129" s="43" t="str">
        <f t="shared" si="75"/>
        <v/>
      </c>
      <c r="AK129" s="40" t="str">
        <f>IF(AJ129="","",IF(I$8="A",(RANK(AJ129,AJ$11:AJ$343,1)+COUNTIF(AJ$11:AJ129,AJ129)-1),(RANK(AJ129,AJ$11:AJ$343)+COUNTIF(AJ$11:AJ129,AJ129)-1)))</f>
        <v/>
      </c>
      <c r="AL129" s="3" t="str">
        <f t="shared" si="76"/>
        <v/>
      </c>
      <c r="AM129" t="str">
        <f t="shared" si="77"/>
        <v/>
      </c>
      <c r="AN129" t="str">
        <f t="shared" si="78"/>
        <v/>
      </c>
      <c r="AP129" s="5" t="str">
        <f>IF(L129="","",VLOOKUP($L129,classifications!$C:$E,3,FALSE))</f>
        <v/>
      </c>
      <c r="AQ129" s="43" t="str">
        <f t="shared" si="79"/>
        <v/>
      </c>
      <c r="AR129" s="40" t="str">
        <f>IF(AQ129="","",IF(I$8="A",(RANK(AQ129,AQ$11:AQ$343,1)+COUNTIF(AQ$11:AQ129,AQ129)-1),(RANK(AQ129,AQ$11:AQ$343)+COUNTIF(AQ$11:AQ129,AQ129)-1)))</f>
        <v/>
      </c>
      <c r="AS129" s="3" t="str">
        <f t="shared" si="80"/>
        <v/>
      </c>
      <c r="AT129" s="40" t="str">
        <f t="shared" si="81"/>
        <v/>
      </c>
      <c r="AU129" s="43" t="str">
        <f t="shared" si="82"/>
        <v/>
      </c>
      <c r="AX129">
        <f>HLOOKUP($AX$9&amp;$AX$10,Data!$A$1:$ZZ$1980,(MATCH($C129,Data!$A$1:$A$1980,0)),FALSE)</f>
        <v>378.3</v>
      </c>
    </row>
    <row r="130" spans="1:50">
      <c r="A130" s="59" t="str">
        <f>$D$1&amp;120</f>
        <v>UA120</v>
      </c>
      <c r="B130" s="60">
        <f>IF(ISERROR(VLOOKUP(A132,classifications!A:C,3,FALSE)),0,VLOOKUP(A132,classifications!A:C,3,FALSE))</f>
        <v>0</v>
      </c>
      <c r="C130" t="s">
        <v>337</v>
      </c>
      <c r="D130" t="str">
        <f>VLOOKUP($C130,classifications!$C:$J,4,FALSE)</f>
        <v>L</v>
      </c>
      <c r="E130">
        <f>VLOOKUP(C130,classifications!C:K,9,FALSE)</f>
        <v>0</v>
      </c>
      <c r="F130">
        <f t="shared" si="60"/>
        <v>227.6</v>
      </c>
      <c r="G130" s="15"/>
      <c r="H130" s="42" t="str">
        <f t="shared" si="61"/>
        <v/>
      </c>
      <c r="I130" s="79" t="str">
        <f>IF(H130="","",IF($I$8="A",(RANK(H130,H$11:H$343,1)+COUNTIF(H$11:H130,H130)-1),(RANK(H130,H$11:H$343)+COUNTIF(H$11:H130,H130)-1)))</f>
        <v/>
      </c>
      <c r="J130" s="41"/>
      <c r="K130" s="36" t="str">
        <f t="shared" si="62"/>
        <v/>
      </c>
      <c r="L130" t="str">
        <f t="shared" si="63"/>
        <v/>
      </c>
      <c r="M130" s="117" t="str">
        <f t="shared" si="64"/>
        <v/>
      </c>
      <c r="N130" s="112" t="str">
        <f t="shared" si="65"/>
        <v/>
      </c>
      <c r="O130" s="96" t="str">
        <f t="shared" si="66"/>
        <v/>
      </c>
      <c r="P130" s="96" t="str">
        <f t="shared" si="67"/>
        <v/>
      </c>
      <c r="Q130" s="96" t="str">
        <f t="shared" si="68"/>
        <v/>
      </c>
      <c r="R130" s="92" t="str">
        <f t="shared" si="69"/>
        <v/>
      </c>
      <c r="S130" s="42" t="str">
        <f t="shared" si="70"/>
        <v/>
      </c>
      <c r="T130" s="167" t="str">
        <f>IF(L130="","",VLOOKUP(L130,classifications!C:K,9,FALSE))</f>
        <v/>
      </c>
      <c r="U130" s="168" t="str">
        <f t="shared" si="71"/>
        <v/>
      </c>
      <c r="V130" s="174" t="str">
        <f>IF(U130="","",IF($I$8="A",(RANK(U130,U$11:U$343)+COUNTIF(U$11:U130,U130)-1),(RANK(U130,U$11:U$343,1)+COUNTIF(U$11:U130,U130)-1)))</f>
        <v/>
      </c>
      <c r="W130" s="175"/>
      <c r="X130" s="5" t="str">
        <f>IF(L130="","",VLOOKUP($L130,classifications!$C:$J,6,FALSE))</f>
        <v/>
      </c>
      <c r="Y130" t="str">
        <f t="shared" si="72"/>
        <v/>
      </c>
      <c r="Z130" s="40" t="str">
        <f>IF(Y130="","",IF(I$8="A",(RANK(Y130,Y$11:Y$343,1)+COUNTIF(Y$11:Y130,Y130)-1),(RANK(Y130,Y$11:Y$343)+COUNTIF(Y$11:Y130,Y130)-1)))</f>
        <v/>
      </c>
      <c r="AA130" s="180" t="str">
        <f>IF(L130="","",VLOOKUP($L130,classifications!C:I,7,FALSE))</f>
        <v/>
      </c>
      <c r="AB130" s="174" t="str">
        <f t="shared" si="73"/>
        <v/>
      </c>
      <c r="AC130" s="174" t="str">
        <f>IF(AB130="","",IF($I$8="A",(RANK(AB130,AB$11:AB$343)+COUNTIF(AB$11:AB130,AB130)-1),(RANK(AB130,AB$11:AB$343,1)+COUNTIF(AB$11:AB130,AB130)-1)))</f>
        <v/>
      </c>
      <c r="AD130" s="174"/>
      <c r="AE130" s="36" t="str">
        <f t="shared" si="74"/>
        <v/>
      </c>
      <c r="AG130" s="15"/>
      <c r="AH130" s="3"/>
      <c r="AI130" s="5" t="str">
        <f>IF(L130="","",VLOOKUP($L130,classifications!$C:$J,8,FALSE))</f>
        <v/>
      </c>
      <c r="AJ130" s="43" t="str">
        <f t="shared" si="75"/>
        <v/>
      </c>
      <c r="AK130" s="40" t="str">
        <f>IF(AJ130="","",IF(I$8="A",(RANK(AJ130,AJ$11:AJ$343,1)+COUNTIF(AJ$11:AJ130,AJ130)-1),(RANK(AJ130,AJ$11:AJ$343)+COUNTIF(AJ$11:AJ130,AJ130)-1)))</f>
        <v/>
      </c>
      <c r="AL130" s="3" t="str">
        <f t="shared" si="76"/>
        <v/>
      </c>
      <c r="AM130" t="str">
        <f t="shared" si="77"/>
        <v/>
      </c>
      <c r="AN130" t="str">
        <f t="shared" si="78"/>
        <v/>
      </c>
      <c r="AP130" s="5" t="str">
        <f>IF(L130="","",VLOOKUP($L130,classifications!$C:$E,3,FALSE))</f>
        <v/>
      </c>
      <c r="AQ130" s="43" t="str">
        <f t="shared" si="79"/>
        <v/>
      </c>
      <c r="AR130" s="40" t="str">
        <f>IF(AQ130="","",IF(I$8="A",(RANK(AQ130,AQ$11:AQ$343,1)+COUNTIF(AQ$11:AQ130,AQ130)-1),(RANK(AQ130,AQ$11:AQ$343)+COUNTIF(AQ$11:AQ130,AQ130)-1)))</f>
        <v/>
      </c>
      <c r="AS130" s="3" t="str">
        <f t="shared" si="80"/>
        <v/>
      </c>
      <c r="AT130" s="40" t="str">
        <f t="shared" si="81"/>
        <v/>
      </c>
      <c r="AU130" s="43" t="str">
        <f t="shared" si="82"/>
        <v/>
      </c>
      <c r="AX130">
        <f>HLOOKUP($AX$9&amp;$AX$10,Data!$A$1:$ZZ$1980,(MATCH($C130,Data!$A$1:$A$1980,0)),FALSE)</f>
        <v>227.6</v>
      </c>
    </row>
    <row r="131" spans="1:50">
      <c r="A131" s="59" t="str">
        <f>$D$1&amp;121</f>
        <v>UA121</v>
      </c>
      <c r="B131" s="60">
        <f>IF(ISERROR(VLOOKUP(A133,classifications!A:C,3,FALSE)),0,VLOOKUP(A133,classifications!A:C,3,FALSE))</f>
        <v>0</v>
      </c>
      <c r="C131" t="s">
        <v>314</v>
      </c>
      <c r="D131" t="str">
        <f>VLOOKUP($C131,classifications!$C:$J,4,FALSE)</f>
        <v>SC</v>
      </c>
      <c r="E131" t="str">
        <f>VLOOKUP(C131,classifications!C:K,9,FALSE)</f>
        <v>Sparse</v>
      </c>
      <c r="F131">
        <f t="shared" si="60"/>
        <v>397.2</v>
      </c>
      <c r="G131" s="15"/>
      <c r="H131" s="42" t="str">
        <f t="shared" si="61"/>
        <v/>
      </c>
      <c r="I131" s="79" t="str">
        <f>IF(H131="","",IF($I$8="A",(RANK(H131,H$11:H$343,1)+COUNTIF(H$11:H131,H131)-1),(RANK(H131,H$11:H$343)+COUNTIF(H$11:H131,H131)-1)))</f>
        <v/>
      </c>
      <c r="J131" s="41"/>
      <c r="K131" s="36" t="str">
        <f t="shared" si="62"/>
        <v/>
      </c>
      <c r="L131" t="str">
        <f t="shared" si="63"/>
        <v/>
      </c>
      <c r="M131" s="117" t="str">
        <f t="shared" si="64"/>
        <v/>
      </c>
      <c r="N131" s="112" t="str">
        <f t="shared" si="65"/>
        <v/>
      </c>
      <c r="O131" s="96" t="str">
        <f t="shared" si="66"/>
        <v/>
      </c>
      <c r="P131" s="96" t="str">
        <f t="shared" si="67"/>
        <v/>
      </c>
      <c r="Q131" s="96" t="str">
        <f t="shared" si="68"/>
        <v/>
      </c>
      <c r="R131" s="92" t="str">
        <f t="shared" si="69"/>
        <v/>
      </c>
      <c r="S131" s="42" t="str">
        <f t="shared" si="70"/>
        <v/>
      </c>
      <c r="T131" s="167" t="str">
        <f>IF(L131="","",VLOOKUP(L131,classifications!C:K,9,FALSE))</f>
        <v/>
      </c>
      <c r="U131" s="168" t="str">
        <f t="shared" si="71"/>
        <v/>
      </c>
      <c r="V131" s="174" t="str">
        <f>IF(U131="","",IF($I$8="A",(RANK(U131,U$11:U$343)+COUNTIF(U$11:U131,U131)-1),(RANK(U131,U$11:U$343,1)+COUNTIF(U$11:U131,U131)-1)))</f>
        <v/>
      </c>
      <c r="W131" s="175"/>
      <c r="X131" s="5" t="str">
        <f>IF(L131="","",VLOOKUP($L131,classifications!$C:$J,6,FALSE))</f>
        <v/>
      </c>
      <c r="Y131" t="str">
        <f t="shared" si="72"/>
        <v/>
      </c>
      <c r="Z131" s="40" t="str">
        <f>IF(Y131="","",IF(I$8="A",(RANK(Y131,Y$11:Y$343,1)+COUNTIF(Y$11:Y131,Y131)-1),(RANK(Y131,Y$11:Y$343)+COUNTIF(Y$11:Y131,Y131)-1)))</f>
        <v/>
      </c>
      <c r="AA131" s="180" t="str">
        <f>IF(L131="","",VLOOKUP($L131,classifications!C:I,7,FALSE))</f>
        <v/>
      </c>
      <c r="AB131" s="174" t="str">
        <f t="shared" si="73"/>
        <v/>
      </c>
      <c r="AC131" s="174" t="str">
        <f>IF(AB131="","",IF($I$8="A",(RANK(AB131,AB$11:AB$343)+COUNTIF(AB$11:AB131,AB131)-1),(RANK(AB131,AB$11:AB$343,1)+COUNTIF(AB$11:AB131,AB131)-1)))</f>
        <v/>
      </c>
      <c r="AD131" s="174"/>
      <c r="AE131" s="36" t="str">
        <f t="shared" si="74"/>
        <v/>
      </c>
      <c r="AG131" s="15"/>
      <c r="AH131" s="3"/>
      <c r="AI131" s="5" t="str">
        <f>IF(L131="","",VLOOKUP($L131,classifications!$C:$J,8,FALSE))</f>
        <v/>
      </c>
      <c r="AJ131" s="43" t="str">
        <f t="shared" si="75"/>
        <v/>
      </c>
      <c r="AK131" s="40" t="str">
        <f>IF(AJ131="","",IF(I$8="A",(RANK(AJ131,AJ$11:AJ$343,1)+COUNTIF(AJ$11:AJ131,AJ131)-1),(RANK(AJ131,AJ$11:AJ$343)+COUNTIF(AJ$11:AJ131,AJ131)-1)))</f>
        <v/>
      </c>
      <c r="AL131" s="3" t="str">
        <f t="shared" si="76"/>
        <v/>
      </c>
      <c r="AM131" t="str">
        <f t="shared" si="77"/>
        <v/>
      </c>
      <c r="AN131" t="str">
        <f t="shared" si="78"/>
        <v/>
      </c>
      <c r="AP131" s="5" t="str">
        <f>IF(L131="","",VLOOKUP($L131,classifications!$C:$E,3,FALSE))</f>
        <v/>
      </c>
      <c r="AQ131" s="43" t="str">
        <f t="shared" si="79"/>
        <v/>
      </c>
      <c r="AR131" s="40" t="str">
        <f>IF(AQ131="","",IF(I$8="A",(RANK(AQ131,AQ$11:AQ$343,1)+COUNTIF(AQ$11:AQ131,AQ131)-1),(RANK(AQ131,AQ$11:AQ$343)+COUNTIF(AQ$11:AQ131,AQ131)-1)))</f>
        <v/>
      </c>
      <c r="AS131" s="3" t="str">
        <f t="shared" si="80"/>
        <v/>
      </c>
      <c r="AT131" s="40" t="str">
        <f t="shared" si="81"/>
        <v/>
      </c>
      <c r="AU131" s="43" t="str">
        <f t="shared" si="82"/>
        <v/>
      </c>
      <c r="AX131">
        <f>HLOOKUP($AX$9&amp;$AX$10,Data!$A$1:$ZZ$1980,(MATCH($C131,Data!$A$1:$A$1980,0)),FALSE)</f>
        <v>397.2</v>
      </c>
    </row>
    <row r="132" spans="1:50">
      <c r="A132" s="59" t="str">
        <f>$D$1&amp;122</f>
        <v>UA122</v>
      </c>
      <c r="B132" s="60">
        <f>IF(ISERROR(VLOOKUP(A134,classifications!A:C,3,FALSE)),0,VLOOKUP(A134,classifications!A:C,3,FALSE))</f>
        <v>0</v>
      </c>
      <c r="C132" t="s">
        <v>79</v>
      </c>
      <c r="D132" t="str">
        <f>VLOOKUP($C132,classifications!$C:$J,4,FALSE)</f>
        <v>SD</v>
      </c>
      <c r="E132" t="str">
        <f>VLOOKUP(C132,classifications!C:K,9,FALSE)</f>
        <v>Sparse</v>
      </c>
      <c r="F132">
        <f t="shared" si="60"/>
        <v>355.4</v>
      </c>
      <c r="G132" s="15"/>
      <c r="H132" s="42" t="str">
        <f t="shared" si="61"/>
        <v/>
      </c>
      <c r="I132" s="79" t="str">
        <f>IF(H132="","",IF($I$8="A",(RANK(H132,H$11:H$343,1)+COUNTIF(H$11:H132,H132)-1),(RANK(H132,H$11:H$343)+COUNTIF(H$11:H132,H132)-1)))</f>
        <v/>
      </c>
      <c r="J132" s="41"/>
      <c r="K132" s="36" t="str">
        <f t="shared" si="62"/>
        <v/>
      </c>
      <c r="L132" t="str">
        <f t="shared" si="63"/>
        <v/>
      </c>
      <c r="M132" s="117" t="str">
        <f t="shared" si="64"/>
        <v/>
      </c>
      <c r="N132" s="112" t="str">
        <f t="shared" si="65"/>
        <v/>
      </c>
      <c r="O132" s="96" t="str">
        <f t="shared" si="66"/>
        <v/>
      </c>
      <c r="P132" s="96" t="str">
        <f t="shared" si="67"/>
        <v/>
      </c>
      <c r="Q132" s="96" t="str">
        <f t="shared" si="68"/>
        <v/>
      </c>
      <c r="R132" s="92" t="str">
        <f t="shared" si="69"/>
        <v/>
      </c>
      <c r="S132" s="42" t="str">
        <f t="shared" si="70"/>
        <v/>
      </c>
      <c r="T132" s="167" t="str">
        <f>IF(L132="","",VLOOKUP(L132,classifications!C:K,9,FALSE))</f>
        <v/>
      </c>
      <c r="U132" s="168" t="str">
        <f t="shared" si="71"/>
        <v/>
      </c>
      <c r="V132" s="174" t="str">
        <f>IF(U132="","",IF($I$8="A",(RANK(U132,U$11:U$343)+COUNTIF(U$11:U132,U132)-1),(RANK(U132,U$11:U$343,1)+COUNTIF(U$11:U132,U132)-1)))</f>
        <v/>
      </c>
      <c r="W132" s="175"/>
      <c r="X132" s="5" t="str">
        <f>IF(L132="","",VLOOKUP($L132,classifications!$C:$J,6,FALSE))</f>
        <v/>
      </c>
      <c r="Y132" t="str">
        <f t="shared" si="72"/>
        <v/>
      </c>
      <c r="Z132" s="40" t="str">
        <f>IF(Y132="","",IF(I$8="A",(RANK(Y132,Y$11:Y$343,1)+COUNTIF(Y$11:Y132,Y132)-1),(RANK(Y132,Y$11:Y$343)+COUNTIF(Y$11:Y132,Y132)-1)))</f>
        <v/>
      </c>
      <c r="AA132" s="180" t="str">
        <f>IF(L132="","",VLOOKUP($L132,classifications!C:I,7,FALSE))</f>
        <v/>
      </c>
      <c r="AB132" s="174" t="str">
        <f t="shared" si="73"/>
        <v/>
      </c>
      <c r="AC132" s="174" t="str">
        <f>IF(AB132="","",IF($I$8="A",(RANK(AB132,AB$11:AB$343)+COUNTIF(AB$11:AB132,AB132)-1),(RANK(AB132,AB$11:AB$343,1)+COUNTIF(AB$11:AB132,AB132)-1)))</f>
        <v/>
      </c>
      <c r="AD132" s="174"/>
      <c r="AE132" s="36" t="str">
        <f t="shared" si="74"/>
        <v/>
      </c>
      <c r="AG132" s="15"/>
      <c r="AH132" s="3"/>
      <c r="AI132" s="5" t="str">
        <f>IF(L132="","",VLOOKUP($L132,classifications!$C:$J,8,FALSE))</f>
        <v/>
      </c>
      <c r="AJ132" s="43" t="str">
        <f t="shared" si="75"/>
        <v/>
      </c>
      <c r="AK132" s="40" t="str">
        <f>IF(AJ132="","",IF(I$8="A",(RANK(AJ132,AJ$11:AJ$343,1)+COUNTIF(AJ$11:AJ132,AJ132)-1),(RANK(AJ132,AJ$11:AJ$343)+COUNTIF(AJ$11:AJ132,AJ132)-1)))</f>
        <v/>
      </c>
      <c r="AL132" s="3" t="str">
        <f t="shared" si="76"/>
        <v/>
      </c>
      <c r="AM132" t="str">
        <f t="shared" si="77"/>
        <v/>
      </c>
      <c r="AN132" t="str">
        <f t="shared" si="78"/>
        <v/>
      </c>
      <c r="AP132" s="5" t="str">
        <f>IF(L132="","",VLOOKUP($L132,classifications!$C:$E,3,FALSE))</f>
        <v/>
      </c>
      <c r="AQ132" s="43" t="str">
        <f t="shared" si="79"/>
        <v/>
      </c>
      <c r="AR132" s="40" t="str">
        <f>IF(AQ132="","",IF(I$8="A",(RANK(AQ132,AQ$11:AQ$343,1)+COUNTIF(AQ$11:AQ132,AQ132)-1),(RANK(AQ132,AQ$11:AQ$343)+COUNTIF(AQ$11:AQ132,AQ132)-1)))</f>
        <v/>
      </c>
      <c r="AS132" s="3" t="str">
        <f t="shared" si="80"/>
        <v/>
      </c>
      <c r="AT132" s="40" t="str">
        <f t="shared" si="81"/>
        <v/>
      </c>
      <c r="AU132" s="43" t="str">
        <f t="shared" si="82"/>
        <v/>
      </c>
      <c r="AX132">
        <f>HLOOKUP($AX$9&amp;$AX$10,Data!$A$1:$ZZ$1980,(MATCH($C132,Data!$A$1:$A$1980,0)),FALSE)</f>
        <v>355.4</v>
      </c>
    </row>
    <row r="133" spans="1:50">
      <c r="A133" s="59" t="str">
        <f>$D$1&amp;123</f>
        <v>UA123</v>
      </c>
      <c r="B133" s="60">
        <f>IF(ISERROR(VLOOKUP(A135,classifications!A:C,3,FALSE)),0,VLOOKUP(A135,classifications!A:C,3,FALSE))</f>
        <v>0</v>
      </c>
      <c r="C133" t="s">
        <v>207</v>
      </c>
      <c r="D133" t="str">
        <f>VLOOKUP($C133,classifications!$C:$J,4,FALSE)</f>
        <v>L</v>
      </c>
      <c r="E133">
        <f>VLOOKUP(C133,classifications!C:K,9,FALSE)</f>
        <v>0</v>
      </c>
      <c r="F133">
        <f t="shared" si="60"/>
        <v>310.2</v>
      </c>
      <c r="G133" s="15"/>
      <c r="H133" s="42" t="str">
        <f t="shared" si="61"/>
        <v/>
      </c>
      <c r="I133" s="79" t="str">
        <f>IF(H133="","",IF($I$8="A",(RANK(H133,H$11:H$343,1)+COUNTIF(H$11:H133,H133)-1),(RANK(H133,H$11:H$343)+COUNTIF(H$11:H133,H133)-1)))</f>
        <v/>
      </c>
      <c r="J133" s="41"/>
      <c r="K133" s="36" t="str">
        <f t="shared" si="62"/>
        <v/>
      </c>
      <c r="L133" t="str">
        <f t="shared" si="63"/>
        <v/>
      </c>
      <c r="M133" s="117" t="str">
        <f t="shared" si="64"/>
        <v/>
      </c>
      <c r="N133" s="112" t="str">
        <f t="shared" si="65"/>
        <v/>
      </c>
      <c r="O133" s="96" t="str">
        <f t="shared" si="66"/>
        <v/>
      </c>
      <c r="P133" s="96" t="str">
        <f t="shared" si="67"/>
        <v/>
      </c>
      <c r="Q133" s="96" t="str">
        <f t="shared" si="68"/>
        <v/>
      </c>
      <c r="R133" s="92" t="str">
        <f t="shared" si="69"/>
        <v/>
      </c>
      <c r="S133" s="42" t="str">
        <f t="shared" si="70"/>
        <v/>
      </c>
      <c r="T133" s="167" t="str">
        <f>IF(L133="","",VLOOKUP(L133,classifications!C:K,9,FALSE))</f>
        <v/>
      </c>
      <c r="U133" s="168" t="str">
        <f t="shared" si="71"/>
        <v/>
      </c>
      <c r="V133" s="174" t="str">
        <f>IF(U133="","",IF($I$8="A",(RANK(U133,U$11:U$343)+COUNTIF(U$11:U133,U133)-1),(RANK(U133,U$11:U$343,1)+COUNTIF(U$11:U133,U133)-1)))</f>
        <v/>
      </c>
      <c r="W133" s="175"/>
      <c r="X133" s="5" t="str">
        <f>IF(L133="","",VLOOKUP($L133,classifications!$C:$J,6,FALSE))</f>
        <v/>
      </c>
      <c r="Y133" t="str">
        <f t="shared" si="72"/>
        <v/>
      </c>
      <c r="Z133" s="40" t="str">
        <f>IF(Y133="","",IF(I$8="A",(RANK(Y133,Y$11:Y$343,1)+COUNTIF(Y$11:Y133,Y133)-1),(RANK(Y133,Y$11:Y$343)+COUNTIF(Y$11:Y133,Y133)-1)))</f>
        <v/>
      </c>
      <c r="AA133" s="180" t="str">
        <f>IF(L133="","",VLOOKUP($L133,classifications!C:I,7,FALSE))</f>
        <v/>
      </c>
      <c r="AB133" s="174" t="str">
        <f t="shared" si="73"/>
        <v/>
      </c>
      <c r="AC133" s="174" t="str">
        <f>IF(AB133="","",IF($I$8="A",(RANK(AB133,AB$11:AB$343)+COUNTIF(AB$11:AB133,AB133)-1),(RANK(AB133,AB$11:AB$343,1)+COUNTIF(AB$11:AB133,AB133)-1)))</f>
        <v/>
      </c>
      <c r="AD133" s="174"/>
      <c r="AE133" s="36" t="str">
        <f t="shared" si="74"/>
        <v/>
      </c>
      <c r="AG133" s="15"/>
      <c r="AH133" s="3"/>
      <c r="AI133" s="5" t="str">
        <f>IF(L133="","",VLOOKUP($L133,classifications!$C:$J,8,FALSE))</f>
        <v/>
      </c>
      <c r="AJ133" s="43" t="str">
        <f t="shared" si="75"/>
        <v/>
      </c>
      <c r="AK133" s="40" t="str">
        <f>IF(AJ133="","",IF(I$8="A",(RANK(AJ133,AJ$11:AJ$343,1)+COUNTIF(AJ$11:AJ133,AJ133)-1),(RANK(AJ133,AJ$11:AJ$343)+COUNTIF(AJ$11:AJ133,AJ133)-1)))</f>
        <v/>
      </c>
      <c r="AL133" s="3" t="str">
        <f t="shared" si="76"/>
        <v/>
      </c>
      <c r="AM133" t="str">
        <f t="shared" si="77"/>
        <v/>
      </c>
      <c r="AN133" t="str">
        <f t="shared" si="78"/>
        <v/>
      </c>
      <c r="AP133" s="5" t="str">
        <f>IF(L133="","",VLOOKUP($L133,classifications!$C:$E,3,FALSE))</f>
        <v/>
      </c>
      <c r="AQ133" s="43" t="str">
        <f t="shared" si="79"/>
        <v/>
      </c>
      <c r="AR133" s="40" t="str">
        <f>IF(AQ133="","",IF(I$8="A",(RANK(AQ133,AQ$11:AQ$343,1)+COUNTIF(AQ$11:AQ133,AQ133)-1),(RANK(AQ133,AQ$11:AQ$343)+COUNTIF(AQ$11:AQ133,AQ133)-1)))</f>
        <v/>
      </c>
      <c r="AS133" s="3" t="str">
        <f t="shared" si="80"/>
        <v/>
      </c>
      <c r="AT133" s="40" t="str">
        <f t="shared" si="81"/>
        <v/>
      </c>
      <c r="AU133" s="43" t="str">
        <f t="shared" si="82"/>
        <v/>
      </c>
      <c r="AX133">
        <f>HLOOKUP($AX$9&amp;$AX$10,Data!$A$1:$ZZ$1980,(MATCH($C133,Data!$A$1:$A$1980,0)),FALSE)</f>
        <v>310.2</v>
      </c>
    </row>
    <row r="134" spans="1:50">
      <c r="A134" s="59" t="str">
        <f>$D$1&amp;124</f>
        <v>UA124</v>
      </c>
      <c r="B134" s="60">
        <f>IF(ISERROR(VLOOKUP(A136,classifications!A:C,3,FALSE)),0,VLOOKUP(A136,classifications!A:C,3,FALSE))</f>
        <v>0</v>
      </c>
      <c r="C134" t="s">
        <v>80</v>
      </c>
      <c r="D134" t="str">
        <f>VLOOKUP($C134,classifications!$C:$J,4,FALSE)</f>
        <v>SD</v>
      </c>
      <c r="E134">
        <f>VLOOKUP(C134,classifications!C:K,9,FALSE)</f>
        <v>0</v>
      </c>
      <c r="F134">
        <f t="shared" si="60"/>
        <v>298</v>
      </c>
      <c r="G134" s="15"/>
      <c r="H134" s="42" t="str">
        <f t="shared" si="61"/>
        <v/>
      </c>
      <c r="I134" s="79" t="str">
        <f>IF(H134="","",IF($I$8="A",(RANK(H134,H$11:H$343,1)+COUNTIF(H$11:H134,H134)-1),(RANK(H134,H$11:H$343)+COUNTIF(H$11:H134,H134)-1)))</f>
        <v/>
      </c>
      <c r="J134" s="41"/>
      <c r="K134" s="36" t="str">
        <f t="shared" si="62"/>
        <v/>
      </c>
      <c r="L134" t="str">
        <f t="shared" si="63"/>
        <v/>
      </c>
      <c r="M134" s="117" t="str">
        <f t="shared" si="64"/>
        <v/>
      </c>
      <c r="N134" s="112" t="str">
        <f t="shared" si="65"/>
        <v/>
      </c>
      <c r="O134" s="96" t="str">
        <f t="shared" si="66"/>
        <v/>
      </c>
      <c r="P134" s="96" t="str">
        <f t="shared" si="67"/>
        <v/>
      </c>
      <c r="Q134" s="96" t="str">
        <f t="shared" si="68"/>
        <v/>
      </c>
      <c r="R134" s="92" t="str">
        <f t="shared" si="69"/>
        <v/>
      </c>
      <c r="S134" s="42" t="str">
        <f t="shared" si="70"/>
        <v/>
      </c>
      <c r="T134" s="167" t="str">
        <f>IF(L134="","",VLOOKUP(L134,classifications!C:K,9,FALSE))</f>
        <v/>
      </c>
      <c r="U134" s="168" t="str">
        <f t="shared" si="71"/>
        <v/>
      </c>
      <c r="V134" s="174" t="str">
        <f>IF(U134="","",IF($I$8="A",(RANK(U134,U$11:U$343)+COUNTIF(U$11:U134,U134)-1),(RANK(U134,U$11:U$343,1)+COUNTIF(U$11:U134,U134)-1)))</f>
        <v/>
      </c>
      <c r="W134" s="175"/>
      <c r="X134" s="5" t="str">
        <f>IF(L134="","",VLOOKUP($L134,classifications!$C:$J,6,FALSE))</f>
        <v/>
      </c>
      <c r="Y134" t="str">
        <f t="shared" si="72"/>
        <v/>
      </c>
      <c r="Z134" s="40" t="str">
        <f>IF(Y134="","",IF(I$8="A",(RANK(Y134,Y$11:Y$343,1)+COUNTIF(Y$11:Y134,Y134)-1),(RANK(Y134,Y$11:Y$343)+COUNTIF(Y$11:Y134,Y134)-1)))</f>
        <v/>
      </c>
      <c r="AA134" s="180" t="str">
        <f>IF(L134="","",VLOOKUP($L134,classifications!C:I,7,FALSE))</f>
        <v/>
      </c>
      <c r="AB134" s="174" t="str">
        <f t="shared" si="73"/>
        <v/>
      </c>
      <c r="AC134" s="174" t="str">
        <f>IF(AB134="","",IF($I$8="A",(RANK(AB134,AB$11:AB$343)+COUNTIF(AB$11:AB134,AB134)-1),(RANK(AB134,AB$11:AB$343,1)+COUNTIF(AB$11:AB134,AB134)-1)))</f>
        <v/>
      </c>
      <c r="AD134" s="174"/>
      <c r="AE134" s="36" t="str">
        <f t="shared" si="74"/>
        <v/>
      </c>
      <c r="AG134" s="15"/>
      <c r="AH134" s="3"/>
      <c r="AI134" s="5" t="str">
        <f>IF(L134="","",VLOOKUP($L134,classifications!$C:$J,8,FALSE))</f>
        <v/>
      </c>
      <c r="AJ134" s="43" t="str">
        <f t="shared" si="75"/>
        <v/>
      </c>
      <c r="AK134" s="40" t="str">
        <f>IF(AJ134="","",IF(I$8="A",(RANK(AJ134,AJ$11:AJ$343,1)+COUNTIF(AJ$11:AJ134,AJ134)-1),(RANK(AJ134,AJ$11:AJ$343)+COUNTIF(AJ$11:AJ134,AJ134)-1)))</f>
        <v/>
      </c>
      <c r="AL134" s="3" t="str">
        <f t="shared" si="76"/>
        <v/>
      </c>
      <c r="AM134" t="str">
        <f t="shared" si="77"/>
        <v/>
      </c>
      <c r="AN134" t="str">
        <f t="shared" si="78"/>
        <v/>
      </c>
      <c r="AP134" s="5" t="str">
        <f>IF(L134="","",VLOOKUP($L134,classifications!$C:$E,3,FALSE))</f>
        <v/>
      </c>
      <c r="AQ134" s="43" t="str">
        <f t="shared" si="79"/>
        <v/>
      </c>
      <c r="AR134" s="40" t="str">
        <f>IF(AQ134="","",IF(I$8="A",(RANK(AQ134,AQ$11:AQ$343,1)+COUNTIF(AQ$11:AQ134,AQ134)-1),(RANK(AQ134,AQ$11:AQ$343)+COUNTIF(AQ$11:AQ134,AQ134)-1)))</f>
        <v/>
      </c>
      <c r="AS134" s="3" t="str">
        <f t="shared" si="80"/>
        <v/>
      </c>
      <c r="AT134" s="40" t="str">
        <f t="shared" si="81"/>
        <v/>
      </c>
      <c r="AU134" s="43" t="str">
        <f t="shared" si="82"/>
        <v/>
      </c>
      <c r="AX134">
        <f>HLOOKUP($AX$9&amp;$AX$10,Data!$A$1:$ZZ$1980,(MATCH($C134,Data!$A$1:$A$1980,0)),FALSE)</f>
        <v>298</v>
      </c>
    </row>
    <row r="135" spans="1:50">
      <c r="A135" s="59" t="str">
        <f>$D$1&amp;125</f>
        <v>UA125</v>
      </c>
      <c r="B135" s="60">
        <f>IF(ISERROR(VLOOKUP(A137,classifications!A:C,3,FALSE)),0,VLOOKUP(A137,classifications!A:C,3,FALSE))</f>
        <v>0</v>
      </c>
      <c r="C135" t="s">
        <v>81</v>
      </c>
      <c r="D135" t="str">
        <f>VLOOKUP($C135,classifications!$C:$J,4,FALSE)</f>
        <v>SD</v>
      </c>
      <c r="E135" t="str">
        <f>VLOOKUP(C135,classifications!C:K,9,FALSE)</f>
        <v>Sparse</v>
      </c>
      <c r="F135">
        <f t="shared" si="60"/>
        <v>315.5</v>
      </c>
      <c r="G135" s="15"/>
      <c r="H135" s="42" t="str">
        <f t="shared" si="61"/>
        <v/>
      </c>
      <c r="I135" s="79" t="str">
        <f>IF(H135="","",IF($I$8="A",(RANK(H135,H$11:H$343,1)+COUNTIF(H$11:H135,H135)-1),(RANK(H135,H$11:H$343)+COUNTIF(H$11:H135,H135)-1)))</f>
        <v/>
      </c>
      <c r="J135" s="41"/>
      <c r="K135" s="36" t="str">
        <f t="shared" si="62"/>
        <v/>
      </c>
      <c r="L135" t="str">
        <f t="shared" si="63"/>
        <v/>
      </c>
      <c r="M135" s="117" t="str">
        <f t="shared" si="64"/>
        <v/>
      </c>
      <c r="N135" s="112" t="str">
        <f t="shared" si="65"/>
        <v/>
      </c>
      <c r="O135" s="96" t="str">
        <f t="shared" si="66"/>
        <v/>
      </c>
      <c r="P135" s="96" t="str">
        <f t="shared" si="67"/>
        <v/>
      </c>
      <c r="Q135" s="96" t="str">
        <f t="shared" si="68"/>
        <v/>
      </c>
      <c r="R135" s="92" t="str">
        <f t="shared" si="69"/>
        <v/>
      </c>
      <c r="S135" s="42" t="str">
        <f t="shared" si="70"/>
        <v/>
      </c>
      <c r="T135" s="167" t="str">
        <f>IF(L135="","",VLOOKUP(L135,classifications!C:K,9,FALSE))</f>
        <v/>
      </c>
      <c r="U135" s="168" t="str">
        <f t="shared" si="71"/>
        <v/>
      </c>
      <c r="V135" s="174" t="str">
        <f>IF(U135="","",IF($I$8="A",(RANK(U135,U$11:U$343)+COUNTIF(U$11:U135,U135)-1),(RANK(U135,U$11:U$343,1)+COUNTIF(U$11:U135,U135)-1)))</f>
        <v/>
      </c>
      <c r="W135" s="175"/>
      <c r="X135" s="5" t="str">
        <f>IF(L135="","",VLOOKUP($L135,classifications!$C:$J,6,FALSE))</f>
        <v/>
      </c>
      <c r="Y135" t="str">
        <f t="shared" si="72"/>
        <v/>
      </c>
      <c r="Z135" s="40" t="str">
        <f>IF(Y135="","",IF(I$8="A",(RANK(Y135,Y$11:Y$343,1)+COUNTIF(Y$11:Y135,Y135)-1),(RANK(Y135,Y$11:Y$343)+COUNTIF(Y$11:Y135,Y135)-1)))</f>
        <v/>
      </c>
      <c r="AA135" s="180" t="str">
        <f>IF(L135="","",VLOOKUP($L135,classifications!C:I,7,FALSE))</f>
        <v/>
      </c>
      <c r="AB135" s="174" t="str">
        <f t="shared" si="73"/>
        <v/>
      </c>
      <c r="AC135" s="174" t="str">
        <f>IF(AB135="","",IF($I$8="A",(RANK(AB135,AB$11:AB$343)+COUNTIF(AB$11:AB135,AB135)-1),(RANK(AB135,AB$11:AB$343,1)+COUNTIF(AB$11:AB135,AB135)-1)))</f>
        <v/>
      </c>
      <c r="AD135" s="174"/>
      <c r="AE135" s="36" t="str">
        <f t="shared" si="74"/>
        <v/>
      </c>
      <c r="AG135" s="15"/>
      <c r="AH135" s="3"/>
      <c r="AI135" s="5" t="str">
        <f>IF(L135="","",VLOOKUP($L135,classifications!$C:$J,8,FALSE))</f>
        <v/>
      </c>
      <c r="AJ135" s="43" t="str">
        <f t="shared" si="75"/>
        <v/>
      </c>
      <c r="AK135" s="40" t="str">
        <f>IF(AJ135="","",IF(I$8="A",(RANK(AJ135,AJ$11:AJ$343,1)+COUNTIF(AJ$11:AJ135,AJ135)-1),(RANK(AJ135,AJ$11:AJ$343)+COUNTIF(AJ$11:AJ135,AJ135)-1)))</f>
        <v/>
      </c>
      <c r="AL135" s="3" t="str">
        <f t="shared" si="76"/>
        <v/>
      </c>
      <c r="AM135" t="str">
        <f t="shared" si="77"/>
        <v/>
      </c>
      <c r="AN135" t="str">
        <f t="shared" si="78"/>
        <v/>
      </c>
      <c r="AP135" s="5" t="str">
        <f>IF(L135="","",VLOOKUP($L135,classifications!$C:$E,3,FALSE))</f>
        <v/>
      </c>
      <c r="AQ135" s="43" t="str">
        <f t="shared" si="79"/>
        <v/>
      </c>
      <c r="AR135" s="40" t="str">
        <f>IF(AQ135="","",IF(I$8="A",(RANK(AQ135,AQ$11:AQ$343,1)+COUNTIF(AQ$11:AQ135,AQ135)-1),(RANK(AQ135,AQ$11:AQ$343)+COUNTIF(AQ$11:AQ135,AQ135)-1)))</f>
        <v/>
      </c>
      <c r="AS135" s="3" t="str">
        <f t="shared" si="80"/>
        <v/>
      </c>
      <c r="AT135" s="40" t="str">
        <f t="shared" si="81"/>
        <v/>
      </c>
      <c r="AU135" s="43" t="str">
        <f t="shared" si="82"/>
        <v/>
      </c>
      <c r="AX135">
        <f>HLOOKUP($AX$9&amp;$AX$10,Data!$A$1:$ZZ$1980,(MATCH($C135,Data!$A$1:$A$1980,0)),FALSE)</f>
        <v>315.5</v>
      </c>
    </row>
    <row r="136" spans="1:50">
      <c r="A136" s="59" t="str">
        <f>$D$1&amp;126</f>
        <v>UA126</v>
      </c>
      <c r="B136" s="60">
        <f>IF(ISERROR(VLOOKUP(A138,classifications!A:C,3,FALSE)),0,VLOOKUP(A138,classifications!A:C,3,FALSE))</f>
        <v>0</v>
      </c>
      <c r="C136" t="s">
        <v>208</v>
      </c>
      <c r="D136" t="str">
        <f>VLOOKUP($C136,classifications!$C:$J,4,FALSE)</f>
        <v>L</v>
      </c>
      <c r="E136">
        <f>VLOOKUP(C136,classifications!C:K,9,FALSE)</f>
        <v>0</v>
      </c>
      <c r="F136">
        <f t="shared" si="60"/>
        <v>356.4</v>
      </c>
      <c r="G136" s="15"/>
      <c r="H136" s="42" t="str">
        <f t="shared" si="61"/>
        <v/>
      </c>
      <c r="I136" s="79" t="str">
        <f>IF(H136="","",IF($I$8="A",(RANK(H136,H$11:H$343,1)+COUNTIF(H$11:H136,H136)-1),(RANK(H136,H$11:H$343)+COUNTIF(H$11:H136,H136)-1)))</f>
        <v/>
      </c>
      <c r="J136" s="41"/>
      <c r="K136" s="36" t="str">
        <f t="shared" si="62"/>
        <v/>
      </c>
      <c r="L136" t="str">
        <f t="shared" si="63"/>
        <v/>
      </c>
      <c r="M136" s="117" t="str">
        <f t="shared" si="64"/>
        <v/>
      </c>
      <c r="N136" s="112" t="str">
        <f t="shared" si="65"/>
        <v/>
      </c>
      <c r="O136" s="96" t="str">
        <f t="shared" si="66"/>
        <v/>
      </c>
      <c r="P136" s="96" t="str">
        <f t="shared" si="67"/>
        <v/>
      </c>
      <c r="Q136" s="96" t="str">
        <f t="shared" si="68"/>
        <v/>
      </c>
      <c r="R136" s="92" t="str">
        <f t="shared" si="69"/>
        <v/>
      </c>
      <c r="S136" s="42" t="str">
        <f t="shared" si="70"/>
        <v/>
      </c>
      <c r="T136" s="167" t="str">
        <f>IF(L136="","",VLOOKUP(L136,classifications!C:K,9,FALSE))</f>
        <v/>
      </c>
      <c r="U136" s="168" t="str">
        <f t="shared" si="71"/>
        <v/>
      </c>
      <c r="V136" s="174" t="str">
        <f>IF(U136="","",IF($I$8="A",(RANK(U136,U$11:U$343)+COUNTIF(U$11:U136,U136)-1),(RANK(U136,U$11:U$343,1)+COUNTIF(U$11:U136,U136)-1)))</f>
        <v/>
      </c>
      <c r="W136" s="175"/>
      <c r="X136" s="5" t="str">
        <f>IF(L136="","",VLOOKUP($L136,classifications!$C:$J,6,FALSE))</f>
        <v/>
      </c>
      <c r="Y136" t="str">
        <f t="shared" si="72"/>
        <v/>
      </c>
      <c r="Z136" s="40" t="str">
        <f>IF(Y136="","",IF(I$8="A",(RANK(Y136,Y$11:Y$343,1)+COUNTIF(Y$11:Y136,Y136)-1),(RANK(Y136,Y$11:Y$343)+COUNTIF(Y$11:Y136,Y136)-1)))</f>
        <v/>
      </c>
      <c r="AA136" s="180" t="str">
        <f>IF(L136="","",VLOOKUP($L136,classifications!C:I,7,FALSE))</f>
        <v/>
      </c>
      <c r="AB136" s="174" t="str">
        <f t="shared" si="73"/>
        <v/>
      </c>
      <c r="AC136" s="174" t="str">
        <f>IF(AB136="","",IF($I$8="A",(RANK(AB136,AB$11:AB$343)+COUNTIF(AB$11:AB136,AB136)-1),(RANK(AB136,AB$11:AB$343,1)+COUNTIF(AB$11:AB136,AB136)-1)))</f>
        <v/>
      </c>
      <c r="AD136" s="174"/>
      <c r="AE136" s="36" t="str">
        <f t="shared" si="74"/>
        <v/>
      </c>
      <c r="AG136" s="15"/>
      <c r="AH136" s="3"/>
      <c r="AI136" s="5" t="str">
        <f>IF(L136="","",VLOOKUP($L136,classifications!$C:$J,8,FALSE))</f>
        <v/>
      </c>
      <c r="AJ136" s="43" t="str">
        <f t="shared" si="75"/>
        <v/>
      </c>
      <c r="AK136" s="40" t="str">
        <f>IF(AJ136="","",IF(I$8="A",(RANK(AJ136,AJ$11:AJ$343,1)+COUNTIF(AJ$11:AJ136,AJ136)-1),(RANK(AJ136,AJ$11:AJ$343)+COUNTIF(AJ$11:AJ136,AJ136)-1)))</f>
        <v/>
      </c>
      <c r="AL136" s="3" t="str">
        <f t="shared" si="76"/>
        <v/>
      </c>
      <c r="AM136" t="str">
        <f t="shared" si="77"/>
        <v/>
      </c>
      <c r="AN136" t="str">
        <f t="shared" si="78"/>
        <v/>
      </c>
      <c r="AP136" s="5" t="str">
        <f>IF(L136="","",VLOOKUP($L136,classifications!$C:$E,3,FALSE))</f>
        <v/>
      </c>
      <c r="AQ136" s="43" t="str">
        <f t="shared" si="79"/>
        <v/>
      </c>
      <c r="AR136" s="40" t="str">
        <f>IF(AQ136="","",IF(I$8="A",(RANK(AQ136,AQ$11:AQ$343,1)+COUNTIF(AQ$11:AQ136,AQ136)-1),(RANK(AQ136,AQ$11:AQ$343)+COUNTIF(AQ$11:AQ136,AQ136)-1)))</f>
        <v/>
      </c>
      <c r="AS136" s="3" t="str">
        <f t="shared" si="80"/>
        <v/>
      </c>
      <c r="AT136" s="40" t="str">
        <f t="shared" si="81"/>
        <v/>
      </c>
      <c r="AU136" s="43" t="str">
        <f t="shared" si="82"/>
        <v/>
      </c>
      <c r="AX136">
        <f>HLOOKUP($AX$9&amp;$AX$10,Data!$A$1:$ZZ$1980,(MATCH($C136,Data!$A$1:$A$1980,0)),FALSE)</f>
        <v>356.4</v>
      </c>
    </row>
    <row r="137" spans="1:50">
      <c r="A137" s="59" t="str">
        <f>$D$1&amp;127</f>
        <v>UA127</v>
      </c>
      <c r="B137" s="60">
        <f>IF(ISERROR(VLOOKUP(A139,classifications!A:C,3,FALSE)),0,VLOOKUP(A139,classifications!A:C,3,FALSE))</f>
        <v>0</v>
      </c>
      <c r="C137" t="s">
        <v>82</v>
      </c>
      <c r="D137" t="str">
        <f>VLOOKUP($C137,classifications!$C:$J,4,FALSE)</f>
        <v>SD</v>
      </c>
      <c r="E137">
        <f>VLOOKUP(C137,classifications!C:K,9,FALSE)</f>
        <v>0</v>
      </c>
      <c r="F137">
        <f t="shared" si="60"/>
        <v>335.4</v>
      </c>
      <c r="G137" s="15"/>
      <c r="H137" s="42" t="str">
        <f t="shared" si="61"/>
        <v/>
      </c>
      <c r="I137" s="79" t="str">
        <f>IF(H137="","",IF($I$8="A",(RANK(H137,H$11:H$343,1)+COUNTIF(H$11:H137,H137)-1),(RANK(H137,H$11:H$343)+COUNTIF(H$11:H137,H137)-1)))</f>
        <v/>
      </c>
      <c r="J137" s="41"/>
      <c r="K137" s="36" t="str">
        <f t="shared" si="62"/>
        <v/>
      </c>
      <c r="L137" t="str">
        <f t="shared" si="63"/>
        <v/>
      </c>
      <c r="M137" s="117" t="str">
        <f t="shared" si="64"/>
        <v/>
      </c>
      <c r="N137" s="112" t="str">
        <f t="shared" si="65"/>
        <v/>
      </c>
      <c r="O137" s="96" t="str">
        <f t="shared" si="66"/>
        <v/>
      </c>
      <c r="P137" s="96" t="str">
        <f t="shared" si="67"/>
        <v/>
      </c>
      <c r="Q137" s="96" t="str">
        <f t="shared" si="68"/>
        <v/>
      </c>
      <c r="R137" s="92" t="str">
        <f t="shared" si="69"/>
        <v/>
      </c>
      <c r="S137" s="42" t="str">
        <f t="shared" si="70"/>
        <v/>
      </c>
      <c r="T137" s="167" t="str">
        <f>IF(L137="","",VLOOKUP(L137,classifications!C:K,9,FALSE))</f>
        <v/>
      </c>
      <c r="U137" s="168" t="str">
        <f t="shared" si="71"/>
        <v/>
      </c>
      <c r="V137" s="174" t="str">
        <f>IF(U137="","",IF($I$8="A",(RANK(U137,U$11:U$343)+COUNTIF(U$11:U137,U137)-1),(RANK(U137,U$11:U$343,1)+COUNTIF(U$11:U137,U137)-1)))</f>
        <v/>
      </c>
      <c r="W137" s="175"/>
      <c r="X137" s="5" t="str">
        <f>IF(L137="","",VLOOKUP($L137,classifications!$C:$J,6,FALSE))</f>
        <v/>
      </c>
      <c r="Y137" t="str">
        <f t="shared" si="72"/>
        <v/>
      </c>
      <c r="Z137" s="40" t="str">
        <f>IF(Y137="","",IF(I$8="A",(RANK(Y137,Y$11:Y$343,1)+COUNTIF(Y$11:Y137,Y137)-1),(RANK(Y137,Y$11:Y$343)+COUNTIF(Y$11:Y137,Y137)-1)))</f>
        <v/>
      </c>
      <c r="AA137" s="180" t="str">
        <f>IF(L137="","",VLOOKUP($L137,classifications!C:I,7,FALSE))</f>
        <v/>
      </c>
      <c r="AB137" s="174" t="str">
        <f t="shared" si="73"/>
        <v/>
      </c>
      <c r="AC137" s="174" t="str">
        <f>IF(AB137="","",IF($I$8="A",(RANK(AB137,AB$11:AB$343)+COUNTIF(AB$11:AB137,AB137)-1),(RANK(AB137,AB$11:AB$343,1)+COUNTIF(AB$11:AB137,AB137)-1)))</f>
        <v/>
      </c>
      <c r="AD137" s="174"/>
      <c r="AE137" s="36" t="str">
        <f t="shared" si="74"/>
        <v/>
      </c>
      <c r="AG137" s="15"/>
      <c r="AH137" s="3"/>
      <c r="AI137" s="5" t="str">
        <f>IF(L137="","",VLOOKUP($L137,classifications!$C:$J,8,FALSE))</f>
        <v/>
      </c>
      <c r="AJ137" s="43" t="str">
        <f t="shared" si="75"/>
        <v/>
      </c>
      <c r="AK137" s="40" t="str">
        <f>IF(AJ137="","",IF(I$8="A",(RANK(AJ137,AJ$11:AJ$343,1)+COUNTIF(AJ$11:AJ137,AJ137)-1),(RANK(AJ137,AJ$11:AJ$343)+COUNTIF(AJ$11:AJ137,AJ137)-1)))</f>
        <v/>
      </c>
      <c r="AL137" s="3" t="str">
        <f t="shared" si="76"/>
        <v/>
      </c>
      <c r="AM137" t="str">
        <f t="shared" si="77"/>
        <v/>
      </c>
      <c r="AN137" t="str">
        <f t="shared" si="78"/>
        <v/>
      </c>
      <c r="AP137" s="5" t="str">
        <f>IF(L137="","",VLOOKUP($L137,classifications!$C:$E,3,FALSE))</f>
        <v/>
      </c>
      <c r="AQ137" s="43" t="str">
        <f t="shared" si="79"/>
        <v/>
      </c>
      <c r="AR137" s="40" t="str">
        <f>IF(AQ137="","",IF(I$8="A",(RANK(AQ137,AQ$11:AQ$343,1)+COUNTIF(AQ$11:AQ137,AQ137)-1),(RANK(AQ137,AQ$11:AQ$343)+COUNTIF(AQ$11:AQ137,AQ137)-1)))</f>
        <v/>
      </c>
      <c r="AS137" s="3" t="str">
        <f t="shared" si="80"/>
        <v/>
      </c>
      <c r="AT137" s="40" t="str">
        <f t="shared" si="81"/>
        <v/>
      </c>
      <c r="AU137" s="43" t="str">
        <f t="shared" si="82"/>
        <v/>
      </c>
      <c r="AX137">
        <f>HLOOKUP($AX$9&amp;$AX$10,Data!$A$1:$ZZ$1980,(MATCH($C137,Data!$A$1:$A$1980,0)),FALSE)</f>
        <v>335.4</v>
      </c>
    </row>
    <row r="138" spans="1:50">
      <c r="A138" s="59" t="str">
        <f>$D$1&amp;128</f>
        <v>UA128</v>
      </c>
      <c r="B138" s="60">
        <f>IF(ISERROR(VLOOKUP(A140,classifications!A:C,3,FALSE)),0,VLOOKUP(A140,classifications!A:C,3,FALSE))</f>
        <v>0</v>
      </c>
      <c r="C138" t="s">
        <v>270</v>
      </c>
      <c r="D138" t="str">
        <f>VLOOKUP($C138,classifications!$C:$J,4,FALSE)</f>
        <v>UA</v>
      </c>
      <c r="E138">
        <f>VLOOKUP(C138,classifications!C:K,9,FALSE)</f>
        <v>0</v>
      </c>
      <c r="F138">
        <f t="shared" si="60"/>
        <v>394.1</v>
      </c>
      <c r="G138" s="15"/>
      <c r="H138" s="42">
        <f t="shared" si="61"/>
        <v>394.1</v>
      </c>
      <c r="I138" s="79">
        <f>IF(H138="","",IF($I$8="A",(RANK(H138,H$11:H$343,1)+COUNTIF(H$11:H138,H138)-1),(RANK(H138,H$11:H$343)+COUNTIF(H$11:H138,H138)-1)))</f>
        <v>31</v>
      </c>
      <c r="J138" s="41"/>
      <c r="K138" s="36" t="str">
        <f t="shared" si="62"/>
        <v/>
      </c>
      <c r="L138" t="str">
        <f t="shared" si="63"/>
        <v/>
      </c>
      <c r="M138" s="117" t="str">
        <f t="shared" si="64"/>
        <v/>
      </c>
      <c r="N138" s="112" t="str">
        <f t="shared" si="65"/>
        <v/>
      </c>
      <c r="O138" s="96" t="str">
        <f t="shared" si="66"/>
        <v/>
      </c>
      <c r="P138" s="96" t="str">
        <f t="shared" si="67"/>
        <v/>
      </c>
      <c r="Q138" s="96" t="str">
        <f t="shared" si="68"/>
        <v/>
      </c>
      <c r="R138" s="92" t="str">
        <f t="shared" si="69"/>
        <v/>
      </c>
      <c r="S138" s="42" t="str">
        <f t="shared" si="70"/>
        <v/>
      </c>
      <c r="T138" s="167" t="str">
        <f>IF(L138="","",VLOOKUP(L138,classifications!C:K,9,FALSE))</f>
        <v/>
      </c>
      <c r="U138" s="168" t="str">
        <f t="shared" si="71"/>
        <v/>
      </c>
      <c r="V138" s="174" t="str">
        <f>IF(U138="","",IF($I$8="A",(RANK(U138,U$11:U$343)+COUNTIF(U$11:U138,U138)-1),(RANK(U138,U$11:U$343,1)+COUNTIF(U$11:U138,U138)-1)))</f>
        <v/>
      </c>
      <c r="W138" s="175"/>
      <c r="X138" s="5" t="str">
        <f>IF(L138="","",VLOOKUP($L138,classifications!$C:$J,6,FALSE))</f>
        <v/>
      </c>
      <c r="Y138" t="str">
        <f t="shared" si="72"/>
        <v/>
      </c>
      <c r="Z138" s="40" t="str">
        <f>IF(Y138="","",IF(I$8="A",(RANK(Y138,Y$11:Y$343,1)+COUNTIF(Y$11:Y138,Y138)-1),(RANK(Y138,Y$11:Y$343)+COUNTIF(Y$11:Y138,Y138)-1)))</f>
        <v/>
      </c>
      <c r="AA138" s="180" t="str">
        <f>IF(L138="","",VLOOKUP($L138,classifications!C:I,7,FALSE))</f>
        <v/>
      </c>
      <c r="AB138" s="174" t="str">
        <f t="shared" si="73"/>
        <v/>
      </c>
      <c r="AC138" s="174" t="str">
        <f>IF(AB138="","",IF($I$8="A",(RANK(AB138,AB$11:AB$343)+COUNTIF(AB$11:AB138,AB138)-1),(RANK(AB138,AB$11:AB$343,1)+COUNTIF(AB$11:AB138,AB138)-1)))</f>
        <v/>
      </c>
      <c r="AD138" s="174"/>
      <c r="AE138" s="36" t="str">
        <f t="shared" si="74"/>
        <v/>
      </c>
      <c r="AG138" s="15"/>
      <c r="AH138" s="3"/>
      <c r="AI138" s="5" t="str">
        <f>IF(L138="","",VLOOKUP($L138,classifications!$C:$J,8,FALSE))</f>
        <v/>
      </c>
      <c r="AJ138" s="43" t="str">
        <f t="shared" si="75"/>
        <v/>
      </c>
      <c r="AK138" s="40" t="str">
        <f>IF(AJ138="","",IF(I$8="A",(RANK(AJ138,AJ$11:AJ$343,1)+COUNTIF(AJ$11:AJ138,AJ138)-1),(RANK(AJ138,AJ$11:AJ$343)+COUNTIF(AJ$11:AJ138,AJ138)-1)))</f>
        <v/>
      </c>
      <c r="AL138" s="3" t="str">
        <f t="shared" si="76"/>
        <v/>
      </c>
      <c r="AM138" t="str">
        <f t="shared" si="77"/>
        <v/>
      </c>
      <c r="AN138" t="str">
        <f t="shared" si="78"/>
        <v/>
      </c>
      <c r="AP138" s="5" t="str">
        <f>IF(L138="","",VLOOKUP($L138,classifications!$C:$E,3,FALSE))</f>
        <v/>
      </c>
      <c r="AQ138" s="43" t="str">
        <f t="shared" si="79"/>
        <v/>
      </c>
      <c r="AR138" s="40" t="str">
        <f>IF(AQ138="","",IF(I$8="A",(RANK(AQ138,AQ$11:AQ$343,1)+COUNTIF(AQ$11:AQ138,AQ138)-1),(RANK(AQ138,AQ$11:AQ$343)+COUNTIF(AQ$11:AQ138,AQ138)-1)))</f>
        <v/>
      </c>
      <c r="AS138" s="3" t="str">
        <f t="shared" si="80"/>
        <v/>
      </c>
      <c r="AT138" s="40" t="str">
        <f t="shared" si="81"/>
        <v/>
      </c>
      <c r="AU138" s="43" t="str">
        <f t="shared" si="82"/>
        <v/>
      </c>
      <c r="AX138">
        <f>HLOOKUP($AX$9&amp;$AX$10,Data!$A$1:$ZZ$1980,(MATCH($C138,Data!$A$1:$A$1980,0)),FALSE)</f>
        <v>394.1</v>
      </c>
    </row>
    <row r="139" spans="1:50">
      <c r="A139" s="59" t="str">
        <f>$D$1&amp;129</f>
        <v>UA129</v>
      </c>
      <c r="B139" s="60">
        <f>IF(ISERROR(VLOOKUP(A141,classifications!A:C,3,FALSE)),0,VLOOKUP(A141,classifications!A:C,3,FALSE))</f>
        <v>0</v>
      </c>
      <c r="C139" t="s">
        <v>83</v>
      </c>
      <c r="D139" t="str">
        <f>VLOOKUP($C139,classifications!$C:$J,4,FALSE)</f>
        <v>SD</v>
      </c>
      <c r="E139">
        <f>VLOOKUP(C139,classifications!C:K,9,FALSE)</f>
        <v>0</v>
      </c>
      <c r="F139">
        <f t="shared" si="60"/>
        <v>330.6</v>
      </c>
      <c r="G139" s="15"/>
      <c r="H139" s="42" t="str">
        <f t="shared" si="61"/>
        <v/>
      </c>
      <c r="I139" s="79" t="str">
        <f>IF(H139="","",IF($I$8="A",(RANK(H139,H$11:H$343,1)+COUNTIF(H$11:H139,H139)-1),(RANK(H139,H$11:H$343)+COUNTIF(H$11:H139,H139)-1)))</f>
        <v/>
      </c>
      <c r="J139" s="41"/>
      <c r="K139" s="36" t="str">
        <f t="shared" si="62"/>
        <v/>
      </c>
      <c r="L139" t="str">
        <f t="shared" si="63"/>
        <v/>
      </c>
      <c r="M139" s="117" t="str">
        <f t="shared" si="64"/>
        <v/>
      </c>
      <c r="N139" s="112" t="str">
        <f t="shared" si="65"/>
        <v/>
      </c>
      <c r="O139" s="96" t="str">
        <f t="shared" si="66"/>
        <v/>
      </c>
      <c r="P139" s="96" t="str">
        <f t="shared" si="67"/>
        <v/>
      </c>
      <c r="Q139" s="96" t="str">
        <f t="shared" si="68"/>
        <v/>
      </c>
      <c r="R139" s="92" t="str">
        <f t="shared" si="69"/>
        <v/>
      </c>
      <c r="S139" s="42" t="str">
        <f t="shared" si="70"/>
        <v/>
      </c>
      <c r="T139" s="167" t="str">
        <f>IF(L139="","",VLOOKUP(L139,classifications!C:K,9,FALSE))</f>
        <v/>
      </c>
      <c r="U139" s="168" t="str">
        <f t="shared" si="71"/>
        <v/>
      </c>
      <c r="V139" s="174" t="str">
        <f>IF(U139="","",IF($I$8="A",(RANK(U139,U$11:U$343)+COUNTIF(U$11:U139,U139)-1),(RANK(U139,U$11:U$343,1)+COUNTIF(U$11:U139,U139)-1)))</f>
        <v/>
      </c>
      <c r="W139" s="175"/>
      <c r="X139" s="5" t="str">
        <f>IF(L139="","",VLOOKUP($L139,classifications!$C:$J,6,FALSE))</f>
        <v/>
      </c>
      <c r="Y139" t="str">
        <f t="shared" si="72"/>
        <v/>
      </c>
      <c r="Z139" s="40" t="str">
        <f>IF(Y139="","",IF(I$8="A",(RANK(Y139,Y$11:Y$343,1)+COUNTIF(Y$11:Y139,Y139)-1),(RANK(Y139,Y$11:Y$343)+COUNTIF(Y$11:Y139,Y139)-1)))</f>
        <v/>
      </c>
      <c r="AA139" s="180" t="str">
        <f>IF(L139="","",VLOOKUP($L139,classifications!C:I,7,FALSE))</f>
        <v/>
      </c>
      <c r="AB139" s="174" t="str">
        <f t="shared" si="73"/>
        <v/>
      </c>
      <c r="AC139" s="174" t="str">
        <f>IF(AB139="","",IF($I$8="A",(RANK(AB139,AB$11:AB$343)+COUNTIF(AB$11:AB139,AB139)-1),(RANK(AB139,AB$11:AB$343,1)+COUNTIF(AB$11:AB139,AB139)-1)))</f>
        <v/>
      </c>
      <c r="AD139" s="174"/>
      <c r="AE139" s="36" t="str">
        <f t="shared" si="74"/>
        <v/>
      </c>
      <c r="AG139" s="15"/>
      <c r="AH139" s="3"/>
      <c r="AI139" s="5" t="str">
        <f>IF(L139="","",VLOOKUP($L139,classifications!$C:$J,8,FALSE))</f>
        <v/>
      </c>
      <c r="AJ139" s="43" t="str">
        <f t="shared" si="75"/>
        <v/>
      </c>
      <c r="AK139" s="40" t="str">
        <f>IF(AJ139="","",IF(I$8="A",(RANK(AJ139,AJ$11:AJ$343,1)+COUNTIF(AJ$11:AJ139,AJ139)-1),(RANK(AJ139,AJ$11:AJ$343)+COUNTIF(AJ$11:AJ139,AJ139)-1)))</f>
        <v/>
      </c>
      <c r="AL139" s="3" t="str">
        <f t="shared" si="76"/>
        <v/>
      </c>
      <c r="AM139" t="str">
        <f t="shared" si="77"/>
        <v/>
      </c>
      <c r="AN139" t="str">
        <f t="shared" si="78"/>
        <v/>
      </c>
      <c r="AP139" s="5" t="str">
        <f>IF(L139="","",VLOOKUP($L139,classifications!$C:$E,3,FALSE))</f>
        <v/>
      </c>
      <c r="AQ139" s="43" t="str">
        <f t="shared" si="79"/>
        <v/>
      </c>
      <c r="AR139" s="40" t="str">
        <f>IF(AQ139="","",IF(I$8="A",(RANK(AQ139,AQ$11:AQ$343,1)+COUNTIF(AQ$11:AQ139,AQ139)-1),(RANK(AQ139,AQ$11:AQ$343)+COUNTIF(AQ$11:AQ139,AQ139)-1)))</f>
        <v/>
      </c>
      <c r="AS139" s="3" t="str">
        <f t="shared" si="80"/>
        <v/>
      </c>
      <c r="AT139" s="40" t="str">
        <f t="shared" si="81"/>
        <v/>
      </c>
      <c r="AU139" s="43" t="str">
        <f t="shared" si="82"/>
        <v/>
      </c>
      <c r="AX139">
        <f>HLOOKUP($AX$9&amp;$AX$10,Data!$A$1:$ZZ$1980,(MATCH($C139,Data!$A$1:$A$1980,0)),FALSE)</f>
        <v>330.6</v>
      </c>
    </row>
    <row r="140" spans="1:50">
      <c r="A140" s="59" t="str">
        <f>$D$1&amp;130</f>
        <v>UA130</v>
      </c>
      <c r="B140" s="60">
        <f>IF(ISERROR(VLOOKUP(A142,classifications!A:C,3,FALSE)),0,VLOOKUP(A142,classifications!A:C,3,FALSE))</f>
        <v>0</v>
      </c>
      <c r="C140" t="s">
        <v>84</v>
      </c>
      <c r="D140" t="str">
        <f>VLOOKUP($C140,classifications!$C:$J,4,FALSE)</f>
        <v>SD</v>
      </c>
      <c r="E140">
        <f>VLOOKUP(C140,classifications!C:K,9,FALSE)</f>
        <v>0</v>
      </c>
      <c r="F140">
        <f t="shared" si="60"/>
        <v>331.8</v>
      </c>
      <c r="G140" s="15"/>
      <c r="H140" s="42" t="str">
        <f t="shared" si="61"/>
        <v/>
      </c>
      <c r="I140" s="79" t="str">
        <f>IF(H140="","",IF($I$8="A",(RANK(H140,H$11:H$343,1)+COUNTIF(H$11:H140,H140)-1),(RANK(H140,H$11:H$343)+COUNTIF(H$11:H140,H140)-1)))</f>
        <v/>
      </c>
      <c r="J140" s="41"/>
      <c r="K140" s="36" t="str">
        <f t="shared" si="62"/>
        <v/>
      </c>
      <c r="L140" t="str">
        <f t="shared" si="63"/>
        <v/>
      </c>
      <c r="M140" s="117" t="str">
        <f t="shared" si="64"/>
        <v/>
      </c>
      <c r="N140" s="112" t="str">
        <f t="shared" si="65"/>
        <v/>
      </c>
      <c r="O140" s="96" t="str">
        <f t="shared" si="66"/>
        <v/>
      </c>
      <c r="P140" s="96" t="str">
        <f t="shared" si="67"/>
        <v/>
      </c>
      <c r="Q140" s="96" t="str">
        <f t="shared" si="68"/>
        <v/>
      </c>
      <c r="R140" s="92" t="str">
        <f t="shared" si="69"/>
        <v/>
      </c>
      <c r="S140" s="42" t="str">
        <f t="shared" si="70"/>
        <v/>
      </c>
      <c r="T140" s="167" t="str">
        <f>IF(L140="","",VLOOKUP(L140,classifications!C:K,9,FALSE))</f>
        <v/>
      </c>
      <c r="U140" s="168" t="str">
        <f t="shared" si="71"/>
        <v/>
      </c>
      <c r="V140" s="174" t="str">
        <f>IF(U140="","",IF($I$8="A",(RANK(U140,U$11:U$343)+COUNTIF(U$11:U140,U140)-1),(RANK(U140,U$11:U$343,1)+COUNTIF(U$11:U140,U140)-1)))</f>
        <v/>
      </c>
      <c r="W140" s="175"/>
      <c r="X140" s="5" t="str">
        <f>IF(L140="","",VLOOKUP($L140,classifications!$C:$J,6,FALSE))</f>
        <v/>
      </c>
      <c r="Y140" t="str">
        <f t="shared" si="72"/>
        <v/>
      </c>
      <c r="Z140" s="40" t="str">
        <f>IF(Y140="","",IF(I$8="A",(RANK(Y140,Y$11:Y$343,1)+COUNTIF(Y$11:Y140,Y140)-1),(RANK(Y140,Y$11:Y$343)+COUNTIF(Y$11:Y140,Y140)-1)))</f>
        <v/>
      </c>
      <c r="AA140" s="180" t="str">
        <f>IF(L140="","",VLOOKUP($L140,classifications!C:I,7,FALSE))</f>
        <v/>
      </c>
      <c r="AB140" s="174" t="str">
        <f t="shared" si="73"/>
        <v/>
      </c>
      <c r="AC140" s="174" t="str">
        <f>IF(AB140="","",IF($I$8="A",(RANK(AB140,AB$11:AB$343)+COUNTIF(AB$11:AB140,AB140)-1),(RANK(AB140,AB$11:AB$343,1)+COUNTIF(AB$11:AB140,AB140)-1)))</f>
        <v/>
      </c>
      <c r="AD140" s="174"/>
      <c r="AE140" s="36" t="str">
        <f t="shared" si="74"/>
        <v/>
      </c>
      <c r="AG140" s="15"/>
      <c r="AH140" s="3"/>
      <c r="AI140" s="5" t="str">
        <f>IF(L140="","",VLOOKUP($L140,classifications!$C:$J,8,FALSE))</f>
        <v/>
      </c>
      <c r="AJ140" s="43" t="str">
        <f t="shared" si="75"/>
        <v/>
      </c>
      <c r="AK140" s="40" t="str">
        <f>IF(AJ140="","",IF(I$8="A",(RANK(AJ140,AJ$11:AJ$343,1)+COUNTIF(AJ$11:AJ140,AJ140)-1),(RANK(AJ140,AJ$11:AJ$343)+COUNTIF(AJ$11:AJ140,AJ140)-1)))</f>
        <v/>
      </c>
      <c r="AL140" s="3" t="str">
        <f t="shared" si="76"/>
        <v/>
      </c>
      <c r="AM140" t="str">
        <f t="shared" si="77"/>
        <v/>
      </c>
      <c r="AN140" t="str">
        <f t="shared" si="78"/>
        <v/>
      </c>
      <c r="AP140" s="5" t="str">
        <f>IF(L140="","",VLOOKUP($L140,classifications!$C:$E,3,FALSE))</f>
        <v/>
      </c>
      <c r="AQ140" s="43" t="str">
        <f t="shared" si="79"/>
        <v/>
      </c>
      <c r="AR140" s="40" t="str">
        <f>IF(AQ140="","",IF(I$8="A",(RANK(AQ140,AQ$11:AQ$343,1)+COUNTIF(AQ$11:AQ140,AQ140)-1),(RANK(AQ140,AQ$11:AQ$343)+COUNTIF(AQ$11:AQ140,AQ140)-1)))</f>
        <v/>
      </c>
      <c r="AS140" s="3" t="str">
        <f t="shared" si="80"/>
        <v/>
      </c>
      <c r="AT140" s="40" t="str">
        <f t="shared" si="81"/>
        <v/>
      </c>
      <c r="AU140" s="43" t="str">
        <f t="shared" si="82"/>
        <v/>
      </c>
      <c r="AX140">
        <f>HLOOKUP($AX$9&amp;$AX$10,Data!$A$1:$ZZ$1980,(MATCH($C140,Data!$A$1:$A$1980,0)),FALSE)</f>
        <v>331.8</v>
      </c>
    </row>
    <row r="141" spans="1:50">
      <c r="A141" s="59" t="str">
        <f>$D$1&amp;131</f>
        <v>UA131</v>
      </c>
      <c r="B141" s="60">
        <f>IF(ISERROR(VLOOKUP(A143,classifications!A:C,3,FALSE)),0,VLOOKUP(A143,classifications!A:C,3,FALSE))</f>
        <v>0</v>
      </c>
      <c r="C141" t="s">
        <v>209</v>
      </c>
      <c r="D141" t="str">
        <f>VLOOKUP($C141,classifications!$C:$J,4,FALSE)</f>
        <v>L</v>
      </c>
      <c r="E141">
        <f>VLOOKUP(C141,classifications!C:K,9,FALSE)</f>
        <v>0</v>
      </c>
      <c r="F141">
        <f t="shared" si="60"/>
        <v>389.8</v>
      </c>
      <c r="G141" s="15"/>
      <c r="H141" s="42" t="str">
        <f t="shared" si="61"/>
        <v/>
      </c>
      <c r="I141" s="79" t="str">
        <f>IF(H141="","",IF($I$8="A",(RANK(H141,H$11:H$343,1)+COUNTIF(H$11:H141,H141)-1),(RANK(H141,H$11:H$343)+COUNTIF(H$11:H141,H141)-1)))</f>
        <v/>
      </c>
      <c r="J141" s="41"/>
      <c r="K141" s="36" t="str">
        <f t="shared" si="62"/>
        <v/>
      </c>
      <c r="L141" t="str">
        <f t="shared" si="63"/>
        <v/>
      </c>
      <c r="M141" s="117" t="str">
        <f t="shared" si="64"/>
        <v/>
      </c>
      <c r="N141" s="112" t="str">
        <f t="shared" si="65"/>
        <v/>
      </c>
      <c r="O141" s="96" t="str">
        <f t="shared" si="66"/>
        <v/>
      </c>
      <c r="P141" s="96" t="str">
        <f t="shared" si="67"/>
        <v/>
      </c>
      <c r="Q141" s="96" t="str">
        <f t="shared" si="68"/>
        <v/>
      </c>
      <c r="R141" s="92" t="str">
        <f t="shared" si="69"/>
        <v/>
      </c>
      <c r="S141" s="42" t="str">
        <f t="shared" si="70"/>
        <v/>
      </c>
      <c r="T141" s="167" t="str">
        <f>IF(L141="","",VLOOKUP(L141,classifications!C:K,9,FALSE))</f>
        <v/>
      </c>
      <c r="U141" s="168" t="str">
        <f t="shared" si="71"/>
        <v/>
      </c>
      <c r="V141" s="174" t="str">
        <f>IF(U141="","",IF($I$8="A",(RANK(U141,U$11:U$343)+COUNTIF(U$11:U141,U141)-1),(RANK(U141,U$11:U$343,1)+COUNTIF(U$11:U141,U141)-1)))</f>
        <v/>
      </c>
      <c r="W141" s="175"/>
      <c r="X141" s="5" t="str">
        <f>IF(L141="","",VLOOKUP($L141,classifications!$C:$J,6,FALSE))</f>
        <v/>
      </c>
      <c r="Y141" t="str">
        <f t="shared" si="72"/>
        <v/>
      </c>
      <c r="Z141" s="40" t="str">
        <f>IF(Y141="","",IF(I$8="A",(RANK(Y141,Y$11:Y$343,1)+COUNTIF(Y$11:Y141,Y141)-1),(RANK(Y141,Y$11:Y$343)+COUNTIF(Y$11:Y141,Y141)-1)))</f>
        <v/>
      </c>
      <c r="AA141" s="180" t="str">
        <f>IF(L141="","",VLOOKUP($L141,classifications!C:I,7,FALSE))</f>
        <v/>
      </c>
      <c r="AB141" s="174" t="str">
        <f t="shared" si="73"/>
        <v/>
      </c>
      <c r="AC141" s="174" t="str">
        <f>IF(AB141="","",IF($I$8="A",(RANK(AB141,AB$11:AB$343)+COUNTIF(AB$11:AB141,AB141)-1),(RANK(AB141,AB$11:AB$343,1)+COUNTIF(AB$11:AB141,AB141)-1)))</f>
        <v/>
      </c>
      <c r="AD141" s="174"/>
      <c r="AE141" s="36" t="str">
        <f t="shared" si="74"/>
        <v/>
      </c>
      <c r="AG141" s="15"/>
      <c r="AH141" s="3"/>
      <c r="AI141" s="5" t="str">
        <f>IF(L141="","",VLOOKUP($L141,classifications!$C:$J,8,FALSE))</f>
        <v/>
      </c>
      <c r="AJ141" s="43" t="str">
        <f t="shared" si="75"/>
        <v/>
      </c>
      <c r="AK141" s="40" t="str">
        <f>IF(AJ141="","",IF(I$8="A",(RANK(AJ141,AJ$11:AJ$343,1)+COUNTIF(AJ$11:AJ141,AJ141)-1),(RANK(AJ141,AJ$11:AJ$343)+COUNTIF(AJ$11:AJ141,AJ141)-1)))</f>
        <v/>
      </c>
      <c r="AL141" s="3" t="str">
        <f t="shared" si="76"/>
        <v/>
      </c>
      <c r="AM141" t="str">
        <f t="shared" si="77"/>
        <v/>
      </c>
      <c r="AN141" t="str">
        <f t="shared" si="78"/>
        <v/>
      </c>
      <c r="AP141" s="5" t="str">
        <f>IF(L141="","",VLOOKUP($L141,classifications!$C:$E,3,FALSE))</f>
        <v/>
      </c>
      <c r="AQ141" s="43" t="str">
        <f t="shared" si="79"/>
        <v/>
      </c>
      <c r="AR141" s="40" t="str">
        <f>IF(AQ141="","",IF(I$8="A",(RANK(AQ141,AQ$11:AQ$343,1)+COUNTIF(AQ$11:AQ141,AQ141)-1),(RANK(AQ141,AQ$11:AQ$343)+COUNTIF(AQ$11:AQ141,AQ141)-1)))</f>
        <v/>
      </c>
      <c r="AS141" s="3" t="str">
        <f t="shared" si="80"/>
        <v/>
      </c>
      <c r="AT141" s="40" t="str">
        <f t="shared" si="81"/>
        <v/>
      </c>
      <c r="AU141" s="43" t="str">
        <f t="shared" si="82"/>
        <v/>
      </c>
      <c r="AX141">
        <f>HLOOKUP($AX$9&amp;$AX$10,Data!$A$1:$ZZ$1980,(MATCH($C141,Data!$A$1:$A$1980,0)),FALSE)</f>
        <v>389.8</v>
      </c>
    </row>
    <row r="142" spans="1:50">
      <c r="A142" s="59" t="str">
        <f>$D$1&amp;132</f>
        <v>UA132</v>
      </c>
      <c r="B142" s="60">
        <f>IF(ISERROR(VLOOKUP(A144,classifications!A:C,3,FALSE)),0,VLOOKUP(A144,classifications!A:C,3,FALSE))</f>
        <v>0</v>
      </c>
      <c r="C142" t="s">
        <v>818</v>
      </c>
      <c r="D142" t="str">
        <f>VLOOKUP($C142,classifications!$C:$J,4,FALSE)</f>
        <v>UA</v>
      </c>
      <c r="E142" t="str">
        <f>VLOOKUP(C142,classifications!C:K,9,FALSE)</f>
        <v>Sparse</v>
      </c>
      <c r="F142">
        <f t="shared" si="60"/>
        <v>363.4</v>
      </c>
      <c r="G142" s="15"/>
      <c r="H142" s="42">
        <f t="shared" si="61"/>
        <v>363.4</v>
      </c>
      <c r="I142" s="79">
        <f>IF(H142="","",IF($I$8="A",(RANK(H142,H$11:H$343,1)+COUNTIF(H$11:H142,H142)-1),(RANK(H142,H$11:H$343)+COUNTIF(H$11:H142,H142)-1)))</f>
        <v>15</v>
      </c>
      <c r="J142" s="41"/>
      <c r="K142" s="36" t="str">
        <f t="shared" si="62"/>
        <v/>
      </c>
      <c r="L142" t="str">
        <f t="shared" si="63"/>
        <v/>
      </c>
      <c r="M142" s="117" t="str">
        <f t="shared" si="64"/>
        <v/>
      </c>
      <c r="N142" s="112" t="str">
        <f t="shared" si="65"/>
        <v/>
      </c>
      <c r="O142" s="96" t="str">
        <f t="shared" si="66"/>
        <v/>
      </c>
      <c r="P142" s="96" t="str">
        <f t="shared" si="67"/>
        <v/>
      </c>
      <c r="Q142" s="96" t="str">
        <f t="shared" si="68"/>
        <v/>
      </c>
      <c r="R142" s="92" t="str">
        <f t="shared" si="69"/>
        <v/>
      </c>
      <c r="S142" s="42" t="str">
        <f t="shared" si="70"/>
        <v/>
      </c>
      <c r="T142" s="167" t="str">
        <f>IF(L142="","",VLOOKUP(L142,classifications!C:K,9,FALSE))</f>
        <v/>
      </c>
      <c r="U142" s="168" t="str">
        <f t="shared" si="71"/>
        <v/>
      </c>
      <c r="V142" s="174" t="str">
        <f>IF(U142="","",IF($I$8="A",(RANK(U142,U$11:U$343)+COUNTIF(U$11:U142,U142)-1),(RANK(U142,U$11:U$343,1)+COUNTIF(U$11:U142,U142)-1)))</f>
        <v/>
      </c>
      <c r="W142" s="175"/>
      <c r="X142" s="5" t="str">
        <f>IF(L142="","",VLOOKUP($L142,classifications!$C:$J,6,FALSE))</f>
        <v/>
      </c>
      <c r="Y142" t="str">
        <f t="shared" si="72"/>
        <v/>
      </c>
      <c r="Z142" s="40" t="str">
        <f>IF(Y142="","",IF(I$8="A",(RANK(Y142,Y$11:Y$343,1)+COUNTIF(Y$11:Y142,Y142)-1),(RANK(Y142,Y$11:Y$343)+COUNTIF(Y$11:Y142,Y142)-1)))</f>
        <v/>
      </c>
      <c r="AA142" s="180" t="str">
        <f>IF(L142="","",VLOOKUP($L142,classifications!C:I,7,FALSE))</f>
        <v/>
      </c>
      <c r="AB142" s="174" t="str">
        <f t="shared" si="73"/>
        <v/>
      </c>
      <c r="AC142" s="174" t="str">
        <f>IF(AB142="","",IF($I$8="A",(RANK(AB142,AB$11:AB$343)+COUNTIF(AB$11:AB142,AB142)-1),(RANK(AB142,AB$11:AB$343,1)+COUNTIF(AB$11:AB142,AB142)-1)))</f>
        <v/>
      </c>
      <c r="AD142" s="174"/>
      <c r="AE142" s="36" t="str">
        <f t="shared" si="74"/>
        <v/>
      </c>
      <c r="AG142" s="15"/>
      <c r="AH142" s="3"/>
      <c r="AI142" s="5" t="str">
        <f>IF(L142="","",VLOOKUP($L142,classifications!$C:$J,8,FALSE))</f>
        <v/>
      </c>
      <c r="AJ142" s="43" t="str">
        <f t="shared" si="75"/>
        <v/>
      </c>
      <c r="AK142" s="40" t="str">
        <f>IF(AJ142="","",IF(I$8="A",(RANK(AJ142,AJ$11:AJ$343,1)+COUNTIF(AJ$11:AJ142,AJ142)-1),(RANK(AJ142,AJ$11:AJ$343)+COUNTIF(AJ$11:AJ142,AJ142)-1)))</f>
        <v/>
      </c>
      <c r="AL142" s="3" t="str">
        <f t="shared" si="76"/>
        <v/>
      </c>
      <c r="AM142" t="str">
        <f t="shared" si="77"/>
        <v/>
      </c>
      <c r="AN142" t="str">
        <f t="shared" si="78"/>
        <v/>
      </c>
      <c r="AP142" s="5" t="str">
        <f>IF(L142="","",VLOOKUP($L142,classifications!$C:$E,3,FALSE))</f>
        <v/>
      </c>
      <c r="AQ142" s="43" t="str">
        <f t="shared" si="79"/>
        <v/>
      </c>
      <c r="AR142" s="40" t="str">
        <f>IF(AQ142="","",IF(I$8="A",(RANK(AQ142,AQ$11:AQ$343,1)+COUNTIF(AQ$11:AQ142,AQ142)-1),(RANK(AQ142,AQ$11:AQ$343)+COUNTIF(AQ$11:AQ142,AQ142)-1)))</f>
        <v/>
      </c>
      <c r="AS142" s="3" t="str">
        <f t="shared" si="80"/>
        <v/>
      </c>
      <c r="AT142" s="40" t="str">
        <f t="shared" si="81"/>
        <v/>
      </c>
      <c r="AU142" s="43" t="str">
        <f t="shared" si="82"/>
        <v/>
      </c>
      <c r="AX142">
        <f>HLOOKUP($AX$9&amp;$AX$10,Data!$A$1:$ZZ$1980,(MATCH($C142,Data!$A$1:$A$1980,0)),FALSE)</f>
        <v>363.4</v>
      </c>
    </row>
    <row r="143" spans="1:50">
      <c r="A143" s="59" t="str">
        <f>$D$1&amp;133</f>
        <v>UA133</v>
      </c>
      <c r="B143" s="60">
        <f>IF(ISERROR(VLOOKUP(A145,classifications!A:C,3,FALSE)),0,VLOOKUP(A145,classifications!A:C,3,FALSE))</f>
        <v>0</v>
      </c>
      <c r="C143" t="s">
        <v>315</v>
      </c>
      <c r="D143" t="str">
        <f>VLOOKUP($C143,classifications!$C:$J,4,FALSE)</f>
        <v>SC</v>
      </c>
      <c r="E143">
        <f>VLOOKUP(C143,classifications!C:K,9,FALSE)</f>
        <v>0</v>
      </c>
      <c r="F143">
        <f t="shared" si="60"/>
        <v>389.8</v>
      </c>
      <c r="G143" s="15"/>
      <c r="H143" s="42" t="str">
        <f t="shared" si="61"/>
        <v/>
      </c>
      <c r="I143" s="79" t="str">
        <f>IF(H143="","",IF($I$8="A",(RANK(H143,H$11:H$343,1)+COUNTIF(H$11:H143,H143)-1),(RANK(H143,H$11:H$343)+COUNTIF(H$11:H143,H143)-1)))</f>
        <v/>
      </c>
      <c r="J143" s="41"/>
      <c r="K143" s="36" t="str">
        <f t="shared" si="62"/>
        <v/>
      </c>
      <c r="L143" t="str">
        <f t="shared" si="63"/>
        <v/>
      </c>
      <c r="M143" s="117" t="str">
        <f t="shared" si="64"/>
        <v/>
      </c>
      <c r="N143" s="112" t="str">
        <f t="shared" si="65"/>
        <v/>
      </c>
      <c r="O143" s="96" t="str">
        <f t="shared" si="66"/>
        <v/>
      </c>
      <c r="P143" s="96" t="str">
        <f t="shared" si="67"/>
        <v/>
      </c>
      <c r="Q143" s="96" t="str">
        <f t="shared" si="68"/>
        <v/>
      </c>
      <c r="R143" s="92" t="str">
        <f t="shared" si="69"/>
        <v/>
      </c>
      <c r="S143" s="42" t="str">
        <f t="shared" si="70"/>
        <v/>
      </c>
      <c r="T143" s="167" t="str">
        <f>IF(L143="","",VLOOKUP(L143,classifications!C:K,9,FALSE))</f>
        <v/>
      </c>
      <c r="U143" s="168" t="str">
        <f t="shared" si="71"/>
        <v/>
      </c>
      <c r="V143" s="174" t="str">
        <f>IF(U143="","",IF($I$8="A",(RANK(U143,U$11:U$343)+COUNTIF(U$11:U143,U143)-1),(RANK(U143,U$11:U$343,1)+COUNTIF(U$11:U143,U143)-1)))</f>
        <v/>
      </c>
      <c r="W143" s="175"/>
      <c r="X143" s="5" t="str">
        <f>IF(L143="","",VLOOKUP($L143,classifications!$C:$J,6,FALSE))</f>
        <v/>
      </c>
      <c r="Y143" t="str">
        <f t="shared" si="72"/>
        <v/>
      </c>
      <c r="Z143" s="40" t="str">
        <f>IF(Y143="","",IF(I$8="A",(RANK(Y143,Y$11:Y$343,1)+COUNTIF(Y$11:Y143,Y143)-1),(RANK(Y143,Y$11:Y$343)+COUNTIF(Y$11:Y143,Y143)-1)))</f>
        <v/>
      </c>
      <c r="AA143" s="180" t="str">
        <f>IF(L143="","",VLOOKUP($L143,classifications!C:I,7,FALSE))</f>
        <v/>
      </c>
      <c r="AB143" s="174" t="str">
        <f t="shared" si="73"/>
        <v/>
      </c>
      <c r="AC143" s="174" t="str">
        <f>IF(AB143="","",IF($I$8="A",(RANK(AB143,AB$11:AB$343)+COUNTIF(AB$11:AB143,AB143)-1),(RANK(AB143,AB$11:AB$343,1)+COUNTIF(AB$11:AB143,AB143)-1)))</f>
        <v/>
      </c>
      <c r="AD143" s="174"/>
      <c r="AE143" s="36" t="str">
        <f t="shared" si="74"/>
        <v/>
      </c>
      <c r="AG143" s="15"/>
      <c r="AH143" s="3"/>
      <c r="AI143" s="5" t="str">
        <f>IF(L143="","",VLOOKUP($L143,classifications!$C:$J,8,FALSE))</f>
        <v/>
      </c>
      <c r="AJ143" s="43" t="str">
        <f t="shared" si="75"/>
        <v/>
      </c>
      <c r="AK143" s="40" t="str">
        <f>IF(AJ143="","",IF(I$8="A",(RANK(AJ143,AJ$11:AJ$343,1)+COUNTIF(AJ$11:AJ143,AJ143)-1),(RANK(AJ143,AJ$11:AJ$343)+COUNTIF(AJ$11:AJ143,AJ143)-1)))</f>
        <v/>
      </c>
      <c r="AL143" s="3" t="str">
        <f t="shared" si="76"/>
        <v/>
      </c>
      <c r="AM143" t="str">
        <f t="shared" si="77"/>
        <v/>
      </c>
      <c r="AN143" t="str">
        <f t="shared" si="78"/>
        <v/>
      </c>
      <c r="AP143" s="5" t="str">
        <f>IF(L143="","",VLOOKUP($L143,classifications!$C:$E,3,FALSE))</f>
        <v/>
      </c>
      <c r="AQ143" s="43" t="str">
        <f t="shared" si="79"/>
        <v/>
      </c>
      <c r="AR143" s="40" t="str">
        <f>IF(AQ143="","",IF(I$8="A",(RANK(AQ143,AQ$11:AQ$343,1)+COUNTIF(AQ$11:AQ143,AQ143)-1),(RANK(AQ143,AQ$11:AQ$343)+COUNTIF(AQ$11:AQ143,AQ143)-1)))</f>
        <v/>
      </c>
      <c r="AS143" s="3" t="str">
        <f t="shared" si="80"/>
        <v/>
      </c>
      <c r="AT143" s="40" t="str">
        <f t="shared" si="81"/>
        <v/>
      </c>
      <c r="AU143" s="43" t="str">
        <f t="shared" si="82"/>
        <v/>
      </c>
      <c r="AX143">
        <f>HLOOKUP($AX$9&amp;$AX$10,Data!$A$1:$ZZ$1980,(MATCH($C143,Data!$A$1:$A$1980,0)),FALSE)</f>
        <v>389.8</v>
      </c>
    </row>
    <row r="144" spans="1:50">
      <c r="A144" s="59" t="str">
        <f>$D$1&amp;134</f>
        <v>UA134</v>
      </c>
      <c r="B144" s="60">
        <f>IF(ISERROR(VLOOKUP(A146,classifications!A:C,3,FALSE)),0,VLOOKUP(A146,classifications!A:C,3,FALSE))</f>
        <v>0</v>
      </c>
      <c r="C144" t="s">
        <v>85</v>
      </c>
      <c r="D144" t="str">
        <f>VLOOKUP($C144,classifications!$C:$J,4,FALSE)</f>
        <v>SD</v>
      </c>
      <c r="E144">
        <f>VLOOKUP(C144,classifications!C:K,9,FALSE)</f>
        <v>0</v>
      </c>
      <c r="F144">
        <f t="shared" si="60"/>
        <v>343.3</v>
      </c>
      <c r="G144" s="15"/>
      <c r="H144" s="42" t="str">
        <f t="shared" si="61"/>
        <v/>
      </c>
      <c r="I144" s="79" t="str">
        <f>IF(H144="","",IF($I$8="A",(RANK(H144,H$11:H$343,1)+COUNTIF(H$11:H144,H144)-1),(RANK(H144,H$11:H$343)+COUNTIF(H$11:H144,H144)-1)))</f>
        <v/>
      </c>
      <c r="J144" s="41"/>
      <c r="K144" s="36" t="str">
        <f t="shared" si="62"/>
        <v/>
      </c>
      <c r="L144" t="str">
        <f t="shared" si="63"/>
        <v/>
      </c>
      <c r="M144" s="117" t="str">
        <f t="shared" si="64"/>
        <v/>
      </c>
      <c r="N144" s="112" t="str">
        <f t="shared" si="65"/>
        <v/>
      </c>
      <c r="O144" s="96" t="str">
        <f t="shared" si="66"/>
        <v/>
      </c>
      <c r="P144" s="96" t="str">
        <f t="shared" si="67"/>
        <v/>
      </c>
      <c r="Q144" s="96" t="str">
        <f t="shared" si="68"/>
        <v/>
      </c>
      <c r="R144" s="92" t="str">
        <f t="shared" si="69"/>
        <v/>
      </c>
      <c r="S144" s="42" t="str">
        <f t="shared" si="70"/>
        <v/>
      </c>
      <c r="T144" s="167" t="str">
        <f>IF(L144="","",VLOOKUP(L144,classifications!C:K,9,FALSE))</f>
        <v/>
      </c>
      <c r="U144" s="168" t="str">
        <f t="shared" si="71"/>
        <v/>
      </c>
      <c r="V144" s="174" t="str">
        <f>IF(U144="","",IF($I$8="A",(RANK(U144,U$11:U$343)+COUNTIF(U$11:U144,U144)-1),(RANK(U144,U$11:U$343,1)+COUNTIF(U$11:U144,U144)-1)))</f>
        <v/>
      </c>
      <c r="W144" s="175"/>
      <c r="X144" s="5" t="str">
        <f>IF(L144="","",VLOOKUP($L144,classifications!$C:$J,6,FALSE))</f>
        <v/>
      </c>
      <c r="Y144" t="str">
        <f t="shared" si="72"/>
        <v/>
      </c>
      <c r="Z144" s="40" t="str">
        <f>IF(Y144="","",IF(I$8="A",(RANK(Y144,Y$11:Y$343,1)+COUNTIF(Y$11:Y144,Y144)-1),(RANK(Y144,Y$11:Y$343)+COUNTIF(Y$11:Y144,Y144)-1)))</f>
        <v/>
      </c>
      <c r="AA144" s="180" t="str">
        <f>IF(L144="","",VLOOKUP($L144,classifications!C:I,7,FALSE))</f>
        <v/>
      </c>
      <c r="AB144" s="174" t="str">
        <f t="shared" si="73"/>
        <v/>
      </c>
      <c r="AC144" s="174" t="str">
        <f>IF(AB144="","",IF($I$8="A",(RANK(AB144,AB$11:AB$343)+COUNTIF(AB$11:AB144,AB144)-1),(RANK(AB144,AB$11:AB$343,1)+COUNTIF(AB$11:AB144,AB144)-1)))</f>
        <v/>
      </c>
      <c r="AD144" s="174"/>
      <c r="AE144" s="36" t="str">
        <f t="shared" si="74"/>
        <v/>
      </c>
      <c r="AG144" s="15"/>
      <c r="AH144" s="3"/>
      <c r="AI144" s="5" t="str">
        <f>IF(L144="","",VLOOKUP($L144,classifications!$C:$J,8,FALSE))</f>
        <v/>
      </c>
      <c r="AJ144" s="43" t="str">
        <f t="shared" si="75"/>
        <v/>
      </c>
      <c r="AK144" s="40" t="str">
        <f>IF(AJ144="","",IF(I$8="A",(RANK(AJ144,AJ$11:AJ$343,1)+COUNTIF(AJ$11:AJ144,AJ144)-1),(RANK(AJ144,AJ$11:AJ$343)+COUNTIF(AJ$11:AJ144,AJ144)-1)))</f>
        <v/>
      </c>
      <c r="AL144" s="3" t="str">
        <f t="shared" si="76"/>
        <v/>
      </c>
      <c r="AM144" t="str">
        <f t="shared" si="77"/>
        <v/>
      </c>
      <c r="AN144" t="str">
        <f t="shared" si="78"/>
        <v/>
      </c>
      <c r="AP144" s="5" t="str">
        <f>IF(L144="","",VLOOKUP($L144,classifications!$C:$E,3,FALSE))</f>
        <v/>
      </c>
      <c r="AQ144" s="43" t="str">
        <f t="shared" si="79"/>
        <v/>
      </c>
      <c r="AR144" s="40" t="str">
        <f>IF(AQ144="","",IF(I$8="A",(RANK(AQ144,AQ$11:AQ$343,1)+COUNTIF(AQ$11:AQ144,AQ144)-1),(RANK(AQ144,AQ$11:AQ$343)+COUNTIF(AQ$11:AQ144,AQ144)-1)))</f>
        <v/>
      </c>
      <c r="AS144" s="3" t="str">
        <f t="shared" si="80"/>
        <v/>
      </c>
      <c r="AT144" s="40" t="str">
        <f t="shared" si="81"/>
        <v/>
      </c>
      <c r="AU144" s="43" t="str">
        <f t="shared" si="82"/>
        <v/>
      </c>
      <c r="AX144">
        <f>HLOOKUP($AX$9&amp;$AX$10,Data!$A$1:$ZZ$1980,(MATCH($C144,Data!$A$1:$A$1980,0)),FALSE)</f>
        <v>343.3</v>
      </c>
    </row>
    <row r="145" spans="1:50">
      <c r="A145" s="59" t="str">
        <f>$D$1&amp;135</f>
        <v>UA135</v>
      </c>
      <c r="B145" s="60">
        <f>IF(ISERROR(VLOOKUP(A147,classifications!A:C,3,FALSE)),0,VLOOKUP(A147,classifications!A:C,3,FALSE))</f>
        <v>0</v>
      </c>
      <c r="C145" t="s">
        <v>86</v>
      </c>
      <c r="D145" t="str">
        <f>VLOOKUP($C145,classifications!$C:$J,4,FALSE)</f>
        <v>SD</v>
      </c>
      <c r="E145">
        <f>VLOOKUP(C145,classifications!C:K,9,FALSE)</f>
        <v>0</v>
      </c>
      <c r="F145">
        <f t="shared" si="60"/>
        <v>369.9</v>
      </c>
      <c r="G145" s="15"/>
      <c r="H145" s="42" t="str">
        <f t="shared" si="61"/>
        <v/>
      </c>
      <c r="I145" s="79" t="str">
        <f>IF(H145="","",IF($I$8="A",(RANK(H145,H$11:H$343,1)+COUNTIF(H$11:H145,H145)-1),(RANK(H145,H$11:H$343)+COUNTIF(H$11:H145,H145)-1)))</f>
        <v/>
      </c>
      <c r="J145" s="41"/>
      <c r="K145" s="36" t="str">
        <f t="shared" si="62"/>
        <v/>
      </c>
      <c r="L145" t="str">
        <f t="shared" si="63"/>
        <v/>
      </c>
      <c r="M145" s="117" t="str">
        <f t="shared" si="64"/>
        <v/>
      </c>
      <c r="N145" s="112" t="str">
        <f t="shared" si="65"/>
        <v/>
      </c>
      <c r="O145" s="96" t="str">
        <f t="shared" si="66"/>
        <v/>
      </c>
      <c r="P145" s="96" t="str">
        <f t="shared" si="67"/>
        <v/>
      </c>
      <c r="Q145" s="96" t="str">
        <f t="shared" si="68"/>
        <v/>
      </c>
      <c r="R145" s="92" t="str">
        <f t="shared" si="69"/>
        <v/>
      </c>
      <c r="S145" s="42" t="str">
        <f t="shared" si="70"/>
        <v/>
      </c>
      <c r="T145" s="167" t="str">
        <f>IF(L145="","",VLOOKUP(L145,classifications!C:K,9,FALSE))</f>
        <v/>
      </c>
      <c r="U145" s="168" t="str">
        <f t="shared" si="71"/>
        <v/>
      </c>
      <c r="V145" s="174" t="str">
        <f>IF(U145="","",IF($I$8="A",(RANK(U145,U$11:U$343)+COUNTIF(U$11:U145,U145)-1),(RANK(U145,U$11:U$343,1)+COUNTIF(U$11:U145,U145)-1)))</f>
        <v/>
      </c>
      <c r="W145" s="175"/>
      <c r="X145" s="5" t="str">
        <f>IF(L145="","",VLOOKUP($L145,classifications!$C:$J,6,FALSE))</f>
        <v/>
      </c>
      <c r="Y145" t="str">
        <f t="shared" si="72"/>
        <v/>
      </c>
      <c r="Z145" s="40" t="str">
        <f>IF(Y145="","",IF(I$8="A",(RANK(Y145,Y$11:Y$343,1)+COUNTIF(Y$11:Y145,Y145)-1),(RANK(Y145,Y$11:Y$343)+COUNTIF(Y$11:Y145,Y145)-1)))</f>
        <v/>
      </c>
      <c r="AA145" s="180" t="str">
        <f>IF(L145="","",VLOOKUP($L145,classifications!C:I,7,FALSE))</f>
        <v/>
      </c>
      <c r="AB145" s="174" t="str">
        <f t="shared" si="73"/>
        <v/>
      </c>
      <c r="AC145" s="174" t="str">
        <f>IF(AB145="","",IF($I$8="A",(RANK(AB145,AB$11:AB$343)+COUNTIF(AB$11:AB145,AB145)-1),(RANK(AB145,AB$11:AB$343,1)+COUNTIF(AB$11:AB145,AB145)-1)))</f>
        <v/>
      </c>
      <c r="AD145" s="174"/>
      <c r="AE145" s="36" t="str">
        <f t="shared" si="74"/>
        <v/>
      </c>
      <c r="AG145" s="15"/>
      <c r="AH145" s="3"/>
      <c r="AI145" s="5" t="str">
        <f>IF(L145="","",VLOOKUP($L145,classifications!$C:$J,8,FALSE))</f>
        <v/>
      </c>
      <c r="AJ145" s="43" t="str">
        <f t="shared" si="75"/>
        <v/>
      </c>
      <c r="AK145" s="40" t="str">
        <f>IF(AJ145="","",IF(I$8="A",(RANK(AJ145,AJ$11:AJ$343,1)+COUNTIF(AJ$11:AJ145,AJ145)-1),(RANK(AJ145,AJ$11:AJ$343)+COUNTIF(AJ$11:AJ145,AJ145)-1)))</f>
        <v/>
      </c>
      <c r="AL145" s="3" t="str">
        <f t="shared" si="76"/>
        <v/>
      </c>
      <c r="AM145" t="str">
        <f t="shared" si="77"/>
        <v/>
      </c>
      <c r="AN145" t="str">
        <f t="shared" si="78"/>
        <v/>
      </c>
      <c r="AP145" s="5" t="str">
        <f>IF(L145="","",VLOOKUP($L145,classifications!$C:$E,3,FALSE))</f>
        <v/>
      </c>
      <c r="AQ145" s="43" t="str">
        <f t="shared" si="79"/>
        <v/>
      </c>
      <c r="AR145" s="40" t="str">
        <f>IF(AQ145="","",IF(I$8="A",(RANK(AQ145,AQ$11:AQ$343,1)+COUNTIF(AQ$11:AQ145,AQ145)-1),(RANK(AQ145,AQ$11:AQ$343)+COUNTIF(AQ$11:AQ145,AQ145)-1)))</f>
        <v/>
      </c>
      <c r="AS145" s="3" t="str">
        <f t="shared" si="80"/>
        <v/>
      </c>
      <c r="AT145" s="40" t="str">
        <f t="shared" si="81"/>
        <v/>
      </c>
      <c r="AU145" s="43" t="str">
        <f t="shared" si="82"/>
        <v/>
      </c>
      <c r="AX145">
        <f>HLOOKUP($AX$9&amp;$AX$10,Data!$A$1:$ZZ$1980,(MATCH($C145,Data!$A$1:$A$1980,0)),FALSE)</f>
        <v>369.9</v>
      </c>
    </row>
    <row r="146" spans="1:50">
      <c r="A146" s="59" t="str">
        <f>$D$1&amp;136</f>
        <v>UA136</v>
      </c>
      <c r="B146" s="60">
        <f>IF(ISERROR(VLOOKUP(A148,classifications!A:C,3,FALSE)),0,VLOOKUP(A148,classifications!A:C,3,FALSE))</f>
        <v>0</v>
      </c>
      <c r="C146" t="s">
        <v>210</v>
      </c>
      <c r="D146" t="str">
        <f>VLOOKUP($C146,classifications!$C:$J,4,FALSE)</f>
        <v>L</v>
      </c>
      <c r="E146">
        <f>VLOOKUP(C146,classifications!C:K,9,FALSE)</f>
        <v>0</v>
      </c>
      <c r="F146">
        <f t="shared" si="60"/>
        <v>310.39999999999998</v>
      </c>
      <c r="G146" s="15"/>
      <c r="H146" s="42" t="str">
        <f t="shared" si="61"/>
        <v/>
      </c>
      <c r="I146" s="79" t="str">
        <f>IF(H146="","",IF($I$8="A",(RANK(H146,H$11:H$343,1)+COUNTIF(H$11:H146,H146)-1),(RANK(H146,H$11:H$343)+COUNTIF(H$11:H146,H146)-1)))</f>
        <v/>
      </c>
      <c r="J146" s="41"/>
      <c r="K146" s="36" t="str">
        <f t="shared" si="62"/>
        <v/>
      </c>
      <c r="L146" t="str">
        <f t="shared" si="63"/>
        <v/>
      </c>
      <c r="M146" s="117" t="str">
        <f t="shared" si="64"/>
        <v/>
      </c>
      <c r="N146" s="112" t="str">
        <f t="shared" si="65"/>
        <v/>
      </c>
      <c r="O146" s="96" t="str">
        <f t="shared" si="66"/>
        <v/>
      </c>
      <c r="P146" s="96" t="str">
        <f t="shared" si="67"/>
        <v/>
      </c>
      <c r="Q146" s="96" t="str">
        <f t="shared" si="68"/>
        <v/>
      </c>
      <c r="R146" s="92" t="str">
        <f t="shared" si="69"/>
        <v/>
      </c>
      <c r="S146" s="42" t="str">
        <f t="shared" si="70"/>
        <v/>
      </c>
      <c r="T146" s="167" t="str">
        <f>IF(L146="","",VLOOKUP(L146,classifications!C:K,9,FALSE))</f>
        <v/>
      </c>
      <c r="U146" s="168" t="str">
        <f t="shared" si="71"/>
        <v/>
      </c>
      <c r="V146" s="174" t="str">
        <f>IF(U146="","",IF($I$8="A",(RANK(U146,U$11:U$343)+COUNTIF(U$11:U146,U146)-1),(RANK(U146,U$11:U$343,1)+COUNTIF(U$11:U146,U146)-1)))</f>
        <v/>
      </c>
      <c r="W146" s="175"/>
      <c r="X146" s="5" t="str">
        <f>IF(L146="","",VLOOKUP($L146,classifications!$C:$J,6,FALSE))</f>
        <v/>
      </c>
      <c r="Y146" t="str">
        <f t="shared" si="72"/>
        <v/>
      </c>
      <c r="Z146" s="40" t="str">
        <f>IF(Y146="","",IF(I$8="A",(RANK(Y146,Y$11:Y$343,1)+COUNTIF(Y$11:Y146,Y146)-1),(RANK(Y146,Y$11:Y$343)+COUNTIF(Y$11:Y146,Y146)-1)))</f>
        <v/>
      </c>
      <c r="AA146" s="180" t="str">
        <f>IF(L146="","",VLOOKUP($L146,classifications!C:I,7,FALSE))</f>
        <v/>
      </c>
      <c r="AB146" s="174" t="str">
        <f t="shared" si="73"/>
        <v/>
      </c>
      <c r="AC146" s="174" t="str">
        <f>IF(AB146="","",IF($I$8="A",(RANK(AB146,AB$11:AB$343)+COUNTIF(AB$11:AB146,AB146)-1),(RANK(AB146,AB$11:AB$343,1)+COUNTIF(AB$11:AB146,AB146)-1)))</f>
        <v/>
      </c>
      <c r="AD146" s="174"/>
      <c r="AE146" s="36" t="str">
        <f t="shared" si="74"/>
        <v/>
      </c>
      <c r="AG146" s="15"/>
      <c r="AH146" s="3"/>
      <c r="AI146" s="5" t="str">
        <f>IF(L146="","",VLOOKUP($L146,classifications!$C:$J,8,FALSE))</f>
        <v/>
      </c>
      <c r="AJ146" s="43" t="str">
        <f t="shared" si="75"/>
        <v/>
      </c>
      <c r="AK146" s="40" t="str">
        <f>IF(AJ146="","",IF(I$8="A",(RANK(AJ146,AJ$11:AJ$343,1)+COUNTIF(AJ$11:AJ146,AJ146)-1),(RANK(AJ146,AJ$11:AJ$343)+COUNTIF(AJ$11:AJ146,AJ146)-1)))</f>
        <v/>
      </c>
      <c r="AL146" s="3" t="str">
        <f t="shared" si="76"/>
        <v/>
      </c>
      <c r="AM146" t="str">
        <f t="shared" si="77"/>
        <v/>
      </c>
      <c r="AN146" t="str">
        <f t="shared" si="78"/>
        <v/>
      </c>
      <c r="AP146" s="5" t="str">
        <f>IF(L146="","",VLOOKUP($L146,classifications!$C:$E,3,FALSE))</f>
        <v/>
      </c>
      <c r="AQ146" s="43" t="str">
        <f t="shared" si="79"/>
        <v/>
      </c>
      <c r="AR146" s="40" t="str">
        <f>IF(AQ146="","",IF(I$8="A",(RANK(AQ146,AQ$11:AQ$343,1)+COUNTIF(AQ$11:AQ146,AQ146)-1),(RANK(AQ146,AQ$11:AQ$343)+COUNTIF(AQ$11:AQ146,AQ146)-1)))</f>
        <v/>
      </c>
      <c r="AS146" s="3" t="str">
        <f t="shared" si="80"/>
        <v/>
      </c>
      <c r="AT146" s="40" t="str">
        <f t="shared" si="81"/>
        <v/>
      </c>
      <c r="AU146" s="43" t="str">
        <f t="shared" si="82"/>
        <v/>
      </c>
      <c r="AX146">
        <f>HLOOKUP($AX$9&amp;$AX$10,Data!$A$1:$ZZ$1980,(MATCH($C146,Data!$A$1:$A$1980,0)),FALSE)</f>
        <v>310.39999999999998</v>
      </c>
    </row>
    <row r="147" spans="1:50">
      <c r="A147" s="59" t="str">
        <f>$D$1&amp;137</f>
        <v>UA137</v>
      </c>
      <c r="B147" s="60">
        <f>IF(ISERROR(VLOOKUP(A149,classifications!A:C,3,FALSE)),0,VLOOKUP(A149,classifications!A:C,3,FALSE))</f>
        <v>0</v>
      </c>
      <c r="C147" t="s">
        <v>346</v>
      </c>
      <c r="D147" t="str">
        <f>VLOOKUP($C147,classifications!$C:$J,4,FALSE)</f>
        <v>SD</v>
      </c>
      <c r="E147">
        <f>VLOOKUP(C147,classifications!C:K,9,FALSE)</f>
        <v>0</v>
      </c>
      <c r="F147">
        <f t="shared" si="60"/>
        <v>373.7</v>
      </c>
      <c r="G147" s="15"/>
      <c r="H147" s="42" t="str">
        <f t="shared" si="61"/>
        <v/>
      </c>
      <c r="I147" s="79" t="str">
        <f>IF(H147="","",IF($I$8="A",(RANK(H147,H$11:H$343,1)+COUNTIF(H$11:H147,H147)-1),(RANK(H147,H$11:H$343)+COUNTIF(H$11:H147,H147)-1)))</f>
        <v/>
      </c>
      <c r="J147" s="41"/>
      <c r="K147" s="36" t="str">
        <f t="shared" si="62"/>
        <v/>
      </c>
      <c r="L147" t="str">
        <f t="shared" si="63"/>
        <v/>
      </c>
      <c r="M147" s="117" t="str">
        <f t="shared" si="64"/>
        <v/>
      </c>
      <c r="N147" s="112" t="str">
        <f t="shared" si="65"/>
        <v/>
      </c>
      <c r="O147" s="96" t="str">
        <f t="shared" si="66"/>
        <v/>
      </c>
      <c r="P147" s="96" t="str">
        <f t="shared" si="67"/>
        <v/>
      </c>
      <c r="Q147" s="96" t="str">
        <f t="shared" si="68"/>
        <v/>
      </c>
      <c r="R147" s="92" t="str">
        <f t="shared" si="69"/>
        <v/>
      </c>
      <c r="S147" s="42" t="str">
        <f t="shared" si="70"/>
        <v/>
      </c>
      <c r="T147" s="167" t="str">
        <f>IF(L147="","",VLOOKUP(L147,classifications!C:K,9,FALSE))</f>
        <v/>
      </c>
      <c r="U147" s="168" t="str">
        <f t="shared" si="71"/>
        <v/>
      </c>
      <c r="V147" s="174" t="str">
        <f>IF(U147="","",IF($I$8="A",(RANK(U147,U$11:U$343)+COUNTIF(U$11:U147,U147)-1),(RANK(U147,U$11:U$343,1)+COUNTIF(U$11:U147,U147)-1)))</f>
        <v/>
      </c>
      <c r="W147" s="175"/>
      <c r="X147" s="5" t="str">
        <f>IF(L147="","",VLOOKUP($L147,classifications!$C:$J,6,FALSE))</f>
        <v/>
      </c>
      <c r="Y147" t="str">
        <f t="shared" si="72"/>
        <v/>
      </c>
      <c r="Z147" s="40" t="str">
        <f>IF(Y147="","",IF(I$8="A",(RANK(Y147,Y$11:Y$343,1)+COUNTIF(Y$11:Y147,Y147)-1),(RANK(Y147,Y$11:Y$343)+COUNTIF(Y$11:Y147,Y147)-1)))</f>
        <v/>
      </c>
      <c r="AA147" s="180" t="str">
        <f>IF(L147="","",VLOOKUP($L147,classifications!C:I,7,FALSE))</f>
        <v/>
      </c>
      <c r="AB147" s="174" t="str">
        <f t="shared" si="73"/>
        <v/>
      </c>
      <c r="AC147" s="174" t="str">
        <f>IF(AB147="","",IF($I$8="A",(RANK(AB147,AB$11:AB$343)+COUNTIF(AB$11:AB147,AB147)-1),(RANK(AB147,AB$11:AB$343,1)+COUNTIF(AB$11:AB147,AB147)-1)))</f>
        <v/>
      </c>
      <c r="AD147" s="174"/>
      <c r="AE147" s="36" t="str">
        <f t="shared" si="74"/>
        <v/>
      </c>
      <c r="AG147" s="15"/>
      <c r="AH147" s="3"/>
      <c r="AI147" s="5" t="str">
        <f>IF(L147="","",VLOOKUP($L147,classifications!$C:$J,8,FALSE))</f>
        <v/>
      </c>
      <c r="AJ147" s="43" t="str">
        <f t="shared" si="75"/>
        <v/>
      </c>
      <c r="AK147" s="40" t="str">
        <f>IF(AJ147="","",IF(I$8="A",(RANK(AJ147,AJ$11:AJ$343,1)+COUNTIF(AJ$11:AJ147,AJ147)-1),(RANK(AJ147,AJ$11:AJ$343)+COUNTIF(AJ$11:AJ147,AJ147)-1)))</f>
        <v/>
      </c>
      <c r="AL147" s="3" t="str">
        <f t="shared" si="76"/>
        <v/>
      </c>
      <c r="AM147" t="str">
        <f t="shared" si="77"/>
        <v/>
      </c>
      <c r="AN147" t="str">
        <f t="shared" si="78"/>
        <v/>
      </c>
      <c r="AP147" s="5" t="str">
        <f>IF(L147="","",VLOOKUP($L147,classifications!$C:$E,3,FALSE))</f>
        <v/>
      </c>
      <c r="AQ147" s="43" t="str">
        <f t="shared" si="79"/>
        <v/>
      </c>
      <c r="AR147" s="40" t="str">
        <f>IF(AQ147="","",IF(I$8="A",(RANK(AQ147,AQ$11:AQ$343,1)+COUNTIF(AQ$11:AQ147,AQ147)-1),(RANK(AQ147,AQ$11:AQ$343)+COUNTIF(AQ$11:AQ147,AQ147)-1)))</f>
        <v/>
      </c>
      <c r="AS147" s="3" t="str">
        <f t="shared" si="80"/>
        <v/>
      </c>
      <c r="AT147" s="40" t="str">
        <f t="shared" si="81"/>
        <v/>
      </c>
      <c r="AU147" s="43" t="str">
        <f t="shared" si="82"/>
        <v/>
      </c>
      <c r="AX147">
        <f>HLOOKUP($AX$9&amp;$AX$10,Data!$A$1:$ZZ$1980,(MATCH($C147,Data!$A$1:$A$1980,0)),FALSE)</f>
        <v>373.7</v>
      </c>
    </row>
    <row r="148" spans="1:50">
      <c r="A148" s="59" t="str">
        <f>$D$1&amp;138</f>
        <v>UA138</v>
      </c>
      <c r="B148" s="60">
        <f>IF(ISERROR(VLOOKUP(A150,classifications!A:C,3,FALSE)),0,VLOOKUP(A150,classifications!A:C,3,FALSE))</f>
        <v>0</v>
      </c>
      <c r="C148" t="s">
        <v>87</v>
      </c>
      <c r="D148" t="str">
        <f>VLOOKUP($C148,classifications!$C:$J,4,FALSE)</f>
        <v>SD</v>
      </c>
      <c r="E148">
        <f>VLOOKUP(C148,classifications!C:K,9,FALSE)</f>
        <v>0</v>
      </c>
      <c r="F148">
        <f t="shared" si="60"/>
        <v>350.5</v>
      </c>
      <c r="G148" s="15"/>
      <c r="H148" s="42" t="str">
        <f t="shared" si="61"/>
        <v/>
      </c>
      <c r="I148" s="79" t="str">
        <f>IF(H148="","",IF($I$8="A",(RANK(H148,H$11:H$343,1)+COUNTIF(H$11:H148,H148)-1),(RANK(H148,H$11:H$343)+COUNTIF(H$11:H148,H148)-1)))</f>
        <v/>
      </c>
      <c r="J148" s="41"/>
      <c r="K148" s="36" t="str">
        <f t="shared" si="62"/>
        <v/>
      </c>
      <c r="L148" t="str">
        <f t="shared" si="63"/>
        <v/>
      </c>
      <c r="M148" s="117" t="str">
        <f t="shared" si="64"/>
        <v/>
      </c>
      <c r="N148" s="112" t="str">
        <f t="shared" si="65"/>
        <v/>
      </c>
      <c r="O148" s="96" t="str">
        <f t="shared" si="66"/>
        <v/>
      </c>
      <c r="P148" s="96" t="str">
        <f t="shared" si="67"/>
        <v/>
      </c>
      <c r="Q148" s="96" t="str">
        <f t="shared" si="68"/>
        <v/>
      </c>
      <c r="R148" s="92" t="str">
        <f t="shared" si="69"/>
        <v/>
      </c>
      <c r="S148" s="42" t="str">
        <f t="shared" si="70"/>
        <v/>
      </c>
      <c r="T148" s="167" t="str">
        <f>IF(L148="","",VLOOKUP(L148,classifications!C:K,9,FALSE))</f>
        <v/>
      </c>
      <c r="U148" s="168" t="str">
        <f t="shared" si="71"/>
        <v/>
      </c>
      <c r="V148" s="174" t="str">
        <f>IF(U148="","",IF($I$8="A",(RANK(U148,U$11:U$343)+COUNTIF(U$11:U148,U148)-1),(RANK(U148,U$11:U$343,1)+COUNTIF(U$11:U148,U148)-1)))</f>
        <v/>
      </c>
      <c r="W148" s="175"/>
      <c r="X148" s="5" t="str">
        <f>IF(L148="","",VLOOKUP($L148,classifications!$C:$J,6,FALSE))</f>
        <v/>
      </c>
      <c r="Y148" t="str">
        <f t="shared" si="72"/>
        <v/>
      </c>
      <c r="Z148" s="40" t="str">
        <f>IF(Y148="","",IF(I$8="A",(RANK(Y148,Y$11:Y$343,1)+COUNTIF(Y$11:Y148,Y148)-1),(RANK(Y148,Y$11:Y$343)+COUNTIF(Y$11:Y148,Y148)-1)))</f>
        <v/>
      </c>
      <c r="AA148" s="180" t="str">
        <f>IF(L148="","",VLOOKUP($L148,classifications!C:I,7,FALSE))</f>
        <v/>
      </c>
      <c r="AB148" s="174" t="str">
        <f t="shared" si="73"/>
        <v/>
      </c>
      <c r="AC148" s="174" t="str">
        <f>IF(AB148="","",IF($I$8="A",(RANK(AB148,AB$11:AB$343)+COUNTIF(AB$11:AB148,AB148)-1),(RANK(AB148,AB$11:AB$343,1)+COUNTIF(AB$11:AB148,AB148)-1)))</f>
        <v/>
      </c>
      <c r="AD148" s="174"/>
      <c r="AE148" s="36" t="str">
        <f t="shared" si="74"/>
        <v/>
      </c>
      <c r="AG148" s="15"/>
      <c r="AH148" s="3"/>
      <c r="AI148" s="5" t="str">
        <f>IF(L148="","",VLOOKUP($L148,classifications!$C:$J,8,FALSE))</f>
        <v/>
      </c>
      <c r="AJ148" s="43" t="str">
        <f t="shared" si="75"/>
        <v/>
      </c>
      <c r="AK148" s="40" t="str">
        <f>IF(AJ148="","",IF(I$8="A",(RANK(AJ148,AJ$11:AJ$343,1)+COUNTIF(AJ$11:AJ148,AJ148)-1),(RANK(AJ148,AJ$11:AJ$343)+COUNTIF(AJ$11:AJ148,AJ148)-1)))</f>
        <v/>
      </c>
      <c r="AL148" s="3" t="str">
        <f t="shared" si="76"/>
        <v/>
      </c>
      <c r="AM148" t="str">
        <f t="shared" si="77"/>
        <v/>
      </c>
      <c r="AN148" t="str">
        <f t="shared" si="78"/>
        <v/>
      </c>
      <c r="AP148" s="5" t="str">
        <f>IF(L148="","",VLOOKUP($L148,classifications!$C:$E,3,FALSE))</f>
        <v/>
      </c>
      <c r="AQ148" s="43" t="str">
        <f t="shared" si="79"/>
        <v/>
      </c>
      <c r="AR148" s="40" t="str">
        <f>IF(AQ148="","",IF(I$8="A",(RANK(AQ148,AQ$11:AQ$343,1)+COUNTIF(AQ$11:AQ148,AQ148)-1),(RANK(AQ148,AQ$11:AQ$343)+COUNTIF(AQ$11:AQ148,AQ148)-1)))</f>
        <v/>
      </c>
      <c r="AS148" s="3" t="str">
        <f t="shared" si="80"/>
        <v/>
      </c>
      <c r="AT148" s="40" t="str">
        <f t="shared" si="81"/>
        <v/>
      </c>
      <c r="AU148" s="43" t="str">
        <f t="shared" si="82"/>
        <v/>
      </c>
      <c r="AX148">
        <f>HLOOKUP($AX$9&amp;$AX$10,Data!$A$1:$ZZ$1980,(MATCH($C148,Data!$A$1:$A$1980,0)),FALSE)</f>
        <v>350.5</v>
      </c>
    </row>
    <row r="149" spans="1:50">
      <c r="A149" s="59" t="str">
        <f>$D$1&amp;139</f>
        <v>UA139</v>
      </c>
      <c r="B149" s="60">
        <f>IF(ISERROR(VLOOKUP(A151,classifications!A:C,3,FALSE)),0,VLOOKUP(A151,classifications!A:C,3,FALSE))</f>
        <v>0</v>
      </c>
      <c r="C149" t="s">
        <v>211</v>
      </c>
      <c r="D149" t="str">
        <f>VLOOKUP($C149,classifications!$C:$J,4,FALSE)</f>
        <v>L</v>
      </c>
      <c r="E149">
        <f>VLOOKUP(C149,classifications!C:K,9,FALSE)</f>
        <v>0</v>
      </c>
      <c r="F149">
        <f t="shared" si="60"/>
        <v>296.2</v>
      </c>
      <c r="G149" s="15"/>
      <c r="H149" s="42" t="str">
        <f t="shared" si="61"/>
        <v/>
      </c>
      <c r="I149" s="79" t="str">
        <f>IF(H149="","",IF($I$8="A",(RANK(H149,H$11:H$343,1)+COUNTIF(H$11:H149,H149)-1),(RANK(H149,H$11:H$343)+COUNTIF(H$11:H149,H149)-1)))</f>
        <v/>
      </c>
      <c r="J149" s="41"/>
      <c r="K149" s="36" t="str">
        <f t="shared" si="62"/>
        <v/>
      </c>
      <c r="L149" t="str">
        <f t="shared" si="63"/>
        <v/>
      </c>
      <c r="M149" s="117" t="str">
        <f t="shared" si="64"/>
        <v/>
      </c>
      <c r="N149" s="112" t="str">
        <f t="shared" si="65"/>
        <v/>
      </c>
      <c r="O149" s="96" t="str">
        <f t="shared" si="66"/>
        <v/>
      </c>
      <c r="P149" s="96" t="str">
        <f t="shared" si="67"/>
        <v/>
      </c>
      <c r="Q149" s="96" t="str">
        <f t="shared" si="68"/>
        <v/>
      </c>
      <c r="R149" s="92" t="str">
        <f t="shared" si="69"/>
        <v/>
      </c>
      <c r="S149" s="42" t="str">
        <f t="shared" si="70"/>
        <v/>
      </c>
      <c r="T149" s="167" t="str">
        <f>IF(L149="","",VLOOKUP(L149,classifications!C:K,9,FALSE))</f>
        <v/>
      </c>
      <c r="U149" s="168" t="str">
        <f t="shared" si="71"/>
        <v/>
      </c>
      <c r="V149" s="174" t="str">
        <f>IF(U149="","",IF($I$8="A",(RANK(U149,U$11:U$343)+COUNTIF(U$11:U149,U149)-1),(RANK(U149,U$11:U$343,1)+COUNTIF(U$11:U149,U149)-1)))</f>
        <v/>
      </c>
      <c r="W149" s="175"/>
      <c r="X149" s="5" t="str">
        <f>IF(L149="","",VLOOKUP($L149,classifications!$C:$J,6,FALSE))</f>
        <v/>
      </c>
      <c r="Y149" t="str">
        <f t="shared" si="72"/>
        <v/>
      </c>
      <c r="Z149" s="40" t="str">
        <f>IF(Y149="","",IF(I$8="A",(RANK(Y149,Y$11:Y$343,1)+COUNTIF(Y$11:Y149,Y149)-1),(RANK(Y149,Y$11:Y$343)+COUNTIF(Y$11:Y149,Y149)-1)))</f>
        <v/>
      </c>
      <c r="AA149" s="180" t="str">
        <f>IF(L149="","",VLOOKUP($L149,classifications!C:I,7,FALSE))</f>
        <v/>
      </c>
      <c r="AB149" s="174" t="str">
        <f t="shared" si="73"/>
        <v/>
      </c>
      <c r="AC149" s="174" t="str">
        <f>IF(AB149="","",IF($I$8="A",(RANK(AB149,AB$11:AB$343)+COUNTIF(AB$11:AB149,AB149)-1),(RANK(AB149,AB$11:AB$343,1)+COUNTIF(AB$11:AB149,AB149)-1)))</f>
        <v/>
      </c>
      <c r="AD149" s="174"/>
      <c r="AE149" s="36" t="str">
        <f t="shared" si="74"/>
        <v/>
      </c>
      <c r="AG149" s="15"/>
      <c r="AH149" s="3"/>
      <c r="AI149" s="5" t="str">
        <f>IF(L149="","",VLOOKUP($L149,classifications!$C:$J,8,FALSE))</f>
        <v/>
      </c>
      <c r="AJ149" s="43" t="str">
        <f t="shared" si="75"/>
        <v/>
      </c>
      <c r="AK149" s="40" t="str">
        <f>IF(AJ149="","",IF(I$8="A",(RANK(AJ149,AJ$11:AJ$343,1)+COUNTIF(AJ$11:AJ149,AJ149)-1),(RANK(AJ149,AJ$11:AJ$343)+COUNTIF(AJ$11:AJ149,AJ149)-1)))</f>
        <v/>
      </c>
      <c r="AL149" s="3" t="str">
        <f t="shared" si="76"/>
        <v/>
      </c>
      <c r="AM149" t="str">
        <f t="shared" si="77"/>
        <v/>
      </c>
      <c r="AN149" t="str">
        <f t="shared" si="78"/>
        <v/>
      </c>
      <c r="AP149" s="5" t="str">
        <f>IF(L149="","",VLOOKUP($L149,classifications!$C:$E,3,FALSE))</f>
        <v/>
      </c>
      <c r="AQ149" s="43" t="str">
        <f t="shared" si="79"/>
        <v/>
      </c>
      <c r="AR149" s="40" t="str">
        <f>IF(AQ149="","",IF(I$8="A",(RANK(AQ149,AQ$11:AQ$343,1)+COUNTIF(AQ$11:AQ149,AQ149)-1),(RANK(AQ149,AQ$11:AQ$343)+COUNTIF(AQ$11:AQ149,AQ149)-1)))</f>
        <v/>
      </c>
      <c r="AS149" s="3" t="str">
        <f t="shared" si="80"/>
        <v/>
      </c>
      <c r="AT149" s="40" t="str">
        <f t="shared" si="81"/>
        <v/>
      </c>
      <c r="AU149" s="43" t="str">
        <f t="shared" si="82"/>
        <v/>
      </c>
      <c r="AX149">
        <f>HLOOKUP($AX$9&amp;$AX$10,Data!$A$1:$ZZ$1980,(MATCH($C149,Data!$A$1:$A$1980,0)),FALSE)</f>
        <v>296.2</v>
      </c>
    </row>
    <row r="150" spans="1:50">
      <c r="A150" s="59" t="str">
        <f>$D$1&amp;140</f>
        <v>UA140</v>
      </c>
      <c r="B150" s="60">
        <f>IF(ISERROR(VLOOKUP(A152,classifications!A:C,3,FALSE)),0,VLOOKUP(A152,classifications!A:C,3,FALSE))</f>
        <v>0</v>
      </c>
      <c r="C150" t="s">
        <v>88</v>
      </c>
      <c r="D150" t="str">
        <f>VLOOKUP($C150,classifications!$C:$J,4,FALSE)</f>
        <v>SD</v>
      </c>
      <c r="E150">
        <f>VLOOKUP(C150,classifications!C:K,9,FALSE)</f>
        <v>0</v>
      </c>
      <c r="F150">
        <f t="shared" ref="F150:F213" si="83">HLOOKUP($D$6,AX$10:ZX$355,ROW()-9,FALSE)</f>
        <v>354.6</v>
      </c>
      <c r="G150" s="15"/>
      <c r="H150" s="42" t="str">
        <f t="shared" ref="H150:H213" si="84">IF(D150=$D$1,HLOOKUP($D$6,$AX$10:$ZZ$355,ROW()-9,FALSE),"")</f>
        <v/>
      </c>
      <c r="I150" s="79" t="str">
        <f>IF(H150="","",IF($I$8="A",(RANK(H150,H$11:H$343,1)+COUNTIF(H$11:H150,H150)-1),(RANK(H150,H$11:H$343)+COUNTIF(H$11:H150,H150)-1)))</f>
        <v/>
      </c>
      <c r="J150" s="41"/>
      <c r="K150" s="36" t="str">
        <f t="shared" ref="K150:K213" si="85">IF(K149="","",IF(K149+1&gt;(COUNT(H$11:H$343)),"",K149+1))</f>
        <v/>
      </c>
      <c r="L150" t="str">
        <f t="shared" ref="L150:L213" si="86">IF(K150="","",INDEX(C$11:C$343,MATCH(K150,I$11:I$343,0)))</f>
        <v/>
      </c>
      <c r="M150" s="117" t="str">
        <f t="shared" ref="M150:M213" si="87">IF(L150="","",IF(VLOOKUP(L150,C:D,2,FALSE)=$F$3,VLOOKUP(L150,C:H,6,FALSE),""))</f>
        <v/>
      </c>
      <c r="N150" s="112" t="str">
        <f t="shared" ref="N150:N213" si="88">IF(L150="","",IF($H$8="%%",M150*100,M150))</f>
        <v/>
      </c>
      <c r="O150" s="96" t="str">
        <f t="shared" ref="O150:O213" si="89">IF(I$8="A",IF(N150&gt;=$P$7,IF(N150&lt;=$O$10,N150,""),""),IF(N150&lt;=$P$7,IF(N150&gt;=$O$10,N150,""),""))</f>
        <v/>
      </c>
      <c r="P150" s="96" t="str">
        <f t="shared" ref="P150:P213" si="90">IF(I$8="A",IF(N150&gt;$O$10,IF(N150&lt;=$P$10,N150,""),""),IF(N150&lt;$O$10,IF(N150&gt;=$P$10,N150,""),""))</f>
        <v/>
      </c>
      <c r="Q150" s="96" t="str">
        <f t="shared" ref="Q150:Q213" si="91">IF(I$8="A",IF(N150&gt;$P$10,IF(N150&lt;=$Q$10,N150,""),""),IF(N150&lt;$P$10,IF(N150&gt;=$Q$10,N150,""),""))</f>
        <v/>
      </c>
      <c r="R150" s="92" t="str">
        <f t="shared" ref="R150:R213" si="92">IF(I$8="A",IF(N150&gt;$Q$10,N150,""),IF(N150&lt;$Q$10,N150,""))</f>
        <v/>
      </c>
      <c r="S150" s="42" t="str">
        <f t="shared" ref="S150:S213" si="93">IF(L150=D$3,"u","")</f>
        <v/>
      </c>
      <c r="T150" s="167" t="str">
        <f>IF(L150="","",VLOOKUP(L150,classifications!C:K,9,FALSE))</f>
        <v/>
      </c>
      <c r="U150" s="168" t="str">
        <f t="shared" ref="U150:U213" si="94">IF(T150="Sparse",M150,"")</f>
        <v/>
      </c>
      <c r="V150" s="174" t="str">
        <f>IF(U150="","",IF($I$8="A",(RANK(U150,U$11:U$343)+COUNTIF(U$11:U150,U150)-1),(RANK(U150,U$11:U$343,1)+COUNTIF(U$11:U150,U150)-1)))</f>
        <v/>
      </c>
      <c r="W150" s="175"/>
      <c r="X150" s="5" t="str">
        <f>IF(L150="","",VLOOKUP($L150,classifications!$C:$J,6,FALSE))</f>
        <v/>
      </c>
      <c r="Y150" t="str">
        <f t="shared" ref="Y150:Y213" si="95">IF($D$1="UA",IF(X150="Largely Rural (rural including hub towns 50-79%) ",M150,IF(X150="Mainly Rural (rural including hub towns &gt;=80%) ",M150,IF(X150="Urban with Significant Rural (rural including hub towns 26-49%)",M150,""))),IF($D$1="SD",IF(X150=$H$3,M150,"")))</f>
        <v/>
      </c>
      <c r="Z150" s="40" t="str">
        <f>IF(Y150="","",IF(I$8="A",(RANK(Y150,Y$11:Y$343,1)+COUNTIF(Y$11:Y150,Y150)-1),(RANK(Y150,Y$11:Y$343)+COUNTIF(Y$11:Y150,Y150)-1)))</f>
        <v/>
      </c>
      <c r="AA150" s="180" t="str">
        <f>IF(L150="","",VLOOKUP($L150,classifications!C:I,7,FALSE))</f>
        <v/>
      </c>
      <c r="AB150" s="174" t="str">
        <f t="shared" ref="AB150:AB213" si="96">IF(AA150=$J$3,M150,"")</f>
        <v/>
      </c>
      <c r="AC150" s="174" t="str">
        <f>IF(AB150="","",IF($I$8="A",(RANK(AB150,AB$11:AB$343)+COUNTIF(AB$11:AB150,AB150)-1),(RANK(AB150,AB$11:AB$343,1)+COUNTIF(AB$11:AB150,AB150)-1)))</f>
        <v/>
      </c>
      <c r="AD150" s="174"/>
      <c r="AE150" s="36" t="str">
        <f t="shared" ref="AE150:AE213" si="97">IF(AE149="","",IF(AE149+1&gt;(COUNT(AG:AG)),"",AE149+1))</f>
        <v/>
      </c>
      <c r="AG150" s="15"/>
      <c r="AH150" s="3"/>
      <c r="AI150" s="5" t="str">
        <f>IF(L150="","",VLOOKUP($L150,classifications!$C:$J,8,FALSE))</f>
        <v/>
      </c>
      <c r="AJ150" s="43" t="str">
        <f t="shared" ref="AJ150:AJ213" si="98">IF(AI150=$I$3,M150,"")</f>
        <v/>
      </c>
      <c r="AK150" s="40" t="str">
        <f>IF(AJ150="","",IF(I$8="A",(RANK(AJ150,AJ$11:AJ$343,1)+COUNTIF(AJ$11:AJ150,AJ150)-1),(RANK(AJ150,AJ$11:AJ$343)+COUNTIF(AJ$11:AJ150,AJ150)-1)))</f>
        <v/>
      </c>
      <c r="AL150" s="3" t="str">
        <f t="shared" ref="AL150:AL213" si="99">IF(AL149="","",IF(AL149+1&gt;(COUNT(AJ$11:AJ$343)),"",AL149+1))</f>
        <v/>
      </c>
      <c r="AM150" t="str">
        <f t="shared" ref="AM150:AM213" si="100">IF(ISNA(IF(AL150="","",INDEX(L$11:L$343,MATCH(AL150,AK$11:AK$343,0)))),"",(IF(AL150="","",INDEX(L$11:L$343,MATCH(AL150,AK$11:AK$343,0)))))</f>
        <v/>
      </c>
      <c r="AN150" t="str">
        <f t="shared" ref="AN150:AN213" si="101">(VLOOKUP(AM150,L:M,2,FALSE))</f>
        <v/>
      </c>
      <c r="AP150" s="5" t="str">
        <f>IF(L150="","",VLOOKUP($L150,classifications!$C:$E,3,FALSE))</f>
        <v/>
      </c>
      <c r="AQ150" s="43" t="str">
        <f t="shared" ref="AQ150:AQ213" si="102">IF(AP150=$G$3,$M150,"")</f>
        <v/>
      </c>
      <c r="AR150" s="40" t="str">
        <f>IF(AQ150="","",IF(I$8="A",(RANK(AQ150,AQ$11:AQ$343,1)+COUNTIF(AQ$11:AQ150,AQ150)-1),(RANK(AQ150,AQ$11:AQ$343)+COUNTIF(AQ$11:AQ150,AQ150)-1)))</f>
        <v/>
      </c>
      <c r="AS150" s="3" t="str">
        <f t="shared" ref="AS150:AS213" si="103">IF(AS149="","",IF(AS149+1&gt;(COUNT(AQ$11:AQ$343)),"",AS149+1))</f>
        <v/>
      </c>
      <c r="AT150" s="40" t="str">
        <f t="shared" ref="AT150:AT213" si="104">IF(AS150="","",INDEX(L$11:L$343,MATCH(AS150,AR$11:AR$343,0)))</f>
        <v/>
      </c>
      <c r="AU150" s="43" t="str">
        <f t="shared" ref="AU150:AU213" si="105">IF(AT150="","",VLOOKUP(AT150,L:M,2,FALSE))</f>
        <v/>
      </c>
      <c r="AX150">
        <f>HLOOKUP($AX$9&amp;$AX$10,Data!$A$1:$ZZ$1980,(MATCH($C150,Data!$A$1:$A$1980,0)),FALSE)</f>
        <v>354.6</v>
      </c>
    </row>
    <row r="151" spans="1:50">
      <c r="A151" s="59" t="str">
        <f>$D$1&amp;141</f>
        <v>UA141</v>
      </c>
      <c r="B151" s="60">
        <f>IF(ISERROR(VLOOKUP(A153,classifications!A:C,3,FALSE)),0,VLOOKUP(A153,classifications!A:C,3,FALSE))</f>
        <v>0</v>
      </c>
      <c r="C151" t="s">
        <v>89</v>
      </c>
      <c r="D151" t="str">
        <f>VLOOKUP($C151,classifications!$C:$J,4,FALSE)</f>
        <v>SD</v>
      </c>
      <c r="E151">
        <f>VLOOKUP(C151,classifications!C:K,9,FALSE)</f>
        <v>0</v>
      </c>
      <c r="F151">
        <f t="shared" si="83"/>
        <v>284.5</v>
      </c>
      <c r="G151" s="15"/>
      <c r="H151" s="42" t="str">
        <f t="shared" si="84"/>
        <v/>
      </c>
      <c r="I151" s="79" t="str">
        <f>IF(H151="","",IF($I$8="A",(RANK(H151,H$11:H$343,1)+COUNTIF(H$11:H151,H151)-1),(RANK(H151,H$11:H$343)+COUNTIF(H$11:H151,H151)-1)))</f>
        <v/>
      </c>
      <c r="J151" s="41"/>
      <c r="K151" s="36" t="str">
        <f t="shared" si="85"/>
        <v/>
      </c>
      <c r="L151" t="str">
        <f t="shared" si="86"/>
        <v/>
      </c>
      <c r="M151" s="117" t="str">
        <f t="shared" si="87"/>
        <v/>
      </c>
      <c r="N151" s="112" t="str">
        <f t="shared" si="88"/>
        <v/>
      </c>
      <c r="O151" s="96" t="str">
        <f t="shared" si="89"/>
        <v/>
      </c>
      <c r="P151" s="96" t="str">
        <f t="shared" si="90"/>
        <v/>
      </c>
      <c r="Q151" s="96" t="str">
        <f t="shared" si="91"/>
        <v/>
      </c>
      <c r="R151" s="92" t="str">
        <f t="shared" si="92"/>
        <v/>
      </c>
      <c r="S151" s="42" t="str">
        <f t="shared" si="93"/>
        <v/>
      </c>
      <c r="T151" s="167" t="str">
        <f>IF(L151="","",VLOOKUP(L151,classifications!C:K,9,FALSE))</f>
        <v/>
      </c>
      <c r="U151" s="168" t="str">
        <f t="shared" si="94"/>
        <v/>
      </c>
      <c r="V151" s="174" t="str">
        <f>IF(U151="","",IF($I$8="A",(RANK(U151,U$11:U$343)+COUNTIF(U$11:U151,U151)-1),(RANK(U151,U$11:U$343,1)+COUNTIF(U$11:U151,U151)-1)))</f>
        <v/>
      </c>
      <c r="W151" s="175"/>
      <c r="X151" s="5" t="str">
        <f>IF(L151="","",VLOOKUP($L151,classifications!$C:$J,6,FALSE))</f>
        <v/>
      </c>
      <c r="Y151" t="str">
        <f t="shared" si="95"/>
        <v/>
      </c>
      <c r="Z151" s="40" t="str">
        <f>IF(Y151="","",IF(I$8="A",(RANK(Y151,Y$11:Y$343,1)+COUNTIF(Y$11:Y151,Y151)-1),(RANK(Y151,Y$11:Y$343)+COUNTIF(Y$11:Y151,Y151)-1)))</f>
        <v/>
      </c>
      <c r="AA151" s="180" t="str">
        <f>IF(L151="","",VLOOKUP($L151,classifications!C:I,7,FALSE))</f>
        <v/>
      </c>
      <c r="AB151" s="174" t="str">
        <f t="shared" si="96"/>
        <v/>
      </c>
      <c r="AC151" s="174" t="str">
        <f>IF(AB151="","",IF($I$8="A",(RANK(AB151,AB$11:AB$343)+COUNTIF(AB$11:AB151,AB151)-1),(RANK(AB151,AB$11:AB$343,1)+COUNTIF(AB$11:AB151,AB151)-1)))</f>
        <v/>
      </c>
      <c r="AD151" s="174"/>
      <c r="AE151" s="36" t="str">
        <f t="shared" si="97"/>
        <v/>
      </c>
      <c r="AG151" s="15"/>
      <c r="AH151" s="3"/>
      <c r="AI151" s="5" t="str">
        <f>IF(L151="","",VLOOKUP($L151,classifications!$C:$J,8,FALSE))</f>
        <v/>
      </c>
      <c r="AJ151" s="43" t="str">
        <f t="shared" si="98"/>
        <v/>
      </c>
      <c r="AK151" s="40" t="str">
        <f>IF(AJ151="","",IF(I$8="A",(RANK(AJ151,AJ$11:AJ$343,1)+COUNTIF(AJ$11:AJ151,AJ151)-1),(RANK(AJ151,AJ$11:AJ$343)+COUNTIF(AJ$11:AJ151,AJ151)-1)))</f>
        <v/>
      </c>
      <c r="AL151" s="3" t="str">
        <f t="shared" si="99"/>
        <v/>
      </c>
      <c r="AM151" t="str">
        <f t="shared" si="100"/>
        <v/>
      </c>
      <c r="AN151" t="str">
        <f t="shared" si="101"/>
        <v/>
      </c>
      <c r="AP151" s="5" t="str">
        <f>IF(L151="","",VLOOKUP($L151,classifications!$C:$E,3,FALSE))</f>
        <v/>
      </c>
      <c r="AQ151" s="43" t="str">
        <f t="shared" si="102"/>
        <v/>
      </c>
      <c r="AR151" s="40" t="str">
        <f>IF(AQ151="","",IF(I$8="A",(RANK(AQ151,AQ$11:AQ$343,1)+COUNTIF(AQ$11:AQ151,AQ151)-1),(RANK(AQ151,AQ$11:AQ$343)+COUNTIF(AQ$11:AQ151,AQ151)-1)))</f>
        <v/>
      </c>
      <c r="AS151" s="3" t="str">
        <f t="shared" si="103"/>
        <v/>
      </c>
      <c r="AT151" s="40" t="str">
        <f t="shared" si="104"/>
        <v/>
      </c>
      <c r="AU151" s="43" t="str">
        <f t="shared" si="105"/>
        <v/>
      </c>
      <c r="AX151">
        <f>HLOOKUP($AX$9&amp;$AX$10,Data!$A$1:$ZZ$1980,(MATCH($C151,Data!$A$1:$A$1980,0)),FALSE)</f>
        <v>284.5</v>
      </c>
    </row>
    <row r="152" spans="1:50">
      <c r="A152" s="59" t="str">
        <f>$D$1&amp;142</f>
        <v>UA142</v>
      </c>
      <c r="B152" s="60">
        <f>IF(ISERROR(VLOOKUP(A154,classifications!A:C,3,FALSE)),0,VLOOKUP(A154,classifications!A:C,3,FALSE))</f>
        <v>0</v>
      </c>
      <c r="C152" t="s">
        <v>90</v>
      </c>
      <c r="D152" t="str">
        <f>VLOOKUP($C152,classifications!$C:$J,4,FALSE)</f>
        <v>SD</v>
      </c>
      <c r="E152">
        <f>VLOOKUP(C152,classifications!C:K,9,FALSE)</f>
        <v>0</v>
      </c>
      <c r="F152">
        <f t="shared" si="83"/>
        <v>359.1</v>
      </c>
      <c r="G152" s="15"/>
      <c r="H152" s="42" t="str">
        <f t="shared" si="84"/>
        <v/>
      </c>
      <c r="I152" s="79" t="str">
        <f>IF(H152="","",IF($I$8="A",(RANK(H152,H$11:H$343,1)+COUNTIF(H$11:H152,H152)-1),(RANK(H152,H$11:H$343)+COUNTIF(H$11:H152,H152)-1)))</f>
        <v/>
      </c>
      <c r="J152" s="41"/>
      <c r="K152" s="36" t="str">
        <f t="shared" si="85"/>
        <v/>
      </c>
      <c r="L152" t="str">
        <f t="shared" si="86"/>
        <v/>
      </c>
      <c r="M152" s="117" t="str">
        <f t="shared" si="87"/>
        <v/>
      </c>
      <c r="N152" s="112" t="str">
        <f t="shared" si="88"/>
        <v/>
      </c>
      <c r="O152" s="96" t="str">
        <f t="shared" si="89"/>
        <v/>
      </c>
      <c r="P152" s="96" t="str">
        <f t="shared" si="90"/>
        <v/>
      </c>
      <c r="Q152" s="96" t="str">
        <f t="shared" si="91"/>
        <v/>
      </c>
      <c r="R152" s="92" t="str">
        <f t="shared" si="92"/>
        <v/>
      </c>
      <c r="S152" s="42" t="str">
        <f t="shared" si="93"/>
        <v/>
      </c>
      <c r="T152" s="167" t="str">
        <f>IF(L152="","",VLOOKUP(L152,classifications!C:K,9,FALSE))</f>
        <v/>
      </c>
      <c r="U152" s="168" t="str">
        <f t="shared" si="94"/>
        <v/>
      </c>
      <c r="V152" s="174" t="str">
        <f>IF(U152="","",IF($I$8="A",(RANK(U152,U$11:U$343)+COUNTIF(U$11:U152,U152)-1),(RANK(U152,U$11:U$343,1)+COUNTIF(U$11:U152,U152)-1)))</f>
        <v/>
      </c>
      <c r="W152" s="175"/>
      <c r="X152" s="5" t="str">
        <f>IF(L152="","",VLOOKUP($L152,classifications!$C:$J,6,FALSE))</f>
        <v/>
      </c>
      <c r="Y152" t="str">
        <f t="shared" si="95"/>
        <v/>
      </c>
      <c r="Z152" s="40" t="str">
        <f>IF(Y152="","",IF(I$8="A",(RANK(Y152,Y$11:Y$343,1)+COUNTIF(Y$11:Y152,Y152)-1),(RANK(Y152,Y$11:Y$343)+COUNTIF(Y$11:Y152,Y152)-1)))</f>
        <v/>
      </c>
      <c r="AA152" s="180" t="str">
        <f>IF(L152="","",VLOOKUP($L152,classifications!C:I,7,FALSE))</f>
        <v/>
      </c>
      <c r="AB152" s="174" t="str">
        <f t="shared" si="96"/>
        <v/>
      </c>
      <c r="AC152" s="174" t="str">
        <f>IF(AB152="","",IF($I$8="A",(RANK(AB152,AB$11:AB$343)+COUNTIF(AB$11:AB152,AB152)-1),(RANK(AB152,AB$11:AB$343,1)+COUNTIF(AB$11:AB152,AB152)-1)))</f>
        <v/>
      </c>
      <c r="AD152" s="174"/>
      <c r="AE152" s="36" t="str">
        <f t="shared" si="97"/>
        <v/>
      </c>
      <c r="AG152" s="15"/>
      <c r="AH152" s="3"/>
      <c r="AI152" s="5" t="str">
        <f>IF(L152="","",VLOOKUP($L152,classifications!$C:$J,8,FALSE))</f>
        <v/>
      </c>
      <c r="AJ152" s="43" t="str">
        <f t="shared" si="98"/>
        <v/>
      </c>
      <c r="AK152" s="40" t="str">
        <f>IF(AJ152="","",IF(I$8="A",(RANK(AJ152,AJ$11:AJ$343,1)+COUNTIF(AJ$11:AJ152,AJ152)-1),(RANK(AJ152,AJ$11:AJ$343)+COUNTIF(AJ$11:AJ152,AJ152)-1)))</f>
        <v/>
      </c>
      <c r="AL152" s="3" t="str">
        <f t="shared" si="99"/>
        <v/>
      </c>
      <c r="AM152" t="str">
        <f t="shared" si="100"/>
        <v/>
      </c>
      <c r="AN152" t="str">
        <f t="shared" si="101"/>
        <v/>
      </c>
      <c r="AP152" s="5" t="str">
        <f>IF(L152="","",VLOOKUP($L152,classifications!$C:$E,3,FALSE))</f>
        <v/>
      </c>
      <c r="AQ152" s="43" t="str">
        <f t="shared" si="102"/>
        <v/>
      </c>
      <c r="AR152" s="40" t="str">
        <f>IF(AQ152="","",IF(I$8="A",(RANK(AQ152,AQ$11:AQ$343,1)+COUNTIF(AQ$11:AQ152,AQ152)-1),(RANK(AQ152,AQ$11:AQ$343)+COUNTIF(AQ$11:AQ152,AQ152)-1)))</f>
        <v/>
      </c>
      <c r="AS152" s="3" t="str">
        <f t="shared" si="103"/>
        <v/>
      </c>
      <c r="AT152" s="40" t="str">
        <f t="shared" si="104"/>
        <v/>
      </c>
      <c r="AU152" s="43" t="str">
        <f t="shared" si="105"/>
        <v/>
      </c>
      <c r="AX152">
        <f>HLOOKUP($AX$9&amp;$AX$10,Data!$A$1:$ZZ$1980,(MATCH($C152,Data!$A$1:$A$1980,0)),FALSE)</f>
        <v>359.1</v>
      </c>
    </row>
    <row r="153" spans="1:50">
      <c r="A153" s="59" t="str">
        <f>$D$1&amp;143</f>
        <v>UA143</v>
      </c>
      <c r="B153" s="60">
        <f>IF(ISERROR(VLOOKUP(A155,classifications!A:C,3,FALSE)),0,VLOOKUP(A155,classifications!A:C,3,FALSE))</f>
        <v>0</v>
      </c>
      <c r="C153" t="s">
        <v>271</v>
      </c>
      <c r="D153" t="str">
        <f>VLOOKUP($C153,classifications!$C:$J,4,FALSE)</f>
        <v>UA</v>
      </c>
      <c r="E153" t="str">
        <f>VLOOKUP(C153,classifications!C:K,9,FALSE)</f>
        <v>Sparse</v>
      </c>
      <c r="F153">
        <f t="shared" si="83"/>
        <v>389.9</v>
      </c>
      <c r="G153" s="15"/>
      <c r="H153" s="42">
        <f t="shared" si="84"/>
        <v>389.9</v>
      </c>
      <c r="I153" s="79">
        <f>IF(H153="","",IF($I$8="A",(RANK(H153,H$11:H$343,1)+COUNTIF(H$11:H153,H153)-1),(RANK(H153,H$11:H$343)+COUNTIF(H$11:H153,H153)-1)))</f>
        <v>26</v>
      </c>
      <c r="J153" s="41"/>
      <c r="K153" s="36" t="str">
        <f t="shared" si="85"/>
        <v/>
      </c>
      <c r="L153" t="str">
        <f t="shared" si="86"/>
        <v/>
      </c>
      <c r="M153" s="117" t="str">
        <f t="shared" si="87"/>
        <v/>
      </c>
      <c r="N153" s="112" t="str">
        <f t="shared" si="88"/>
        <v/>
      </c>
      <c r="O153" s="96" t="str">
        <f t="shared" si="89"/>
        <v/>
      </c>
      <c r="P153" s="96" t="str">
        <f t="shared" si="90"/>
        <v/>
      </c>
      <c r="Q153" s="96" t="str">
        <f t="shared" si="91"/>
        <v/>
      </c>
      <c r="R153" s="92" t="str">
        <f t="shared" si="92"/>
        <v/>
      </c>
      <c r="S153" s="42" t="str">
        <f t="shared" si="93"/>
        <v/>
      </c>
      <c r="T153" s="167" t="str">
        <f>IF(L153="","",VLOOKUP(L153,classifications!C:K,9,FALSE))</f>
        <v/>
      </c>
      <c r="U153" s="168" t="str">
        <f t="shared" si="94"/>
        <v/>
      </c>
      <c r="V153" s="174" t="str">
        <f>IF(U153="","",IF($I$8="A",(RANK(U153,U$11:U$343)+COUNTIF(U$11:U153,U153)-1),(RANK(U153,U$11:U$343,1)+COUNTIF(U$11:U153,U153)-1)))</f>
        <v/>
      </c>
      <c r="W153" s="175"/>
      <c r="X153" s="5" t="str">
        <f>IF(L153="","",VLOOKUP($L153,classifications!$C:$J,6,FALSE))</f>
        <v/>
      </c>
      <c r="Y153" t="str">
        <f t="shared" si="95"/>
        <v/>
      </c>
      <c r="Z153" s="40" t="str">
        <f>IF(Y153="","",IF(I$8="A",(RANK(Y153,Y$11:Y$343,1)+COUNTIF(Y$11:Y153,Y153)-1),(RANK(Y153,Y$11:Y$343)+COUNTIF(Y$11:Y153,Y153)-1)))</f>
        <v/>
      </c>
      <c r="AA153" s="180" t="str">
        <f>IF(L153="","",VLOOKUP($L153,classifications!C:I,7,FALSE))</f>
        <v/>
      </c>
      <c r="AB153" s="174" t="str">
        <f t="shared" si="96"/>
        <v/>
      </c>
      <c r="AC153" s="174" t="str">
        <f>IF(AB153="","",IF($I$8="A",(RANK(AB153,AB$11:AB$343)+COUNTIF(AB$11:AB153,AB153)-1),(RANK(AB153,AB$11:AB$343,1)+COUNTIF(AB$11:AB153,AB153)-1)))</f>
        <v/>
      </c>
      <c r="AD153" s="174"/>
      <c r="AE153" s="36" t="str">
        <f t="shared" si="97"/>
        <v/>
      </c>
      <c r="AG153" s="15"/>
      <c r="AH153" s="3"/>
      <c r="AI153" s="5" t="str">
        <f>IF(L153="","",VLOOKUP($L153,classifications!$C:$J,8,FALSE))</f>
        <v/>
      </c>
      <c r="AJ153" s="43" t="str">
        <f t="shared" si="98"/>
        <v/>
      </c>
      <c r="AK153" s="40" t="str">
        <f>IF(AJ153="","",IF(I$8="A",(RANK(AJ153,AJ$11:AJ$343,1)+COUNTIF(AJ$11:AJ153,AJ153)-1),(RANK(AJ153,AJ$11:AJ$343)+COUNTIF(AJ$11:AJ153,AJ153)-1)))</f>
        <v/>
      </c>
      <c r="AL153" s="3" t="str">
        <f t="shared" si="99"/>
        <v/>
      </c>
      <c r="AM153" t="str">
        <f t="shared" si="100"/>
        <v/>
      </c>
      <c r="AN153" t="str">
        <f t="shared" si="101"/>
        <v/>
      </c>
      <c r="AP153" s="5" t="str">
        <f>IF(L153="","",VLOOKUP($L153,classifications!$C:$E,3,FALSE))</f>
        <v/>
      </c>
      <c r="AQ153" s="43" t="str">
        <f t="shared" si="102"/>
        <v/>
      </c>
      <c r="AR153" s="40" t="str">
        <f>IF(AQ153="","",IF(I$8="A",(RANK(AQ153,AQ$11:AQ$343,1)+COUNTIF(AQ$11:AQ153,AQ153)-1),(RANK(AQ153,AQ$11:AQ$343)+COUNTIF(AQ$11:AQ153,AQ153)-1)))</f>
        <v/>
      </c>
      <c r="AS153" s="3" t="str">
        <f t="shared" si="103"/>
        <v/>
      </c>
      <c r="AT153" s="40" t="str">
        <f t="shared" si="104"/>
        <v/>
      </c>
      <c r="AU153" s="43" t="str">
        <f t="shared" si="105"/>
        <v/>
      </c>
      <c r="AX153">
        <f>HLOOKUP($AX$9&amp;$AX$10,Data!$A$1:$ZZ$1980,(MATCH($C153,Data!$A$1:$A$1980,0)),FALSE)</f>
        <v>389.9</v>
      </c>
    </row>
    <row r="154" spans="1:50">
      <c r="A154" s="59" t="str">
        <f>$D$1&amp;144</f>
        <v>UA144</v>
      </c>
      <c r="B154" s="60">
        <f>IF(ISERROR(VLOOKUP(A156,classifications!A:C,3,FALSE)),0,VLOOKUP(A156,classifications!A:C,3,FALSE))</f>
        <v>0</v>
      </c>
      <c r="C154" t="s">
        <v>2</v>
      </c>
      <c r="D154">
        <f>VLOOKUP($C154,classifications!$C:$J,4,FALSE)</f>
        <v>0</v>
      </c>
      <c r="E154">
        <f>VLOOKUP(C154,classifications!C:K,9,FALSE)</f>
        <v>0</v>
      </c>
      <c r="F154">
        <f t="shared" si="83"/>
        <v>600.6</v>
      </c>
      <c r="G154" s="15"/>
      <c r="H154" s="42" t="str">
        <f t="shared" si="84"/>
        <v/>
      </c>
      <c r="I154" s="79" t="str">
        <f>IF(H154="","",IF($I$8="A",(RANK(H154,H$11:H$343,1)+COUNTIF(H$11:H154,H154)-1),(RANK(H154,H$11:H$343)+COUNTIF(H$11:H154,H154)-1)))</f>
        <v/>
      </c>
      <c r="J154" s="41"/>
      <c r="K154" s="36" t="str">
        <f t="shared" si="85"/>
        <v/>
      </c>
      <c r="L154" t="str">
        <f t="shared" si="86"/>
        <v/>
      </c>
      <c r="M154" s="117" t="str">
        <f t="shared" si="87"/>
        <v/>
      </c>
      <c r="N154" s="112" t="str">
        <f t="shared" si="88"/>
        <v/>
      </c>
      <c r="O154" s="96" t="str">
        <f t="shared" si="89"/>
        <v/>
      </c>
      <c r="P154" s="96" t="str">
        <f t="shared" si="90"/>
        <v/>
      </c>
      <c r="Q154" s="96" t="str">
        <f t="shared" si="91"/>
        <v/>
      </c>
      <c r="R154" s="92" t="str">
        <f t="shared" si="92"/>
        <v/>
      </c>
      <c r="S154" s="42" t="str">
        <f t="shared" si="93"/>
        <v/>
      </c>
      <c r="T154" s="167" t="str">
        <f>IF(L154="","",VLOOKUP(L154,classifications!C:K,9,FALSE))</f>
        <v/>
      </c>
      <c r="U154" s="168" t="str">
        <f t="shared" si="94"/>
        <v/>
      </c>
      <c r="V154" s="174" t="str">
        <f>IF(U154="","",IF($I$8="A",(RANK(U154,U$11:U$343)+COUNTIF(U$11:U154,U154)-1),(RANK(U154,U$11:U$343,1)+COUNTIF(U$11:U154,U154)-1)))</f>
        <v/>
      </c>
      <c r="W154" s="175"/>
      <c r="X154" s="5" t="str">
        <f>IF(L154="","",VLOOKUP($L154,classifications!$C:$J,6,FALSE))</f>
        <v/>
      </c>
      <c r="Y154" t="str">
        <f t="shared" si="95"/>
        <v/>
      </c>
      <c r="Z154" s="40" t="str">
        <f>IF(Y154="","",IF(I$8="A",(RANK(Y154,Y$11:Y$343,1)+COUNTIF(Y$11:Y154,Y154)-1),(RANK(Y154,Y$11:Y$343)+COUNTIF(Y$11:Y154,Y154)-1)))</f>
        <v/>
      </c>
      <c r="AA154" s="180" t="str">
        <f>IF(L154="","",VLOOKUP($L154,classifications!C:I,7,FALSE))</f>
        <v/>
      </c>
      <c r="AB154" s="174" t="str">
        <f t="shared" si="96"/>
        <v/>
      </c>
      <c r="AC154" s="174" t="str">
        <f>IF(AB154="","",IF($I$8="A",(RANK(AB154,AB$11:AB$343)+COUNTIF(AB$11:AB154,AB154)-1),(RANK(AB154,AB$11:AB$343,1)+COUNTIF(AB$11:AB154,AB154)-1)))</f>
        <v/>
      </c>
      <c r="AD154" s="174"/>
      <c r="AE154" s="36" t="str">
        <f t="shared" si="97"/>
        <v/>
      </c>
      <c r="AG154" s="15"/>
      <c r="AH154" s="3"/>
      <c r="AI154" s="5" t="str">
        <f>IF(L154="","",VLOOKUP($L154,classifications!$C:$J,8,FALSE))</f>
        <v/>
      </c>
      <c r="AJ154" s="43" t="str">
        <f t="shared" si="98"/>
        <v/>
      </c>
      <c r="AK154" s="40" t="str">
        <f>IF(AJ154="","",IF(I$8="A",(RANK(AJ154,AJ$11:AJ$343,1)+COUNTIF(AJ$11:AJ154,AJ154)-1),(RANK(AJ154,AJ$11:AJ$343)+COUNTIF(AJ$11:AJ154,AJ154)-1)))</f>
        <v/>
      </c>
      <c r="AL154" s="3" t="str">
        <f t="shared" si="99"/>
        <v/>
      </c>
      <c r="AM154" t="str">
        <f t="shared" si="100"/>
        <v/>
      </c>
      <c r="AN154" t="str">
        <f t="shared" si="101"/>
        <v/>
      </c>
      <c r="AP154" s="5" t="str">
        <f>IF(L154="","",VLOOKUP($L154,classifications!$C:$E,3,FALSE))</f>
        <v/>
      </c>
      <c r="AQ154" s="43" t="str">
        <f t="shared" si="102"/>
        <v/>
      </c>
      <c r="AR154" s="40" t="str">
        <f>IF(AQ154="","",IF(I$8="A",(RANK(AQ154,AQ$11:AQ$343,1)+COUNTIF(AQ$11:AQ154,AQ154)-1),(RANK(AQ154,AQ$11:AQ$343)+COUNTIF(AQ$11:AQ154,AQ154)-1)))</f>
        <v/>
      </c>
      <c r="AS154" s="3" t="str">
        <f t="shared" si="103"/>
        <v/>
      </c>
      <c r="AT154" s="40" t="str">
        <f t="shared" si="104"/>
        <v/>
      </c>
      <c r="AU154" s="43" t="str">
        <f t="shared" si="105"/>
        <v/>
      </c>
      <c r="AX154">
        <f>HLOOKUP($AX$9&amp;$AX$10,Data!$A$1:$ZZ$1980,(MATCH($C154,Data!$A$1:$A$1980,0)),FALSE)</f>
        <v>600.6</v>
      </c>
    </row>
    <row r="155" spans="1:50">
      <c r="A155" s="59" t="str">
        <f>$D$1&amp;145</f>
        <v>UA145</v>
      </c>
      <c r="B155" s="60">
        <f>IF(ISERROR(VLOOKUP(A157,classifications!A:C,3,FALSE)),0,VLOOKUP(A157,classifications!A:C,3,FALSE))</f>
        <v>0</v>
      </c>
      <c r="C155" t="s">
        <v>212</v>
      </c>
      <c r="D155" t="str">
        <f>VLOOKUP($C155,classifications!$C:$J,4,FALSE)</f>
        <v>L</v>
      </c>
      <c r="E155">
        <f>VLOOKUP(C155,classifications!C:K,9,FALSE)</f>
        <v>0</v>
      </c>
      <c r="F155">
        <f t="shared" si="83"/>
        <v>242.6</v>
      </c>
      <c r="G155" s="15"/>
      <c r="H155" s="42" t="str">
        <f t="shared" si="84"/>
        <v/>
      </c>
      <c r="I155" s="79" t="str">
        <f>IF(H155="","",IF($I$8="A",(RANK(H155,H$11:H$343,1)+COUNTIF(H$11:H155,H155)-1),(RANK(H155,H$11:H$343)+COUNTIF(H$11:H155,H155)-1)))</f>
        <v/>
      </c>
      <c r="J155" s="41"/>
      <c r="K155" s="36" t="str">
        <f t="shared" si="85"/>
        <v/>
      </c>
      <c r="L155" t="str">
        <f t="shared" si="86"/>
        <v/>
      </c>
      <c r="M155" s="117" t="str">
        <f t="shared" si="87"/>
        <v/>
      </c>
      <c r="N155" s="112" t="str">
        <f t="shared" si="88"/>
        <v/>
      </c>
      <c r="O155" s="96" t="str">
        <f t="shared" si="89"/>
        <v/>
      </c>
      <c r="P155" s="96" t="str">
        <f t="shared" si="90"/>
        <v/>
      </c>
      <c r="Q155" s="96" t="str">
        <f t="shared" si="91"/>
        <v/>
      </c>
      <c r="R155" s="92" t="str">
        <f t="shared" si="92"/>
        <v/>
      </c>
      <c r="S155" s="42" t="str">
        <f t="shared" si="93"/>
        <v/>
      </c>
      <c r="T155" s="167" t="str">
        <f>IF(L155="","",VLOOKUP(L155,classifications!C:K,9,FALSE))</f>
        <v/>
      </c>
      <c r="U155" s="168" t="str">
        <f t="shared" si="94"/>
        <v/>
      </c>
      <c r="V155" s="174" t="str">
        <f>IF(U155="","",IF($I$8="A",(RANK(U155,U$11:U$343)+COUNTIF(U$11:U155,U155)-1),(RANK(U155,U$11:U$343,1)+COUNTIF(U$11:U155,U155)-1)))</f>
        <v/>
      </c>
      <c r="W155" s="175"/>
      <c r="X155" s="5" t="str">
        <f>IF(L155="","",VLOOKUP($L155,classifications!$C:$J,6,FALSE))</f>
        <v/>
      </c>
      <c r="Y155" t="str">
        <f t="shared" si="95"/>
        <v/>
      </c>
      <c r="Z155" s="40" t="str">
        <f>IF(Y155="","",IF(I$8="A",(RANK(Y155,Y$11:Y$343,1)+COUNTIF(Y$11:Y155,Y155)-1),(RANK(Y155,Y$11:Y$343)+COUNTIF(Y$11:Y155,Y155)-1)))</f>
        <v/>
      </c>
      <c r="AA155" s="180" t="str">
        <f>IF(L155="","",VLOOKUP($L155,classifications!C:I,7,FALSE))</f>
        <v/>
      </c>
      <c r="AB155" s="174" t="str">
        <f t="shared" si="96"/>
        <v/>
      </c>
      <c r="AC155" s="174" t="str">
        <f>IF(AB155="","",IF($I$8="A",(RANK(AB155,AB$11:AB$343)+COUNTIF(AB$11:AB155,AB155)-1),(RANK(AB155,AB$11:AB$343,1)+COUNTIF(AB$11:AB155,AB155)-1)))</f>
        <v/>
      </c>
      <c r="AD155" s="174"/>
      <c r="AE155" s="36" t="str">
        <f t="shared" si="97"/>
        <v/>
      </c>
      <c r="AG155" s="15"/>
      <c r="AH155" s="3"/>
      <c r="AI155" s="5" t="str">
        <f>IF(L155="","",VLOOKUP($L155,classifications!$C:$J,8,FALSE))</f>
        <v/>
      </c>
      <c r="AJ155" s="43" t="str">
        <f t="shared" si="98"/>
        <v/>
      </c>
      <c r="AK155" s="40" t="str">
        <f>IF(AJ155="","",IF(I$8="A",(RANK(AJ155,AJ$11:AJ$343,1)+COUNTIF(AJ$11:AJ155,AJ155)-1),(RANK(AJ155,AJ$11:AJ$343)+COUNTIF(AJ$11:AJ155,AJ155)-1)))</f>
        <v/>
      </c>
      <c r="AL155" s="3" t="str">
        <f t="shared" si="99"/>
        <v/>
      </c>
      <c r="AM155" t="str">
        <f t="shared" si="100"/>
        <v/>
      </c>
      <c r="AN155" t="str">
        <f t="shared" si="101"/>
        <v/>
      </c>
      <c r="AP155" s="5" t="str">
        <f>IF(L155="","",VLOOKUP($L155,classifications!$C:$E,3,FALSE))</f>
        <v/>
      </c>
      <c r="AQ155" s="43" t="str">
        <f t="shared" si="102"/>
        <v/>
      </c>
      <c r="AR155" s="40" t="str">
        <f>IF(AQ155="","",IF(I$8="A",(RANK(AQ155,AQ$11:AQ$343,1)+COUNTIF(AQ$11:AQ155,AQ155)-1),(RANK(AQ155,AQ$11:AQ$343)+COUNTIF(AQ$11:AQ155,AQ155)-1)))</f>
        <v/>
      </c>
      <c r="AS155" s="3" t="str">
        <f t="shared" si="103"/>
        <v/>
      </c>
      <c r="AT155" s="40" t="str">
        <f t="shared" si="104"/>
        <v/>
      </c>
      <c r="AU155" s="43" t="str">
        <f t="shared" si="105"/>
        <v/>
      </c>
      <c r="AX155">
        <f>HLOOKUP($AX$9&amp;$AX$10,Data!$A$1:$ZZ$1980,(MATCH($C155,Data!$A$1:$A$1980,0)),FALSE)</f>
        <v>242.6</v>
      </c>
    </row>
    <row r="156" spans="1:50">
      <c r="A156" s="59" t="str">
        <f>$D$1&amp;146</f>
        <v>UA146</v>
      </c>
      <c r="B156" s="60">
        <f>IF(ISERROR(VLOOKUP(A158,classifications!A:C,3,FALSE)),0,VLOOKUP(A158,classifications!A:C,3,FALSE))</f>
        <v>0</v>
      </c>
      <c r="C156" t="s">
        <v>338</v>
      </c>
      <c r="D156" t="str">
        <f>VLOOKUP($C156,classifications!$C:$J,4,FALSE)</f>
        <v>L</v>
      </c>
      <c r="E156">
        <f>VLOOKUP(C156,classifications!C:K,9,FALSE)</f>
        <v>0</v>
      </c>
      <c r="F156">
        <f t="shared" si="83"/>
        <v>304</v>
      </c>
      <c r="G156" s="15"/>
      <c r="H156" s="42" t="str">
        <f t="shared" si="84"/>
        <v/>
      </c>
      <c r="I156" s="79" t="str">
        <f>IF(H156="","",IF($I$8="A",(RANK(H156,H$11:H$343,1)+COUNTIF(H$11:H156,H156)-1),(RANK(H156,H$11:H$343)+COUNTIF(H$11:H156,H156)-1)))</f>
        <v/>
      </c>
      <c r="J156" s="41"/>
      <c r="K156" s="36" t="str">
        <f t="shared" si="85"/>
        <v/>
      </c>
      <c r="L156" t="str">
        <f t="shared" si="86"/>
        <v/>
      </c>
      <c r="M156" s="117" t="str">
        <f t="shared" si="87"/>
        <v/>
      </c>
      <c r="N156" s="112" t="str">
        <f t="shared" si="88"/>
        <v/>
      </c>
      <c r="O156" s="96" t="str">
        <f t="shared" si="89"/>
        <v/>
      </c>
      <c r="P156" s="96" t="str">
        <f t="shared" si="90"/>
        <v/>
      </c>
      <c r="Q156" s="96" t="str">
        <f t="shared" si="91"/>
        <v/>
      </c>
      <c r="R156" s="92" t="str">
        <f t="shared" si="92"/>
        <v/>
      </c>
      <c r="S156" s="42" t="str">
        <f t="shared" si="93"/>
        <v/>
      </c>
      <c r="T156" s="167" t="str">
        <f>IF(L156="","",VLOOKUP(L156,classifications!C:K,9,FALSE))</f>
        <v/>
      </c>
      <c r="U156" s="168" t="str">
        <f t="shared" si="94"/>
        <v/>
      </c>
      <c r="V156" s="174" t="str">
        <f>IF(U156="","",IF($I$8="A",(RANK(U156,U$11:U$343)+COUNTIF(U$11:U156,U156)-1),(RANK(U156,U$11:U$343,1)+COUNTIF(U$11:U156,U156)-1)))</f>
        <v/>
      </c>
      <c r="W156" s="175"/>
      <c r="X156" s="5" t="str">
        <f>IF(L156="","",VLOOKUP($L156,classifications!$C:$J,6,FALSE))</f>
        <v/>
      </c>
      <c r="Y156" t="str">
        <f t="shared" si="95"/>
        <v/>
      </c>
      <c r="Z156" s="40" t="str">
        <f>IF(Y156="","",IF(I$8="A",(RANK(Y156,Y$11:Y$343,1)+COUNTIF(Y$11:Y156,Y156)-1),(RANK(Y156,Y$11:Y$343)+COUNTIF(Y$11:Y156,Y156)-1)))</f>
        <v/>
      </c>
      <c r="AA156" s="180" t="str">
        <f>IF(L156="","",VLOOKUP($L156,classifications!C:I,7,FALSE))</f>
        <v/>
      </c>
      <c r="AB156" s="174" t="str">
        <f t="shared" si="96"/>
        <v/>
      </c>
      <c r="AC156" s="174" t="str">
        <f>IF(AB156="","",IF($I$8="A",(RANK(AB156,AB$11:AB$343)+COUNTIF(AB$11:AB156,AB156)-1),(RANK(AB156,AB$11:AB$343,1)+COUNTIF(AB$11:AB156,AB156)-1)))</f>
        <v/>
      </c>
      <c r="AD156" s="174"/>
      <c r="AE156" s="36" t="str">
        <f t="shared" si="97"/>
        <v/>
      </c>
      <c r="AG156" s="15"/>
      <c r="AH156" s="3"/>
      <c r="AI156" s="5" t="str">
        <f>IF(L156="","",VLOOKUP($L156,classifications!$C:$J,8,FALSE))</f>
        <v/>
      </c>
      <c r="AJ156" s="43" t="str">
        <f t="shared" si="98"/>
        <v/>
      </c>
      <c r="AK156" s="40" t="str">
        <f>IF(AJ156="","",IF(I$8="A",(RANK(AJ156,AJ$11:AJ$343,1)+COUNTIF(AJ$11:AJ156,AJ156)-1),(RANK(AJ156,AJ$11:AJ$343)+COUNTIF(AJ$11:AJ156,AJ156)-1)))</f>
        <v/>
      </c>
      <c r="AL156" s="3" t="str">
        <f t="shared" si="99"/>
        <v/>
      </c>
      <c r="AM156" t="str">
        <f t="shared" si="100"/>
        <v/>
      </c>
      <c r="AN156" t="str">
        <f t="shared" si="101"/>
        <v/>
      </c>
      <c r="AP156" s="5" t="str">
        <f>IF(L156="","",VLOOKUP($L156,classifications!$C:$E,3,FALSE))</f>
        <v/>
      </c>
      <c r="AQ156" s="43" t="str">
        <f t="shared" si="102"/>
        <v/>
      </c>
      <c r="AR156" s="40" t="str">
        <f>IF(AQ156="","",IF(I$8="A",(RANK(AQ156,AQ$11:AQ$343,1)+COUNTIF(AQ$11:AQ156,AQ156)-1),(RANK(AQ156,AQ$11:AQ$343)+COUNTIF(AQ$11:AQ156,AQ156)-1)))</f>
        <v/>
      </c>
      <c r="AS156" s="3" t="str">
        <f t="shared" si="103"/>
        <v/>
      </c>
      <c r="AT156" s="40" t="str">
        <f t="shared" si="104"/>
        <v/>
      </c>
      <c r="AU156" s="43" t="str">
        <f t="shared" si="105"/>
        <v/>
      </c>
      <c r="AX156">
        <f>HLOOKUP($AX$9&amp;$AX$10,Data!$A$1:$ZZ$1980,(MATCH($C156,Data!$A$1:$A$1980,0)),FALSE)</f>
        <v>304</v>
      </c>
    </row>
    <row r="157" spans="1:50">
      <c r="A157" s="59" t="str">
        <f>$D$1&amp;147</f>
        <v>UA147</v>
      </c>
      <c r="B157" s="60">
        <f>IF(ISERROR(VLOOKUP(A159,classifications!A:C,3,FALSE)),0,VLOOKUP(A159,classifications!A:C,3,FALSE))</f>
        <v>0</v>
      </c>
      <c r="C157" t="s">
        <v>316</v>
      </c>
      <c r="D157" t="str">
        <f>VLOOKUP($C157,classifications!$C:$J,4,FALSE)</f>
        <v>SC</v>
      </c>
      <c r="E157">
        <f>VLOOKUP(C157,classifications!C:K,9,FALSE)</f>
        <v>0</v>
      </c>
      <c r="F157">
        <f t="shared" si="83"/>
        <v>403.8</v>
      </c>
      <c r="G157" s="15"/>
      <c r="H157" s="42" t="str">
        <f t="shared" si="84"/>
        <v/>
      </c>
      <c r="I157" s="79" t="str">
        <f>IF(H157="","",IF($I$8="A",(RANK(H157,H$11:H$343,1)+COUNTIF(H$11:H157,H157)-1),(RANK(H157,H$11:H$343)+COUNTIF(H$11:H157,H157)-1)))</f>
        <v/>
      </c>
      <c r="J157" s="41"/>
      <c r="K157" s="36" t="str">
        <f t="shared" si="85"/>
        <v/>
      </c>
      <c r="L157" t="str">
        <f t="shared" si="86"/>
        <v/>
      </c>
      <c r="M157" s="117" t="str">
        <f t="shared" si="87"/>
        <v/>
      </c>
      <c r="N157" s="112" t="str">
        <f t="shared" si="88"/>
        <v/>
      </c>
      <c r="O157" s="96" t="str">
        <f t="shared" si="89"/>
        <v/>
      </c>
      <c r="P157" s="96" t="str">
        <f t="shared" si="90"/>
        <v/>
      </c>
      <c r="Q157" s="96" t="str">
        <f t="shared" si="91"/>
        <v/>
      </c>
      <c r="R157" s="92" t="str">
        <f t="shared" si="92"/>
        <v/>
      </c>
      <c r="S157" s="42" t="str">
        <f t="shared" si="93"/>
        <v/>
      </c>
      <c r="T157" s="167" t="str">
        <f>IF(L157="","",VLOOKUP(L157,classifications!C:K,9,FALSE))</f>
        <v/>
      </c>
      <c r="U157" s="168" t="str">
        <f t="shared" si="94"/>
        <v/>
      </c>
      <c r="V157" s="174" t="str">
        <f>IF(U157="","",IF($I$8="A",(RANK(U157,U$11:U$343)+COUNTIF(U$11:U157,U157)-1),(RANK(U157,U$11:U$343,1)+COUNTIF(U$11:U157,U157)-1)))</f>
        <v/>
      </c>
      <c r="W157" s="175"/>
      <c r="X157" s="5" t="str">
        <f>IF(L157="","",VLOOKUP($L157,classifications!$C:$J,6,FALSE))</f>
        <v/>
      </c>
      <c r="Y157" t="str">
        <f t="shared" si="95"/>
        <v/>
      </c>
      <c r="Z157" s="40" t="str">
        <f>IF(Y157="","",IF(I$8="A",(RANK(Y157,Y$11:Y$343,1)+COUNTIF(Y$11:Y157,Y157)-1),(RANK(Y157,Y$11:Y$343)+COUNTIF(Y$11:Y157,Y157)-1)))</f>
        <v/>
      </c>
      <c r="AA157" s="180" t="str">
        <f>IF(L157="","",VLOOKUP($L157,classifications!C:I,7,FALSE))</f>
        <v/>
      </c>
      <c r="AB157" s="174" t="str">
        <f t="shared" si="96"/>
        <v/>
      </c>
      <c r="AC157" s="174" t="str">
        <f>IF(AB157="","",IF($I$8="A",(RANK(AB157,AB$11:AB$343)+COUNTIF(AB$11:AB157,AB157)-1),(RANK(AB157,AB$11:AB$343,1)+COUNTIF(AB$11:AB157,AB157)-1)))</f>
        <v/>
      </c>
      <c r="AD157" s="174"/>
      <c r="AE157" s="36" t="str">
        <f t="shared" si="97"/>
        <v/>
      </c>
      <c r="AG157" s="15"/>
      <c r="AH157" s="3"/>
      <c r="AI157" s="5" t="str">
        <f>IF(L157="","",VLOOKUP($L157,classifications!$C:$J,8,FALSE))</f>
        <v/>
      </c>
      <c r="AJ157" s="43" t="str">
        <f t="shared" si="98"/>
        <v/>
      </c>
      <c r="AK157" s="40" t="str">
        <f>IF(AJ157="","",IF(I$8="A",(RANK(AJ157,AJ$11:AJ$343,1)+COUNTIF(AJ$11:AJ157,AJ157)-1),(RANK(AJ157,AJ$11:AJ$343)+COUNTIF(AJ$11:AJ157,AJ157)-1)))</f>
        <v/>
      </c>
      <c r="AL157" s="3" t="str">
        <f t="shared" si="99"/>
        <v/>
      </c>
      <c r="AM157" t="str">
        <f t="shared" si="100"/>
        <v/>
      </c>
      <c r="AN157" t="str">
        <f t="shared" si="101"/>
        <v/>
      </c>
      <c r="AP157" s="5" t="str">
        <f>IF(L157="","",VLOOKUP($L157,classifications!$C:$E,3,FALSE))</f>
        <v/>
      </c>
      <c r="AQ157" s="43" t="str">
        <f t="shared" si="102"/>
        <v/>
      </c>
      <c r="AR157" s="40" t="str">
        <f>IF(AQ157="","",IF(I$8="A",(RANK(AQ157,AQ$11:AQ$343,1)+COUNTIF(AQ$11:AQ157,AQ157)-1),(RANK(AQ157,AQ$11:AQ$343)+COUNTIF(AQ$11:AQ157,AQ157)-1)))</f>
        <v/>
      </c>
      <c r="AS157" s="3" t="str">
        <f t="shared" si="103"/>
        <v/>
      </c>
      <c r="AT157" s="40" t="str">
        <f t="shared" si="104"/>
        <v/>
      </c>
      <c r="AU157" s="43" t="str">
        <f t="shared" si="105"/>
        <v/>
      </c>
      <c r="AX157">
        <f>HLOOKUP($AX$9&amp;$AX$10,Data!$A$1:$ZZ$1980,(MATCH($C157,Data!$A$1:$A$1980,0)),FALSE)</f>
        <v>403.8</v>
      </c>
    </row>
    <row r="158" spans="1:50">
      <c r="A158" s="59" t="str">
        <f>$D$1&amp;148</f>
        <v>UA148</v>
      </c>
      <c r="B158" s="60">
        <f>IF(ISERROR(VLOOKUP(A161,classifications!A:C,3,FALSE)),0,VLOOKUP(A161,classifications!A:C,3,FALSE))</f>
        <v>0</v>
      </c>
      <c r="C158" t="s">
        <v>378</v>
      </c>
      <c r="D158" t="str">
        <f>VLOOKUP($C158,classifications!$C:$J,4,FALSE)</f>
        <v>SD</v>
      </c>
      <c r="E158" t="str">
        <f>VLOOKUP(C158,classifications!C:K,9,FALSE)</f>
        <v>Sparse</v>
      </c>
      <c r="F158">
        <f t="shared" si="83"/>
        <v>380.9</v>
      </c>
      <c r="G158" s="15"/>
      <c r="H158" s="42" t="str">
        <f t="shared" si="84"/>
        <v/>
      </c>
      <c r="I158" s="79" t="str">
        <f>IF(H158="","",IF($I$8="A",(RANK(H158,H$11:H$343,1)+COUNTIF(H$11:H158,H158)-1),(RANK(H158,H$11:H$343)+COUNTIF(H$11:H158,H158)-1)))</f>
        <v/>
      </c>
      <c r="J158" s="41"/>
      <c r="K158" s="36" t="str">
        <f t="shared" si="85"/>
        <v/>
      </c>
      <c r="L158" t="str">
        <f t="shared" si="86"/>
        <v/>
      </c>
      <c r="M158" s="117" t="str">
        <f t="shared" si="87"/>
        <v/>
      </c>
      <c r="N158" s="112" t="str">
        <f t="shared" si="88"/>
        <v/>
      </c>
      <c r="O158" s="96" t="str">
        <f t="shared" si="89"/>
        <v/>
      </c>
      <c r="P158" s="96" t="str">
        <f t="shared" si="90"/>
        <v/>
      </c>
      <c r="Q158" s="96" t="str">
        <f t="shared" si="91"/>
        <v/>
      </c>
      <c r="R158" s="92" t="str">
        <f t="shared" si="92"/>
        <v/>
      </c>
      <c r="S158" s="42" t="str">
        <f t="shared" si="93"/>
        <v/>
      </c>
      <c r="T158" s="167" t="str">
        <f>IF(L158="","",VLOOKUP(L158,classifications!C:K,9,FALSE))</f>
        <v/>
      </c>
      <c r="U158" s="168" t="str">
        <f t="shared" si="94"/>
        <v/>
      </c>
      <c r="V158" s="174" t="str">
        <f>IF(U158="","",IF($I$8="A",(RANK(U158,U$11:U$343)+COUNTIF(U$11:U158,U158)-1),(RANK(U158,U$11:U$343,1)+COUNTIF(U$11:U158,U158)-1)))</f>
        <v/>
      </c>
      <c r="W158" s="175"/>
      <c r="X158" s="5" t="str">
        <f>IF(L158="","",VLOOKUP($L158,classifications!$C:$J,6,FALSE))</f>
        <v/>
      </c>
      <c r="Y158" t="str">
        <f t="shared" si="95"/>
        <v/>
      </c>
      <c r="Z158" s="40" t="str">
        <f>IF(Y158="","",IF(I$8="A",(RANK(Y158,Y$11:Y$343,1)+COUNTIF(Y$11:Y158,Y158)-1),(RANK(Y158,Y$11:Y$343)+COUNTIF(Y$11:Y158,Y158)-1)))</f>
        <v/>
      </c>
      <c r="AA158" s="180" t="str">
        <f>IF(L158="","",VLOOKUP($L158,classifications!C:I,7,FALSE))</f>
        <v/>
      </c>
      <c r="AB158" s="174" t="str">
        <f t="shared" si="96"/>
        <v/>
      </c>
      <c r="AC158" s="174" t="str">
        <f>IF(AB158="","",IF($I$8="A",(RANK(AB158,AB$11:AB$343)+COUNTIF(AB$11:AB158,AB158)-1),(RANK(AB158,AB$11:AB$343,1)+COUNTIF(AB$11:AB158,AB158)-1)))</f>
        <v/>
      </c>
      <c r="AD158" s="174"/>
      <c r="AE158" s="36" t="str">
        <f t="shared" si="97"/>
        <v/>
      </c>
      <c r="AG158" s="15"/>
      <c r="AH158" s="3"/>
      <c r="AI158" s="5" t="str">
        <f>IF(L158="","",VLOOKUP($L158,classifications!$C:$J,8,FALSE))</f>
        <v/>
      </c>
      <c r="AJ158" s="43" t="str">
        <f t="shared" si="98"/>
        <v/>
      </c>
      <c r="AK158" s="40" t="str">
        <f>IF(AJ158="","",IF(I$8="A",(RANK(AJ158,AJ$11:AJ$343,1)+COUNTIF(AJ$11:AJ158,AJ158)-1),(RANK(AJ158,AJ$11:AJ$343)+COUNTIF(AJ$11:AJ158,AJ158)-1)))</f>
        <v/>
      </c>
      <c r="AL158" s="3" t="str">
        <f t="shared" si="99"/>
        <v/>
      </c>
      <c r="AM158" t="str">
        <f t="shared" si="100"/>
        <v/>
      </c>
      <c r="AN158" t="str">
        <f t="shared" si="101"/>
        <v/>
      </c>
      <c r="AP158" s="5" t="str">
        <f>IF(L158="","",VLOOKUP($L158,classifications!$C:$E,3,FALSE))</f>
        <v/>
      </c>
      <c r="AQ158" s="43" t="str">
        <f t="shared" si="102"/>
        <v/>
      </c>
      <c r="AR158" s="40" t="str">
        <f>IF(AQ158="","",IF(I$8="A",(RANK(AQ158,AQ$11:AQ$343,1)+COUNTIF(AQ$11:AQ158,AQ158)-1),(RANK(AQ158,AQ$11:AQ$343)+COUNTIF(AQ$11:AQ158,AQ158)-1)))</f>
        <v/>
      </c>
      <c r="AS158" s="3" t="str">
        <f t="shared" si="103"/>
        <v/>
      </c>
      <c r="AT158" s="40" t="str">
        <f t="shared" si="104"/>
        <v/>
      </c>
      <c r="AU158" s="43" t="str">
        <f t="shared" si="105"/>
        <v/>
      </c>
      <c r="AX158">
        <f>HLOOKUP($AX$9&amp;$AX$10,Data!$A$1:$ZZ$1980,(MATCH($C158,Data!$A$1:$A$1980,0)),FALSE)</f>
        <v>380.9</v>
      </c>
    </row>
    <row r="159" spans="1:50">
      <c r="A159" s="59" t="str">
        <f>$D$1&amp;149</f>
        <v>UA149</v>
      </c>
      <c r="B159" s="60">
        <f>IF(ISERROR(VLOOKUP(A162,classifications!A:C,3,FALSE)),0,VLOOKUP(A162,classifications!A:C,3,FALSE))</f>
        <v>0</v>
      </c>
      <c r="C159" t="s">
        <v>819</v>
      </c>
      <c r="D159" t="str">
        <f>VLOOKUP($C159,classifications!$C:$J,4,FALSE)</f>
        <v>UA</v>
      </c>
      <c r="E159">
        <f>VLOOKUP(C159,classifications!C:K,9,FALSE)</f>
        <v>0</v>
      </c>
      <c r="F159">
        <f t="shared" si="83"/>
        <v>384.2</v>
      </c>
      <c r="G159" s="15"/>
      <c r="H159" s="42">
        <f t="shared" si="84"/>
        <v>384.2</v>
      </c>
      <c r="I159" s="79">
        <f>IF(H159="","",IF($I$8="A",(RANK(H159,H$11:H$343,1)+COUNTIF(H$11:H159,H159)-1),(RANK(H159,H$11:H$343)+COUNTIF(H$11:H159,H159)-1)))</f>
        <v>22</v>
      </c>
      <c r="J159" s="41"/>
      <c r="K159" s="36" t="str">
        <f t="shared" si="85"/>
        <v/>
      </c>
      <c r="L159" t="str">
        <f t="shared" si="86"/>
        <v/>
      </c>
      <c r="M159" s="117" t="str">
        <f t="shared" si="87"/>
        <v/>
      </c>
      <c r="N159" s="112" t="str">
        <f t="shared" si="88"/>
        <v/>
      </c>
      <c r="O159" s="96" t="str">
        <f t="shared" si="89"/>
        <v/>
      </c>
      <c r="P159" s="96" t="str">
        <f t="shared" si="90"/>
        <v/>
      </c>
      <c r="Q159" s="96" t="str">
        <f t="shared" si="91"/>
        <v/>
      </c>
      <c r="R159" s="92" t="str">
        <f t="shared" si="92"/>
        <v/>
      </c>
      <c r="S159" s="42" t="str">
        <f t="shared" si="93"/>
        <v/>
      </c>
      <c r="T159" s="167" t="str">
        <f>IF(L159="","",VLOOKUP(L159,classifications!C:K,9,FALSE))</f>
        <v/>
      </c>
      <c r="U159" s="168" t="str">
        <f t="shared" si="94"/>
        <v/>
      </c>
      <c r="V159" s="174" t="str">
        <f>IF(U159="","",IF($I$8="A",(RANK(U159,U$11:U$343)+COUNTIF(U$11:U159,U159)-1),(RANK(U159,U$11:U$343,1)+COUNTIF(U$11:U159,U159)-1)))</f>
        <v/>
      </c>
      <c r="W159" s="175"/>
      <c r="X159" s="5" t="str">
        <f>IF(L159="","",VLOOKUP($L159,classifications!$C:$J,6,FALSE))</f>
        <v/>
      </c>
      <c r="Y159" t="str">
        <f t="shared" si="95"/>
        <v/>
      </c>
      <c r="Z159" s="40" t="str">
        <f>IF(Y159="","",IF(I$8="A",(RANK(Y159,Y$11:Y$343,1)+COUNTIF(Y$11:Y159,Y159)-1),(RANK(Y159,Y$11:Y$343)+COUNTIF(Y$11:Y159,Y159)-1)))</f>
        <v/>
      </c>
      <c r="AA159" s="180" t="str">
        <f>IF(L159="","",VLOOKUP($L159,classifications!C:I,7,FALSE))</f>
        <v/>
      </c>
      <c r="AB159" s="174" t="str">
        <f t="shared" si="96"/>
        <v/>
      </c>
      <c r="AC159" s="174" t="str">
        <f>IF(AB159="","",IF($I$8="A",(RANK(AB159,AB$11:AB$343)+COUNTIF(AB$11:AB159,AB159)-1),(RANK(AB159,AB$11:AB$343,1)+COUNTIF(AB$11:AB159,AB159)-1)))</f>
        <v/>
      </c>
      <c r="AD159" s="174"/>
      <c r="AE159" s="36" t="str">
        <f t="shared" si="97"/>
        <v/>
      </c>
      <c r="AG159" s="15"/>
      <c r="AH159" s="3"/>
      <c r="AI159" s="5" t="str">
        <f>IF(L159="","",VLOOKUP($L159,classifications!$C:$J,8,FALSE))</f>
        <v/>
      </c>
      <c r="AJ159" s="43" t="str">
        <f t="shared" si="98"/>
        <v/>
      </c>
      <c r="AK159" s="40" t="str">
        <f>IF(AJ159="","",IF(I$8="A",(RANK(AJ159,AJ$11:AJ$343,1)+COUNTIF(AJ$11:AJ159,AJ159)-1),(RANK(AJ159,AJ$11:AJ$343)+COUNTIF(AJ$11:AJ159,AJ159)-1)))</f>
        <v/>
      </c>
      <c r="AL159" s="3" t="str">
        <f t="shared" si="99"/>
        <v/>
      </c>
      <c r="AM159" t="str">
        <f t="shared" si="100"/>
        <v/>
      </c>
      <c r="AN159" t="str">
        <f t="shared" si="101"/>
        <v/>
      </c>
      <c r="AP159" s="5" t="str">
        <f>IF(L159="","",VLOOKUP($L159,classifications!$C:$E,3,FALSE))</f>
        <v/>
      </c>
      <c r="AQ159" s="43" t="str">
        <f t="shared" si="102"/>
        <v/>
      </c>
      <c r="AR159" s="40" t="str">
        <f>IF(AQ159="","",IF(I$8="A",(RANK(AQ159,AQ$11:AQ$343,1)+COUNTIF(AQ$11:AQ159,AQ159)-1),(RANK(AQ159,AQ$11:AQ$343)+COUNTIF(AQ$11:AQ159,AQ159)-1)))</f>
        <v/>
      </c>
      <c r="AS159" s="3" t="str">
        <f t="shared" si="103"/>
        <v/>
      </c>
      <c r="AT159" s="40" t="str">
        <f t="shared" si="104"/>
        <v/>
      </c>
      <c r="AU159" s="43" t="str">
        <f t="shared" si="105"/>
        <v/>
      </c>
      <c r="AX159">
        <f>HLOOKUP($AX$9&amp;$AX$10,Data!$A$1:$ZZ$1980,(MATCH($C159,Data!$A$1:$A$1980,0)),FALSE)</f>
        <v>384.2</v>
      </c>
    </row>
    <row r="160" spans="1:50">
      <c r="A160" s="59" t="str">
        <f>$D$1&amp;150</f>
        <v>UA150</v>
      </c>
      <c r="B160" s="60">
        <f>IF(ISERROR(VLOOKUP(A163,classifications!A:C,3,FALSE)),0,VLOOKUP(A163,classifications!A:C,3,FALSE))</f>
        <v>0</v>
      </c>
      <c r="C160" t="s">
        <v>394</v>
      </c>
      <c r="D160" t="str">
        <f>VLOOKUP($C160,classifications!$C:$J,4,FALSE)</f>
        <v>L</v>
      </c>
      <c r="E160">
        <f>VLOOKUP(C160,classifications!C:K,9,FALSE)</f>
        <v>0</v>
      </c>
      <c r="F160">
        <f t="shared" si="83"/>
        <v>324.8</v>
      </c>
      <c r="G160" s="15"/>
      <c r="H160" s="42" t="str">
        <f t="shared" si="84"/>
        <v/>
      </c>
      <c r="I160" s="79" t="str">
        <f>IF(H160="","",IF($I$8="A",(RANK(H160,H$11:H$343,1)+COUNTIF(H$11:H160,H160)-1),(RANK(H160,H$11:H$343)+COUNTIF(H$11:H160,H160)-1)))</f>
        <v/>
      </c>
      <c r="J160" s="41"/>
      <c r="K160" s="36" t="str">
        <f t="shared" si="85"/>
        <v/>
      </c>
      <c r="L160" t="str">
        <f t="shared" si="86"/>
        <v/>
      </c>
      <c r="M160" s="117" t="str">
        <f t="shared" si="87"/>
        <v/>
      </c>
      <c r="N160" s="112" t="str">
        <f t="shared" si="88"/>
        <v/>
      </c>
      <c r="O160" s="96" t="str">
        <f t="shared" si="89"/>
        <v/>
      </c>
      <c r="P160" s="96" t="str">
        <f t="shared" si="90"/>
        <v/>
      </c>
      <c r="Q160" s="96" t="str">
        <f t="shared" si="91"/>
        <v/>
      </c>
      <c r="R160" s="92" t="str">
        <f t="shared" si="92"/>
        <v/>
      </c>
      <c r="S160" s="42" t="str">
        <f t="shared" si="93"/>
        <v/>
      </c>
      <c r="T160" s="167" t="str">
        <f>IF(L160="","",VLOOKUP(L160,classifications!C:K,9,FALSE))</f>
        <v/>
      </c>
      <c r="U160" s="168" t="str">
        <f t="shared" si="94"/>
        <v/>
      </c>
      <c r="V160" s="174" t="str">
        <f>IF(U160="","",IF($I$8="A",(RANK(U160,U$11:U$343)+COUNTIF(U$11:U160,U160)-1),(RANK(U160,U$11:U$343,1)+COUNTIF(U$11:U160,U160)-1)))</f>
        <v/>
      </c>
      <c r="W160" s="175"/>
      <c r="X160" s="5" t="str">
        <f>IF(L160="","",VLOOKUP($L160,classifications!$C:$J,6,FALSE))</f>
        <v/>
      </c>
      <c r="Y160" t="str">
        <f t="shared" si="95"/>
        <v/>
      </c>
      <c r="Z160" s="40" t="str">
        <f>IF(Y160="","",IF(I$8="A",(RANK(Y160,Y$11:Y$343,1)+COUNTIF(Y$11:Y160,Y160)-1),(RANK(Y160,Y$11:Y$343)+COUNTIF(Y$11:Y160,Y160)-1)))</f>
        <v/>
      </c>
      <c r="AA160" s="180" t="str">
        <f>IF(L160="","",VLOOKUP($L160,classifications!C:I,7,FALSE))</f>
        <v/>
      </c>
      <c r="AB160" s="174" t="str">
        <f t="shared" si="96"/>
        <v/>
      </c>
      <c r="AC160" s="174" t="str">
        <f>IF(AB160="","",IF($I$8="A",(RANK(AB160,AB$11:AB$343)+COUNTIF(AB$11:AB160,AB160)-1),(RANK(AB160,AB$11:AB$343,1)+COUNTIF(AB$11:AB160,AB160)-1)))</f>
        <v/>
      </c>
      <c r="AD160" s="174"/>
      <c r="AE160" s="36" t="str">
        <f t="shared" si="97"/>
        <v/>
      </c>
      <c r="AG160" s="15"/>
      <c r="AH160" s="3"/>
      <c r="AI160" s="5" t="str">
        <f>IF(L160="","",VLOOKUP($L160,classifications!$C:$J,8,FALSE))</f>
        <v/>
      </c>
      <c r="AJ160" s="43" t="str">
        <f t="shared" si="98"/>
        <v/>
      </c>
      <c r="AK160" s="40" t="str">
        <f>IF(AJ160="","",IF(I$8="A",(RANK(AJ160,AJ$11:AJ$343,1)+COUNTIF(AJ$11:AJ160,AJ160)-1),(RANK(AJ160,AJ$11:AJ$343)+COUNTIF(AJ$11:AJ160,AJ160)-1)))</f>
        <v/>
      </c>
      <c r="AL160" s="3" t="str">
        <f t="shared" si="99"/>
        <v/>
      </c>
      <c r="AM160" t="str">
        <f t="shared" si="100"/>
        <v/>
      </c>
      <c r="AN160" t="str">
        <f t="shared" si="101"/>
        <v/>
      </c>
      <c r="AP160" s="5" t="str">
        <f>IF(L160="","",VLOOKUP($L160,classifications!$C:$E,3,FALSE))</f>
        <v/>
      </c>
      <c r="AQ160" s="43" t="str">
        <f t="shared" si="102"/>
        <v/>
      </c>
      <c r="AR160" s="40" t="str">
        <f>IF(AQ160="","",IF(I$8="A",(RANK(AQ160,AQ$11:AQ$343,1)+COUNTIF(AQ$11:AQ160,AQ160)-1),(RANK(AQ160,AQ$11:AQ$343)+COUNTIF(AQ$11:AQ160,AQ160)-1)))</f>
        <v/>
      </c>
      <c r="AS160" s="3" t="str">
        <f t="shared" si="103"/>
        <v/>
      </c>
      <c r="AT160" s="40" t="str">
        <f t="shared" si="104"/>
        <v/>
      </c>
      <c r="AU160" s="43" t="str">
        <f t="shared" si="105"/>
        <v/>
      </c>
      <c r="AX160">
        <f>HLOOKUP($AX$9&amp;$AX$10,Data!$A$1:$ZZ$1980,(MATCH($C160,Data!$A$1:$A$1980,0)),FALSE)</f>
        <v>324.8</v>
      </c>
    </row>
    <row r="161" spans="1:50">
      <c r="A161" s="59" t="str">
        <f>$D$1&amp;151</f>
        <v>UA151</v>
      </c>
      <c r="B161" s="60">
        <f>IF(ISERROR(VLOOKUP(A164,classifications!A:C,3,FALSE)),0,VLOOKUP(A164,classifications!A:C,3,FALSE))</f>
        <v>0</v>
      </c>
      <c r="C161" t="s">
        <v>233</v>
      </c>
      <c r="D161" t="str">
        <f>VLOOKUP($C161,classifications!$C:$J,4,FALSE)</f>
        <v>MD</v>
      </c>
      <c r="E161">
        <f>VLOOKUP(C161,classifications!C:K,9,FALSE)</f>
        <v>0</v>
      </c>
      <c r="F161">
        <f t="shared" si="83"/>
        <v>353.7</v>
      </c>
      <c r="G161" s="15"/>
      <c r="H161" s="42" t="str">
        <f t="shared" si="84"/>
        <v/>
      </c>
      <c r="I161" s="79" t="str">
        <f>IF(H161="","",IF($I$8="A",(RANK(H161,H$11:H$343,1)+COUNTIF(H$11:H161,H161)-1),(RANK(H161,H$11:H$343)+COUNTIF(H$11:H161,H161)-1)))</f>
        <v/>
      </c>
      <c r="J161" s="41"/>
      <c r="K161" s="36" t="str">
        <f t="shared" si="85"/>
        <v/>
      </c>
      <c r="L161" t="str">
        <f t="shared" si="86"/>
        <v/>
      </c>
      <c r="M161" s="117" t="str">
        <f t="shared" si="87"/>
        <v/>
      </c>
      <c r="N161" s="112" t="str">
        <f t="shared" si="88"/>
        <v/>
      </c>
      <c r="O161" s="96" t="str">
        <f t="shared" si="89"/>
        <v/>
      </c>
      <c r="P161" s="96" t="str">
        <f t="shared" si="90"/>
        <v/>
      </c>
      <c r="Q161" s="96" t="str">
        <f t="shared" si="91"/>
        <v/>
      </c>
      <c r="R161" s="92" t="str">
        <f t="shared" si="92"/>
        <v/>
      </c>
      <c r="S161" s="42" t="str">
        <f t="shared" si="93"/>
        <v/>
      </c>
      <c r="T161" s="167" t="str">
        <f>IF(L161="","",VLOOKUP(L161,classifications!C:K,9,FALSE))</f>
        <v/>
      </c>
      <c r="U161" s="168" t="str">
        <f t="shared" si="94"/>
        <v/>
      </c>
      <c r="V161" s="174" t="str">
        <f>IF(U161="","",IF($I$8="A",(RANK(U161,U$11:U$343)+COUNTIF(U$11:U161,U161)-1),(RANK(U161,U$11:U$343,1)+COUNTIF(U$11:U161,U161)-1)))</f>
        <v/>
      </c>
      <c r="W161" s="175"/>
      <c r="X161" s="5" t="str">
        <f>IF(L161="","",VLOOKUP($L161,classifications!$C:$J,6,FALSE))</f>
        <v/>
      </c>
      <c r="Y161" t="str">
        <f t="shared" si="95"/>
        <v/>
      </c>
      <c r="Z161" s="40" t="str">
        <f>IF(Y161="","",IF(I$8="A",(RANK(Y161,Y$11:Y$343,1)+COUNTIF(Y$11:Y161,Y161)-1),(RANK(Y161,Y$11:Y$343)+COUNTIF(Y$11:Y161,Y161)-1)))</f>
        <v/>
      </c>
      <c r="AA161" s="180" t="str">
        <f>IF(L161="","",VLOOKUP($L161,classifications!C:I,7,FALSE))</f>
        <v/>
      </c>
      <c r="AB161" s="174" t="str">
        <f t="shared" si="96"/>
        <v/>
      </c>
      <c r="AC161" s="174" t="str">
        <f>IF(AB161="","",IF($I$8="A",(RANK(AB161,AB$11:AB$343)+COUNTIF(AB$11:AB161,AB161)-1),(RANK(AB161,AB$11:AB$343,1)+COUNTIF(AB$11:AB161,AB161)-1)))</f>
        <v/>
      </c>
      <c r="AD161" s="174"/>
      <c r="AE161" s="36" t="str">
        <f t="shared" si="97"/>
        <v/>
      </c>
      <c r="AG161" s="15"/>
      <c r="AH161" s="3"/>
      <c r="AI161" s="5" t="str">
        <f>IF(L161="","",VLOOKUP($L161,classifications!$C:$J,8,FALSE))</f>
        <v/>
      </c>
      <c r="AJ161" s="43" t="str">
        <f t="shared" si="98"/>
        <v/>
      </c>
      <c r="AK161" s="40" t="str">
        <f>IF(AJ161="","",IF(I$8="A",(RANK(AJ161,AJ$11:AJ$343,1)+COUNTIF(AJ$11:AJ161,AJ161)-1),(RANK(AJ161,AJ$11:AJ$343)+COUNTIF(AJ$11:AJ161,AJ161)-1)))</f>
        <v/>
      </c>
      <c r="AL161" s="3" t="str">
        <f t="shared" si="99"/>
        <v/>
      </c>
      <c r="AM161" t="str">
        <f t="shared" si="100"/>
        <v/>
      </c>
      <c r="AN161" t="str">
        <f t="shared" si="101"/>
        <v/>
      </c>
      <c r="AP161" s="5" t="str">
        <f>IF(L161="","",VLOOKUP($L161,classifications!$C:$E,3,FALSE))</f>
        <v/>
      </c>
      <c r="AQ161" s="43" t="str">
        <f t="shared" si="102"/>
        <v/>
      </c>
      <c r="AR161" s="40" t="str">
        <f>IF(AQ161="","",IF(I$8="A",(RANK(AQ161,AQ$11:AQ$343,1)+COUNTIF(AQ$11:AQ161,AQ161)-1),(RANK(AQ161,AQ$11:AQ$343)+COUNTIF(AQ$11:AQ161,AQ161)-1)))</f>
        <v/>
      </c>
      <c r="AS161" s="3" t="str">
        <f t="shared" si="103"/>
        <v/>
      </c>
      <c r="AT161" s="40" t="str">
        <f t="shared" si="104"/>
        <v/>
      </c>
      <c r="AU161" s="43" t="str">
        <f t="shared" si="105"/>
        <v/>
      </c>
      <c r="AX161">
        <f>HLOOKUP($AX$9&amp;$AX$10,Data!$A$1:$ZZ$1980,(MATCH($C161,Data!$A$1:$A$1980,0)),FALSE)</f>
        <v>353.7</v>
      </c>
    </row>
    <row r="162" spans="1:50">
      <c r="A162" s="59" t="str">
        <f>$D$1&amp;152</f>
        <v>UA152</v>
      </c>
      <c r="B162" s="60">
        <f>IF(ISERROR(VLOOKUP(A165,classifications!A:C,3,FALSE)),0,VLOOKUP(A165,classifications!A:C,3,FALSE))</f>
        <v>0</v>
      </c>
      <c r="C162" t="s">
        <v>234</v>
      </c>
      <c r="D162" t="str">
        <f>VLOOKUP($C162,classifications!$C:$J,4,FALSE)</f>
        <v>MD</v>
      </c>
      <c r="E162">
        <f>VLOOKUP(C162,classifications!C:K,9,FALSE)</f>
        <v>0</v>
      </c>
      <c r="F162">
        <f t="shared" si="83"/>
        <v>376</v>
      </c>
      <c r="G162" s="15"/>
      <c r="H162" s="42" t="str">
        <f t="shared" si="84"/>
        <v/>
      </c>
      <c r="I162" s="79" t="str">
        <f>IF(H162="","",IF($I$8="A",(RANK(H162,H$11:H$343,1)+COUNTIF(H$11:H162,H162)-1),(RANK(H162,H$11:H$343)+COUNTIF(H$11:H162,H162)-1)))</f>
        <v/>
      </c>
      <c r="J162" s="41"/>
      <c r="K162" s="36" t="str">
        <f t="shared" si="85"/>
        <v/>
      </c>
      <c r="L162" t="str">
        <f t="shared" si="86"/>
        <v/>
      </c>
      <c r="M162" s="117" t="str">
        <f t="shared" si="87"/>
        <v/>
      </c>
      <c r="N162" s="112" t="str">
        <f t="shared" si="88"/>
        <v/>
      </c>
      <c r="O162" s="96" t="str">
        <f t="shared" si="89"/>
        <v/>
      </c>
      <c r="P162" s="96" t="str">
        <f t="shared" si="90"/>
        <v/>
      </c>
      <c r="Q162" s="96" t="str">
        <f t="shared" si="91"/>
        <v/>
      </c>
      <c r="R162" s="92" t="str">
        <f t="shared" si="92"/>
        <v/>
      </c>
      <c r="S162" s="42" t="str">
        <f t="shared" si="93"/>
        <v/>
      </c>
      <c r="T162" s="167" t="str">
        <f>IF(L162="","",VLOOKUP(L162,classifications!C:K,9,FALSE))</f>
        <v/>
      </c>
      <c r="U162" s="168" t="str">
        <f t="shared" si="94"/>
        <v/>
      </c>
      <c r="V162" s="174" t="str">
        <f>IF(U162="","",IF($I$8="A",(RANK(U162,U$11:U$343)+COUNTIF(U$11:U162,U162)-1),(RANK(U162,U$11:U$343,1)+COUNTIF(U$11:U162,U162)-1)))</f>
        <v/>
      </c>
      <c r="W162" s="175"/>
      <c r="X162" s="5" t="str">
        <f>IF(L162="","",VLOOKUP($L162,classifications!$C:$J,6,FALSE))</f>
        <v/>
      </c>
      <c r="Y162" t="str">
        <f t="shared" si="95"/>
        <v/>
      </c>
      <c r="Z162" s="40" t="str">
        <f>IF(Y162="","",IF(I$8="A",(RANK(Y162,Y$11:Y$343,1)+COUNTIF(Y$11:Y162,Y162)-1),(RANK(Y162,Y$11:Y$343)+COUNTIF(Y$11:Y162,Y162)-1)))</f>
        <v/>
      </c>
      <c r="AA162" s="180" t="str">
        <f>IF(L162="","",VLOOKUP($L162,classifications!C:I,7,FALSE))</f>
        <v/>
      </c>
      <c r="AB162" s="174" t="str">
        <f t="shared" si="96"/>
        <v/>
      </c>
      <c r="AC162" s="174" t="str">
        <f>IF(AB162="","",IF($I$8="A",(RANK(AB162,AB$11:AB$343)+COUNTIF(AB$11:AB162,AB162)-1),(RANK(AB162,AB$11:AB$343,1)+COUNTIF(AB$11:AB162,AB162)-1)))</f>
        <v/>
      </c>
      <c r="AD162" s="174"/>
      <c r="AE162" s="36" t="str">
        <f t="shared" si="97"/>
        <v/>
      </c>
      <c r="AG162" s="15"/>
      <c r="AH162" s="3"/>
      <c r="AI162" s="5" t="str">
        <f>IF(L162="","",VLOOKUP($L162,classifications!$C:$J,8,FALSE))</f>
        <v/>
      </c>
      <c r="AJ162" s="43" t="str">
        <f t="shared" si="98"/>
        <v/>
      </c>
      <c r="AK162" s="40" t="str">
        <f>IF(AJ162="","",IF(I$8="A",(RANK(AJ162,AJ$11:AJ$343,1)+COUNTIF(AJ$11:AJ162,AJ162)-1),(RANK(AJ162,AJ$11:AJ$343)+COUNTIF(AJ$11:AJ162,AJ162)-1)))</f>
        <v/>
      </c>
      <c r="AL162" s="3" t="str">
        <f t="shared" si="99"/>
        <v/>
      </c>
      <c r="AM162" t="str">
        <f t="shared" si="100"/>
        <v/>
      </c>
      <c r="AN162" t="str">
        <f t="shared" si="101"/>
        <v/>
      </c>
      <c r="AP162" s="5" t="str">
        <f>IF(L162="","",VLOOKUP($L162,classifications!$C:$E,3,FALSE))</f>
        <v/>
      </c>
      <c r="AQ162" s="43" t="str">
        <f t="shared" si="102"/>
        <v/>
      </c>
      <c r="AR162" s="40" t="str">
        <f>IF(AQ162="","",IF(I$8="A",(RANK(AQ162,AQ$11:AQ$343,1)+COUNTIF(AQ$11:AQ162,AQ162)-1),(RANK(AQ162,AQ$11:AQ$343)+COUNTIF(AQ$11:AQ162,AQ162)-1)))</f>
        <v/>
      </c>
      <c r="AS162" s="3" t="str">
        <f t="shared" si="103"/>
        <v/>
      </c>
      <c r="AT162" s="40" t="str">
        <f t="shared" si="104"/>
        <v/>
      </c>
      <c r="AU162" s="43" t="str">
        <f t="shared" si="105"/>
        <v/>
      </c>
      <c r="AX162">
        <f>HLOOKUP($AX$9&amp;$AX$10,Data!$A$1:$ZZ$1980,(MATCH($C162,Data!$A$1:$A$1980,0)),FALSE)</f>
        <v>376</v>
      </c>
    </row>
    <row r="163" spans="1:50">
      <c r="A163" s="59" t="str">
        <f>$D$1&amp;153</f>
        <v>UA153</v>
      </c>
      <c r="B163" s="60">
        <f>IF(ISERROR(VLOOKUP(A166,classifications!A:C,3,FALSE)),0,VLOOKUP(A166,classifications!A:C,3,FALSE))</f>
        <v>0</v>
      </c>
      <c r="C163" t="s">
        <v>213</v>
      </c>
      <c r="D163" t="str">
        <f>VLOOKUP($C163,classifications!$C:$J,4,FALSE)</f>
        <v>L</v>
      </c>
      <c r="E163">
        <f>VLOOKUP(C163,classifications!C:K,9,FALSE)</f>
        <v>0</v>
      </c>
      <c r="F163">
        <f t="shared" si="83"/>
        <v>215</v>
      </c>
      <c r="G163" s="15"/>
      <c r="H163" s="42" t="str">
        <f t="shared" si="84"/>
        <v/>
      </c>
      <c r="I163" s="79" t="str">
        <f>IF(H163="","",IF($I$8="A",(RANK(H163,H$11:H$343,1)+COUNTIF(H$11:H163,H163)-1),(RANK(H163,H$11:H$343)+COUNTIF(H$11:H163,H163)-1)))</f>
        <v/>
      </c>
      <c r="J163" s="41"/>
      <c r="K163" s="36" t="str">
        <f t="shared" si="85"/>
        <v/>
      </c>
      <c r="L163" t="str">
        <f t="shared" si="86"/>
        <v/>
      </c>
      <c r="M163" s="117" t="str">
        <f t="shared" si="87"/>
        <v/>
      </c>
      <c r="N163" s="112" t="str">
        <f t="shared" si="88"/>
        <v/>
      </c>
      <c r="O163" s="96" t="str">
        <f t="shared" si="89"/>
        <v/>
      </c>
      <c r="P163" s="96" t="str">
        <f t="shared" si="90"/>
        <v/>
      </c>
      <c r="Q163" s="96" t="str">
        <f t="shared" si="91"/>
        <v/>
      </c>
      <c r="R163" s="92" t="str">
        <f t="shared" si="92"/>
        <v/>
      </c>
      <c r="S163" s="42" t="str">
        <f t="shared" si="93"/>
        <v/>
      </c>
      <c r="T163" s="167" t="str">
        <f>IF(L163="","",VLOOKUP(L163,classifications!C:K,9,FALSE))</f>
        <v/>
      </c>
      <c r="U163" s="168" t="str">
        <f t="shared" si="94"/>
        <v/>
      </c>
      <c r="V163" s="174" t="str">
        <f>IF(U163="","",IF($I$8="A",(RANK(U163,U$11:U$343)+COUNTIF(U$11:U163,U163)-1),(RANK(U163,U$11:U$343,1)+COUNTIF(U$11:U163,U163)-1)))</f>
        <v/>
      </c>
      <c r="W163" s="175"/>
      <c r="X163" s="5" t="str">
        <f>IF(L163="","",VLOOKUP($L163,classifications!$C:$J,6,FALSE))</f>
        <v/>
      </c>
      <c r="Y163" t="str">
        <f t="shared" si="95"/>
        <v/>
      </c>
      <c r="Z163" s="40" t="str">
        <f>IF(Y163="","",IF(I$8="A",(RANK(Y163,Y$11:Y$343,1)+COUNTIF(Y$11:Y163,Y163)-1),(RANK(Y163,Y$11:Y$343)+COUNTIF(Y$11:Y163,Y163)-1)))</f>
        <v/>
      </c>
      <c r="AA163" s="180" t="str">
        <f>IF(L163="","",VLOOKUP($L163,classifications!C:I,7,FALSE))</f>
        <v/>
      </c>
      <c r="AB163" s="174" t="str">
        <f t="shared" si="96"/>
        <v/>
      </c>
      <c r="AC163" s="174" t="str">
        <f>IF(AB163="","",IF($I$8="A",(RANK(AB163,AB$11:AB$343)+COUNTIF(AB$11:AB163,AB163)-1),(RANK(AB163,AB$11:AB$343,1)+COUNTIF(AB$11:AB163,AB163)-1)))</f>
        <v/>
      </c>
      <c r="AD163" s="174"/>
      <c r="AE163" s="36" t="str">
        <f t="shared" si="97"/>
        <v/>
      </c>
      <c r="AG163" s="15"/>
      <c r="AH163" s="3"/>
      <c r="AI163" s="5" t="str">
        <f>IF(L163="","",VLOOKUP($L163,classifications!$C:$J,8,FALSE))</f>
        <v/>
      </c>
      <c r="AJ163" s="43" t="str">
        <f t="shared" si="98"/>
        <v/>
      </c>
      <c r="AK163" s="40" t="str">
        <f>IF(AJ163="","",IF(I$8="A",(RANK(AJ163,AJ$11:AJ$343,1)+COUNTIF(AJ$11:AJ163,AJ163)-1),(RANK(AJ163,AJ$11:AJ$343)+COUNTIF(AJ$11:AJ163,AJ163)-1)))</f>
        <v/>
      </c>
      <c r="AL163" s="3" t="str">
        <f t="shared" si="99"/>
        <v/>
      </c>
      <c r="AM163" t="str">
        <f t="shared" si="100"/>
        <v/>
      </c>
      <c r="AN163" t="str">
        <f t="shared" si="101"/>
        <v/>
      </c>
      <c r="AP163" s="5" t="str">
        <f>IF(L163="","",VLOOKUP($L163,classifications!$C:$E,3,FALSE))</f>
        <v/>
      </c>
      <c r="AQ163" s="43" t="str">
        <f t="shared" si="102"/>
        <v/>
      </c>
      <c r="AR163" s="40" t="str">
        <f>IF(AQ163="","",IF(I$8="A",(RANK(AQ163,AQ$11:AQ$343,1)+COUNTIF(AQ$11:AQ163,AQ163)-1),(RANK(AQ163,AQ$11:AQ$343)+COUNTIF(AQ$11:AQ163,AQ163)-1)))</f>
        <v/>
      </c>
      <c r="AS163" s="3" t="str">
        <f t="shared" si="103"/>
        <v/>
      </c>
      <c r="AT163" s="40" t="str">
        <f t="shared" si="104"/>
        <v/>
      </c>
      <c r="AU163" s="43" t="str">
        <f t="shared" si="105"/>
        <v/>
      </c>
      <c r="AX163">
        <f>HLOOKUP($AX$9&amp;$AX$10,Data!$A$1:$ZZ$1980,(MATCH($C163,Data!$A$1:$A$1980,0)),FALSE)</f>
        <v>215</v>
      </c>
    </row>
    <row r="164" spans="1:50">
      <c r="A164" s="59" t="str">
        <f>$D$1&amp;154</f>
        <v>UA154</v>
      </c>
      <c r="B164" s="60">
        <f>IF(ISERROR(VLOOKUP(A167,classifications!A:C,3,FALSE)),0,VLOOKUP(A167,classifications!A:C,3,FALSE))</f>
        <v>0</v>
      </c>
      <c r="C164" t="s">
        <v>317</v>
      </c>
      <c r="D164" t="str">
        <f>VLOOKUP($C164,classifications!$C:$J,4,FALSE)</f>
        <v>SC</v>
      </c>
      <c r="E164" t="str">
        <f>VLOOKUP(C164,classifications!C:K,9,FALSE)</f>
        <v>Sparse</v>
      </c>
      <c r="F164">
        <f t="shared" si="83"/>
        <v>418.7</v>
      </c>
      <c r="G164" s="15"/>
      <c r="H164" s="42" t="str">
        <f t="shared" si="84"/>
        <v/>
      </c>
      <c r="I164" s="79" t="str">
        <f>IF(H164="","",IF($I$8="A",(RANK(H164,H$11:H$343,1)+COUNTIF(H$11:H164,H164)-1),(RANK(H164,H$11:H$343)+COUNTIF(H$11:H164,H164)-1)))</f>
        <v/>
      </c>
      <c r="J164" s="41"/>
      <c r="K164" s="36" t="str">
        <f t="shared" si="85"/>
        <v/>
      </c>
      <c r="L164" t="str">
        <f t="shared" si="86"/>
        <v/>
      </c>
      <c r="M164" s="117" t="str">
        <f t="shared" si="87"/>
        <v/>
      </c>
      <c r="N164" s="112" t="str">
        <f t="shared" si="88"/>
        <v/>
      </c>
      <c r="O164" s="96" t="str">
        <f t="shared" si="89"/>
        <v/>
      </c>
      <c r="P164" s="96" t="str">
        <f t="shared" si="90"/>
        <v/>
      </c>
      <c r="Q164" s="96" t="str">
        <f t="shared" si="91"/>
        <v/>
      </c>
      <c r="R164" s="92" t="str">
        <f t="shared" si="92"/>
        <v/>
      </c>
      <c r="S164" s="42" t="str">
        <f t="shared" si="93"/>
        <v/>
      </c>
      <c r="T164" s="167" t="str">
        <f>IF(L164="","",VLOOKUP(L164,classifications!C:K,9,FALSE))</f>
        <v/>
      </c>
      <c r="U164" s="168" t="str">
        <f t="shared" si="94"/>
        <v/>
      </c>
      <c r="V164" s="174" t="str">
        <f>IF(U164="","",IF($I$8="A",(RANK(U164,U$11:U$343)+COUNTIF(U$11:U164,U164)-1),(RANK(U164,U$11:U$343,1)+COUNTIF(U$11:U164,U164)-1)))</f>
        <v/>
      </c>
      <c r="W164" s="175"/>
      <c r="X164" s="5" t="str">
        <f>IF(L164="","",VLOOKUP($L164,classifications!$C:$J,6,FALSE))</f>
        <v/>
      </c>
      <c r="Y164" t="str">
        <f t="shared" si="95"/>
        <v/>
      </c>
      <c r="Z164" s="40" t="str">
        <f>IF(Y164="","",IF(I$8="A",(RANK(Y164,Y$11:Y$343,1)+COUNTIF(Y$11:Y164,Y164)-1),(RANK(Y164,Y$11:Y$343)+COUNTIF(Y$11:Y164,Y164)-1)))</f>
        <v/>
      </c>
      <c r="AA164" s="180" t="str">
        <f>IF(L164="","",VLOOKUP($L164,classifications!C:I,7,FALSE))</f>
        <v/>
      </c>
      <c r="AB164" s="174" t="str">
        <f t="shared" si="96"/>
        <v/>
      </c>
      <c r="AC164" s="174" t="str">
        <f>IF(AB164="","",IF($I$8="A",(RANK(AB164,AB$11:AB$343)+COUNTIF(AB$11:AB164,AB164)-1),(RANK(AB164,AB$11:AB$343,1)+COUNTIF(AB$11:AB164,AB164)-1)))</f>
        <v/>
      </c>
      <c r="AD164" s="174"/>
      <c r="AE164" s="36" t="str">
        <f t="shared" si="97"/>
        <v/>
      </c>
      <c r="AG164" s="15"/>
      <c r="AH164" s="3"/>
      <c r="AI164" s="5" t="str">
        <f>IF(L164="","",VLOOKUP($L164,classifications!$C:$J,8,FALSE))</f>
        <v/>
      </c>
      <c r="AJ164" s="43" t="str">
        <f t="shared" si="98"/>
        <v/>
      </c>
      <c r="AK164" s="40" t="str">
        <f>IF(AJ164="","",IF(I$8="A",(RANK(AJ164,AJ$11:AJ$343,1)+COUNTIF(AJ$11:AJ164,AJ164)-1),(RANK(AJ164,AJ$11:AJ$343)+COUNTIF(AJ$11:AJ164,AJ164)-1)))</f>
        <v/>
      </c>
      <c r="AL164" s="3" t="str">
        <f t="shared" si="99"/>
        <v/>
      </c>
      <c r="AM164" t="str">
        <f t="shared" si="100"/>
        <v/>
      </c>
      <c r="AN164" t="str">
        <f t="shared" si="101"/>
        <v/>
      </c>
      <c r="AP164" s="5" t="str">
        <f>IF(L164="","",VLOOKUP($L164,classifications!$C:$E,3,FALSE))</f>
        <v/>
      </c>
      <c r="AQ164" s="43" t="str">
        <f t="shared" si="102"/>
        <v/>
      </c>
      <c r="AR164" s="40" t="str">
        <f>IF(AQ164="","",IF(I$8="A",(RANK(AQ164,AQ$11:AQ$343,1)+COUNTIF(AQ$11:AQ164,AQ164)-1),(RANK(AQ164,AQ$11:AQ$343)+COUNTIF(AQ$11:AQ164,AQ164)-1)))</f>
        <v/>
      </c>
      <c r="AS164" s="3" t="str">
        <f t="shared" si="103"/>
        <v/>
      </c>
      <c r="AT164" s="40" t="str">
        <f t="shared" si="104"/>
        <v/>
      </c>
      <c r="AU164" s="43" t="str">
        <f t="shared" si="105"/>
        <v/>
      </c>
      <c r="AX164">
        <f>HLOOKUP($AX$9&amp;$AX$10,Data!$A$1:$ZZ$1980,(MATCH($C164,Data!$A$1:$A$1980,0)),FALSE)</f>
        <v>418.7</v>
      </c>
    </row>
    <row r="165" spans="1:50">
      <c r="A165" s="59" t="str">
        <f>$D$1&amp;155</f>
        <v>UA155</v>
      </c>
      <c r="B165" s="60">
        <f>IF(ISERROR(VLOOKUP(A168,classifications!A:C,3,FALSE)),0,VLOOKUP(A168,classifications!A:C,3,FALSE))</f>
        <v>0</v>
      </c>
      <c r="C165" t="s">
        <v>92</v>
      </c>
      <c r="D165" t="str">
        <f>VLOOKUP($C165,classifications!$C:$J,4,FALSE)</f>
        <v>SD</v>
      </c>
      <c r="E165">
        <f>VLOOKUP(C165,classifications!C:K,9,FALSE)</f>
        <v>0</v>
      </c>
      <c r="F165">
        <f t="shared" si="83"/>
        <v>351.1</v>
      </c>
      <c r="G165" s="15"/>
      <c r="H165" s="42" t="str">
        <f t="shared" si="84"/>
        <v/>
      </c>
      <c r="I165" s="79" t="str">
        <f>IF(H165="","",IF($I$8="A",(RANK(H165,H$11:H$343,1)+COUNTIF(H$11:H165,H165)-1),(RANK(H165,H$11:H$343)+COUNTIF(H$11:H165,H165)-1)))</f>
        <v/>
      </c>
      <c r="J165" s="41"/>
      <c r="K165" s="36" t="str">
        <f t="shared" si="85"/>
        <v/>
      </c>
      <c r="L165" t="str">
        <f t="shared" si="86"/>
        <v/>
      </c>
      <c r="M165" s="117" t="str">
        <f t="shared" si="87"/>
        <v/>
      </c>
      <c r="N165" s="112" t="str">
        <f t="shared" si="88"/>
        <v/>
      </c>
      <c r="O165" s="96" t="str">
        <f t="shared" si="89"/>
        <v/>
      </c>
      <c r="P165" s="96" t="str">
        <f t="shared" si="90"/>
        <v/>
      </c>
      <c r="Q165" s="96" t="str">
        <f t="shared" si="91"/>
        <v/>
      </c>
      <c r="R165" s="92" t="str">
        <f t="shared" si="92"/>
        <v/>
      </c>
      <c r="S165" s="42" t="str">
        <f t="shared" si="93"/>
        <v/>
      </c>
      <c r="T165" s="167" t="str">
        <f>IF(L165="","",VLOOKUP(L165,classifications!C:K,9,FALSE))</f>
        <v/>
      </c>
      <c r="U165" s="168" t="str">
        <f t="shared" si="94"/>
        <v/>
      </c>
      <c r="V165" s="174" t="str">
        <f>IF(U165="","",IF($I$8="A",(RANK(U165,U$11:U$343)+COUNTIF(U$11:U165,U165)-1),(RANK(U165,U$11:U$343,1)+COUNTIF(U$11:U165,U165)-1)))</f>
        <v/>
      </c>
      <c r="W165" s="175"/>
      <c r="X165" s="5" t="str">
        <f>IF(L165="","",VLOOKUP($L165,classifications!$C:$J,6,FALSE))</f>
        <v/>
      </c>
      <c r="Y165" t="str">
        <f t="shared" si="95"/>
        <v/>
      </c>
      <c r="Z165" s="40" t="str">
        <f>IF(Y165="","",IF(I$8="A",(RANK(Y165,Y$11:Y$343,1)+COUNTIF(Y$11:Y165,Y165)-1),(RANK(Y165,Y$11:Y$343)+COUNTIF(Y$11:Y165,Y165)-1)))</f>
        <v/>
      </c>
      <c r="AA165" s="180" t="str">
        <f>IF(L165="","",VLOOKUP($L165,classifications!C:I,7,FALSE))</f>
        <v/>
      </c>
      <c r="AB165" s="174" t="str">
        <f t="shared" si="96"/>
        <v/>
      </c>
      <c r="AC165" s="174" t="str">
        <f>IF(AB165="","",IF($I$8="A",(RANK(AB165,AB$11:AB$343)+COUNTIF(AB$11:AB165,AB165)-1),(RANK(AB165,AB$11:AB$343,1)+COUNTIF(AB$11:AB165,AB165)-1)))</f>
        <v/>
      </c>
      <c r="AD165" s="174"/>
      <c r="AE165" s="36" t="str">
        <f t="shared" si="97"/>
        <v/>
      </c>
      <c r="AG165" s="15"/>
      <c r="AH165" s="3"/>
      <c r="AI165" s="5" t="str">
        <f>IF(L165="","",VLOOKUP($L165,classifications!$C:$J,8,FALSE))</f>
        <v/>
      </c>
      <c r="AJ165" s="43" t="str">
        <f t="shared" si="98"/>
        <v/>
      </c>
      <c r="AK165" s="40" t="str">
        <f>IF(AJ165="","",IF(I$8="A",(RANK(AJ165,AJ$11:AJ$343,1)+COUNTIF(AJ$11:AJ165,AJ165)-1),(RANK(AJ165,AJ$11:AJ$343)+COUNTIF(AJ$11:AJ165,AJ165)-1)))</f>
        <v/>
      </c>
      <c r="AL165" s="3" t="str">
        <f t="shared" si="99"/>
        <v/>
      </c>
      <c r="AM165" t="str">
        <f t="shared" si="100"/>
        <v/>
      </c>
      <c r="AN165" t="str">
        <f t="shared" si="101"/>
        <v/>
      </c>
      <c r="AP165" s="5" t="str">
        <f>IF(L165="","",VLOOKUP($L165,classifications!$C:$E,3,FALSE))</f>
        <v/>
      </c>
      <c r="AQ165" s="43" t="str">
        <f t="shared" si="102"/>
        <v/>
      </c>
      <c r="AR165" s="40" t="str">
        <f>IF(AQ165="","",IF(I$8="A",(RANK(AQ165,AQ$11:AQ$343,1)+COUNTIF(AQ$11:AQ165,AQ165)-1),(RANK(AQ165,AQ$11:AQ$343)+COUNTIF(AQ$11:AQ165,AQ165)-1)))</f>
        <v/>
      </c>
      <c r="AS165" s="3" t="str">
        <f t="shared" si="103"/>
        <v/>
      </c>
      <c r="AT165" s="40" t="str">
        <f t="shared" si="104"/>
        <v/>
      </c>
      <c r="AU165" s="43" t="str">
        <f t="shared" si="105"/>
        <v/>
      </c>
      <c r="AX165">
        <f>HLOOKUP($AX$9&amp;$AX$10,Data!$A$1:$ZZ$1980,(MATCH($C165,Data!$A$1:$A$1980,0)),FALSE)</f>
        <v>351.1</v>
      </c>
    </row>
    <row r="166" spans="1:50">
      <c r="A166" s="59" t="str">
        <f>$D$1&amp;156</f>
        <v>UA156</v>
      </c>
      <c r="B166" s="60">
        <f>IF(ISERROR(VLOOKUP(A169,classifications!A:C,3,FALSE)),0,VLOOKUP(A169,classifications!A:C,3,FALSE))</f>
        <v>0</v>
      </c>
      <c r="C166" t="s">
        <v>235</v>
      </c>
      <c r="D166" t="str">
        <f>VLOOKUP($C166,classifications!$C:$J,4,FALSE)</f>
        <v>MD</v>
      </c>
      <c r="E166">
        <f>VLOOKUP(C166,classifications!C:K,9,FALSE)</f>
        <v>0</v>
      </c>
      <c r="F166">
        <f t="shared" si="83"/>
        <v>361</v>
      </c>
      <c r="G166" s="15"/>
      <c r="H166" s="42" t="str">
        <f t="shared" si="84"/>
        <v/>
      </c>
      <c r="I166" s="79" t="str">
        <f>IF(H166="","",IF($I$8="A",(RANK(H166,H$11:H$343,1)+COUNTIF(H$11:H166,H166)-1),(RANK(H166,H$11:H$343)+COUNTIF(H$11:H166,H166)-1)))</f>
        <v/>
      </c>
      <c r="J166" s="41"/>
      <c r="K166" s="36" t="str">
        <f t="shared" si="85"/>
        <v/>
      </c>
      <c r="L166" t="str">
        <f t="shared" si="86"/>
        <v/>
      </c>
      <c r="M166" s="117" t="str">
        <f t="shared" si="87"/>
        <v/>
      </c>
      <c r="N166" s="112" t="str">
        <f t="shared" si="88"/>
        <v/>
      </c>
      <c r="O166" s="96" t="str">
        <f t="shared" si="89"/>
        <v/>
      </c>
      <c r="P166" s="96" t="str">
        <f t="shared" si="90"/>
        <v/>
      </c>
      <c r="Q166" s="96" t="str">
        <f t="shared" si="91"/>
        <v/>
      </c>
      <c r="R166" s="92" t="str">
        <f t="shared" si="92"/>
        <v/>
      </c>
      <c r="S166" s="42" t="str">
        <f t="shared" si="93"/>
        <v/>
      </c>
      <c r="T166" s="167" t="str">
        <f>IF(L166="","",VLOOKUP(L166,classifications!C:K,9,FALSE))</f>
        <v/>
      </c>
      <c r="U166" s="168" t="str">
        <f t="shared" si="94"/>
        <v/>
      </c>
      <c r="V166" s="174" t="str">
        <f>IF(U166="","",IF($I$8="A",(RANK(U166,U$11:U$343)+COUNTIF(U$11:U166,U166)-1),(RANK(U166,U$11:U$343,1)+COUNTIF(U$11:U166,U166)-1)))</f>
        <v/>
      </c>
      <c r="W166" s="175"/>
      <c r="X166" s="5" t="str">
        <f>IF(L166="","",VLOOKUP($L166,classifications!$C:$J,6,FALSE))</f>
        <v/>
      </c>
      <c r="Y166" t="str">
        <f t="shared" si="95"/>
        <v/>
      </c>
      <c r="Z166" s="40" t="str">
        <f>IF(Y166="","",IF(I$8="A",(RANK(Y166,Y$11:Y$343,1)+COUNTIF(Y$11:Y166,Y166)-1),(RANK(Y166,Y$11:Y$343)+COUNTIF(Y$11:Y166,Y166)-1)))</f>
        <v/>
      </c>
      <c r="AA166" s="180" t="str">
        <f>IF(L166="","",VLOOKUP($L166,classifications!C:I,7,FALSE))</f>
        <v/>
      </c>
      <c r="AB166" s="174" t="str">
        <f t="shared" si="96"/>
        <v/>
      </c>
      <c r="AC166" s="174" t="str">
        <f>IF(AB166="","",IF($I$8="A",(RANK(AB166,AB$11:AB$343)+COUNTIF(AB$11:AB166,AB166)-1),(RANK(AB166,AB$11:AB$343,1)+COUNTIF(AB$11:AB166,AB166)-1)))</f>
        <v/>
      </c>
      <c r="AD166" s="174"/>
      <c r="AE166" s="36" t="str">
        <f t="shared" si="97"/>
        <v/>
      </c>
      <c r="AG166" s="15"/>
      <c r="AH166" s="3"/>
      <c r="AI166" s="5" t="str">
        <f>IF(L166="","",VLOOKUP($L166,classifications!$C:$J,8,FALSE))</f>
        <v/>
      </c>
      <c r="AJ166" s="43" t="str">
        <f t="shared" si="98"/>
        <v/>
      </c>
      <c r="AK166" s="40" t="str">
        <f>IF(AJ166="","",IF(I$8="A",(RANK(AJ166,AJ$11:AJ$343,1)+COUNTIF(AJ$11:AJ166,AJ166)-1),(RANK(AJ166,AJ$11:AJ$343)+COUNTIF(AJ$11:AJ166,AJ166)-1)))</f>
        <v/>
      </c>
      <c r="AL166" s="3" t="str">
        <f t="shared" si="99"/>
        <v/>
      </c>
      <c r="AM166" t="str">
        <f t="shared" si="100"/>
        <v/>
      </c>
      <c r="AN166" t="str">
        <f t="shared" si="101"/>
        <v/>
      </c>
      <c r="AP166" s="5" t="str">
        <f>IF(L166="","",VLOOKUP($L166,classifications!$C:$E,3,FALSE))</f>
        <v/>
      </c>
      <c r="AQ166" s="43" t="str">
        <f t="shared" si="102"/>
        <v/>
      </c>
      <c r="AR166" s="40" t="str">
        <f>IF(AQ166="","",IF(I$8="A",(RANK(AQ166,AQ$11:AQ$343,1)+COUNTIF(AQ$11:AQ166,AQ166)-1),(RANK(AQ166,AQ$11:AQ$343)+COUNTIF(AQ$11:AQ166,AQ166)-1)))</f>
        <v/>
      </c>
      <c r="AS166" s="3" t="str">
        <f t="shared" si="103"/>
        <v/>
      </c>
      <c r="AT166" s="40" t="str">
        <f t="shared" si="104"/>
        <v/>
      </c>
      <c r="AU166" s="43" t="str">
        <f t="shared" si="105"/>
        <v/>
      </c>
      <c r="AX166">
        <f>HLOOKUP($AX$9&amp;$AX$10,Data!$A$1:$ZZ$1980,(MATCH($C166,Data!$A$1:$A$1980,0)),FALSE)</f>
        <v>361</v>
      </c>
    </row>
    <row r="167" spans="1:50">
      <c r="A167" s="59" t="str">
        <f>$D$1&amp;157</f>
        <v>UA157</v>
      </c>
      <c r="B167" s="60">
        <f>IF(ISERROR(VLOOKUP(A170,classifications!A:C,3,FALSE)),0,VLOOKUP(A170,classifications!A:C,3,FALSE))</f>
        <v>0</v>
      </c>
      <c r="C167" t="s">
        <v>272</v>
      </c>
      <c r="D167" t="str">
        <f>VLOOKUP($C167,classifications!$C:$J,4,FALSE)</f>
        <v>UA</v>
      </c>
      <c r="E167">
        <f>VLOOKUP(C167,classifications!C:K,9,FALSE)</f>
        <v>0</v>
      </c>
      <c r="F167">
        <f t="shared" si="83"/>
        <v>329.6</v>
      </c>
      <c r="G167" s="15"/>
      <c r="H167" s="42">
        <f t="shared" si="84"/>
        <v>329.6</v>
      </c>
      <c r="I167" s="79">
        <f>IF(H167="","",IF($I$8="A",(RANK(H167,H$11:H$343,1)+COUNTIF(H$11:H167,H167)-1),(RANK(H167,H$11:H$343)+COUNTIF(H$11:H167,H167)-1)))</f>
        <v>5</v>
      </c>
      <c r="J167" s="41"/>
      <c r="K167" s="36" t="str">
        <f t="shared" si="85"/>
        <v/>
      </c>
      <c r="L167" t="str">
        <f t="shared" si="86"/>
        <v/>
      </c>
      <c r="M167" s="117" t="str">
        <f t="shared" si="87"/>
        <v/>
      </c>
      <c r="N167" s="112" t="str">
        <f t="shared" si="88"/>
        <v/>
      </c>
      <c r="O167" s="96" t="str">
        <f t="shared" si="89"/>
        <v/>
      </c>
      <c r="P167" s="96" t="str">
        <f t="shared" si="90"/>
        <v/>
      </c>
      <c r="Q167" s="96" t="str">
        <f t="shared" si="91"/>
        <v/>
      </c>
      <c r="R167" s="92" t="str">
        <f t="shared" si="92"/>
        <v/>
      </c>
      <c r="S167" s="42" t="str">
        <f t="shared" si="93"/>
        <v/>
      </c>
      <c r="T167" s="167" t="str">
        <f>IF(L167="","",VLOOKUP(L167,classifications!C:K,9,FALSE))</f>
        <v/>
      </c>
      <c r="U167" s="168" t="str">
        <f t="shared" si="94"/>
        <v/>
      </c>
      <c r="V167" s="174" t="str">
        <f>IF(U167="","",IF($I$8="A",(RANK(U167,U$11:U$343)+COUNTIF(U$11:U167,U167)-1),(RANK(U167,U$11:U$343,1)+COUNTIF(U$11:U167,U167)-1)))</f>
        <v/>
      </c>
      <c r="W167" s="175"/>
      <c r="X167" s="5" t="str">
        <f>IF(L167="","",VLOOKUP($L167,classifications!$C:$J,6,FALSE))</f>
        <v/>
      </c>
      <c r="Y167" t="str">
        <f t="shared" si="95"/>
        <v/>
      </c>
      <c r="Z167" s="40" t="str">
        <f>IF(Y167="","",IF(I$8="A",(RANK(Y167,Y$11:Y$343,1)+COUNTIF(Y$11:Y167,Y167)-1),(RANK(Y167,Y$11:Y$343)+COUNTIF(Y$11:Y167,Y167)-1)))</f>
        <v/>
      </c>
      <c r="AA167" s="180" t="str">
        <f>IF(L167="","",VLOOKUP($L167,classifications!C:I,7,FALSE))</f>
        <v/>
      </c>
      <c r="AB167" s="174" t="str">
        <f t="shared" si="96"/>
        <v/>
      </c>
      <c r="AC167" s="174" t="str">
        <f>IF(AB167="","",IF($I$8="A",(RANK(AB167,AB$11:AB$343)+COUNTIF(AB$11:AB167,AB167)-1),(RANK(AB167,AB$11:AB$343,1)+COUNTIF(AB$11:AB167,AB167)-1)))</f>
        <v/>
      </c>
      <c r="AD167" s="174"/>
      <c r="AE167" s="36" t="str">
        <f t="shared" si="97"/>
        <v/>
      </c>
      <c r="AG167" s="15"/>
      <c r="AH167" s="3"/>
      <c r="AI167" s="5" t="str">
        <f>IF(L167="","",VLOOKUP($L167,classifications!$C:$J,8,FALSE))</f>
        <v/>
      </c>
      <c r="AJ167" s="43" t="str">
        <f t="shared" si="98"/>
        <v/>
      </c>
      <c r="AK167" s="40" t="str">
        <f>IF(AJ167="","",IF(I$8="A",(RANK(AJ167,AJ$11:AJ$343,1)+COUNTIF(AJ$11:AJ167,AJ167)-1),(RANK(AJ167,AJ$11:AJ$343)+COUNTIF(AJ$11:AJ167,AJ167)-1)))</f>
        <v/>
      </c>
      <c r="AL167" s="3" t="str">
        <f t="shared" si="99"/>
        <v/>
      </c>
      <c r="AM167" t="str">
        <f t="shared" si="100"/>
        <v/>
      </c>
      <c r="AN167" t="str">
        <f t="shared" si="101"/>
        <v/>
      </c>
      <c r="AP167" s="5" t="str">
        <f>IF(L167="","",VLOOKUP($L167,classifications!$C:$E,3,FALSE))</f>
        <v/>
      </c>
      <c r="AQ167" s="43" t="str">
        <f t="shared" si="102"/>
        <v/>
      </c>
      <c r="AR167" s="40" t="str">
        <f>IF(AQ167="","",IF(I$8="A",(RANK(AQ167,AQ$11:AQ$343,1)+COUNTIF(AQ$11:AQ167,AQ167)-1),(RANK(AQ167,AQ$11:AQ$343)+COUNTIF(AQ$11:AQ167,AQ167)-1)))</f>
        <v/>
      </c>
      <c r="AS167" s="3" t="str">
        <f t="shared" si="103"/>
        <v/>
      </c>
      <c r="AT167" s="40" t="str">
        <f t="shared" si="104"/>
        <v/>
      </c>
      <c r="AU167" s="43" t="str">
        <f t="shared" si="105"/>
        <v/>
      </c>
      <c r="AX167">
        <f>HLOOKUP($AX$9&amp;$AX$10,Data!$A$1:$ZZ$1980,(MATCH($C167,Data!$A$1:$A$1980,0)),FALSE)</f>
        <v>329.6</v>
      </c>
    </row>
    <row r="168" spans="1:50">
      <c r="A168" s="59" t="str">
        <f>$D$1&amp;158</f>
        <v>UA158</v>
      </c>
      <c r="B168" s="60">
        <f>IF(ISERROR(VLOOKUP(A171,classifications!A:C,3,FALSE)),0,VLOOKUP(A171,classifications!A:C,3,FALSE))</f>
        <v>0</v>
      </c>
      <c r="C168" t="s">
        <v>318</v>
      </c>
      <c r="D168" t="str">
        <f>VLOOKUP($C168,classifications!$C:$J,4,FALSE)</f>
        <v>SC</v>
      </c>
      <c r="E168">
        <f>VLOOKUP(C168,classifications!C:K,9,FALSE)</f>
        <v>0</v>
      </c>
      <c r="F168">
        <f t="shared" si="83"/>
        <v>402.7</v>
      </c>
      <c r="G168" s="15"/>
      <c r="H168" s="42" t="str">
        <f t="shared" si="84"/>
        <v/>
      </c>
      <c r="I168" s="79" t="str">
        <f>IF(H168="","",IF($I$8="A",(RANK(H168,H$11:H$343,1)+COUNTIF(H$11:H168,H168)-1),(RANK(H168,H$11:H$343)+COUNTIF(H$11:H168,H168)-1)))</f>
        <v/>
      </c>
      <c r="J168" s="41"/>
      <c r="K168" s="36" t="str">
        <f t="shared" si="85"/>
        <v/>
      </c>
      <c r="L168" t="str">
        <f t="shared" si="86"/>
        <v/>
      </c>
      <c r="M168" s="117" t="str">
        <f t="shared" si="87"/>
        <v/>
      </c>
      <c r="N168" s="112" t="str">
        <f t="shared" si="88"/>
        <v/>
      </c>
      <c r="O168" s="96" t="str">
        <f t="shared" si="89"/>
        <v/>
      </c>
      <c r="P168" s="96" t="str">
        <f t="shared" si="90"/>
        <v/>
      </c>
      <c r="Q168" s="96" t="str">
        <f t="shared" si="91"/>
        <v/>
      </c>
      <c r="R168" s="92" t="str">
        <f t="shared" si="92"/>
        <v/>
      </c>
      <c r="S168" s="42" t="str">
        <f t="shared" si="93"/>
        <v/>
      </c>
      <c r="T168" s="167" t="str">
        <f>IF(L168="","",VLOOKUP(L168,classifications!C:K,9,FALSE))</f>
        <v/>
      </c>
      <c r="U168" s="168" t="str">
        <f t="shared" si="94"/>
        <v/>
      </c>
      <c r="V168" s="174" t="str">
        <f>IF(U168="","",IF($I$8="A",(RANK(U168,U$11:U$343)+COUNTIF(U$11:U168,U168)-1),(RANK(U168,U$11:U$343,1)+COUNTIF(U$11:U168,U168)-1)))</f>
        <v/>
      </c>
      <c r="W168" s="175"/>
      <c r="X168" s="5" t="str">
        <f>IF(L168="","",VLOOKUP($L168,classifications!$C:$J,6,FALSE))</f>
        <v/>
      </c>
      <c r="Y168" t="str">
        <f t="shared" si="95"/>
        <v/>
      </c>
      <c r="Z168" s="40" t="str">
        <f>IF(Y168="","",IF(I$8="A",(RANK(Y168,Y$11:Y$343,1)+COUNTIF(Y$11:Y168,Y168)-1),(RANK(Y168,Y$11:Y$343)+COUNTIF(Y$11:Y168,Y168)-1)))</f>
        <v/>
      </c>
      <c r="AA168" s="180" t="str">
        <f>IF(L168="","",VLOOKUP($L168,classifications!C:I,7,FALSE))</f>
        <v/>
      </c>
      <c r="AB168" s="174" t="str">
        <f t="shared" si="96"/>
        <v/>
      </c>
      <c r="AC168" s="174" t="str">
        <f>IF(AB168="","",IF($I$8="A",(RANK(AB168,AB$11:AB$343)+COUNTIF(AB$11:AB168,AB168)-1),(RANK(AB168,AB$11:AB$343,1)+COUNTIF(AB$11:AB168,AB168)-1)))</f>
        <v/>
      </c>
      <c r="AD168" s="174"/>
      <c r="AE168" s="36" t="str">
        <f t="shared" si="97"/>
        <v/>
      </c>
      <c r="AG168" s="15"/>
      <c r="AH168" s="3"/>
      <c r="AI168" s="5" t="str">
        <f>IF(L168="","",VLOOKUP($L168,classifications!$C:$J,8,FALSE))</f>
        <v/>
      </c>
      <c r="AJ168" s="43" t="str">
        <f t="shared" si="98"/>
        <v/>
      </c>
      <c r="AK168" s="40" t="str">
        <f>IF(AJ168="","",IF(I$8="A",(RANK(AJ168,AJ$11:AJ$343,1)+COUNTIF(AJ$11:AJ168,AJ168)-1),(RANK(AJ168,AJ$11:AJ$343)+COUNTIF(AJ$11:AJ168,AJ168)-1)))</f>
        <v/>
      </c>
      <c r="AL168" s="3" t="str">
        <f t="shared" si="99"/>
        <v/>
      </c>
      <c r="AM168" t="str">
        <f t="shared" si="100"/>
        <v/>
      </c>
      <c r="AN168" t="str">
        <f t="shared" si="101"/>
        <v/>
      </c>
      <c r="AP168" s="5" t="str">
        <f>IF(L168="","",VLOOKUP($L168,classifications!$C:$E,3,FALSE))</f>
        <v/>
      </c>
      <c r="AQ168" s="43" t="str">
        <f t="shared" si="102"/>
        <v/>
      </c>
      <c r="AR168" s="40" t="str">
        <f>IF(AQ168="","",IF(I$8="A",(RANK(AQ168,AQ$11:AQ$343,1)+COUNTIF(AQ$11:AQ168,AQ168)-1),(RANK(AQ168,AQ$11:AQ$343)+COUNTIF(AQ$11:AQ168,AQ168)-1)))</f>
        <v/>
      </c>
      <c r="AS168" s="3" t="str">
        <f t="shared" si="103"/>
        <v/>
      </c>
      <c r="AT168" s="40" t="str">
        <f t="shared" si="104"/>
        <v/>
      </c>
      <c r="AU168" s="43" t="str">
        <f t="shared" si="105"/>
        <v/>
      </c>
      <c r="AX168">
        <f>HLOOKUP($AX$9&amp;$AX$10,Data!$A$1:$ZZ$1980,(MATCH($C168,Data!$A$1:$A$1980,0)),FALSE)</f>
        <v>402.7</v>
      </c>
    </row>
    <row r="169" spans="1:50">
      <c r="A169" s="59" t="str">
        <f>$D$1&amp;159</f>
        <v>UA159</v>
      </c>
      <c r="B169" s="60">
        <f>IF(ISERROR(VLOOKUP(A172,classifications!A:C,3,FALSE)),0,VLOOKUP(A172,classifications!A:C,3,FALSE))</f>
        <v>0</v>
      </c>
      <c r="C169" t="s">
        <v>93</v>
      </c>
      <c r="D169" t="str">
        <f>VLOOKUP($C169,classifications!$C:$J,4,FALSE)</f>
        <v>SD</v>
      </c>
      <c r="E169" t="str">
        <f>VLOOKUP(C169,classifications!C:K,9,FALSE)</f>
        <v>Sparse</v>
      </c>
      <c r="F169">
        <f t="shared" si="83"/>
        <v>330.9</v>
      </c>
      <c r="G169" s="15"/>
      <c r="H169" s="42" t="str">
        <f t="shared" si="84"/>
        <v/>
      </c>
      <c r="I169" s="79" t="str">
        <f>IF(H169="","",IF($I$8="A",(RANK(H169,H$11:H$343,1)+COUNTIF(H$11:H169,H169)-1),(RANK(H169,H$11:H$343)+COUNTIF(H$11:H169,H169)-1)))</f>
        <v/>
      </c>
      <c r="J169" s="41"/>
      <c r="K169" s="36" t="str">
        <f t="shared" si="85"/>
        <v/>
      </c>
      <c r="L169" t="str">
        <f t="shared" si="86"/>
        <v/>
      </c>
      <c r="M169" s="117" t="str">
        <f t="shared" si="87"/>
        <v/>
      </c>
      <c r="N169" s="112" t="str">
        <f t="shared" si="88"/>
        <v/>
      </c>
      <c r="O169" s="96" t="str">
        <f t="shared" si="89"/>
        <v/>
      </c>
      <c r="P169" s="96" t="str">
        <f t="shared" si="90"/>
        <v/>
      </c>
      <c r="Q169" s="96" t="str">
        <f t="shared" si="91"/>
        <v/>
      </c>
      <c r="R169" s="92" t="str">
        <f t="shared" si="92"/>
        <v/>
      </c>
      <c r="S169" s="42" t="str">
        <f t="shared" si="93"/>
        <v/>
      </c>
      <c r="T169" s="167" t="str">
        <f>IF(L169="","",VLOOKUP(L169,classifications!C:K,9,FALSE))</f>
        <v/>
      </c>
      <c r="U169" s="168" t="str">
        <f t="shared" si="94"/>
        <v/>
      </c>
      <c r="V169" s="174" t="str">
        <f>IF(U169="","",IF($I$8="A",(RANK(U169,U$11:U$343)+COUNTIF(U$11:U169,U169)-1),(RANK(U169,U$11:U$343,1)+COUNTIF(U$11:U169,U169)-1)))</f>
        <v/>
      </c>
      <c r="W169" s="175"/>
      <c r="X169" s="5" t="str">
        <f>IF(L169="","",VLOOKUP($L169,classifications!$C:$J,6,FALSE))</f>
        <v/>
      </c>
      <c r="Y169" t="str">
        <f t="shared" si="95"/>
        <v/>
      </c>
      <c r="Z169" s="40" t="str">
        <f>IF(Y169="","",IF(I$8="A",(RANK(Y169,Y$11:Y$343,1)+COUNTIF(Y$11:Y169,Y169)-1),(RANK(Y169,Y$11:Y$343)+COUNTIF(Y$11:Y169,Y169)-1)))</f>
        <v/>
      </c>
      <c r="AA169" s="180" t="str">
        <f>IF(L169="","",VLOOKUP($L169,classifications!C:I,7,FALSE))</f>
        <v/>
      </c>
      <c r="AB169" s="174" t="str">
        <f t="shared" si="96"/>
        <v/>
      </c>
      <c r="AC169" s="174" t="str">
        <f>IF(AB169="","",IF($I$8="A",(RANK(AB169,AB$11:AB$343)+COUNTIF(AB$11:AB169,AB169)-1),(RANK(AB169,AB$11:AB$343,1)+COUNTIF(AB$11:AB169,AB169)-1)))</f>
        <v/>
      </c>
      <c r="AD169" s="174"/>
      <c r="AE169" s="36" t="str">
        <f t="shared" si="97"/>
        <v/>
      </c>
      <c r="AG169" s="15"/>
      <c r="AH169" s="3"/>
      <c r="AI169" s="5" t="str">
        <f>IF(L169="","",VLOOKUP($L169,classifications!$C:$J,8,FALSE))</f>
        <v/>
      </c>
      <c r="AJ169" s="43" t="str">
        <f t="shared" si="98"/>
        <v/>
      </c>
      <c r="AK169" s="40" t="str">
        <f>IF(AJ169="","",IF(I$8="A",(RANK(AJ169,AJ$11:AJ$343,1)+COUNTIF(AJ$11:AJ169,AJ169)-1),(RANK(AJ169,AJ$11:AJ$343)+COUNTIF(AJ$11:AJ169,AJ169)-1)))</f>
        <v/>
      </c>
      <c r="AL169" s="3" t="str">
        <f t="shared" si="99"/>
        <v/>
      </c>
      <c r="AM169" t="str">
        <f t="shared" si="100"/>
        <v/>
      </c>
      <c r="AN169" t="str">
        <f t="shared" si="101"/>
        <v/>
      </c>
      <c r="AP169" s="5" t="str">
        <f>IF(L169="","",VLOOKUP($L169,classifications!$C:$E,3,FALSE))</f>
        <v/>
      </c>
      <c r="AQ169" s="43" t="str">
        <f t="shared" si="102"/>
        <v/>
      </c>
      <c r="AR169" s="40" t="str">
        <f>IF(AQ169="","",IF(I$8="A",(RANK(AQ169,AQ$11:AQ$343,1)+COUNTIF(AQ$11:AQ169,AQ169)-1),(RANK(AQ169,AQ$11:AQ$343)+COUNTIF(AQ$11:AQ169,AQ169)-1)))</f>
        <v/>
      </c>
      <c r="AS169" s="3" t="str">
        <f t="shared" si="103"/>
        <v/>
      </c>
      <c r="AT169" s="40" t="str">
        <f t="shared" si="104"/>
        <v/>
      </c>
      <c r="AU169" s="43" t="str">
        <f t="shared" si="105"/>
        <v/>
      </c>
      <c r="AX169">
        <f>HLOOKUP($AX$9&amp;$AX$10,Data!$A$1:$ZZ$1980,(MATCH($C169,Data!$A$1:$A$1980,0)),FALSE)</f>
        <v>330.9</v>
      </c>
    </row>
    <row r="170" spans="1:50">
      <c r="A170" s="59" t="str">
        <f>$D$1&amp;160</f>
        <v>UA160</v>
      </c>
      <c r="B170" s="60">
        <f>IF(ISERROR(VLOOKUP(A173,classifications!A:C,3,FALSE)),0,VLOOKUP(A173,classifications!A:C,3,FALSE))</f>
        <v>0</v>
      </c>
      <c r="C170" t="s">
        <v>214</v>
      </c>
      <c r="D170" t="str">
        <f>VLOOKUP($C170,classifications!$C:$J,4,FALSE)</f>
        <v>L</v>
      </c>
      <c r="E170">
        <f>VLOOKUP(C170,classifications!C:K,9,FALSE)</f>
        <v>0</v>
      </c>
      <c r="F170">
        <f t="shared" si="83"/>
        <v>291.3</v>
      </c>
      <c r="G170" s="15"/>
      <c r="H170" s="42" t="str">
        <f t="shared" si="84"/>
        <v/>
      </c>
      <c r="I170" s="79" t="str">
        <f>IF(H170="","",IF($I$8="A",(RANK(H170,H$11:H$343,1)+COUNTIF(H$11:H170,H170)-1),(RANK(H170,H$11:H$343)+COUNTIF(H$11:H170,H170)-1)))</f>
        <v/>
      </c>
      <c r="J170" s="41"/>
      <c r="K170" s="36" t="str">
        <f t="shared" si="85"/>
        <v/>
      </c>
      <c r="L170" t="str">
        <f t="shared" si="86"/>
        <v/>
      </c>
      <c r="M170" s="117" t="str">
        <f t="shared" si="87"/>
        <v/>
      </c>
      <c r="N170" s="112" t="str">
        <f t="shared" si="88"/>
        <v/>
      </c>
      <c r="O170" s="96" t="str">
        <f t="shared" si="89"/>
        <v/>
      </c>
      <c r="P170" s="96" t="str">
        <f t="shared" si="90"/>
        <v/>
      </c>
      <c r="Q170" s="96" t="str">
        <f t="shared" si="91"/>
        <v/>
      </c>
      <c r="R170" s="92" t="str">
        <f t="shared" si="92"/>
        <v/>
      </c>
      <c r="S170" s="42" t="str">
        <f t="shared" si="93"/>
        <v/>
      </c>
      <c r="T170" s="167" t="str">
        <f>IF(L170="","",VLOOKUP(L170,classifications!C:K,9,FALSE))</f>
        <v/>
      </c>
      <c r="U170" s="168" t="str">
        <f t="shared" si="94"/>
        <v/>
      </c>
      <c r="V170" s="174" t="str">
        <f>IF(U170="","",IF($I$8="A",(RANK(U170,U$11:U$343)+COUNTIF(U$11:U170,U170)-1),(RANK(U170,U$11:U$343,1)+COUNTIF(U$11:U170,U170)-1)))</f>
        <v/>
      </c>
      <c r="W170" s="175"/>
      <c r="X170" s="5" t="str">
        <f>IF(L170="","",VLOOKUP($L170,classifications!$C:$J,6,FALSE))</f>
        <v/>
      </c>
      <c r="Y170" t="str">
        <f t="shared" si="95"/>
        <v/>
      </c>
      <c r="Z170" s="40" t="str">
        <f>IF(Y170="","",IF(I$8="A",(RANK(Y170,Y$11:Y$343,1)+COUNTIF(Y$11:Y170,Y170)-1),(RANK(Y170,Y$11:Y$343)+COUNTIF(Y$11:Y170,Y170)-1)))</f>
        <v/>
      </c>
      <c r="AA170" s="180" t="str">
        <f>IF(L170="","",VLOOKUP($L170,classifications!C:I,7,FALSE))</f>
        <v/>
      </c>
      <c r="AB170" s="174" t="str">
        <f t="shared" si="96"/>
        <v/>
      </c>
      <c r="AC170" s="174" t="str">
        <f>IF(AB170="","",IF($I$8="A",(RANK(AB170,AB$11:AB$343)+COUNTIF(AB$11:AB170,AB170)-1),(RANK(AB170,AB$11:AB$343,1)+COUNTIF(AB$11:AB170,AB170)-1)))</f>
        <v/>
      </c>
      <c r="AD170" s="174"/>
      <c r="AE170" s="36" t="str">
        <f t="shared" si="97"/>
        <v/>
      </c>
      <c r="AG170" s="15"/>
      <c r="AH170" s="3"/>
      <c r="AI170" s="5" t="str">
        <f>IF(L170="","",VLOOKUP($L170,classifications!$C:$J,8,FALSE))</f>
        <v/>
      </c>
      <c r="AJ170" s="43" t="str">
        <f t="shared" si="98"/>
        <v/>
      </c>
      <c r="AK170" s="40" t="str">
        <f>IF(AJ170="","",IF(I$8="A",(RANK(AJ170,AJ$11:AJ$343,1)+COUNTIF(AJ$11:AJ170,AJ170)-1),(RANK(AJ170,AJ$11:AJ$343)+COUNTIF(AJ$11:AJ170,AJ170)-1)))</f>
        <v/>
      </c>
      <c r="AL170" s="3" t="str">
        <f t="shared" si="99"/>
        <v/>
      </c>
      <c r="AM170" t="str">
        <f t="shared" si="100"/>
        <v/>
      </c>
      <c r="AN170" t="str">
        <f t="shared" si="101"/>
        <v/>
      </c>
      <c r="AP170" s="5" t="str">
        <f>IF(L170="","",VLOOKUP($L170,classifications!$C:$E,3,FALSE))</f>
        <v/>
      </c>
      <c r="AQ170" s="43" t="str">
        <f t="shared" si="102"/>
        <v/>
      </c>
      <c r="AR170" s="40" t="str">
        <f>IF(AQ170="","",IF(I$8="A",(RANK(AQ170,AQ$11:AQ$343,1)+COUNTIF(AQ$11:AQ170,AQ170)-1),(RANK(AQ170,AQ$11:AQ$343)+COUNTIF(AQ$11:AQ170,AQ170)-1)))</f>
        <v/>
      </c>
      <c r="AS170" s="3" t="str">
        <f t="shared" si="103"/>
        <v/>
      </c>
      <c r="AT170" s="40" t="str">
        <f t="shared" si="104"/>
        <v/>
      </c>
      <c r="AU170" s="43" t="str">
        <f t="shared" si="105"/>
        <v/>
      </c>
      <c r="AX170">
        <f>HLOOKUP($AX$9&amp;$AX$10,Data!$A$1:$ZZ$1980,(MATCH($C170,Data!$A$1:$A$1980,0)),FALSE)</f>
        <v>291.3</v>
      </c>
    </row>
    <row r="171" spans="1:50">
      <c r="A171" s="59" t="str">
        <f>$D$1&amp;161</f>
        <v>UA161</v>
      </c>
      <c r="B171" s="60">
        <f>IF(ISERROR(VLOOKUP(A174,classifications!A:C,3,FALSE)),0,VLOOKUP(A174,classifications!A:C,3,FALSE))</f>
        <v>0</v>
      </c>
      <c r="C171" t="s">
        <v>94</v>
      </c>
      <c r="D171" t="str">
        <f>VLOOKUP($C171,classifications!$C:$J,4,FALSE)</f>
        <v>SD</v>
      </c>
      <c r="E171" t="str">
        <f>VLOOKUP(C171,classifications!C:K,9,FALSE)</f>
        <v>Sparse</v>
      </c>
      <c r="F171">
        <f t="shared" si="83"/>
        <v>364.2</v>
      </c>
      <c r="G171" s="15"/>
      <c r="H171" s="42" t="str">
        <f t="shared" si="84"/>
        <v/>
      </c>
      <c r="I171" s="79" t="str">
        <f>IF(H171="","",IF($I$8="A",(RANK(H171,H$11:H$343,1)+COUNTIF(H$11:H171,H171)-1),(RANK(H171,H$11:H$343)+COUNTIF(H$11:H171,H171)-1)))</f>
        <v/>
      </c>
      <c r="J171" s="41"/>
      <c r="K171" s="36" t="str">
        <f t="shared" si="85"/>
        <v/>
      </c>
      <c r="L171" t="str">
        <f t="shared" si="86"/>
        <v/>
      </c>
      <c r="M171" s="117" t="str">
        <f t="shared" si="87"/>
        <v/>
      </c>
      <c r="N171" s="112" t="str">
        <f t="shared" si="88"/>
        <v/>
      </c>
      <c r="O171" s="96" t="str">
        <f t="shared" si="89"/>
        <v/>
      </c>
      <c r="P171" s="96" t="str">
        <f t="shared" si="90"/>
        <v/>
      </c>
      <c r="Q171" s="96" t="str">
        <f t="shared" si="91"/>
        <v/>
      </c>
      <c r="R171" s="92" t="str">
        <f t="shared" si="92"/>
        <v/>
      </c>
      <c r="S171" s="42" t="str">
        <f t="shared" si="93"/>
        <v/>
      </c>
      <c r="T171" s="167" t="str">
        <f>IF(L171="","",VLOOKUP(L171,classifications!C:K,9,FALSE))</f>
        <v/>
      </c>
      <c r="U171" s="168" t="str">
        <f t="shared" si="94"/>
        <v/>
      </c>
      <c r="V171" s="174" t="str">
        <f>IF(U171="","",IF($I$8="A",(RANK(U171,U$11:U$343)+COUNTIF(U$11:U171,U171)-1),(RANK(U171,U$11:U$343,1)+COUNTIF(U$11:U171,U171)-1)))</f>
        <v/>
      </c>
      <c r="W171" s="175"/>
      <c r="X171" s="5" t="str">
        <f>IF(L171="","",VLOOKUP($L171,classifications!$C:$J,6,FALSE))</f>
        <v/>
      </c>
      <c r="Y171" t="str">
        <f t="shared" si="95"/>
        <v/>
      </c>
      <c r="Z171" s="40" t="str">
        <f>IF(Y171="","",IF(I$8="A",(RANK(Y171,Y$11:Y$343,1)+COUNTIF(Y$11:Y171,Y171)-1),(RANK(Y171,Y$11:Y$343)+COUNTIF(Y$11:Y171,Y171)-1)))</f>
        <v/>
      </c>
      <c r="AA171" s="180" t="str">
        <f>IF(L171="","",VLOOKUP($L171,classifications!C:I,7,FALSE))</f>
        <v/>
      </c>
      <c r="AB171" s="174" t="str">
        <f t="shared" si="96"/>
        <v/>
      </c>
      <c r="AC171" s="174" t="str">
        <f>IF(AB171="","",IF($I$8="A",(RANK(AB171,AB$11:AB$343)+COUNTIF(AB$11:AB171,AB171)-1),(RANK(AB171,AB$11:AB$343,1)+COUNTIF(AB$11:AB171,AB171)-1)))</f>
        <v/>
      </c>
      <c r="AD171" s="174"/>
      <c r="AE171" s="36" t="str">
        <f t="shared" si="97"/>
        <v/>
      </c>
      <c r="AG171" s="15"/>
      <c r="AH171" s="3"/>
      <c r="AI171" s="5" t="str">
        <f>IF(L171="","",VLOOKUP($L171,classifications!$C:$J,8,FALSE))</f>
        <v/>
      </c>
      <c r="AJ171" s="43" t="str">
        <f t="shared" si="98"/>
        <v/>
      </c>
      <c r="AK171" s="40" t="str">
        <f>IF(AJ171="","",IF(I$8="A",(RANK(AJ171,AJ$11:AJ$343,1)+COUNTIF(AJ$11:AJ171,AJ171)-1),(RANK(AJ171,AJ$11:AJ$343)+COUNTIF(AJ$11:AJ171,AJ171)-1)))</f>
        <v/>
      </c>
      <c r="AL171" s="3" t="str">
        <f t="shared" si="99"/>
        <v/>
      </c>
      <c r="AM171" t="str">
        <f t="shared" si="100"/>
        <v/>
      </c>
      <c r="AN171" t="str">
        <f t="shared" si="101"/>
        <v/>
      </c>
      <c r="AP171" s="5" t="str">
        <f>IF(L171="","",VLOOKUP($L171,classifications!$C:$E,3,FALSE))</f>
        <v/>
      </c>
      <c r="AQ171" s="43" t="str">
        <f t="shared" si="102"/>
        <v/>
      </c>
      <c r="AR171" s="40" t="str">
        <f>IF(AQ171="","",IF(I$8="A",(RANK(AQ171,AQ$11:AQ$343,1)+COUNTIF(AQ$11:AQ171,AQ171)-1),(RANK(AQ171,AQ$11:AQ$343)+COUNTIF(AQ$11:AQ171,AQ171)-1)))</f>
        <v/>
      </c>
      <c r="AS171" s="3" t="str">
        <f t="shared" si="103"/>
        <v/>
      </c>
      <c r="AT171" s="40" t="str">
        <f t="shared" si="104"/>
        <v/>
      </c>
      <c r="AU171" s="43" t="str">
        <f t="shared" si="105"/>
        <v/>
      </c>
      <c r="AX171">
        <f>HLOOKUP($AX$9&amp;$AX$10,Data!$A$1:$ZZ$1980,(MATCH($C171,Data!$A$1:$A$1980,0)),FALSE)</f>
        <v>364.2</v>
      </c>
    </row>
    <row r="172" spans="1:50">
      <c r="A172" s="59" t="str">
        <f>$D$1&amp;162</f>
        <v>UA162</v>
      </c>
      <c r="B172" s="60">
        <f>IF(ISERROR(VLOOKUP(A175,classifications!A:C,3,FALSE)),0,VLOOKUP(A175,classifications!A:C,3,FALSE))</f>
        <v>0</v>
      </c>
      <c r="C172" t="s">
        <v>95</v>
      </c>
      <c r="D172" t="str">
        <f>VLOOKUP($C172,classifications!$C:$J,4,FALSE)</f>
        <v>SD</v>
      </c>
      <c r="E172">
        <f>VLOOKUP(C172,classifications!C:K,9,FALSE)</f>
        <v>0</v>
      </c>
      <c r="F172">
        <f t="shared" si="83"/>
        <v>337.8</v>
      </c>
      <c r="G172" s="15"/>
      <c r="H172" s="42" t="str">
        <f t="shared" si="84"/>
        <v/>
      </c>
      <c r="I172" s="79" t="str">
        <f>IF(H172="","",IF($I$8="A",(RANK(H172,H$11:H$343,1)+COUNTIF(H$11:H172,H172)-1),(RANK(H172,H$11:H$343)+COUNTIF(H$11:H172,H172)-1)))</f>
        <v/>
      </c>
      <c r="J172" s="41"/>
      <c r="K172" s="36" t="str">
        <f t="shared" si="85"/>
        <v/>
      </c>
      <c r="L172" t="str">
        <f t="shared" si="86"/>
        <v/>
      </c>
      <c r="M172" s="117" t="str">
        <f t="shared" si="87"/>
        <v/>
      </c>
      <c r="N172" s="112" t="str">
        <f t="shared" si="88"/>
        <v/>
      </c>
      <c r="O172" s="96" t="str">
        <f t="shared" si="89"/>
        <v/>
      </c>
      <c r="P172" s="96" t="str">
        <f t="shared" si="90"/>
        <v/>
      </c>
      <c r="Q172" s="96" t="str">
        <f t="shared" si="91"/>
        <v/>
      </c>
      <c r="R172" s="92" t="str">
        <f t="shared" si="92"/>
        <v/>
      </c>
      <c r="S172" s="42" t="str">
        <f t="shared" si="93"/>
        <v/>
      </c>
      <c r="T172" s="167" t="str">
        <f>IF(L172="","",VLOOKUP(L172,classifications!C:K,9,FALSE))</f>
        <v/>
      </c>
      <c r="U172" s="168" t="str">
        <f t="shared" si="94"/>
        <v/>
      </c>
      <c r="V172" s="174" t="str">
        <f>IF(U172="","",IF($I$8="A",(RANK(U172,U$11:U$343)+COUNTIF(U$11:U172,U172)-1),(RANK(U172,U$11:U$343,1)+COUNTIF(U$11:U172,U172)-1)))</f>
        <v/>
      </c>
      <c r="W172" s="175"/>
      <c r="X172" s="5" t="str">
        <f>IF(L172="","",VLOOKUP($L172,classifications!$C:$J,6,FALSE))</f>
        <v/>
      </c>
      <c r="Y172" t="str">
        <f t="shared" si="95"/>
        <v/>
      </c>
      <c r="Z172" s="40" t="str">
        <f>IF(Y172="","",IF(I$8="A",(RANK(Y172,Y$11:Y$343,1)+COUNTIF(Y$11:Y172,Y172)-1),(RANK(Y172,Y$11:Y$343)+COUNTIF(Y$11:Y172,Y172)-1)))</f>
        <v/>
      </c>
      <c r="AA172" s="180" t="str">
        <f>IF(L172="","",VLOOKUP($L172,classifications!C:I,7,FALSE))</f>
        <v/>
      </c>
      <c r="AB172" s="174" t="str">
        <f t="shared" si="96"/>
        <v/>
      </c>
      <c r="AC172" s="174" t="str">
        <f>IF(AB172="","",IF($I$8="A",(RANK(AB172,AB$11:AB$343)+COUNTIF(AB$11:AB172,AB172)-1),(RANK(AB172,AB$11:AB$343,1)+COUNTIF(AB$11:AB172,AB172)-1)))</f>
        <v/>
      </c>
      <c r="AD172" s="174"/>
      <c r="AE172" s="36" t="str">
        <f t="shared" si="97"/>
        <v/>
      </c>
      <c r="AG172" s="15"/>
      <c r="AH172" s="3"/>
      <c r="AI172" s="5" t="str">
        <f>IF(L172="","",VLOOKUP($L172,classifications!$C:$J,8,FALSE))</f>
        <v/>
      </c>
      <c r="AJ172" s="43" t="str">
        <f t="shared" si="98"/>
        <v/>
      </c>
      <c r="AK172" s="40" t="str">
        <f>IF(AJ172="","",IF(I$8="A",(RANK(AJ172,AJ$11:AJ$343,1)+COUNTIF(AJ$11:AJ172,AJ172)-1),(RANK(AJ172,AJ$11:AJ$343)+COUNTIF(AJ$11:AJ172,AJ172)-1)))</f>
        <v/>
      </c>
      <c r="AL172" s="3" t="str">
        <f t="shared" si="99"/>
        <v/>
      </c>
      <c r="AM172" t="str">
        <f t="shared" si="100"/>
        <v/>
      </c>
      <c r="AN172" t="str">
        <f t="shared" si="101"/>
        <v/>
      </c>
      <c r="AP172" s="5" t="str">
        <f>IF(L172="","",VLOOKUP($L172,classifications!$C:$E,3,FALSE))</f>
        <v/>
      </c>
      <c r="AQ172" s="43" t="str">
        <f t="shared" si="102"/>
        <v/>
      </c>
      <c r="AR172" s="40" t="str">
        <f>IF(AQ172="","",IF(I$8="A",(RANK(AQ172,AQ$11:AQ$343,1)+COUNTIF(AQ$11:AQ172,AQ172)-1),(RANK(AQ172,AQ$11:AQ$343)+COUNTIF(AQ$11:AQ172,AQ172)-1)))</f>
        <v/>
      </c>
      <c r="AS172" s="3" t="str">
        <f t="shared" si="103"/>
        <v/>
      </c>
      <c r="AT172" s="40" t="str">
        <f t="shared" si="104"/>
        <v/>
      </c>
      <c r="AU172" s="43" t="str">
        <f t="shared" si="105"/>
        <v/>
      </c>
      <c r="AX172">
        <f>HLOOKUP($AX$9&amp;$AX$10,Data!$A$1:$ZZ$1980,(MATCH($C172,Data!$A$1:$A$1980,0)),FALSE)</f>
        <v>337.8</v>
      </c>
    </row>
    <row r="173" spans="1:50">
      <c r="A173" s="59" t="str">
        <f>$D$1&amp;163</f>
        <v>UA163</v>
      </c>
      <c r="B173" s="60">
        <f>IF(ISERROR(VLOOKUP(A176,classifications!A:C,3,FALSE)),0,VLOOKUP(A176,classifications!A:C,3,FALSE))</f>
        <v>0</v>
      </c>
      <c r="C173" t="s">
        <v>319</v>
      </c>
      <c r="D173" t="str">
        <f>VLOOKUP($C173,classifications!$C:$J,4,FALSE)</f>
        <v>SC</v>
      </c>
      <c r="E173" t="str">
        <f>VLOOKUP(C173,classifications!C:K,9,FALSE)</f>
        <v>Sparse</v>
      </c>
      <c r="F173">
        <f t="shared" si="83"/>
        <v>422.5</v>
      </c>
      <c r="G173" s="15"/>
      <c r="H173" s="42" t="str">
        <f t="shared" si="84"/>
        <v/>
      </c>
      <c r="I173" s="79" t="str">
        <f>IF(H173="","",IF($I$8="A",(RANK(H173,H$11:H$343,1)+COUNTIF(H$11:H173,H173)-1),(RANK(H173,H$11:H$343)+COUNTIF(H$11:H173,H173)-1)))</f>
        <v/>
      </c>
      <c r="J173" s="41"/>
      <c r="K173" s="36" t="str">
        <f t="shared" si="85"/>
        <v/>
      </c>
      <c r="L173" t="str">
        <f t="shared" si="86"/>
        <v/>
      </c>
      <c r="M173" s="117" t="str">
        <f t="shared" si="87"/>
        <v/>
      </c>
      <c r="N173" s="112" t="str">
        <f t="shared" si="88"/>
        <v/>
      </c>
      <c r="O173" s="96" t="str">
        <f t="shared" si="89"/>
        <v/>
      </c>
      <c r="P173" s="96" t="str">
        <f t="shared" si="90"/>
        <v/>
      </c>
      <c r="Q173" s="96" t="str">
        <f t="shared" si="91"/>
        <v/>
      </c>
      <c r="R173" s="92" t="str">
        <f t="shared" si="92"/>
        <v/>
      </c>
      <c r="S173" s="42" t="str">
        <f t="shared" si="93"/>
        <v/>
      </c>
      <c r="T173" s="167" t="str">
        <f>IF(L173="","",VLOOKUP(L173,classifications!C:K,9,FALSE))</f>
        <v/>
      </c>
      <c r="U173" s="168" t="str">
        <f t="shared" si="94"/>
        <v/>
      </c>
      <c r="V173" s="174" t="str">
        <f>IF(U173="","",IF($I$8="A",(RANK(U173,U$11:U$343)+COUNTIF(U$11:U173,U173)-1),(RANK(U173,U$11:U$343,1)+COUNTIF(U$11:U173,U173)-1)))</f>
        <v/>
      </c>
      <c r="W173" s="175"/>
      <c r="X173" s="5" t="str">
        <f>IF(L173="","",VLOOKUP($L173,classifications!$C:$J,6,FALSE))</f>
        <v/>
      </c>
      <c r="Y173" t="str">
        <f t="shared" si="95"/>
        <v/>
      </c>
      <c r="Z173" s="40" t="str">
        <f>IF(Y173="","",IF(I$8="A",(RANK(Y173,Y$11:Y$343,1)+COUNTIF(Y$11:Y173,Y173)-1),(RANK(Y173,Y$11:Y$343)+COUNTIF(Y$11:Y173,Y173)-1)))</f>
        <v/>
      </c>
      <c r="AA173" s="180" t="str">
        <f>IF(L173="","",VLOOKUP($L173,classifications!C:I,7,FALSE))</f>
        <v/>
      </c>
      <c r="AB173" s="174" t="str">
        <f t="shared" si="96"/>
        <v/>
      </c>
      <c r="AC173" s="174" t="str">
        <f>IF(AB173="","",IF($I$8="A",(RANK(AB173,AB$11:AB$343)+COUNTIF(AB$11:AB173,AB173)-1),(RANK(AB173,AB$11:AB$343,1)+COUNTIF(AB$11:AB173,AB173)-1)))</f>
        <v/>
      </c>
      <c r="AD173" s="174"/>
      <c r="AE173" s="36" t="str">
        <f t="shared" si="97"/>
        <v/>
      </c>
      <c r="AG173" s="15"/>
      <c r="AH173" s="3"/>
      <c r="AI173" s="5" t="str">
        <f>IF(L173="","",VLOOKUP($L173,classifications!$C:$J,8,FALSE))</f>
        <v/>
      </c>
      <c r="AJ173" s="43" t="str">
        <f t="shared" si="98"/>
        <v/>
      </c>
      <c r="AK173" s="40" t="str">
        <f>IF(AJ173="","",IF(I$8="A",(RANK(AJ173,AJ$11:AJ$343,1)+COUNTIF(AJ$11:AJ173,AJ173)-1),(RANK(AJ173,AJ$11:AJ$343)+COUNTIF(AJ$11:AJ173,AJ173)-1)))</f>
        <v/>
      </c>
      <c r="AL173" s="3" t="str">
        <f t="shared" si="99"/>
        <v/>
      </c>
      <c r="AM173" t="str">
        <f t="shared" si="100"/>
        <v/>
      </c>
      <c r="AN173" t="str">
        <f t="shared" si="101"/>
        <v/>
      </c>
      <c r="AP173" s="5" t="str">
        <f>IF(L173="","",VLOOKUP($L173,classifications!$C:$E,3,FALSE))</f>
        <v/>
      </c>
      <c r="AQ173" s="43" t="str">
        <f t="shared" si="102"/>
        <v/>
      </c>
      <c r="AR173" s="40" t="str">
        <f>IF(AQ173="","",IF(I$8="A",(RANK(AQ173,AQ$11:AQ$343,1)+COUNTIF(AQ$11:AQ173,AQ173)-1),(RANK(AQ173,AQ$11:AQ$343)+COUNTIF(AQ$11:AQ173,AQ173)-1)))</f>
        <v/>
      </c>
      <c r="AS173" s="3" t="str">
        <f t="shared" si="103"/>
        <v/>
      </c>
      <c r="AT173" s="40" t="str">
        <f t="shared" si="104"/>
        <v/>
      </c>
      <c r="AU173" s="43" t="str">
        <f t="shared" si="105"/>
        <v/>
      </c>
      <c r="AX173">
        <f>HLOOKUP($AX$9&amp;$AX$10,Data!$A$1:$ZZ$1980,(MATCH($C173,Data!$A$1:$A$1980,0)),FALSE)</f>
        <v>422.5</v>
      </c>
    </row>
    <row r="174" spans="1:50">
      <c r="A174" s="59" t="str">
        <f>$D$1&amp;164</f>
        <v>UA164</v>
      </c>
      <c r="B174" s="60">
        <f>IF(ISERROR(VLOOKUP(A177,classifications!A:C,3,FALSE)),0,VLOOKUP(A177,classifications!A:C,3,FALSE))</f>
        <v>0</v>
      </c>
      <c r="C174" t="s">
        <v>236</v>
      </c>
      <c r="D174" t="str">
        <f>VLOOKUP($C174,classifications!$C:$J,4,FALSE)</f>
        <v>MD</v>
      </c>
      <c r="E174">
        <f>VLOOKUP(C174,classifications!C:K,9,FALSE)</f>
        <v>0</v>
      </c>
      <c r="F174">
        <f t="shared" si="83"/>
        <v>369.6</v>
      </c>
      <c r="G174" s="15"/>
      <c r="H174" s="42" t="str">
        <f t="shared" si="84"/>
        <v/>
      </c>
      <c r="I174" s="79" t="str">
        <f>IF(H174="","",IF($I$8="A",(RANK(H174,H$11:H$343,1)+COUNTIF(H$11:H174,H174)-1),(RANK(H174,H$11:H$343)+COUNTIF(H$11:H174,H174)-1)))</f>
        <v/>
      </c>
      <c r="J174" s="41"/>
      <c r="K174" s="36" t="str">
        <f t="shared" si="85"/>
        <v/>
      </c>
      <c r="L174" t="str">
        <f t="shared" si="86"/>
        <v/>
      </c>
      <c r="M174" s="117" t="str">
        <f t="shared" si="87"/>
        <v/>
      </c>
      <c r="N174" s="112" t="str">
        <f t="shared" si="88"/>
        <v/>
      </c>
      <c r="O174" s="96" t="str">
        <f t="shared" si="89"/>
        <v/>
      </c>
      <c r="P174" s="96" t="str">
        <f t="shared" si="90"/>
        <v/>
      </c>
      <c r="Q174" s="96" t="str">
        <f t="shared" si="91"/>
        <v/>
      </c>
      <c r="R174" s="92" t="str">
        <f t="shared" si="92"/>
        <v/>
      </c>
      <c r="S174" s="42" t="str">
        <f t="shared" si="93"/>
        <v/>
      </c>
      <c r="T174" s="167" t="str">
        <f>IF(L174="","",VLOOKUP(L174,classifications!C:K,9,FALSE))</f>
        <v/>
      </c>
      <c r="U174" s="168" t="str">
        <f t="shared" si="94"/>
        <v/>
      </c>
      <c r="V174" s="174" t="str">
        <f>IF(U174="","",IF($I$8="A",(RANK(U174,U$11:U$343)+COUNTIF(U$11:U174,U174)-1),(RANK(U174,U$11:U$343,1)+COUNTIF(U$11:U174,U174)-1)))</f>
        <v/>
      </c>
      <c r="W174" s="175"/>
      <c r="X174" s="5" t="str">
        <f>IF(L174="","",VLOOKUP($L174,classifications!$C:$J,6,FALSE))</f>
        <v/>
      </c>
      <c r="Y174" t="str">
        <f t="shared" si="95"/>
        <v/>
      </c>
      <c r="Z174" s="40" t="str">
        <f>IF(Y174="","",IF(I$8="A",(RANK(Y174,Y$11:Y$343,1)+COUNTIF(Y$11:Y174,Y174)-1),(RANK(Y174,Y$11:Y$343)+COUNTIF(Y$11:Y174,Y174)-1)))</f>
        <v/>
      </c>
      <c r="AA174" s="180" t="str">
        <f>IF(L174="","",VLOOKUP($L174,classifications!C:I,7,FALSE))</f>
        <v/>
      </c>
      <c r="AB174" s="174" t="str">
        <f t="shared" si="96"/>
        <v/>
      </c>
      <c r="AC174" s="174" t="str">
        <f>IF(AB174="","",IF($I$8="A",(RANK(AB174,AB$11:AB$343)+COUNTIF(AB$11:AB174,AB174)-1),(RANK(AB174,AB$11:AB$343,1)+COUNTIF(AB$11:AB174,AB174)-1)))</f>
        <v/>
      </c>
      <c r="AD174" s="174"/>
      <c r="AE174" s="36" t="str">
        <f t="shared" si="97"/>
        <v/>
      </c>
      <c r="AG174" s="15"/>
      <c r="AH174" s="3"/>
      <c r="AI174" s="5" t="str">
        <f>IF(L174="","",VLOOKUP($L174,classifications!$C:$J,8,FALSE))</f>
        <v/>
      </c>
      <c r="AJ174" s="43" t="str">
        <f t="shared" si="98"/>
        <v/>
      </c>
      <c r="AK174" s="40" t="str">
        <f>IF(AJ174="","",IF(I$8="A",(RANK(AJ174,AJ$11:AJ$343,1)+COUNTIF(AJ$11:AJ174,AJ174)-1),(RANK(AJ174,AJ$11:AJ$343)+COUNTIF(AJ$11:AJ174,AJ174)-1)))</f>
        <v/>
      </c>
      <c r="AL174" s="3" t="str">
        <f t="shared" si="99"/>
        <v/>
      </c>
      <c r="AM174" t="str">
        <f t="shared" si="100"/>
        <v/>
      </c>
      <c r="AN174" t="str">
        <f t="shared" si="101"/>
        <v/>
      </c>
      <c r="AP174" s="5" t="str">
        <f>IF(L174="","",VLOOKUP($L174,classifications!$C:$E,3,FALSE))</f>
        <v/>
      </c>
      <c r="AQ174" s="43" t="str">
        <f t="shared" si="102"/>
        <v/>
      </c>
      <c r="AR174" s="40" t="str">
        <f>IF(AQ174="","",IF(I$8="A",(RANK(AQ174,AQ$11:AQ$343,1)+COUNTIF(AQ$11:AQ174,AQ174)-1),(RANK(AQ174,AQ$11:AQ$343)+COUNTIF(AQ$11:AQ174,AQ174)-1)))</f>
        <v/>
      </c>
      <c r="AS174" s="3" t="str">
        <f t="shared" si="103"/>
        <v/>
      </c>
      <c r="AT174" s="40" t="str">
        <f t="shared" si="104"/>
        <v/>
      </c>
      <c r="AU174" s="43" t="str">
        <f t="shared" si="105"/>
        <v/>
      </c>
      <c r="AX174">
        <f>HLOOKUP($AX$9&amp;$AX$10,Data!$A$1:$ZZ$1980,(MATCH($C174,Data!$A$1:$A$1980,0)),FALSE)</f>
        <v>369.6</v>
      </c>
    </row>
    <row r="175" spans="1:50">
      <c r="A175" s="59" t="str">
        <f>$D$1&amp;165</f>
        <v>UA165</v>
      </c>
      <c r="B175" s="60">
        <f>IF(ISERROR(VLOOKUP(A178,classifications!A:C,3,FALSE)),0,VLOOKUP(A178,classifications!A:C,3,FALSE))</f>
        <v>0</v>
      </c>
      <c r="C175" t="s">
        <v>273</v>
      </c>
      <c r="D175" t="str">
        <f>VLOOKUP($C175,classifications!$C:$J,4,FALSE)</f>
        <v>UA</v>
      </c>
      <c r="E175">
        <f>VLOOKUP(C175,classifications!C:K,9,FALSE)</f>
        <v>0</v>
      </c>
      <c r="F175">
        <f t="shared" si="83"/>
        <v>328.3</v>
      </c>
      <c r="G175" s="15"/>
      <c r="H175" s="42">
        <f t="shared" si="84"/>
        <v>328.3</v>
      </c>
      <c r="I175" s="79">
        <f>IF(H175="","",IF($I$8="A",(RANK(H175,H$11:H$343,1)+COUNTIF(H$11:H175,H175)-1),(RANK(H175,H$11:H$343)+COUNTIF(H$11:H175,H175)-1)))</f>
        <v>4</v>
      </c>
      <c r="J175" s="41"/>
      <c r="K175" s="36" t="str">
        <f t="shared" si="85"/>
        <v/>
      </c>
      <c r="L175" t="str">
        <f t="shared" si="86"/>
        <v/>
      </c>
      <c r="M175" s="117" t="str">
        <f t="shared" si="87"/>
        <v/>
      </c>
      <c r="N175" s="112" t="str">
        <f t="shared" si="88"/>
        <v/>
      </c>
      <c r="O175" s="96" t="str">
        <f t="shared" si="89"/>
        <v/>
      </c>
      <c r="P175" s="96" t="str">
        <f t="shared" si="90"/>
        <v/>
      </c>
      <c r="Q175" s="96" t="str">
        <f t="shared" si="91"/>
        <v/>
      </c>
      <c r="R175" s="92" t="str">
        <f t="shared" si="92"/>
        <v/>
      </c>
      <c r="S175" s="42" t="str">
        <f t="shared" si="93"/>
        <v/>
      </c>
      <c r="T175" s="167" t="str">
        <f>IF(L175="","",VLOOKUP(L175,classifications!C:K,9,FALSE))</f>
        <v/>
      </c>
      <c r="U175" s="168" t="str">
        <f t="shared" si="94"/>
        <v/>
      </c>
      <c r="V175" s="174" t="str">
        <f>IF(U175="","",IF($I$8="A",(RANK(U175,U$11:U$343)+COUNTIF(U$11:U175,U175)-1),(RANK(U175,U$11:U$343,1)+COUNTIF(U$11:U175,U175)-1)))</f>
        <v/>
      </c>
      <c r="W175" s="175"/>
      <c r="X175" s="5" t="str">
        <f>IF(L175="","",VLOOKUP($L175,classifications!$C:$J,6,FALSE))</f>
        <v/>
      </c>
      <c r="Y175" t="str">
        <f t="shared" si="95"/>
        <v/>
      </c>
      <c r="Z175" s="40" t="str">
        <f>IF(Y175="","",IF(I$8="A",(RANK(Y175,Y$11:Y$343,1)+COUNTIF(Y$11:Y175,Y175)-1),(RANK(Y175,Y$11:Y$343)+COUNTIF(Y$11:Y175,Y175)-1)))</f>
        <v/>
      </c>
      <c r="AA175" s="180" t="str">
        <f>IF(L175="","",VLOOKUP($L175,classifications!C:I,7,FALSE))</f>
        <v/>
      </c>
      <c r="AB175" s="174" t="str">
        <f t="shared" si="96"/>
        <v/>
      </c>
      <c r="AC175" s="174" t="str">
        <f>IF(AB175="","",IF($I$8="A",(RANK(AB175,AB$11:AB$343)+COUNTIF(AB$11:AB175,AB175)-1),(RANK(AB175,AB$11:AB$343,1)+COUNTIF(AB$11:AB175,AB175)-1)))</f>
        <v/>
      </c>
      <c r="AD175" s="174"/>
      <c r="AE175" s="36" t="str">
        <f t="shared" si="97"/>
        <v/>
      </c>
      <c r="AG175" s="15"/>
      <c r="AH175" s="3"/>
      <c r="AI175" s="5" t="str">
        <f>IF(L175="","",VLOOKUP($L175,classifications!$C:$J,8,FALSE))</f>
        <v/>
      </c>
      <c r="AJ175" s="43" t="str">
        <f t="shared" si="98"/>
        <v/>
      </c>
      <c r="AK175" s="40" t="str">
        <f>IF(AJ175="","",IF(I$8="A",(RANK(AJ175,AJ$11:AJ$343,1)+COUNTIF(AJ$11:AJ175,AJ175)-1),(RANK(AJ175,AJ$11:AJ$343)+COUNTIF(AJ$11:AJ175,AJ175)-1)))</f>
        <v/>
      </c>
      <c r="AL175" s="3" t="str">
        <f t="shared" si="99"/>
        <v/>
      </c>
      <c r="AM175" t="str">
        <f t="shared" si="100"/>
        <v/>
      </c>
      <c r="AN175" t="str">
        <f t="shared" si="101"/>
        <v/>
      </c>
      <c r="AP175" s="5" t="str">
        <f>IF(L175="","",VLOOKUP($L175,classifications!$C:$E,3,FALSE))</f>
        <v/>
      </c>
      <c r="AQ175" s="43" t="str">
        <f t="shared" si="102"/>
        <v/>
      </c>
      <c r="AR175" s="40" t="str">
        <f>IF(AQ175="","",IF(I$8="A",(RANK(AQ175,AQ$11:AQ$343,1)+COUNTIF(AQ$11:AQ175,AQ175)-1),(RANK(AQ175,AQ$11:AQ$343)+COUNTIF(AQ$11:AQ175,AQ175)-1)))</f>
        <v/>
      </c>
      <c r="AS175" s="3" t="str">
        <f t="shared" si="103"/>
        <v/>
      </c>
      <c r="AT175" s="40" t="str">
        <f t="shared" si="104"/>
        <v/>
      </c>
      <c r="AU175" s="43" t="str">
        <f t="shared" si="105"/>
        <v/>
      </c>
      <c r="AX175">
        <f>HLOOKUP($AX$9&amp;$AX$10,Data!$A$1:$ZZ$1980,(MATCH($C175,Data!$A$1:$A$1980,0)),FALSE)</f>
        <v>328.3</v>
      </c>
    </row>
    <row r="176" spans="1:50">
      <c r="A176" s="59" t="str">
        <f>$D$1&amp;166</f>
        <v>UA166</v>
      </c>
      <c r="B176" s="60">
        <f>IF(ISERROR(VLOOKUP(A179,classifications!A:C,3,FALSE)),0,VLOOKUP(A179,classifications!A:C,3,FALSE))</f>
        <v>0</v>
      </c>
      <c r="C176" t="s">
        <v>96</v>
      </c>
      <c r="D176" t="str">
        <f>VLOOKUP($C176,classifications!$C:$J,4,FALSE)</f>
        <v>SD</v>
      </c>
      <c r="E176">
        <f>VLOOKUP(C176,classifications!C:K,9,FALSE)</f>
        <v>0</v>
      </c>
      <c r="F176">
        <f t="shared" si="83"/>
        <v>322.2</v>
      </c>
      <c r="G176" s="15"/>
      <c r="H176" s="42" t="str">
        <f t="shared" si="84"/>
        <v/>
      </c>
      <c r="I176" s="79" t="str">
        <f>IF(H176="","",IF($I$8="A",(RANK(H176,H$11:H$343,1)+COUNTIF(H$11:H176,H176)-1),(RANK(H176,H$11:H$343)+COUNTIF(H$11:H176,H176)-1)))</f>
        <v/>
      </c>
      <c r="J176" s="41"/>
      <c r="K176" s="36" t="str">
        <f t="shared" si="85"/>
        <v/>
      </c>
      <c r="L176" t="str">
        <f t="shared" si="86"/>
        <v/>
      </c>
      <c r="M176" s="117" t="str">
        <f t="shared" si="87"/>
        <v/>
      </c>
      <c r="N176" s="112" t="str">
        <f t="shared" si="88"/>
        <v/>
      </c>
      <c r="O176" s="96" t="str">
        <f t="shared" si="89"/>
        <v/>
      </c>
      <c r="P176" s="96" t="str">
        <f t="shared" si="90"/>
        <v/>
      </c>
      <c r="Q176" s="96" t="str">
        <f t="shared" si="91"/>
        <v/>
      </c>
      <c r="R176" s="92" t="str">
        <f t="shared" si="92"/>
        <v/>
      </c>
      <c r="S176" s="42" t="str">
        <f t="shared" si="93"/>
        <v/>
      </c>
      <c r="T176" s="167" t="str">
        <f>IF(L176="","",VLOOKUP(L176,classifications!C:K,9,FALSE))</f>
        <v/>
      </c>
      <c r="U176" s="168" t="str">
        <f t="shared" si="94"/>
        <v/>
      </c>
      <c r="V176" s="174" t="str">
        <f>IF(U176="","",IF($I$8="A",(RANK(U176,U$11:U$343)+COUNTIF(U$11:U176,U176)-1),(RANK(U176,U$11:U$343,1)+COUNTIF(U$11:U176,U176)-1)))</f>
        <v/>
      </c>
      <c r="W176" s="175"/>
      <c r="X176" s="5" t="str">
        <f>IF(L176="","",VLOOKUP($L176,classifications!$C:$J,6,FALSE))</f>
        <v/>
      </c>
      <c r="Y176" t="str">
        <f t="shared" si="95"/>
        <v/>
      </c>
      <c r="Z176" s="40" t="str">
        <f>IF(Y176="","",IF(I$8="A",(RANK(Y176,Y$11:Y$343,1)+COUNTIF(Y$11:Y176,Y176)-1),(RANK(Y176,Y$11:Y$343)+COUNTIF(Y$11:Y176,Y176)-1)))</f>
        <v/>
      </c>
      <c r="AA176" s="180" t="str">
        <f>IF(L176="","",VLOOKUP($L176,classifications!C:I,7,FALSE))</f>
        <v/>
      </c>
      <c r="AB176" s="174" t="str">
        <f t="shared" si="96"/>
        <v/>
      </c>
      <c r="AC176" s="174" t="str">
        <f>IF(AB176="","",IF($I$8="A",(RANK(AB176,AB$11:AB$343)+COUNTIF(AB$11:AB176,AB176)-1),(RANK(AB176,AB$11:AB$343,1)+COUNTIF(AB$11:AB176,AB176)-1)))</f>
        <v/>
      </c>
      <c r="AD176" s="174"/>
      <c r="AE176" s="36" t="str">
        <f t="shared" si="97"/>
        <v/>
      </c>
      <c r="AG176" s="15"/>
      <c r="AH176" s="3"/>
      <c r="AI176" s="5" t="str">
        <f>IF(L176="","",VLOOKUP($L176,classifications!$C:$J,8,FALSE))</f>
        <v/>
      </c>
      <c r="AJ176" s="43" t="str">
        <f t="shared" si="98"/>
        <v/>
      </c>
      <c r="AK176" s="40" t="str">
        <f>IF(AJ176="","",IF(I$8="A",(RANK(AJ176,AJ$11:AJ$343,1)+COUNTIF(AJ$11:AJ176,AJ176)-1),(RANK(AJ176,AJ$11:AJ$343)+COUNTIF(AJ$11:AJ176,AJ176)-1)))</f>
        <v/>
      </c>
      <c r="AL176" s="3" t="str">
        <f t="shared" si="99"/>
        <v/>
      </c>
      <c r="AM176" t="str">
        <f t="shared" si="100"/>
        <v/>
      </c>
      <c r="AN176" t="str">
        <f t="shared" si="101"/>
        <v/>
      </c>
      <c r="AP176" s="5" t="str">
        <f>IF(L176="","",VLOOKUP($L176,classifications!$C:$E,3,FALSE))</f>
        <v/>
      </c>
      <c r="AQ176" s="43" t="str">
        <f t="shared" si="102"/>
        <v/>
      </c>
      <c r="AR176" s="40" t="str">
        <f>IF(AQ176="","",IF(I$8="A",(RANK(AQ176,AQ$11:AQ$343,1)+COUNTIF(AQ$11:AQ176,AQ176)-1),(RANK(AQ176,AQ$11:AQ$343)+COUNTIF(AQ$11:AQ176,AQ176)-1)))</f>
        <v/>
      </c>
      <c r="AS176" s="3" t="str">
        <f t="shared" si="103"/>
        <v/>
      </c>
      <c r="AT176" s="40" t="str">
        <f t="shared" si="104"/>
        <v/>
      </c>
      <c r="AU176" s="43" t="str">
        <f t="shared" si="105"/>
        <v/>
      </c>
      <c r="AX176">
        <f>HLOOKUP($AX$9&amp;$AX$10,Data!$A$1:$ZZ$1980,(MATCH($C176,Data!$A$1:$A$1980,0)),FALSE)</f>
        <v>322.2</v>
      </c>
    </row>
    <row r="177" spans="1:50">
      <c r="A177" s="59" t="str">
        <f>$D$1&amp;167</f>
        <v>UA167</v>
      </c>
      <c r="B177" s="60">
        <f>IF(ISERROR(VLOOKUP(A180,classifications!A:C,3,FALSE)),0,VLOOKUP(A180,classifications!A:C,3,FALSE))</f>
        <v>0</v>
      </c>
      <c r="C177" t="s">
        <v>97</v>
      </c>
      <c r="D177" t="str">
        <f>VLOOKUP($C177,classifications!$C:$J,4,FALSE)</f>
        <v>SD</v>
      </c>
      <c r="E177">
        <f>VLOOKUP(C177,classifications!C:K,9,FALSE)</f>
        <v>0</v>
      </c>
      <c r="F177">
        <f t="shared" si="83"/>
        <v>354.8</v>
      </c>
      <c r="G177" s="15"/>
      <c r="H177" s="42" t="str">
        <f t="shared" si="84"/>
        <v/>
      </c>
      <c r="I177" s="79" t="str">
        <f>IF(H177="","",IF($I$8="A",(RANK(H177,H$11:H$343,1)+COUNTIF(H$11:H177,H177)-1),(RANK(H177,H$11:H$343)+COUNTIF(H$11:H177,H177)-1)))</f>
        <v/>
      </c>
      <c r="J177" s="41"/>
      <c r="K177" s="36" t="str">
        <f t="shared" si="85"/>
        <v/>
      </c>
      <c r="L177" t="str">
        <f t="shared" si="86"/>
        <v/>
      </c>
      <c r="M177" s="117" t="str">
        <f t="shared" si="87"/>
        <v/>
      </c>
      <c r="N177" s="112" t="str">
        <f t="shared" si="88"/>
        <v/>
      </c>
      <c r="O177" s="96" t="str">
        <f t="shared" si="89"/>
        <v/>
      </c>
      <c r="P177" s="96" t="str">
        <f t="shared" si="90"/>
        <v/>
      </c>
      <c r="Q177" s="96" t="str">
        <f t="shared" si="91"/>
        <v/>
      </c>
      <c r="R177" s="92" t="str">
        <f t="shared" si="92"/>
        <v/>
      </c>
      <c r="S177" s="42" t="str">
        <f t="shared" si="93"/>
        <v/>
      </c>
      <c r="T177" s="167" t="str">
        <f>IF(L177="","",VLOOKUP(L177,classifications!C:K,9,FALSE))</f>
        <v/>
      </c>
      <c r="U177" s="168" t="str">
        <f t="shared" si="94"/>
        <v/>
      </c>
      <c r="V177" s="174" t="str">
        <f>IF(U177="","",IF($I$8="A",(RANK(U177,U$11:U$343)+COUNTIF(U$11:U177,U177)-1),(RANK(U177,U$11:U$343,1)+COUNTIF(U$11:U177,U177)-1)))</f>
        <v/>
      </c>
      <c r="W177" s="175"/>
      <c r="X177" s="5" t="str">
        <f>IF(L177="","",VLOOKUP($L177,classifications!$C:$J,6,FALSE))</f>
        <v/>
      </c>
      <c r="Y177" t="str">
        <f t="shared" si="95"/>
        <v/>
      </c>
      <c r="Z177" s="40" t="str">
        <f>IF(Y177="","",IF(I$8="A",(RANK(Y177,Y$11:Y$343,1)+COUNTIF(Y$11:Y177,Y177)-1),(RANK(Y177,Y$11:Y$343)+COUNTIF(Y$11:Y177,Y177)-1)))</f>
        <v/>
      </c>
      <c r="AA177" s="180" t="str">
        <f>IF(L177="","",VLOOKUP($L177,classifications!C:I,7,FALSE))</f>
        <v/>
      </c>
      <c r="AB177" s="174" t="str">
        <f t="shared" si="96"/>
        <v/>
      </c>
      <c r="AC177" s="174" t="str">
        <f>IF(AB177="","",IF($I$8="A",(RANK(AB177,AB$11:AB$343)+COUNTIF(AB$11:AB177,AB177)-1),(RANK(AB177,AB$11:AB$343,1)+COUNTIF(AB$11:AB177,AB177)-1)))</f>
        <v/>
      </c>
      <c r="AD177" s="174"/>
      <c r="AE177" s="36" t="str">
        <f t="shared" si="97"/>
        <v/>
      </c>
      <c r="AG177" s="15"/>
      <c r="AH177" s="3"/>
      <c r="AI177" s="5" t="str">
        <f>IF(L177="","",VLOOKUP($L177,classifications!$C:$J,8,FALSE))</f>
        <v/>
      </c>
      <c r="AJ177" s="43" t="str">
        <f t="shared" si="98"/>
        <v/>
      </c>
      <c r="AK177" s="40" t="str">
        <f>IF(AJ177="","",IF(I$8="A",(RANK(AJ177,AJ$11:AJ$343,1)+COUNTIF(AJ$11:AJ177,AJ177)-1),(RANK(AJ177,AJ$11:AJ$343)+COUNTIF(AJ$11:AJ177,AJ177)-1)))</f>
        <v/>
      </c>
      <c r="AL177" s="3" t="str">
        <f t="shared" si="99"/>
        <v/>
      </c>
      <c r="AM177" t="str">
        <f t="shared" si="100"/>
        <v/>
      </c>
      <c r="AN177" t="str">
        <f t="shared" si="101"/>
        <v/>
      </c>
      <c r="AP177" s="5" t="str">
        <f>IF(L177="","",VLOOKUP($L177,classifications!$C:$E,3,FALSE))</f>
        <v/>
      </c>
      <c r="AQ177" s="43" t="str">
        <f t="shared" si="102"/>
        <v/>
      </c>
      <c r="AR177" s="40" t="str">
        <f>IF(AQ177="","",IF(I$8="A",(RANK(AQ177,AQ$11:AQ$343,1)+COUNTIF(AQ$11:AQ177,AQ177)-1),(RANK(AQ177,AQ$11:AQ$343)+COUNTIF(AQ$11:AQ177,AQ177)-1)))</f>
        <v/>
      </c>
      <c r="AS177" s="3" t="str">
        <f t="shared" si="103"/>
        <v/>
      </c>
      <c r="AT177" s="40" t="str">
        <f t="shared" si="104"/>
        <v/>
      </c>
      <c r="AU177" s="43" t="str">
        <f t="shared" si="105"/>
        <v/>
      </c>
      <c r="AX177">
        <f>HLOOKUP($AX$9&amp;$AX$10,Data!$A$1:$ZZ$1980,(MATCH($C177,Data!$A$1:$A$1980,0)),FALSE)</f>
        <v>354.8</v>
      </c>
    </row>
    <row r="178" spans="1:50">
      <c r="A178" s="59" t="str">
        <f>$D$1&amp;168</f>
        <v>UA168</v>
      </c>
      <c r="B178" s="60">
        <f>IF(ISERROR(VLOOKUP(A181,classifications!A:C,3,FALSE)),0,VLOOKUP(A181,classifications!A:C,3,FALSE))</f>
        <v>0</v>
      </c>
      <c r="C178" t="s">
        <v>98</v>
      </c>
      <c r="D178" t="str">
        <f>VLOOKUP($C178,classifications!$C:$J,4,FALSE)</f>
        <v>SD</v>
      </c>
      <c r="E178" t="str">
        <f>VLOOKUP(C178,classifications!C:K,9,FALSE)</f>
        <v>Sparse</v>
      </c>
      <c r="F178">
        <f t="shared" si="83"/>
        <v>312.5</v>
      </c>
      <c r="G178" s="15"/>
      <c r="H178" s="42" t="str">
        <f t="shared" si="84"/>
        <v/>
      </c>
      <c r="I178" s="79" t="str">
        <f>IF(H178="","",IF($I$8="A",(RANK(H178,H$11:H$343,1)+COUNTIF(H$11:H178,H178)-1),(RANK(H178,H$11:H$343)+COUNTIF(H$11:H178,H178)-1)))</f>
        <v/>
      </c>
      <c r="J178" s="41"/>
      <c r="K178" s="36" t="str">
        <f t="shared" si="85"/>
        <v/>
      </c>
      <c r="L178" t="str">
        <f t="shared" si="86"/>
        <v/>
      </c>
      <c r="M178" s="117" t="str">
        <f t="shared" si="87"/>
        <v/>
      </c>
      <c r="N178" s="112" t="str">
        <f t="shared" si="88"/>
        <v/>
      </c>
      <c r="O178" s="96" t="str">
        <f t="shared" si="89"/>
        <v/>
      </c>
      <c r="P178" s="96" t="str">
        <f t="shared" si="90"/>
        <v/>
      </c>
      <c r="Q178" s="96" t="str">
        <f t="shared" si="91"/>
        <v/>
      </c>
      <c r="R178" s="92" t="str">
        <f t="shared" si="92"/>
        <v/>
      </c>
      <c r="S178" s="42" t="str">
        <f t="shared" si="93"/>
        <v/>
      </c>
      <c r="T178" s="167" t="str">
        <f>IF(L178="","",VLOOKUP(L178,classifications!C:K,9,FALSE))</f>
        <v/>
      </c>
      <c r="U178" s="168" t="str">
        <f t="shared" si="94"/>
        <v/>
      </c>
      <c r="V178" s="174" t="str">
        <f>IF(U178="","",IF($I$8="A",(RANK(U178,U$11:U$343)+COUNTIF(U$11:U178,U178)-1),(RANK(U178,U$11:U$343,1)+COUNTIF(U$11:U178,U178)-1)))</f>
        <v/>
      </c>
      <c r="W178" s="175"/>
      <c r="X178" s="5" t="str">
        <f>IF(L178="","",VLOOKUP($L178,classifications!$C:$J,6,FALSE))</f>
        <v/>
      </c>
      <c r="Y178" t="str">
        <f t="shared" si="95"/>
        <v/>
      </c>
      <c r="Z178" s="40" t="str">
        <f>IF(Y178="","",IF(I$8="A",(RANK(Y178,Y$11:Y$343,1)+COUNTIF(Y$11:Y178,Y178)-1),(RANK(Y178,Y$11:Y$343)+COUNTIF(Y$11:Y178,Y178)-1)))</f>
        <v/>
      </c>
      <c r="AA178" s="180" t="str">
        <f>IF(L178="","",VLOOKUP($L178,classifications!C:I,7,FALSE))</f>
        <v/>
      </c>
      <c r="AB178" s="174" t="str">
        <f t="shared" si="96"/>
        <v/>
      </c>
      <c r="AC178" s="174" t="str">
        <f>IF(AB178="","",IF($I$8="A",(RANK(AB178,AB$11:AB$343)+COUNTIF(AB$11:AB178,AB178)-1),(RANK(AB178,AB$11:AB$343,1)+COUNTIF(AB$11:AB178,AB178)-1)))</f>
        <v/>
      </c>
      <c r="AD178" s="174"/>
      <c r="AE178" s="36" t="str">
        <f t="shared" si="97"/>
        <v/>
      </c>
      <c r="AG178" s="15"/>
      <c r="AH178" s="3"/>
      <c r="AI178" s="5" t="str">
        <f>IF(L178="","",VLOOKUP($L178,classifications!$C:$J,8,FALSE))</f>
        <v/>
      </c>
      <c r="AJ178" s="43" t="str">
        <f t="shared" si="98"/>
        <v/>
      </c>
      <c r="AK178" s="40" t="str">
        <f>IF(AJ178="","",IF(I$8="A",(RANK(AJ178,AJ$11:AJ$343,1)+COUNTIF(AJ$11:AJ178,AJ178)-1),(RANK(AJ178,AJ$11:AJ$343)+COUNTIF(AJ$11:AJ178,AJ178)-1)))</f>
        <v/>
      </c>
      <c r="AL178" s="3" t="str">
        <f t="shared" si="99"/>
        <v/>
      </c>
      <c r="AM178" t="str">
        <f t="shared" si="100"/>
        <v/>
      </c>
      <c r="AN178" t="str">
        <f t="shared" si="101"/>
        <v/>
      </c>
      <c r="AP178" s="5" t="str">
        <f>IF(L178="","",VLOOKUP($L178,classifications!$C:$E,3,FALSE))</f>
        <v/>
      </c>
      <c r="AQ178" s="43" t="str">
        <f t="shared" si="102"/>
        <v/>
      </c>
      <c r="AR178" s="40" t="str">
        <f>IF(AQ178="","",IF(I$8="A",(RANK(AQ178,AQ$11:AQ$343,1)+COUNTIF(AQ$11:AQ178,AQ178)-1),(RANK(AQ178,AQ$11:AQ$343)+COUNTIF(AQ$11:AQ178,AQ178)-1)))</f>
        <v/>
      </c>
      <c r="AS178" s="3" t="str">
        <f t="shared" si="103"/>
        <v/>
      </c>
      <c r="AT178" s="40" t="str">
        <f t="shared" si="104"/>
        <v/>
      </c>
      <c r="AU178" s="43" t="str">
        <f t="shared" si="105"/>
        <v/>
      </c>
      <c r="AX178">
        <f>HLOOKUP($AX$9&amp;$AX$10,Data!$A$1:$ZZ$1980,(MATCH($C178,Data!$A$1:$A$1980,0)),FALSE)</f>
        <v>312.5</v>
      </c>
    </row>
    <row r="179" spans="1:50">
      <c r="A179" s="59" t="str">
        <f>$D$1&amp;169</f>
        <v>UA169</v>
      </c>
      <c r="B179" s="60">
        <f>IF(ISERROR(VLOOKUP(A182,classifications!A:C,3,FALSE)),0,VLOOKUP(A182,classifications!A:C,3,FALSE))</f>
        <v>0</v>
      </c>
      <c r="C179" t="s">
        <v>237</v>
      </c>
      <c r="D179" t="str">
        <f>VLOOKUP($C179,classifications!$C:$J,4,FALSE)</f>
        <v>MD</v>
      </c>
      <c r="E179">
        <f>VLOOKUP(C179,classifications!C:K,9,FALSE)</f>
        <v>0</v>
      </c>
      <c r="F179">
        <f t="shared" si="83"/>
        <v>283.7</v>
      </c>
      <c r="G179" s="15"/>
      <c r="H179" s="42" t="str">
        <f t="shared" si="84"/>
        <v/>
      </c>
      <c r="I179" s="79" t="str">
        <f>IF(H179="","",IF($I$8="A",(RANK(H179,H$11:H$343,1)+COUNTIF(H$11:H179,H179)-1),(RANK(H179,H$11:H$343)+COUNTIF(H$11:H179,H179)-1)))</f>
        <v/>
      </c>
      <c r="J179" s="41"/>
      <c r="K179" s="36" t="str">
        <f t="shared" si="85"/>
        <v/>
      </c>
      <c r="L179" t="str">
        <f t="shared" si="86"/>
        <v/>
      </c>
      <c r="M179" s="117" t="str">
        <f t="shared" si="87"/>
        <v/>
      </c>
      <c r="N179" s="112" t="str">
        <f t="shared" si="88"/>
        <v/>
      </c>
      <c r="O179" s="96" t="str">
        <f t="shared" si="89"/>
        <v/>
      </c>
      <c r="P179" s="96" t="str">
        <f t="shared" si="90"/>
        <v/>
      </c>
      <c r="Q179" s="96" t="str">
        <f t="shared" si="91"/>
        <v/>
      </c>
      <c r="R179" s="92" t="str">
        <f t="shared" si="92"/>
        <v/>
      </c>
      <c r="S179" s="42" t="str">
        <f t="shared" si="93"/>
        <v/>
      </c>
      <c r="T179" s="167" t="str">
        <f>IF(L179="","",VLOOKUP(L179,classifications!C:K,9,FALSE))</f>
        <v/>
      </c>
      <c r="U179" s="168" t="str">
        <f t="shared" si="94"/>
        <v/>
      </c>
      <c r="V179" s="174" t="str">
        <f>IF(U179="","",IF($I$8="A",(RANK(U179,U$11:U$343)+COUNTIF(U$11:U179,U179)-1),(RANK(U179,U$11:U$343,1)+COUNTIF(U$11:U179,U179)-1)))</f>
        <v/>
      </c>
      <c r="W179" s="175"/>
      <c r="X179" s="5" t="str">
        <f>IF(L179="","",VLOOKUP($L179,classifications!$C:$J,6,FALSE))</f>
        <v/>
      </c>
      <c r="Y179" t="str">
        <f t="shared" si="95"/>
        <v/>
      </c>
      <c r="Z179" s="40" t="str">
        <f>IF(Y179="","",IF(I$8="A",(RANK(Y179,Y$11:Y$343,1)+COUNTIF(Y$11:Y179,Y179)-1),(RANK(Y179,Y$11:Y$343)+COUNTIF(Y$11:Y179,Y179)-1)))</f>
        <v/>
      </c>
      <c r="AA179" s="180" t="str">
        <f>IF(L179="","",VLOOKUP($L179,classifications!C:I,7,FALSE))</f>
        <v/>
      </c>
      <c r="AB179" s="174" t="str">
        <f t="shared" si="96"/>
        <v/>
      </c>
      <c r="AC179" s="174" t="str">
        <f>IF(AB179="","",IF($I$8="A",(RANK(AB179,AB$11:AB$343)+COUNTIF(AB$11:AB179,AB179)-1),(RANK(AB179,AB$11:AB$343,1)+COUNTIF(AB$11:AB179,AB179)-1)))</f>
        <v/>
      </c>
      <c r="AD179" s="174"/>
      <c r="AE179" s="36" t="str">
        <f t="shared" si="97"/>
        <v/>
      </c>
      <c r="AG179" s="15"/>
      <c r="AH179" s="3"/>
      <c r="AI179" s="5" t="str">
        <f>IF(L179="","",VLOOKUP($L179,classifications!$C:$J,8,FALSE))</f>
        <v/>
      </c>
      <c r="AJ179" s="43" t="str">
        <f t="shared" si="98"/>
        <v/>
      </c>
      <c r="AK179" s="40" t="str">
        <f>IF(AJ179="","",IF(I$8="A",(RANK(AJ179,AJ$11:AJ$343,1)+COUNTIF(AJ$11:AJ179,AJ179)-1),(RANK(AJ179,AJ$11:AJ$343)+COUNTIF(AJ$11:AJ179,AJ179)-1)))</f>
        <v/>
      </c>
      <c r="AL179" s="3" t="str">
        <f t="shared" si="99"/>
        <v/>
      </c>
      <c r="AM179" t="str">
        <f t="shared" si="100"/>
        <v/>
      </c>
      <c r="AN179" t="str">
        <f t="shared" si="101"/>
        <v/>
      </c>
      <c r="AP179" s="5" t="str">
        <f>IF(L179="","",VLOOKUP($L179,classifications!$C:$E,3,FALSE))</f>
        <v/>
      </c>
      <c r="AQ179" s="43" t="str">
        <f t="shared" si="102"/>
        <v/>
      </c>
      <c r="AR179" s="40" t="str">
        <f>IF(AQ179="","",IF(I$8="A",(RANK(AQ179,AQ$11:AQ$343,1)+COUNTIF(AQ$11:AQ179,AQ179)-1),(RANK(AQ179,AQ$11:AQ$343)+COUNTIF(AQ$11:AQ179,AQ179)-1)))</f>
        <v/>
      </c>
      <c r="AS179" s="3" t="str">
        <f t="shared" si="103"/>
        <v/>
      </c>
      <c r="AT179" s="40" t="str">
        <f t="shared" si="104"/>
        <v/>
      </c>
      <c r="AU179" s="43" t="str">
        <f t="shared" si="105"/>
        <v/>
      </c>
      <c r="AX179">
        <f>HLOOKUP($AX$9&amp;$AX$10,Data!$A$1:$ZZ$1980,(MATCH($C179,Data!$A$1:$A$1980,0)),FALSE)</f>
        <v>283.7</v>
      </c>
    </row>
    <row r="180" spans="1:50">
      <c r="A180" s="59" t="str">
        <f>$D$1&amp;170</f>
        <v>UA170</v>
      </c>
      <c r="B180" s="60">
        <f>IF(ISERROR(VLOOKUP(A183,classifications!A:C,3,FALSE)),0,VLOOKUP(A183,classifications!A:C,3,FALSE))</f>
        <v>0</v>
      </c>
      <c r="C180" t="s">
        <v>99</v>
      </c>
      <c r="D180" t="str">
        <f>VLOOKUP($C180,classifications!$C:$J,4,FALSE)</f>
        <v>SD</v>
      </c>
      <c r="E180">
        <f>VLOOKUP(C180,classifications!C:K,9,FALSE)</f>
        <v>0</v>
      </c>
      <c r="F180">
        <f t="shared" si="83"/>
        <v>386.7</v>
      </c>
      <c r="G180" s="15"/>
      <c r="H180" s="42" t="str">
        <f t="shared" si="84"/>
        <v/>
      </c>
      <c r="I180" s="79" t="str">
        <f>IF(H180="","",IF($I$8="A",(RANK(H180,H$11:H$343,1)+COUNTIF(H$11:H180,H180)-1),(RANK(H180,H$11:H$343)+COUNTIF(H$11:H180,H180)-1)))</f>
        <v/>
      </c>
      <c r="J180" s="41"/>
      <c r="K180" s="36" t="str">
        <f t="shared" si="85"/>
        <v/>
      </c>
      <c r="L180" t="str">
        <f t="shared" si="86"/>
        <v/>
      </c>
      <c r="M180" s="117" t="str">
        <f t="shared" si="87"/>
        <v/>
      </c>
      <c r="N180" s="112" t="str">
        <f t="shared" si="88"/>
        <v/>
      </c>
      <c r="O180" s="96" t="str">
        <f t="shared" si="89"/>
        <v/>
      </c>
      <c r="P180" s="96" t="str">
        <f t="shared" si="90"/>
        <v/>
      </c>
      <c r="Q180" s="96" t="str">
        <f t="shared" si="91"/>
        <v/>
      </c>
      <c r="R180" s="92" t="str">
        <f t="shared" si="92"/>
        <v/>
      </c>
      <c r="S180" s="42" t="str">
        <f t="shared" si="93"/>
        <v/>
      </c>
      <c r="T180" s="167" t="str">
        <f>IF(L180="","",VLOOKUP(L180,classifications!C:K,9,FALSE))</f>
        <v/>
      </c>
      <c r="U180" s="168" t="str">
        <f t="shared" si="94"/>
        <v/>
      </c>
      <c r="V180" s="174" t="str">
        <f>IF(U180="","",IF($I$8="A",(RANK(U180,U$11:U$343)+COUNTIF(U$11:U180,U180)-1),(RANK(U180,U$11:U$343,1)+COUNTIF(U$11:U180,U180)-1)))</f>
        <v/>
      </c>
      <c r="W180" s="175"/>
      <c r="X180" s="5" t="str">
        <f>IF(L180="","",VLOOKUP($L180,classifications!$C:$J,6,FALSE))</f>
        <v/>
      </c>
      <c r="Y180" t="str">
        <f t="shared" si="95"/>
        <v/>
      </c>
      <c r="Z180" s="40" t="str">
        <f>IF(Y180="","",IF(I$8="A",(RANK(Y180,Y$11:Y$343,1)+COUNTIF(Y$11:Y180,Y180)-1),(RANK(Y180,Y$11:Y$343)+COUNTIF(Y$11:Y180,Y180)-1)))</f>
        <v/>
      </c>
      <c r="AA180" s="180" t="str">
        <f>IF(L180="","",VLOOKUP($L180,classifications!C:I,7,FALSE))</f>
        <v/>
      </c>
      <c r="AB180" s="174" t="str">
        <f t="shared" si="96"/>
        <v/>
      </c>
      <c r="AC180" s="174" t="str">
        <f>IF(AB180="","",IF($I$8="A",(RANK(AB180,AB$11:AB$343)+COUNTIF(AB$11:AB180,AB180)-1),(RANK(AB180,AB$11:AB$343,1)+COUNTIF(AB$11:AB180,AB180)-1)))</f>
        <v/>
      </c>
      <c r="AD180" s="174"/>
      <c r="AE180" s="36" t="str">
        <f t="shared" si="97"/>
        <v/>
      </c>
      <c r="AG180" s="15"/>
      <c r="AH180" s="3"/>
      <c r="AI180" s="5" t="str">
        <f>IF(L180="","",VLOOKUP($L180,classifications!$C:$J,8,FALSE))</f>
        <v/>
      </c>
      <c r="AJ180" s="43" t="str">
        <f t="shared" si="98"/>
        <v/>
      </c>
      <c r="AK180" s="40" t="str">
        <f>IF(AJ180="","",IF(I$8="A",(RANK(AJ180,AJ$11:AJ$343,1)+COUNTIF(AJ$11:AJ180,AJ180)-1),(RANK(AJ180,AJ$11:AJ$343)+COUNTIF(AJ$11:AJ180,AJ180)-1)))</f>
        <v/>
      </c>
      <c r="AL180" s="3" t="str">
        <f t="shared" si="99"/>
        <v/>
      </c>
      <c r="AM180" t="str">
        <f t="shared" si="100"/>
        <v/>
      </c>
      <c r="AN180" t="str">
        <f t="shared" si="101"/>
        <v/>
      </c>
      <c r="AP180" s="5" t="str">
        <f>IF(L180="","",VLOOKUP($L180,classifications!$C:$E,3,FALSE))</f>
        <v/>
      </c>
      <c r="AQ180" s="43" t="str">
        <f t="shared" si="102"/>
        <v/>
      </c>
      <c r="AR180" s="40" t="str">
        <f>IF(AQ180="","",IF(I$8="A",(RANK(AQ180,AQ$11:AQ$343,1)+COUNTIF(AQ$11:AQ180,AQ180)-1),(RANK(AQ180,AQ$11:AQ$343)+COUNTIF(AQ$11:AQ180,AQ180)-1)))</f>
        <v/>
      </c>
      <c r="AS180" s="3" t="str">
        <f t="shared" si="103"/>
        <v/>
      </c>
      <c r="AT180" s="40" t="str">
        <f t="shared" si="104"/>
        <v/>
      </c>
      <c r="AU180" s="43" t="str">
        <f t="shared" si="105"/>
        <v/>
      </c>
      <c r="AX180">
        <f>HLOOKUP($AX$9&amp;$AX$10,Data!$A$1:$ZZ$1980,(MATCH($C180,Data!$A$1:$A$1980,0)),FALSE)</f>
        <v>386.7</v>
      </c>
    </row>
    <row r="181" spans="1:50">
      <c r="A181" s="59" t="str">
        <f>$D$1&amp;171</f>
        <v>UA171</v>
      </c>
      <c r="B181" s="60">
        <f>IF(ISERROR(VLOOKUP(A184,classifications!A:C,3,FALSE)),0,VLOOKUP(A184,classifications!A:C,3,FALSE))</f>
        <v>0</v>
      </c>
      <c r="C181" t="s">
        <v>274</v>
      </c>
      <c r="D181" t="str">
        <f>VLOOKUP($C181,classifications!$C:$J,4,FALSE)</f>
        <v>UA</v>
      </c>
      <c r="E181">
        <f>VLOOKUP(C181,classifications!C:K,9,FALSE)</f>
        <v>0</v>
      </c>
      <c r="F181">
        <f t="shared" si="83"/>
        <v>400.2</v>
      </c>
      <c r="G181" s="15"/>
      <c r="H181" s="42">
        <f t="shared" si="84"/>
        <v>400.2</v>
      </c>
      <c r="I181" s="79">
        <f>IF(H181="","",IF($I$8="A",(RANK(H181,H$11:H$343,1)+COUNTIF(H$11:H181,H181)-1),(RANK(H181,H$11:H$343)+COUNTIF(H$11:H181,H181)-1)))</f>
        <v>34</v>
      </c>
      <c r="J181" s="41"/>
      <c r="K181" s="36" t="str">
        <f t="shared" si="85"/>
        <v/>
      </c>
      <c r="L181" t="str">
        <f t="shared" si="86"/>
        <v/>
      </c>
      <c r="M181" s="117" t="str">
        <f t="shared" si="87"/>
        <v/>
      </c>
      <c r="N181" s="112" t="str">
        <f t="shared" si="88"/>
        <v/>
      </c>
      <c r="O181" s="96" t="str">
        <f t="shared" si="89"/>
        <v/>
      </c>
      <c r="P181" s="96" t="str">
        <f t="shared" si="90"/>
        <v/>
      </c>
      <c r="Q181" s="96" t="str">
        <f t="shared" si="91"/>
        <v/>
      </c>
      <c r="R181" s="92" t="str">
        <f t="shared" si="92"/>
        <v/>
      </c>
      <c r="S181" s="42" t="str">
        <f t="shared" si="93"/>
        <v/>
      </c>
      <c r="T181" s="167" t="str">
        <f>IF(L181="","",VLOOKUP(L181,classifications!C:K,9,FALSE))</f>
        <v/>
      </c>
      <c r="U181" s="168" t="str">
        <f t="shared" si="94"/>
        <v/>
      </c>
      <c r="V181" s="174" t="str">
        <f>IF(U181="","",IF($I$8="A",(RANK(U181,U$11:U$343)+COUNTIF(U$11:U181,U181)-1),(RANK(U181,U$11:U$343,1)+COUNTIF(U$11:U181,U181)-1)))</f>
        <v/>
      </c>
      <c r="W181" s="175"/>
      <c r="X181" s="5" t="str">
        <f>IF(L181="","",VLOOKUP($L181,classifications!$C:$J,6,FALSE))</f>
        <v/>
      </c>
      <c r="Y181" t="str">
        <f t="shared" si="95"/>
        <v/>
      </c>
      <c r="Z181" s="40" t="str">
        <f>IF(Y181="","",IF(I$8="A",(RANK(Y181,Y$11:Y$343,1)+COUNTIF(Y$11:Y181,Y181)-1),(RANK(Y181,Y$11:Y$343)+COUNTIF(Y$11:Y181,Y181)-1)))</f>
        <v/>
      </c>
      <c r="AA181" s="180" t="str">
        <f>IF(L181="","",VLOOKUP($L181,classifications!C:I,7,FALSE))</f>
        <v/>
      </c>
      <c r="AB181" s="174" t="str">
        <f t="shared" si="96"/>
        <v/>
      </c>
      <c r="AC181" s="174" t="str">
        <f>IF(AB181="","",IF($I$8="A",(RANK(AB181,AB$11:AB$343)+COUNTIF(AB$11:AB181,AB181)-1),(RANK(AB181,AB$11:AB$343,1)+COUNTIF(AB$11:AB181,AB181)-1)))</f>
        <v/>
      </c>
      <c r="AD181" s="174"/>
      <c r="AE181" s="36" t="str">
        <f t="shared" si="97"/>
        <v/>
      </c>
      <c r="AG181" s="15"/>
      <c r="AH181" s="3"/>
      <c r="AI181" s="5" t="str">
        <f>IF(L181="","",VLOOKUP($L181,classifications!$C:$J,8,FALSE))</f>
        <v/>
      </c>
      <c r="AJ181" s="43" t="str">
        <f t="shared" si="98"/>
        <v/>
      </c>
      <c r="AK181" s="40" t="str">
        <f>IF(AJ181="","",IF(I$8="A",(RANK(AJ181,AJ$11:AJ$343,1)+COUNTIF(AJ$11:AJ181,AJ181)-1),(RANK(AJ181,AJ$11:AJ$343)+COUNTIF(AJ$11:AJ181,AJ181)-1)))</f>
        <v/>
      </c>
      <c r="AL181" s="3" t="str">
        <f t="shared" si="99"/>
        <v/>
      </c>
      <c r="AM181" t="str">
        <f t="shared" si="100"/>
        <v/>
      </c>
      <c r="AN181" t="str">
        <f t="shared" si="101"/>
        <v/>
      </c>
      <c r="AP181" s="5" t="str">
        <f>IF(L181="","",VLOOKUP($L181,classifications!$C:$E,3,FALSE))</f>
        <v/>
      </c>
      <c r="AQ181" s="43" t="str">
        <f t="shared" si="102"/>
        <v/>
      </c>
      <c r="AR181" s="40" t="str">
        <f>IF(AQ181="","",IF(I$8="A",(RANK(AQ181,AQ$11:AQ$343,1)+COUNTIF(AQ$11:AQ181,AQ181)-1),(RANK(AQ181,AQ$11:AQ$343)+COUNTIF(AQ$11:AQ181,AQ181)-1)))</f>
        <v/>
      </c>
      <c r="AS181" s="3" t="str">
        <f t="shared" si="103"/>
        <v/>
      </c>
      <c r="AT181" s="40" t="str">
        <f t="shared" si="104"/>
        <v/>
      </c>
      <c r="AU181" s="43" t="str">
        <f t="shared" si="105"/>
        <v/>
      </c>
      <c r="AX181">
        <f>HLOOKUP($AX$9&amp;$AX$10,Data!$A$1:$ZZ$1980,(MATCH($C181,Data!$A$1:$A$1980,0)),FALSE)</f>
        <v>400.2</v>
      </c>
    </row>
    <row r="182" spans="1:50">
      <c r="A182" s="59" t="str">
        <f>$D$1&amp;172</f>
        <v>UA172</v>
      </c>
      <c r="B182" s="60">
        <f>IF(ISERROR(VLOOKUP(A185,classifications!A:C,3,FALSE)),0,VLOOKUP(A185,classifications!A:C,3,FALSE))</f>
        <v>0</v>
      </c>
      <c r="C182" t="s">
        <v>100</v>
      </c>
      <c r="D182" t="str">
        <f>VLOOKUP($C182,classifications!$C:$J,4,FALSE)</f>
        <v>SD</v>
      </c>
      <c r="E182" t="str">
        <f>VLOOKUP(C182,classifications!C:K,9,FALSE)</f>
        <v>Sparse</v>
      </c>
      <c r="F182">
        <f t="shared" si="83"/>
        <v>390.3</v>
      </c>
      <c r="G182" s="15"/>
      <c r="H182" s="42" t="str">
        <f t="shared" si="84"/>
        <v/>
      </c>
      <c r="I182" s="79" t="str">
        <f>IF(H182="","",IF($I$8="A",(RANK(H182,H$11:H$343,1)+COUNTIF(H$11:H182,H182)-1),(RANK(H182,H$11:H$343)+COUNTIF(H$11:H182,H182)-1)))</f>
        <v/>
      </c>
      <c r="J182" s="41"/>
      <c r="K182" s="36" t="str">
        <f t="shared" si="85"/>
        <v/>
      </c>
      <c r="L182" t="str">
        <f t="shared" si="86"/>
        <v/>
      </c>
      <c r="M182" s="117" t="str">
        <f t="shared" si="87"/>
        <v/>
      </c>
      <c r="N182" s="112" t="str">
        <f t="shared" si="88"/>
        <v/>
      </c>
      <c r="O182" s="96" t="str">
        <f t="shared" si="89"/>
        <v/>
      </c>
      <c r="P182" s="96" t="str">
        <f t="shared" si="90"/>
        <v/>
      </c>
      <c r="Q182" s="96" t="str">
        <f t="shared" si="91"/>
        <v/>
      </c>
      <c r="R182" s="92" t="str">
        <f t="shared" si="92"/>
        <v/>
      </c>
      <c r="S182" s="42" t="str">
        <f t="shared" si="93"/>
        <v/>
      </c>
      <c r="T182" s="167" t="str">
        <f>IF(L182="","",VLOOKUP(L182,classifications!C:K,9,FALSE))</f>
        <v/>
      </c>
      <c r="U182" s="168" t="str">
        <f t="shared" si="94"/>
        <v/>
      </c>
      <c r="V182" s="174" t="str">
        <f>IF(U182="","",IF($I$8="A",(RANK(U182,U$11:U$343)+COUNTIF(U$11:U182,U182)-1),(RANK(U182,U$11:U$343,1)+COUNTIF(U$11:U182,U182)-1)))</f>
        <v/>
      </c>
      <c r="W182" s="175"/>
      <c r="X182" s="5" t="str">
        <f>IF(L182="","",VLOOKUP($L182,classifications!$C:$J,6,FALSE))</f>
        <v/>
      </c>
      <c r="Y182" t="str">
        <f t="shared" si="95"/>
        <v/>
      </c>
      <c r="Z182" s="40" t="str">
        <f>IF(Y182="","",IF(I$8="A",(RANK(Y182,Y$11:Y$343,1)+COUNTIF(Y$11:Y182,Y182)-1),(RANK(Y182,Y$11:Y$343)+COUNTIF(Y$11:Y182,Y182)-1)))</f>
        <v/>
      </c>
      <c r="AA182" s="180" t="str">
        <f>IF(L182="","",VLOOKUP($L182,classifications!C:I,7,FALSE))</f>
        <v/>
      </c>
      <c r="AB182" s="174" t="str">
        <f t="shared" si="96"/>
        <v/>
      </c>
      <c r="AC182" s="174" t="str">
        <f>IF(AB182="","",IF($I$8="A",(RANK(AB182,AB$11:AB$343)+COUNTIF(AB$11:AB182,AB182)-1),(RANK(AB182,AB$11:AB$343,1)+COUNTIF(AB$11:AB182,AB182)-1)))</f>
        <v/>
      </c>
      <c r="AD182" s="174"/>
      <c r="AE182" s="36" t="str">
        <f t="shared" si="97"/>
        <v/>
      </c>
      <c r="AG182" s="15"/>
      <c r="AH182" s="3"/>
      <c r="AI182" s="5" t="str">
        <f>IF(L182="","",VLOOKUP($L182,classifications!$C:$J,8,FALSE))</f>
        <v/>
      </c>
      <c r="AJ182" s="43" t="str">
        <f t="shared" si="98"/>
        <v/>
      </c>
      <c r="AK182" s="40" t="str">
        <f>IF(AJ182="","",IF(I$8="A",(RANK(AJ182,AJ$11:AJ$343,1)+COUNTIF(AJ$11:AJ182,AJ182)-1),(RANK(AJ182,AJ$11:AJ$343)+COUNTIF(AJ$11:AJ182,AJ182)-1)))</f>
        <v/>
      </c>
      <c r="AL182" s="3" t="str">
        <f t="shared" si="99"/>
        <v/>
      </c>
      <c r="AM182" t="str">
        <f t="shared" si="100"/>
        <v/>
      </c>
      <c r="AN182" t="str">
        <f t="shared" si="101"/>
        <v/>
      </c>
      <c r="AP182" s="5" t="str">
        <f>IF(L182="","",VLOOKUP($L182,classifications!$C:$E,3,FALSE))</f>
        <v/>
      </c>
      <c r="AQ182" s="43" t="str">
        <f t="shared" si="102"/>
        <v/>
      </c>
      <c r="AR182" s="40" t="str">
        <f>IF(AQ182="","",IF(I$8="A",(RANK(AQ182,AQ$11:AQ$343,1)+COUNTIF(AQ$11:AQ182,AQ182)-1),(RANK(AQ182,AQ$11:AQ$343)+COUNTIF(AQ$11:AQ182,AQ182)-1)))</f>
        <v/>
      </c>
      <c r="AS182" s="3" t="str">
        <f t="shared" si="103"/>
        <v/>
      </c>
      <c r="AT182" s="40" t="str">
        <f t="shared" si="104"/>
        <v/>
      </c>
      <c r="AU182" s="43" t="str">
        <f t="shared" si="105"/>
        <v/>
      </c>
      <c r="AX182">
        <f>HLOOKUP($AX$9&amp;$AX$10,Data!$A$1:$ZZ$1980,(MATCH($C182,Data!$A$1:$A$1980,0)),FALSE)</f>
        <v>390.3</v>
      </c>
    </row>
    <row r="183" spans="1:50">
      <c r="A183" s="59" t="str">
        <f>$D$1&amp;173</f>
        <v>UA173</v>
      </c>
      <c r="B183" s="60">
        <f>IF(ISERROR(VLOOKUP(A186,classifications!A:C,3,FALSE)),0,VLOOKUP(A186,classifications!A:C,3,FALSE))</f>
        <v>0</v>
      </c>
      <c r="C183" t="s">
        <v>101</v>
      </c>
      <c r="D183" t="str">
        <f>VLOOKUP($C183,classifications!$C:$J,4,FALSE)</f>
        <v>SD</v>
      </c>
      <c r="E183" t="str">
        <f>VLOOKUP(C183,classifications!C:K,9,FALSE)</f>
        <v>Sparse</v>
      </c>
      <c r="F183" t="str">
        <f t="shared" si="83"/>
        <v>..</v>
      </c>
      <c r="G183" s="15"/>
      <c r="H183" s="42" t="str">
        <f t="shared" si="84"/>
        <v/>
      </c>
      <c r="I183" s="79" t="str">
        <f>IF(H183="","",IF($I$8="A",(RANK(H183,H$11:H$343,1)+COUNTIF(H$11:H183,H183)-1),(RANK(H183,H$11:H$343)+COUNTIF(H$11:H183,H183)-1)))</f>
        <v/>
      </c>
      <c r="J183" s="41"/>
      <c r="K183" s="36" t="str">
        <f t="shared" si="85"/>
        <v/>
      </c>
      <c r="L183" t="str">
        <f t="shared" si="86"/>
        <v/>
      </c>
      <c r="M183" s="117" t="str">
        <f t="shared" si="87"/>
        <v/>
      </c>
      <c r="N183" s="112" t="str">
        <f t="shared" si="88"/>
        <v/>
      </c>
      <c r="O183" s="96" t="str">
        <f t="shared" si="89"/>
        <v/>
      </c>
      <c r="P183" s="96" t="str">
        <f t="shared" si="90"/>
        <v/>
      </c>
      <c r="Q183" s="96" t="str">
        <f t="shared" si="91"/>
        <v/>
      </c>
      <c r="R183" s="92" t="str">
        <f t="shared" si="92"/>
        <v/>
      </c>
      <c r="S183" s="42" t="str">
        <f t="shared" si="93"/>
        <v/>
      </c>
      <c r="T183" s="167" t="str">
        <f>IF(L183="","",VLOOKUP(L183,classifications!C:K,9,FALSE))</f>
        <v/>
      </c>
      <c r="U183" s="168" t="str">
        <f t="shared" si="94"/>
        <v/>
      </c>
      <c r="V183" s="174" t="str">
        <f>IF(U183="","",IF($I$8="A",(RANK(U183,U$11:U$343)+COUNTIF(U$11:U183,U183)-1),(RANK(U183,U$11:U$343,1)+COUNTIF(U$11:U183,U183)-1)))</f>
        <v/>
      </c>
      <c r="W183" s="175"/>
      <c r="X183" s="5" t="str">
        <f>IF(L183="","",VLOOKUP($L183,classifications!$C:$J,6,FALSE))</f>
        <v/>
      </c>
      <c r="Y183" t="str">
        <f t="shared" si="95"/>
        <v/>
      </c>
      <c r="Z183" s="40" t="str">
        <f>IF(Y183="","",IF(I$8="A",(RANK(Y183,Y$11:Y$343,1)+COUNTIF(Y$11:Y183,Y183)-1),(RANK(Y183,Y$11:Y$343)+COUNTIF(Y$11:Y183,Y183)-1)))</f>
        <v/>
      </c>
      <c r="AA183" s="180" t="str">
        <f>IF(L183="","",VLOOKUP($L183,classifications!C:I,7,FALSE))</f>
        <v/>
      </c>
      <c r="AB183" s="174" t="str">
        <f t="shared" si="96"/>
        <v/>
      </c>
      <c r="AC183" s="174" t="str">
        <f>IF(AB183="","",IF($I$8="A",(RANK(AB183,AB$11:AB$343)+COUNTIF(AB$11:AB183,AB183)-1),(RANK(AB183,AB$11:AB$343,1)+COUNTIF(AB$11:AB183,AB183)-1)))</f>
        <v/>
      </c>
      <c r="AD183" s="174"/>
      <c r="AE183" s="36" t="str">
        <f t="shared" si="97"/>
        <v/>
      </c>
      <c r="AG183" s="15"/>
      <c r="AH183" s="3"/>
      <c r="AI183" s="5" t="str">
        <f>IF(L183="","",VLOOKUP($L183,classifications!$C:$J,8,FALSE))</f>
        <v/>
      </c>
      <c r="AJ183" s="43" t="str">
        <f t="shared" si="98"/>
        <v/>
      </c>
      <c r="AK183" s="40" t="str">
        <f>IF(AJ183="","",IF(I$8="A",(RANK(AJ183,AJ$11:AJ$343,1)+COUNTIF(AJ$11:AJ183,AJ183)-1),(RANK(AJ183,AJ$11:AJ$343)+COUNTIF(AJ$11:AJ183,AJ183)-1)))</f>
        <v/>
      </c>
      <c r="AL183" s="3" t="str">
        <f t="shared" si="99"/>
        <v/>
      </c>
      <c r="AM183" t="str">
        <f t="shared" si="100"/>
        <v/>
      </c>
      <c r="AN183" t="str">
        <f t="shared" si="101"/>
        <v/>
      </c>
      <c r="AP183" s="5" t="str">
        <f>IF(L183="","",VLOOKUP($L183,classifications!$C:$E,3,FALSE))</f>
        <v/>
      </c>
      <c r="AQ183" s="43" t="str">
        <f t="shared" si="102"/>
        <v/>
      </c>
      <c r="AR183" s="40" t="str">
        <f>IF(AQ183="","",IF(I$8="A",(RANK(AQ183,AQ$11:AQ$343,1)+COUNTIF(AQ$11:AQ183,AQ183)-1),(RANK(AQ183,AQ$11:AQ$343)+COUNTIF(AQ$11:AQ183,AQ183)-1)))</f>
        <v/>
      </c>
      <c r="AS183" s="3" t="str">
        <f t="shared" si="103"/>
        <v/>
      </c>
      <c r="AT183" s="40" t="str">
        <f t="shared" si="104"/>
        <v/>
      </c>
      <c r="AU183" s="43" t="str">
        <f t="shared" si="105"/>
        <v/>
      </c>
      <c r="AX183" t="str">
        <f>HLOOKUP($AX$9&amp;$AX$10,Data!$A$1:$ZZ$1980,(MATCH($C183,Data!$A$1:$A$1980,0)),FALSE)</f>
        <v>..</v>
      </c>
    </row>
    <row r="184" spans="1:50">
      <c r="A184" s="59" t="str">
        <f>$D$1&amp;174</f>
        <v>UA174</v>
      </c>
      <c r="B184" s="60">
        <f>IF(ISERROR(VLOOKUP(A187,classifications!A:C,3,FALSE)),0,VLOOKUP(A187,classifications!A:C,3,FALSE))</f>
        <v>0</v>
      </c>
      <c r="C184" t="s">
        <v>215</v>
      </c>
      <c r="D184" t="str">
        <f>VLOOKUP($C184,classifications!$C:$J,4,FALSE)</f>
        <v>L</v>
      </c>
      <c r="E184">
        <f>VLOOKUP(C184,classifications!C:K,9,FALSE)</f>
        <v>0</v>
      </c>
      <c r="F184">
        <f t="shared" si="83"/>
        <v>319.7</v>
      </c>
      <c r="G184" s="15"/>
      <c r="H184" s="42" t="str">
        <f t="shared" si="84"/>
        <v/>
      </c>
      <c r="I184" s="79" t="str">
        <f>IF(H184="","",IF($I$8="A",(RANK(H184,H$11:H$343,1)+COUNTIF(H$11:H184,H184)-1),(RANK(H184,H$11:H$343)+COUNTIF(H$11:H184,H184)-1)))</f>
        <v/>
      </c>
      <c r="J184" s="41"/>
      <c r="K184" s="36" t="str">
        <f t="shared" si="85"/>
        <v/>
      </c>
      <c r="L184" t="str">
        <f t="shared" si="86"/>
        <v/>
      </c>
      <c r="M184" s="117" t="str">
        <f t="shared" si="87"/>
        <v/>
      </c>
      <c r="N184" s="112" t="str">
        <f t="shared" si="88"/>
        <v/>
      </c>
      <c r="O184" s="96" t="str">
        <f t="shared" si="89"/>
        <v/>
      </c>
      <c r="P184" s="96" t="str">
        <f t="shared" si="90"/>
        <v/>
      </c>
      <c r="Q184" s="96" t="str">
        <f t="shared" si="91"/>
        <v/>
      </c>
      <c r="R184" s="92" t="str">
        <f t="shared" si="92"/>
        <v/>
      </c>
      <c r="S184" s="42" t="str">
        <f t="shared" si="93"/>
        <v/>
      </c>
      <c r="T184" s="167" t="str">
        <f>IF(L184="","",VLOOKUP(L184,classifications!C:K,9,FALSE))</f>
        <v/>
      </c>
      <c r="U184" s="168" t="str">
        <f t="shared" si="94"/>
        <v/>
      </c>
      <c r="V184" s="174" t="str">
        <f>IF(U184="","",IF($I$8="A",(RANK(U184,U$11:U$343)+COUNTIF(U$11:U184,U184)-1),(RANK(U184,U$11:U$343,1)+COUNTIF(U$11:U184,U184)-1)))</f>
        <v/>
      </c>
      <c r="W184" s="175"/>
      <c r="X184" s="5" t="str">
        <f>IF(L184="","",VLOOKUP($L184,classifications!$C:$J,6,FALSE))</f>
        <v/>
      </c>
      <c r="Y184" t="str">
        <f t="shared" si="95"/>
        <v/>
      </c>
      <c r="Z184" s="40" t="str">
        <f>IF(Y184="","",IF(I$8="A",(RANK(Y184,Y$11:Y$343,1)+COUNTIF(Y$11:Y184,Y184)-1),(RANK(Y184,Y$11:Y$343)+COUNTIF(Y$11:Y184,Y184)-1)))</f>
        <v/>
      </c>
      <c r="AA184" s="180" t="str">
        <f>IF(L184="","",VLOOKUP($L184,classifications!C:I,7,FALSE))</f>
        <v/>
      </c>
      <c r="AB184" s="174" t="str">
        <f t="shared" si="96"/>
        <v/>
      </c>
      <c r="AC184" s="174" t="str">
        <f>IF(AB184="","",IF($I$8="A",(RANK(AB184,AB$11:AB$343)+COUNTIF(AB$11:AB184,AB184)-1),(RANK(AB184,AB$11:AB$343,1)+COUNTIF(AB$11:AB184,AB184)-1)))</f>
        <v/>
      </c>
      <c r="AD184" s="174"/>
      <c r="AE184" s="36" t="str">
        <f t="shared" si="97"/>
        <v/>
      </c>
      <c r="AG184" s="15"/>
      <c r="AH184" s="3"/>
      <c r="AI184" s="5" t="str">
        <f>IF(L184="","",VLOOKUP($L184,classifications!$C:$J,8,FALSE))</f>
        <v/>
      </c>
      <c r="AJ184" s="43" t="str">
        <f t="shared" si="98"/>
        <v/>
      </c>
      <c r="AK184" s="40" t="str">
        <f>IF(AJ184="","",IF(I$8="A",(RANK(AJ184,AJ$11:AJ$343,1)+COUNTIF(AJ$11:AJ184,AJ184)-1),(RANK(AJ184,AJ$11:AJ$343)+COUNTIF(AJ$11:AJ184,AJ184)-1)))</f>
        <v/>
      </c>
      <c r="AL184" s="3" t="str">
        <f t="shared" si="99"/>
        <v/>
      </c>
      <c r="AM184" t="str">
        <f t="shared" si="100"/>
        <v/>
      </c>
      <c r="AN184" t="str">
        <f t="shared" si="101"/>
        <v/>
      </c>
      <c r="AP184" s="5" t="str">
        <f>IF(L184="","",VLOOKUP($L184,classifications!$C:$E,3,FALSE))</f>
        <v/>
      </c>
      <c r="AQ184" s="43" t="str">
        <f t="shared" si="102"/>
        <v/>
      </c>
      <c r="AR184" s="40" t="str">
        <f>IF(AQ184="","",IF(I$8="A",(RANK(AQ184,AQ$11:AQ$343,1)+COUNTIF(AQ$11:AQ184,AQ184)-1),(RANK(AQ184,AQ$11:AQ$343)+COUNTIF(AQ$11:AQ184,AQ184)-1)))</f>
        <v/>
      </c>
      <c r="AS184" s="3" t="str">
        <f t="shared" si="103"/>
        <v/>
      </c>
      <c r="AT184" s="40" t="str">
        <f t="shared" si="104"/>
        <v/>
      </c>
      <c r="AU184" s="43" t="str">
        <f t="shared" si="105"/>
        <v/>
      </c>
      <c r="AX184">
        <f>HLOOKUP($AX$9&amp;$AX$10,Data!$A$1:$ZZ$1980,(MATCH($C184,Data!$A$1:$A$1980,0)),FALSE)</f>
        <v>319.7</v>
      </c>
    </row>
    <row r="185" spans="1:50">
      <c r="A185" s="59" t="str">
        <f>$D$1&amp;175</f>
        <v>UA175</v>
      </c>
      <c r="B185" s="60">
        <f>IF(ISERROR(VLOOKUP(A188,classifications!A:C,3,FALSE)),0,VLOOKUP(A188,classifications!A:C,3,FALSE))</f>
        <v>0</v>
      </c>
      <c r="C185" t="s">
        <v>102</v>
      </c>
      <c r="D185" t="str">
        <f>VLOOKUP($C185,classifications!$C:$J,4,FALSE)</f>
        <v>SD</v>
      </c>
      <c r="E185" t="str">
        <f>VLOOKUP(C185,classifications!C:K,9,FALSE)</f>
        <v>Sparse</v>
      </c>
      <c r="F185">
        <f t="shared" si="83"/>
        <v>327.39999999999998</v>
      </c>
      <c r="G185" s="15"/>
      <c r="H185" s="42" t="str">
        <f t="shared" si="84"/>
        <v/>
      </c>
      <c r="I185" s="79" t="str">
        <f>IF(H185="","",IF($I$8="A",(RANK(H185,H$11:H$343,1)+COUNTIF(H$11:H185,H185)-1),(RANK(H185,H$11:H$343)+COUNTIF(H$11:H185,H185)-1)))</f>
        <v/>
      </c>
      <c r="J185" s="41"/>
      <c r="K185" s="36" t="str">
        <f t="shared" si="85"/>
        <v/>
      </c>
      <c r="L185" t="str">
        <f t="shared" si="86"/>
        <v/>
      </c>
      <c r="M185" s="117" t="str">
        <f t="shared" si="87"/>
        <v/>
      </c>
      <c r="N185" s="112" t="str">
        <f t="shared" si="88"/>
        <v/>
      </c>
      <c r="O185" s="96" t="str">
        <f t="shared" si="89"/>
        <v/>
      </c>
      <c r="P185" s="96" t="str">
        <f t="shared" si="90"/>
        <v/>
      </c>
      <c r="Q185" s="96" t="str">
        <f t="shared" si="91"/>
        <v/>
      </c>
      <c r="R185" s="92" t="str">
        <f t="shared" si="92"/>
        <v/>
      </c>
      <c r="S185" s="42" t="str">
        <f t="shared" si="93"/>
        <v/>
      </c>
      <c r="T185" s="167" t="str">
        <f>IF(L185="","",VLOOKUP(L185,classifications!C:K,9,FALSE))</f>
        <v/>
      </c>
      <c r="U185" s="168" t="str">
        <f t="shared" si="94"/>
        <v/>
      </c>
      <c r="V185" s="174" t="str">
        <f>IF(U185="","",IF($I$8="A",(RANK(U185,U$11:U$343)+COUNTIF(U$11:U185,U185)-1),(RANK(U185,U$11:U$343,1)+COUNTIF(U$11:U185,U185)-1)))</f>
        <v/>
      </c>
      <c r="W185" s="175"/>
      <c r="X185" s="5" t="str">
        <f>IF(L185="","",VLOOKUP($L185,classifications!$C:$J,6,FALSE))</f>
        <v/>
      </c>
      <c r="Y185" t="str">
        <f t="shared" si="95"/>
        <v/>
      </c>
      <c r="Z185" s="40" t="str">
        <f>IF(Y185="","",IF(I$8="A",(RANK(Y185,Y$11:Y$343,1)+COUNTIF(Y$11:Y185,Y185)-1),(RANK(Y185,Y$11:Y$343)+COUNTIF(Y$11:Y185,Y185)-1)))</f>
        <v/>
      </c>
      <c r="AA185" s="180" t="str">
        <f>IF(L185="","",VLOOKUP($L185,classifications!C:I,7,FALSE))</f>
        <v/>
      </c>
      <c r="AB185" s="174" t="str">
        <f t="shared" si="96"/>
        <v/>
      </c>
      <c r="AC185" s="174" t="str">
        <f>IF(AB185="","",IF($I$8="A",(RANK(AB185,AB$11:AB$343)+COUNTIF(AB$11:AB185,AB185)-1),(RANK(AB185,AB$11:AB$343,1)+COUNTIF(AB$11:AB185,AB185)-1)))</f>
        <v/>
      </c>
      <c r="AD185" s="174"/>
      <c r="AE185" s="36" t="str">
        <f t="shared" si="97"/>
        <v/>
      </c>
      <c r="AG185" s="15"/>
      <c r="AH185" s="3"/>
      <c r="AI185" s="5" t="str">
        <f>IF(L185="","",VLOOKUP($L185,classifications!$C:$J,8,FALSE))</f>
        <v/>
      </c>
      <c r="AJ185" s="43" t="str">
        <f t="shared" si="98"/>
        <v/>
      </c>
      <c r="AK185" s="40" t="str">
        <f>IF(AJ185="","",IF(I$8="A",(RANK(AJ185,AJ$11:AJ$343,1)+COUNTIF(AJ$11:AJ185,AJ185)-1),(RANK(AJ185,AJ$11:AJ$343)+COUNTIF(AJ$11:AJ185,AJ185)-1)))</f>
        <v/>
      </c>
      <c r="AL185" s="3" t="str">
        <f t="shared" si="99"/>
        <v/>
      </c>
      <c r="AM185" t="str">
        <f t="shared" si="100"/>
        <v/>
      </c>
      <c r="AN185" t="str">
        <f t="shared" si="101"/>
        <v/>
      </c>
      <c r="AP185" s="5" t="str">
        <f>IF(L185="","",VLOOKUP($L185,classifications!$C:$E,3,FALSE))</f>
        <v/>
      </c>
      <c r="AQ185" s="43" t="str">
        <f t="shared" si="102"/>
        <v/>
      </c>
      <c r="AR185" s="40" t="str">
        <f>IF(AQ185="","",IF(I$8="A",(RANK(AQ185,AQ$11:AQ$343,1)+COUNTIF(AQ$11:AQ185,AQ185)-1),(RANK(AQ185,AQ$11:AQ$343)+COUNTIF(AQ$11:AQ185,AQ185)-1)))</f>
        <v/>
      </c>
      <c r="AS185" s="3" t="str">
        <f t="shared" si="103"/>
        <v/>
      </c>
      <c r="AT185" s="40" t="str">
        <f t="shared" si="104"/>
        <v/>
      </c>
      <c r="AU185" s="43" t="str">
        <f t="shared" si="105"/>
        <v/>
      </c>
      <c r="AX185">
        <f>HLOOKUP($AX$9&amp;$AX$10,Data!$A$1:$ZZ$1980,(MATCH($C185,Data!$A$1:$A$1980,0)),FALSE)</f>
        <v>327.39999999999998</v>
      </c>
    </row>
    <row r="186" spans="1:50">
      <c r="A186" s="59" t="str">
        <f>$D$1&amp;176</f>
        <v>UA176</v>
      </c>
      <c r="B186" s="60">
        <f>IF(ISERROR(VLOOKUP(A189,classifications!A:C,3,FALSE)),0,VLOOKUP(A189,classifications!A:C,3,FALSE))</f>
        <v>0</v>
      </c>
      <c r="C186" t="s">
        <v>911</v>
      </c>
      <c r="D186" t="str">
        <f>VLOOKUP($C186,classifications!$C:$J,4,FALSE)</f>
        <v>SD</v>
      </c>
      <c r="E186" t="str">
        <f>VLOOKUP(C186,classifications!C:K,9,FALSE)</f>
        <v>Sparse</v>
      </c>
      <c r="F186">
        <f t="shared" si="83"/>
        <v>347.5</v>
      </c>
      <c r="G186" s="15"/>
      <c r="H186" s="42" t="str">
        <f t="shared" si="84"/>
        <v/>
      </c>
      <c r="I186" s="79" t="str">
        <f>IF(H186="","",IF($I$8="A",(RANK(H186,H$11:H$343,1)+COUNTIF(H$11:H186,H186)-1),(RANK(H186,H$11:H$343)+COUNTIF(H$11:H186,H186)-1)))</f>
        <v/>
      </c>
      <c r="J186" s="41"/>
      <c r="K186" s="36" t="str">
        <f t="shared" si="85"/>
        <v/>
      </c>
      <c r="L186" t="str">
        <f t="shared" si="86"/>
        <v/>
      </c>
      <c r="M186" s="117" t="str">
        <f t="shared" si="87"/>
        <v/>
      </c>
      <c r="N186" s="112" t="str">
        <f t="shared" si="88"/>
        <v/>
      </c>
      <c r="O186" s="96" t="str">
        <f t="shared" si="89"/>
        <v/>
      </c>
      <c r="P186" s="96" t="str">
        <f t="shared" si="90"/>
        <v/>
      </c>
      <c r="Q186" s="96" t="str">
        <f t="shared" si="91"/>
        <v/>
      </c>
      <c r="R186" s="92" t="str">
        <f t="shared" si="92"/>
        <v/>
      </c>
      <c r="S186" s="42" t="str">
        <f t="shared" si="93"/>
        <v/>
      </c>
      <c r="T186" s="167" t="str">
        <f>IF(L186="","",VLOOKUP(L186,classifications!C:K,9,FALSE))</f>
        <v/>
      </c>
      <c r="U186" s="168" t="str">
        <f t="shared" si="94"/>
        <v/>
      </c>
      <c r="V186" s="174" t="str">
        <f>IF(U186="","",IF($I$8="A",(RANK(U186,U$11:U$343)+COUNTIF(U$11:U186,U186)-1),(RANK(U186,U$11:U$343,1)+COUNTIF(U$11:U186,U186)-1)))</f>
        <v/>
      </c>
      <c r="W186" s="175"/>
      <c r="X186" s="5" t="str">
        <f>IF(L186="","",VLOOKUP($L186,classifications!$C:$J,6,FALSE))</f>
        <v/>
      </c>
      <c r="Y186" t="str">
        <f t="shared" si="95"/>
        <v/>
      </c>
      <c r="Z186" s="40" t="str">
        <f>IF(Y186="","",IF(I$8="A",(RANK(Y186,Y$11:Y$343,1)+COUNTIF(Y$11:Y186,Y186)-1),(RANK(Y186,Y$11:Y$343)+COUNTIF(Y$11:Y186,Y186)-1)))</f>
        <v/>
      </c>
      <c r="AA186" s="180" t="str">
        <f>IF(L186="","",VLOOKUP($L186,classifications!C:I,7,FALSE))</f>
        <v/>
      </c>
      <c r="AB186" s="174" t="str">
        <f t="shared" si="96"/>
        <v/>
      </c>
      <c r="AC186" s="174" t="str">
        <f>IF(AB186="","",IF($I$8="A",(RANK(AB186,AB$11:AB$343)+COUNTIF(AB$11:AB186,AB186)-1),(RANK(AB186,AB$11:AB$343,1)+COUNTIF(AB$11:AB186,AB186)-1)))</f>
        <v/>
      </c>
      <c r="AD186" s="174"/>
      <c r="AE186" s="36" t="str">
        <f t="shared" si="97"/>
        <v/>
      </c>
      <c r="AG186" s="15"/>
      <c r="AH186" s="3"/>
      <c r="AI186" s="5" t="str">
        <f>IF(L186="","",VLOOKUP($L186,classifications!$C:$J,8,FALSE))</f>
        <v/>
      </c>
      <c r="AJ186" s="43" t="str">
        <f t="shared" si="98"/>
        <v/>
      </c>
      <c r="AK186" s="40" t="str">
        <f>IF(AJ186="","",IF(I$8="A",(RANK(AJ186,AJ$11:AJ$343,1)+COUNTIF(AJ$11:AJ186,AJ186)-1),(RANK(AJ186,AJ$11:AJ$343)+COUNTIF(AJ$11:AJ186,AJ186)-1)))</f>
        <v/>
      </c>
      <c r="AL186" s="3" t="str">
        <f t="shared" si="99"/>
        <v/>
      </c>
      <c r="AM186" t="str">
        <f t="shared" si="100"/>
        <v/>
      </c>
      <c r="AN186" t="str">
        <f t="shared" si="101"/>
        <v/>
      </c>
      <c r="AP186" s="5" t="str">
        <f>IF(L186="","",VLOOKUP($L186,classifications!$C:$E,3,FALSE))</f>
        <v/>
      </c>
      <c r="AQ186" s="43" t="str">
        <f t="shared" si="102"/>
        <v/>
      </c>
      <c r="AR186" s="40" t="str">
        <f>IF(AQ186="","",IF(I$8="A",(RANK(AQ186,AQ$11:AQ$343,1)+COUNTIF(AQ$11:AQ186,AQ186)-1),(RANK(AQ186,AQ$11:AQ$343)+COUNTIF(AQ$11:AQ186,AQ186)-1)))</f>
        <v/>
      </c>
      <c r="AS186" s="3" t="str">
        <f t="shared" si="103"/>
        <v/>
      </c>
      <c r="AT186" s="40" t="str">
        <f t="shared" si="104"/>
        <v/>
      </c>
      <c r="AU186" s="43" t="str">
        <f t="shared" si="105"/>
        <v/>
      </c>
      <c r="AX186">
        <f>HLOOKUP($AX$9&amp;$AX$10,Data!$A$1:$ZZ$1980,(MATCH($C186,Data!$A$1:$A$1980,0)),FALSE)</f>
        <v>347.5</v>
      </c>
    </row>
    <row r="187" spans="1:50">
      <c r="A187" s="59" t="str">
        <f>$D$1&amp;177</f>
        <v>UA177</v>
      </c>
      <c r="B187" s="60">
        <f>IF(ISERROR(VLOOKUP(A190,classifications!A:C,3,FALSE)),0,VLOOKUP(A190,classifications!A:C,3,FALSE))</f>
        <v>0</v>
      </c>
      <c r="C187" t="s">
        <v>104</v>
      </c>
      <c r="D187" t="str">
        <f>VLOOKUP($C187,classifications!$C:$J,4,FALSE)</f>
        <v>SD</v>
      </c>
      <c r="E187">
        <f>VLOOKUP(C187,classifications!C:K,9,FALSE)</f>
        <v>0</v>
      </c>
      <c r="F187">
        <f t="shared" si="83"/>
        <v>319.5</v>
      </c>
      <c r="G187" s="15"/>
      <c r="H187" s="42" t="str">
        <f t="shared" si="84"/>
        <v/>
      </c>
      <c r="I187" s="79" t="str">
        <f>IF(H187="","",IF($I$8="A",(RANK(H187,H$11:H$343,1)+COUNTIF(H$11:H187,H187)-1),(RANK(H187,H$11:H$343)+COUNTIF(H$11:H187,H187)-1)))</f>
        <v/>
      </c>
      <c r="J187" s="41"/>
      <c r="K187" s="36" t="str">
        <f t="shared" si="85"/>
        <v/>
      </c>
      <c r="L187" t="str">
        <f t="shared" si="86"/>
        <v/>
      </c>
      <c r="M187" s="117" t="str">
        <f t="shared" si="87"/>
        <v/>
      </c>
      <c r="N187" s="112" t="str">
        <f t="shared" si="88"/>
        <v/>
      </c>
      <c r="O187" s="96" t="str">
        <f t="shared" si="89"/>
        <v/>
      </c>
      <c r="P187" s="96" t="str">
        <f t="shared" si="90"/>
        <v/>
      </c>
      <c r="Q187" s="96" t="str">
        <f t="shared" si="91"/>
        <v/>
      </c>
      <c r="R187" s="92" t="str">
        <f t="shared" si="92"/>
        <v/>
      </c>
      <c r="S187" s="42" t="str">
        <f t="shared" si="93"/>
        <v/>
      </c>
      <c r="T187" s="167" t="str">
        <f>IF(L187="","",VLOOKUP(L187,classifications!C:K,9,FALSE))</f>
        <v/>
      </c>
      <c r="U187" s="168" t="str">
        <f t="shared" si="94"/>
        <v/>
      </c>
      <c r="V187" s="174" t="str">
        <f>IF(U187="","",IF($I$8="A",(RANK(U187,U$11:U$343)+COUNTIF(U$11:U187,U187)-1),(RANK(U187,U$11:U$343,1)+COUNTIF(U$11:U187,U187)-1)))</f>
        <v/>
      </c>
      <c r="W187" s="175"/>
      <c r="X187" s="5" t="str">
        <f>IF(L187="","",VLOOKUP($L187,classifications!$C:$J,6,FALSE))</f>
        <v/>
      </c>
      <c r="Y187" t="str">
        <f t="shared" si="95"/>
        <v/>
      </c>
      <c r="Z187" s="40" t="str">
        <f>IF(Y187="","",IF(I$8="A",(RANK(Y187,Y$11:Y$343,1)+COUNTIF(Y$11:Y187,Y187)-1),(RANK(Y187,Y$11:Y$343)+COUNTIF(Y$11:Y187,Y187)-1)))</f>
        <v/>
      </c>
      <c r="AA187" s="180" t="str">
        <f>IF(L187="","",VLOOKUP($L187,classifications!C:I,7,FALSE))</f>
        <v/>
      </c>
      <c r="AB187" s="174" t="str">
        <f t="shared" si="96"/>
        <v/>
      </c>
      <c r="AC187" s="174" t="str">
        <f>IF(AB187="","",IF($I$8="A",(RANK(AB187,AB$11:AB$343)+COUNTIF(AB$11:AB187,AB187)-1),(RANK(AB187,AB$11:AB$343,1)+COUNTIF(AB$11:AB187,AB187)-1)))</f>
        <v/>
      </c>
      <c r="AD187" s="174"/>
      <c r="AE187" s="36" t="str">
        <f t="shared" si="97"/>
        <v/>
      </c>
      <c r="AG187" s="15"/>
      <c r="AH187" s="3"/>
      <c r="AI187" s="5" t="str">
        <f>IF(L187="","",VLOOKUP($L187,classifications!$C:$J,8,FALSE))</f>
        <v/>
      </c>
      <c r="AJ187" s="43" t="str">
        <f t="shared" si="98"/>
        <v/>
      </c>
      <c r="AK187" s="40" t="str">
        <f>IF(AJ187="","",IF(I$8="A",(RANK(AJ187,AJ$11:AJ$343,1)+COUNTIF(AJ$11:AJ187,AJ187)-1),(RANK(AJ187,AJ$11:AJ$343)+COUNTIF(AJ$11:AJ187,AJ187)-1)))</f>
        <v/>
      </c>
      <c r="AL187" s="3" t="str">
        <f t="shared" si="99"/>
        <v/>
      </c>
      <c r="AM187" t="str">
        <f t="shared" si="100"/>
        <v/>
      </c>
      <c r="AN187" t="str">
        <f t="shared" si="101"/>
        <v/>
      </c>
      <c r="AP187" s="5" t="str">
        <f>IF(L187="","",VLOOKUP($L187,classifications!$C:$E,3,FALSE))</f>
        <v/>
      </c>
      <c r="AQ187" s="43" t="str">
        <f t="shared" si="102"/>
        <v/>
      </c>
      <c r="AR187" s="40" t="str">
        <f>IF(AQ187="","",IF(I$8="A",(RANK(AQ187,AQ$11:AQ$343,1)+COUNTIF(AQ$11:AQ187,AQ187)-1),(RANK(AQ187,AQ$11:AQ$343)+COUNTIF(AQ$11:AQ187,AQ187)-1)))</f>
        <v/>
      </c>
      <c r="AS187" s="3" t="str">
        <f t="shared" si="103"/>
        <v/>
      </c>
      <c r="AT187" s="40" t="str">
        <f t="shared" si="104"/>
        <v/>
      </c>
      <c r="AU187" s="43" t="str">
        <f t="shared" si="105"/>
        <v/>
      </c>
      <c r="AX187">
        <f>HLOOKUP($AX$9&amp;$AX$10,Data!$A$1:$ZZ$1980,(MATCH($C187,Data!$A$1:$A$1980,0)),FALSE)</f>
        <v>319.5</v>
      </c>
    </row>
    <row r="188" spans="1:50">
      <c r="A188" s="59" t="str">
        <f>$D$1&amp;178</f>
        <v>UA178</v>
      </c>
      <c r="B188" s="60">
        <f>IF(ISERROR(VLOOKUP(A191,classifications!A:C,3,FALSE)),0,VLOOKUP(A191,classifications!A:C,3,FALSE))</f>
        <v>0</v>
      </c>
      <c r="C188" t="s">
        <v>275</v>
      </c>
      <c r="D188" t="str">
        <f>VLOOKUP($C188,classifications!$C:$J,4,FALSE)</f>
        <v>UA</v>
      </c>
      <c r="E188">
        <f>VLOOKUP(C188,classifications!C:K,9,FALSE)</f>
        <v>0</v>
      </c>
      <c r="F188">
        <f t="shared" si="83"/>
        <v>437.6</v>
      </c>
      <c r="G188" s="15"/>
      <c r="H188" s="42">
        <f t="shared" si="84"/>
        <v>437.6</v>
      </c>
      <c r="I188" s="79">
        <f>IF(H188="","",IF($I$8="A",(RANK(H188,H$11:H$343,1)+COUNTIF(H$11:H188,H188)-1),(RANK(H188,H$11:H$343)+COUNTIF(H$11:H188,H188)-1)))</f>
        <v>48</v>
      </c>
      <c r="J188" s="41"/>
      <c r="K188" s="36" t="str">
        <f t="shared" si="85"/>
        <v/>
      </c>
      <c r="L188" t="str">
        <f t="shared" si="86"/>
        <v/>
      </c>
      <c r="M188" s="117" t="str">
        <f t="shared" si="87"/>
        <v/>
      </c>
      <c r="N188" s="112" t="str">
        <f t="shared" si="88"/>
        <v/>
      </c>
      <c r="O188" s="96" t="str">
        <f t="shared" si="89"/>
        <v/>
      </c>
      <c r="P188" s="96" t="str">
        <f t="shared" si="90"/>
        <v/>
      </c>
      <c r="Q188" s="96" t="str">
        <f t="shared" si="91"/>
        <v/>
      </c>
      <c r="R188" s="92" t="str">
        <f t="shared" si="92"/>
        <v/>
      </c>
      <c r="S188" s="42" t="str">
        <f t="shared" si="93"/>
        <v/>
      </c>
      <c r="T188" s="167" t="str">
        <f>IF(L188="","",VLOOKUP(L188,classifications!C:K,9,FALSE))</f>
        <v/>
      </c>
      <c r="U188" s="168" t="str">
        <f t="shared" si="94"/>
        <v/>
      </c>
      <c r="V188" s="174" t="str">
        <f>IF(U188="","",IF($I$8="A",(RANK(U188,U$11:U$343)+COUNTIF(U$11:U188,U188)-1),(RANK(U188,U$11:U$343,1)+COUNTIF(U$11:U188,U188)-1)))</f>
        <v/>
      </c>
      <c r="W188" s="175"/>
      <c r="X188" s="5" t="str">
        <f>IF(L188="","",VLOOKUP($L188,classifications!$C:$J,6,FALSE))</f>
        <v/>
      </c>
      <c r="Y188" t="str">
        <f t="shared" si="95"/>
        <v/>
      </c>
      <c r="Z188" s="40" t="str">
        <f>IF(Y188="","",IF(I$8="A",(RANK(Y188,Y$11:Y$343,1)+COUNTIF(Y$11:Y188,Y188)-1),(RANK(Y188,Y$11:Y$343)+COUNTIF(Y$11:Y188,Y188)-1)))</f>
        <v/>
      </c>
      <c r="AA188" s="180" t="str">
        <f>IF(L188="","",VLOOKUP($L188,classifications!C:I,7,FALSE))</f>
        <v/>
      </c>
      <c r="AB188" s="174" t="str">
        <f t="shared" si="96"/>
        <v/>
      </c>
      <c r="AC188" s="174" t="str">
        <f>IF(AB188="","",IF($I$8="A",(RANK(AB188,AB$11:AB$343)+COUNTIF(AB$11:AB188,AB188)-1),(RANK(AB188,AB$11:AB$343,1)+COUNTIF(AB$11:AB188,AB188)-1)))</f>
        <v/>
      </c>
      <c r="AD188" s="174"/>
      <c r="AE188" s="36" t="str">
        <f t="shared" si="97"/>
        <v/>
      </c>
      <c r="AG188" s="15"/>
      <c r="AH188" s="3"/>
      <c r="AI188" s="5" t="str">
        <f>IF(L188="","",VLOOKUP($L188,classifications!$C:$J,8,FALSE))</f>
        <v/>
      </c>
      <c r="AJ188" s="43" t="str">
        <f t="shared" si="98"/>
        <v/>
      </c>
      <c r="AK188" s="40" t="str">
        <f>IF(AJ188="","",IF(I$8="A",(RANK(AJ188,AJ$11:AJ$343,1)+COUNTIF(AJ$11:AJ188,AJ188)-1),(RANK(AJ188,AJ$11:AJ$343)+COUNTIF(AJ$11:AJ188,AJ188)-1)))</f>
        <v/>
      </c>
      <c r="AL188" s="3" t="str">
        <f t="shared" si="99"/>
        <v/>
      </c>
      <c r="AM188" t="str">
        <f t="shared" si="100"/>
        <v/>
      </c>
      <c r="AN188" t="str">
        <f t="shared" si="101"/>
        <v/>
      </c>
      <c r="AP188" s="5" t="str">
        <f>IF(L188="","",VLOOKUP($L188,classifications!$C:$E,3,FALSE))</f>
        <v/>
      </c>
      <c r="AQ188" s="43" t="str">
        <f t="shared" si="102"/>
        <v/>
      </c>
      <c r="AR188" s="40" t="str">
        <f>IF(AQ188="","",IF(I$8="A",(RANK(AQ188,AQ$11:AQ$343,1)+COUNTIF(AQ$11:AQ188,AQ188)-1),(RANK(AQ188,AQ$11:AQ$343)+COUNTIF(AQ$11:AQ188,AQ188)-1)))</f>
        <v/>
      </c>
      <c r="AS188" s="3" t="str">
        <f t="shared" si="103"/>
        <v/>
      </c>
      <c r="AT188" s="40" t="str">
        <f t="shared" si="104"/>
        <v/>
      </c>
      <c r="AU188" s="43" t="str">
        <f t="shared" si="105"/>
        <v/>
      </c>
      <c r="AX188">
        <f>HLOOKUP($AX$9&amp;$AX$10,Data!$A$1:$ZZ$1980,(MATCH($C188,Data!$A$1:$A$1980,0)),FALSE)</f>
        <v>437.6</v>
      </c>
    </row>
    <row r="189" spans="1:50">
      <c r="A189" s="59" t="str">
        <f>$D$1&amp;179</f>
        <v>UA179</v>
      </c>
      <c r="B189" s="60">
        <f>IF(ISERROR(VLOOKUP(A192,classifications!A:C,3,FALSE)),0,VLOOKUP(A192,classifications!A:C,3,FALSE))</f>
        <v>0</v>
      </c>
      <c r="C189" t="s">
        <v>276</v>
      </c>
      <c r="D189" t="str">
        <f>VLOOKUP($C189,classifications!$C:$J,4,FALSE)</f>
        <v>UA</v>
      </c>
      <c r="E189">
        <f>VLOOKUP(C189,classifications!C:K,9,FALSE)</f>
        <v>0</v>
      </c>
      <c r="F189">
        <f t="shared" si="83"/>
        <v>395.2</v>
      </c>
      <c r="G189" s="15"/>
      <c r="H189" s="42">
        <f t="shared" si="84"/>
        <v>395.2</v>
      </c>
      <c r="I189" s="79">
        <f>IF(H189="","",IF($I$8="A",(RANK(H189,H$11:H$343,1)+COUNTIF(H$11:H189,H189)-1),(RANK(H189,H$11:H$343)+COUNTIF(H$11:H189,H189)-1)))</f>
        <v>32</v>
      </c>
      <c r="J189" s="41"/>
      <c r="K189" s="36" t="str">
        <f t="shared" si="85"/>
        <v/>
      </c>
      <c r="L189" t="str">
        <f t="shared" si="86"/>
        <v/>
      </c>
      <c r="M189" s="117" t="str">
        <f t="shared" si="87"/>
        <v/>
      </c>
      <c r="N189" s="112" t="str">
        <f t="shared" si="88"/>
        <v/>
      </c>
      <c r="O189" s="96" t="str">
        <f t="shared" si="89"/>
        <v/>
      </c>
      <c r="P189" s="96" t="str">
        <f t="shared" si="90"/>
        <v/>
      </c>
      <c r="Q189" s="96" t="str">
        <f t="shared" si="91"/>
        <v/>
      </c>
      <c r="R189" s="92" t="str">
        <f t="shared" si="92"/>
        <v/>
      </c>
      <c r="S189" s="42" t="str">
        <f t="shared" si="93"/>
        <v/>
      </c>
      <c r="T189" s="167" t="str">
        <f>IF(L189="","",VLOOKUP(L189,classifications!C:K,9,FALSE))</f>
        <v/>
      </c>
      <c r="U189" s="168" t="str">
        <f t="shared" si="94"/>
        <v/>
      </c>
      <c r="V189" s="174" t="str">
        <f>IF(U189="","",IF($I$8="A",(RANK(U189,U$11:U$343)+COUNTIF(U$11:U189,U189)-1),(RANK(U189,U$11:U$343,1)+COUNTIF(U$11:U189,U189)-1)))</f>
        <v/>
      </c>
      <c r="W189" s="175"/>
      <c r="X189" s="5" t="str">
        <f>IF(L189="","",VLOOKUP($L189,classifications!$C:$J,6,FALSE))</f>
        <v/>
      </c>
      <c r="Y189" t="str">
        <f t="shared" si="95"/>
        <v/>
      </c>
      <c r="Z189" s="40" t="str">
        <f>IF(Y189="","",IF(I$8="A",(RANK(Y189,Y$11:Y$343,1)+COUNTIF(Y$11:Y189,Y189)-1),(RANK(Y189,Y$11:Y$343)+COUNTIF(Y$11:Y189,Y189)-1)))</f>
        <v/>
      </c>
      <c r="AA189" s="180" t="str">
        <f>IF(L189="","",VLOOKUP($L189,classifications!C:I,7,FALSE))</f>
        <v/>
      </c>
      <c r="AB189" s="174" t="str">
        <f t="shared" si="96"/>
        <v/>
      </c>
      <c r="AC189" s="174" t="str">
        <f>IF(AB189="","",IF($I$8="A",(RANK(AB189,AB$11:AB$343)+COUNTIF(AB$11:AB189,AB189)-1),(RANK(AB189,AB$11:AB$343,1)+COUNTIF(AB$11:AB189,AB189)-1)))</f>
        <v/>
      </c>
      <c r="AD189" s="174"/>
      <c r="AE189" s="36" t="str">
        <f t="shared" si="97"/>
        <v/>
      </c>
      <c r="AG189" s="15"/>
      <c r="AH189" s="3"/>
      <c r="AI189" s="5" t="str">
        <f>IF(L189="","",VLOOKUP($L189,classifications!$C:$J,8,FALSE))</f>
        <v/>
      </c>
      <c r="AJ189" s="43" t="str">
        <f t="shared" si="98"/>
        <v/>
      </c>
      <c r="AK189" s="40" t="str">
        <f>IF(AJ189="","",IF(I$8="A",(RANK(AJ189,AJ$11:AJ$343,1)+COUNTIF(AJ$11:AJ189,AJ189)-1),(RANK(AJ189,AJ$11:AJ$343)+COUNTIF(AJ$11:AJ189,AJ189)-1)))</f>
        <v/>
      </c>
      <c r="AL189" s="3" t="str">
        <f t="shared" si="99"/>
        <v/>
      </c>
      <c r="AM189" t="str">
        <f t="shared" si="100"/>
        <v/>
      </c>
      <c r="AN189" t="str">
        <f t="shared" si="101"/>
        <v/>
      </c>
      <c r="AP189" s="5" t="str">
        <f>IF(L189="","",VLOOKUP($L189,classifications!$C:$E,3,FALSE))</f>
        <v/>
      </c>
      <c r="AQ189" s="43" t="str">
        <f t="shared" si="102"/>
        <v/>
      </c>
      <c r="AR189" s="40" t="str">
        <f>IF(AQ189="","",IF(I$8="A",(RANK(AQ189,AQ$11:AQ$343,1)+COUNTIF(AQ$11:AQ189,AQ189)-1),(RANK(AQ189,AQ$11:AQ$343)+COUNTIF(AQ$11:AQ189,AQ189)-1)))</f>
        <v/>
      </c>
      <c r="AS189" s="3" t="str">
        <f t="shared" si="103"/>
        <v/>
      </c>
      <c r="AT189" s="40" t="str">
        <f t="shared" si="104"/>
        <v/>
      </c>
      <c r="AU189" s="43" t="str">
        <f t="shared" si="105"/>
        <v/>
      </c>
      <c r="AX189">
        <f>HLOOKUP($AX$9&amp;$AX$10,Data!$A$1:$ZZ$1980,(MATCH($C189,Data!$A$1:$A$1980,0)),FALSE)</f>
        <v>395.2</v>
      </c>
    </row>
    <row r="190" spans="1:50">
      <c r="A190" s="59" t="str">
        <f>$D$1&amp;180</f>
        <v>UA180</v>
      </c>
      <c r="B190" s="60">
        <f>IF(ISERROR(VLOOKUP(A193,classifications!A:C,3,FALSE)),0,VLOOKUP(A193,classifications!A:C,3,FALSE))</f>
        <v>0</v>
      </c>
      <c r="C190" t="s">
        <v>105</v>
      </c>
      <c r="D190" t="str">
        <f>VLOOKUP($C190,classifications!$C:$J,4,FALSE)</f>
        <v>SD</v>
      </c>
      <c r="E190">
        <f>VLOOKUP(C190,classifications!C:K,9,FALSE)</f>
        <v>0</v>
      </c>
      <c r="F190">
        <f t="shared" si="83"/>
        <v>366</v>
      </c>
      <c r="G190" s="15"/>
      <c r="H190" s="42" t="str">
        <f t="shared" si="84"/>
        <v/>
      </c>
      <c r="I190" s="79" t="str">
        <f>IF(H190="","",IF($I$8="A",(RANK(H190,H$11:H$343,1)+COUNTIF(H$11:H190,H190)-1),(RANK(H190,H$11:H$343)+COUNTIF(H$11:H190,H190)-1)))</f>
        <v/>
      </c>
      <c r="J190" s="41"/>
      <c r="K190" s="36" t="str">
        <f t="shared" si="85"/>
        <v/>
      </c>
      <c r="L190" t="str">
        <f t="shared" si="86"/>
        <v/>
      </c>
      <c r="M190" s="117" t="str">
        <f t="shared" si="87"/>
        <v/>
      </c>
      <c r="N190" s="112" t="str">
        <f t="shared" si="88"/>
        <v/>
      </c>
      <c r="O190" s="96" t="str">
        <f t="shared" si="89"/>
        <v/>
      </c>
      <c r="P190" s="96" t="str">
        <f t="shared" si="90"/>
        <v/>
      </c>
      <c r="Q190" s="96" t="str">
        <f t="shared" si="91"/>
        <v/>
      </c>
      <c r="R190" s="92" t="str">
        <f t="shared" si="92"/>
        <v/>
      </c>
      <c r="S190" s="42" t="str">
        <f t="shared" si="93"/>
        <v/>
      </c>
      <c r="T190" s="167" t="str">
        <f>IF(L190="","",VLOOKUP(L190,classifications!C:K,9,FALSE))</f>
        <v/>
      </c>
      <c r="U190" s="168" t="str">
        <f t="shared" si="94"/>
        <v/>
      </c>
      <c r="V190" s="174" t="str">
        <f>IF(U190="","",IF($I$8="A",(RANK(U190,U$11:U$343)+COUNTIF(U$11:U190,U190)-1),(RANK(U190,U$11:U$343,1)+COUNTIF(U$11:U190,U190)-1)))</f>
        <v/>
      </c>
      <c r="W190" s="175"/>
      <c r="X190" s="5" t="str">
        <f>IF(L190="","",VLOOKUP($L190,classifications!$C:$J,6,FALSE))</f>
        <v/>
      </c>
      <c r="Y190" t="str">
        <f t="shared" si="95"/>
        <v/>
      </c>
      <c r="Z190" s="40" t="str">
        <f>IF(Y190="","",IF(I$8="A",(RANK(Y190,Y$11:Y$343,1)+COUNTIF(Y$11:Y190,Y190)-1),(RANK(Y190,Y$11:Y$343)+COUNTIF(Y$11:Y190,Y190)-1)))</f>
        <v/>
      </c>
      <c r="AA190" s="180" t="str">
        <f>IF(L190="","",VLOOKUP($L190,classifications!C:I,7,FALSE))</f>
        <v/>
      </c>
      <c r="AB190" s="174" t="str">
        <f t="shared" si="96"/>
        <v/>
      </c>
      <c r="AC190" s="174" t="str">
        <f>IF(AB190="","",IF($I$8="A",(RANK(AB190,AB$11:AB$343)+COUNTIF(AB$11:AB190,AB190)-1),(RANK(AB190,AB$11:AB$343,1)+COUNTIF(AB$11:AB190,AB190)-1)))</f>
        <v/>
      </c>
      <c r="AD190" s="174"/>
      <c r="AE190" s="36" t="str">
        <f t="shared" si="97"/>
        <v/>
      </c>
      <c r="AG190" s="15"/>
      <c r="AH190" s="3"/>
      <c r="AI190" s="5" t="str">
        <f>IF(L190="","",VLOOKUP($L190,classifications!$C:$J,8,FALSE))</f>
        <v/>
      </c>
      <c r="AJ190" s="43" t="str">
        <f t="shared" si="98"/>
        <v/>
      </c>
      <c r="AK190" s="40" t="str">
        <f>IF(AJ190="","",IF(I$8="A",(RANK(AJ190,AJ$11:AJ$343,1)+COUNTIF(AJ$11:AJ190,AJ190)-1),(RANK(AJ190,AJ$11:AJ$343)+COUNTIF(AJ$11:AJ190,AJ190)-1)))</f>
        <v/>
      </c>
      <c r="AL190" s="3" t="str">
        <f t="shared" si="99"/>
        <v/>
      </c>
      <c r="AM190" t="str">
        <f t="shared" si="100"/>
        <v/>
      </c>
      <c r="AN190" t="str">
        <f t="shared" si="101"/>
        <v/>
      </c>
      <c r="AP190" s="5" t="str">
        <f>IF(L190="","",VLOOKUP($L190,classifications!$C:$E,3,FALSE))</f>
        <v/>
      </c>
      <c r="AQ190" s="43" t="str">
        <f t="shared" si="102"/>
        <v/>
      </c>
      <c r="AR190" s="40" t="str">
        <f>IF(AQ190="","",IF(I$8="A",(RANK(AQ190,AQ$11:AQ$343,1)+COUNTIF(AQ$11:AQ190,AQ190)-1),(RANK(AQ190,AQ$11:AQ$343)+COUNTIF(AQ$11:AQ190,AQ190)-1)))</f>
        <v/>
      </c>
      <c r="AS190" s="3" t="str">
        <f t="shared" si="103"/>
        <v/>
      </c>
      <c r="AT190" s="40" t="str">
        <f t="shared" si="104"/>
        <v/>
      </c>
      <c r="AU190" s="43" t="str">
        <f t="shared" si="105"/>
        <v/>
      </c>
      <c r="AX190">
        <f>HLOOKUP($AX$9&amp;$AX$10,Data!$A$1:$ZZ$1980,(MATCH($C190,Data!$A$1:$A$1980,0)),FALSE)</f>
        <v>366</v>
      </c>
    </row>
    <row r="191" spans="1:50">
      <c r="A191" s="59" t="str">
        <f>$D$1&amp;181</f>
        <v>UA181</v>
      </c>
      <c r="B191" s="60">
        <f>IF(ISERROR(VLOOKUP(A194,classifications!A:C,3,FALSE)),0,VLOOKUP(A194,classifications!A:C,3,FALSE))</f>
        <v>0</v>
      </c>
      <c r="C191" t="s">
        <v>106</v>
      </c>
      <c r="D191" t="str">
        <f>VLOOKUP($C191,classifications!$C:$J,4,FALSE)</f>
        <v>SD</v>
      </c>
      <c r="E191" t="str">
        <f>VLOOKUP(C191,classifications!C:K,9,FALSE)</f>
        <v>Sparse</v>
      </c>
      <c r="F191">
        <f t="shared" si="83"/>
        <v>325.39999999999998</v>
      </c>
      <c r="G191" s="15"/>
      <c r="H191" s="42" t="str">
        <f t="shared" si="84"/>
        <v/>
      </c>
      <c r="I191" s="79" t="str">
        <f>IF(H191="","",IF($I$8="A",(RANK(H191,H$11:H$343,1)+COUNTIF(H$11:H191,H191)-1),(RANK(H191,H$11:H$343)+COUNTIF(H$11:H191,H191)-1)))</f>
        <v/>
      </c>
      <c r="J191" s="41"/>
      <c r="K191" s="36" t="str">
        <f t="shared" si="85"/>
        <v/>
      </c>
      <c r="L191" t="str">
        <f t="shared" si="86"/>
        <v/>
      </c>
      <c r="M191" s="117" t="str">
        <f t="shared" si="87"/>
        <v/>
      </c>
      <c r="N191" s="112" t="str">
        <f t="shared" si="88"/>
        <v/>
      </c>
      <c r="O191" s="96" t="str">
        <f t="shared" si="89"/>
        <v/>
      </c>
      <c r="P191" s="96" t="str">
        <f t="shared" si="90"/>
        <v/>
      </c>
      <c r="Q191" s="96" t="str">
        <f t="shared" si="91"/>
        <v/>
      </c>
      <c r="R191" s="92" t="str">
        <f t="shared" si="92"/>
        <v/>
      </c>
      <c r="S191" s="42" t="str">
        <f t="shared" si="93"/>
        <v/>
      </c>
      <c r="T191" s="167" t="str">
        <f>IF(L191="","",VLOOKUP(L191,classifications!C:K,9,FALSE))</f>
        <v/>
      </c>
      <c r="U191" s="168" t="str">
        <f t="shared" si="94"/>
        <v/>
      </c>
      <c r="V191" s="174" t="str">
        <f>IF(U191="","",IF($I$8="A",(RANK(U191,U$11:U$343)+COUNTIF(U$11:U191,U191)-1),(RANK(U191,U$11:U$343,1)+COUNTIF(U$11:U191,U191)-1)))</f>
        <v/>
      </c>
      <c r="W191" s="175"/>
      <c r="X191" s="5" t="str">
        <f>IF(L191="","",VLOOKUP($L191,classifications!$C:$J,6,FALSE))</f>
        <v/>
      </c>
      <c r="Y191" t="str">
        <f t="shared" si="95"/>
        <v/>
      </c>
      <c r="Z191" s="40" t="str">
        <f>IF(Y191="","",IF(I$8="A",(RANK(Y191,Y$11:Y$343,1)+COUNTIF(Y$11:Y191,Y191)-1),(RANK(Y191,Y$11:Y$343)+COUNTIF(Y$11:Y191,Y191)-1)))</f>
        <v/>
      </c>
      <c r="AA191" s="180" t="str">
        <f>IF(L191="","",VLOOKUP($L191,classifications!C:I,7,FALSE))</f>
        <v/>
      </c>
      <c r="AB191" s="174" t="str">
        <f t="shared" si="96"/>
        <v/>
      </c>
      <c r="AC191" s="174" t="str">
        <f>IF(AB191="","",IF($I$8="A",(RANK(AB191,AB$11:AB$343)+COUNTIF(AB$11:AB191,AB191)-1),(RANK(AB191,AB$11:AB$343,1)+COUNTIF(AB$11:AB191,AB191)-1)))</f>
        <v/>
      </c>
      <c r="AD191" s="174"/>
      <c r="AE191" s="36" t="str">
        <f t="shared" si="97"/>
        <v/>
      </c>
      <c r="AG191" s="15"/>
      <c r="AH191" s="3"/>
      <c r="AI191" s="5" t="str">
        <f>IF(L191="","",VLOOKUP($L191,classifications!$C:$J,8,FALSE))</f>
        <v/>
      </c>
      <c r="AJ191" s="43" t="str">
        <f t="shared" si="98"/>
        <v/>
      </c>
      <c r="AK191" s="40" t="str">
        <f>IF(AJ191="","",IF(I$8="A",(RANK(AJ191,AJ$11:AJ$343,1)+COUNTIF(AJ$11:AJ191,AJ191)-1),(RANK(AJ191,AJ$11:AJ$343)+COUNTIF(AJ$11:AJ191,AJ191)-1)))</f>
        <v/>
      </c>
      <c r="AL191" s="3" t="str">
        <f t="shared" si="99"/>
        <v/>
      </c>
      <c r="AM191" t="str">
        <f t="shared" si="100"/>
        <v/>
      </c>
      <c r="AN191" t="str">
        <f t="shared" si="101"/>
        <v/>
      </c>
      <c r="AP191" s="5" t="str">
        <f>IF(L191="","",VLOOKUP($L191,classifications!$C:$E,3,FALSE))</f>
        <v/>
      </c>
      <c r="AQ191" s="43" t="str">
        <f t="shared" si="102"/>
        <v/>
      </c>
      <c r="AR191" s="40" t="str">
        <f>IF(AQ191="","",IF(I$8="A",(RANK(AQ191,AQ$11:AQ$343,1)+COUNTIF(AQ$11:AQ191,AQ191)-1),(RANK(AQ191,AQ$11:AQ$343)+COUNTIF(AQ$11:AQ191,AQ191)-1)))</f>
        <v/>
      </c>
      <c r="AS191" s="3" t="str">
        <f t="shared" si="103"/>
        <v/>
      </c>
      <c r="AT191" s="40" t="str">
        <f t="shared" si="104"/>
        <v/>
      </c>
      <c r="AU191" s="43" t="str">
        <f t="shared" si="105"/>
        <v/>
      </c>
      <c r="AX191">
        <f>HLOOKUP($AX$9&amp;$AX$10,Data!$A$1:$ZZ$1980,(MATCH($C191,Data!$A$1:$A$1980,0)),FALSE)</f>
        <v>325.39999999999998</v>
      </c>
    </row>
    <row r="192" spans="1:50">
      <c r="A192" s="59" t="str">
        <f>$D$1&amp;182</f>
        <v>UA182</v>
      </c>
      <c r="B192" s="60">
        <f>IF(ISERROR(VLOOKUP(A195,classifications!A:C,3,FALSE)),0,VLOOKUP(A195,classifications!A:C,3,FALSE))</f>
        <v>0</v>
      </c>
      <c r="C192" t="s">
        <v>347</v>
      </c>
      <c r="D192" t="str">
        <f>VLOOKUP($C192,classifications!$C:$J,4,FALSE)</f>
        <v>SD</v>
      </c>
      <c r="E192">
        <f>VLOOKUP(C192,classifications!C:K,9,FALSE)</f>
        <v>0</v>
      </c>
      <c r="F192">
        <f t="shared" si="83"/>
        <v>359.6</v>
      </c>
      <c r="G192" s="15"/>
      <c r="H192" s="42" t="str">
        <f t="shared" si="84"/>
        <v/>
      </c>
      <c r="I192" s="79" t="str">
        <f>IF(H192="","",IF($I$8="A",(RANK(H192,H$11:H$343,1)+COUNTIF(H$11:H192,H192)-1),(RANK(H192,H$11:H$343)+COUNTIF(H$11:H192,H192)-1)))</f>
        <v/>
      </c>
      <c r="J192" s="41"/>
      <c r="K192" s="36" t="str">
        <f t="shared" si="85"/>
        <v/>
      </c>
      <c r="L192" t="str">
        <f t="shared" si="86"/>
        <v/>
      </c>
      <c r="M192" s="117" t="str">
        <f t="shared" si="87"/>
        <v/>
      </c>
      <c r="N192" s="112" t="str">
        <f t="shared" si="88"/>
        <v/>
      </c>
      <c r="O192" s="96" t="str">
        <f t="shared" si="89"/>
        <v/>
      </c>
      <c r="P192" s="96" t="str">
        <f t="shared" si="90"/>
        <v/>
      </c>
      <c r="Q192" s="96" t="str">
        <f t="shared" si="91"/>
        <v/>
      </c>
      <c r="R192" s="92" t="str">
        <f t="shared" si="92"/>
        <v/>
      </c>
      <c r="S192" s="42" t="str">
        <f t="shared" si="93"/>
        <v/>
      </c>
      <c r="T192" s="167" t="str">
        <f>IF(L192="","",VLOOKUP(L192,classifications!C:K,9,FALSE))</f>
        <v/>
      </c>
      <c r="U192" s="168" t="str">
        <f t="shared" si="94"/>
        <v/>
      </c>
      <c r="V192" s="174" t="str">
        <f>IF(U192="","",IF($I$8="A",(RANK(U192,U$11:U$343)+COUNTIF(U$11:U192,U192)-1),(RANK(U192,U$11:U$343,1)+COUNTIF(U$11:U192,U192)-1)))</f>
        <v/>
      </c>
      <c r="W192" s="175"/>
      <c r="X192" s="5" t="str">
        <f>IF(L192="","",VLOOKUP($L192,classifications!$C:$J,6,FALSE))</f>
        <v/>
      </c>
      <c r="Y192" t="str">
        <f t="shared" si="95"/>
        <v/>
      </c>
      <c r="Z192" s="40" t="str">
        <f>IF(Y192="","",IF(I$8="A",(RANK(Y192,Y$11:Y$343,1)+COUNTIF(Y$11:Y192,Y192)-1),(RANK(Y192,Y$11:Y$343)+COUNTIF(Y$11:Y192,Y192)-1)))</f>
        <v/>
      </c>
      <c r="AA192" s="180" t="str">
        <f>IF(L192="","",VLOOKUP($L192,classifications!C:I,7,FALSE))</f>
        <v/>
      </c>
      <c r="AB192" s="174" t="str">
        <f t="shared" si="96"/>
        <v/>
      </c>
      <c r="AC192" s="174" t="str">
        <f>IF(AB192="","",IF($I$8="A",(RANK(AB192,AB$11:AB$343)+COUNTIF(AB$11:AB192,AB192)-1),(RANK(AB192,AB$11:AB$343,1)+COUNTIF(AB$11:AB192,AB192)-1)))</f>
        <v/>
      </c>
      <c r="AD192" s="174"/>
      <c r="AE192" s="36" t="str">
        <f t="shared" si="97"/>
        <v/>
      </c>
      <c r="AG192" s="15"/>
      <c r="AH192" s="3"/>
      <c r="AI192" s="5" t="str">
        <f>IF(L192="","",VLOOKUP($L192,classifications!$C:$J,8,FALSE))</f>
        <v/>
      </c>
      <c r="AJ192" s="43" t="str">
        <f t="shared" si="98"/>
        <v/>
      </c>
      <c r="AK192" s="40" t="str">
        <f>IF(AJ192="","",IF(I$8="A",(RANK(AJ192,AJ$11:AJ$343,1)+COUNTIF(AJ$11:AJ192,AJ192)-1),(RANK(AJ192,AJ$11:AJ$343)+COUNTIF(AJ$11:AJ192,AJ192)-1)))</f>
        <v/>
      </c>
      <c r="AL192" s="3" t="str">
        <f t="shared" si="99"/>
        <v/>
      </c>
      <c r="AM192" t="str">
        <f t="shared" si="100"/>
        <v/>
      </c>
      <c r="AN192" t="str">
        <f t="shared" si="101"/>
        <v/>
      </c>
      <c r="AP192" s="5" t="str">
        <f>IF(L192="","",VLOOKUP($L192,classifications!$C:$E,3,FALSE))</f>
        <v/>
      </c>
      <c r="AQ192" s="43" t="str">
        <f t="shared" si="102"/>
        <v/>
      </c>
      <c r="AR192" s="40" t="str">
        <f>IF(AQ192="","",IF(I$8="A",(RANK(AQ192,AQ$11:AQ$343,1)+COUNTIF(AQ$11:AQ192,AQ192)-1),(RANK(AQ192,AQ$11:AQ$343)+COUNTIF(AQ$11:AQ192,AQ192)-1)))</f>
        <v/>
      </c>
      <c r="AS192" s="3" t="str">
        <f t="shared" si="103"/>
        <v/>
      </c>
      <c r="AT192" s="40" t="str">
        <f t="shared" si="104"/>
        <v/>
      </c>
      <c r="AU192" s="43" t="str">
        <f t="shared" si="105"/>
        <v/>
      </c>
      <c r="AX192">
        <f>HLOOKUP($AX$9&amp;$AX$10,Data!$A$1:$ZZ$1980,(MATCH($C192,Data!$A$1:$A$1980,0)),FALSE)</f>
        <v>359.6</v>
      </c>
    </row>
    <row r="193" spans="1:50">
      <c r="A193" s="59" t="str">
        <f>$D$1&amp;183</f>
        <v>UA183</v>
      </c>
      <c r="B193" s="60">
        <f>IF(ISERROR(VLOOKUP(A196,classifications!A:C,3,FALSE)),0,VLOOKUP(A196,classifications!A:C,3,FALSE))</f>
        <v>0</v>
      </c>
      <c r="C193" t="s">
        <v>238</v>
      </c>
      <c r="D193" t="str">
        <f>VLOOKUP($C193,classifications!$C:$J,4,FALSE)</f>
        <v>MD</v>
      </c>
      <c r="E193">
        <f>VLOOKUP(C193,classifications!C:K,9,FALSE)</f>
        <v>0</v>
      </c>
      <c r="F193">
        <f t="shared" si="83"/>
        <v>344.4</v>
      </c>
      <c r="G193" s="15"/>
      <c r="H193" s="42" t="str">
        <f t="shared" si="84"/>
        <v/>
      </c>
      <c r="I193" s="79" t="str">
        <f>IF(H193="","",IF($I$8="A",(RANK(H193,H$11:H$343,1)+COUNTIF(H$11:H193,H193)-1),(RANK(H193,H$11:H$343)+COUNTIF(H$11:H193,H193)-1)))</f>
        <v/>
      </c>
      <c r="J193" s="41"/>
      <c r="K193" s="36" t="str">
        <f t="shared" si="85"/>
        <v/>
      </c>
      <c r="L193" t="str">
        <f t="shared" si="86"/>
        <v/>
      </c>
      <c r="M193" s="117" t="str">
        <f t="shared" si="87"/>
        <v/>
      </c>
      <c r="N193" s="112" t="str">
        <f t="shared" si="88"/>
        <v/>
      </c>
      <c r="O193" s="96" t="str">
        <f t="shared" si="89"/>
        <v/>
      </c>
      <c r="P193" s="96" t="str">
        <f t="shared" si="90"/>
        <v/>
      </c>
      <c r="Q193" s="96" t="str">
        <f t="shared" si="91"/>
        <v/>
      </c>
      <c r="R193" s="92" t="str">
        <f t="shared" si="92"/>
        <v/>
      </c>
      <c r="S193" s="42" t="str">
        <f t="shared" si="93"/>
        <v/>
      </c>
      <c r="T193" s="167" t="str">
        <f>IF(L193="","",VLOOKUP(L193,classifications!C:K,9,FALSE))</f>
        <v/>
      </c>
      <c r="U193" s="168" t="str">
        <f t="shared" si="94"/>
        <v/>
      </c>
      <c r="V193" s="174" t="str">
        <f>IF(U193="","",IF($I$8="A",(RANK(U193,U$11:U$343)+COUNTIF(U$11:U193,U193)-1),(RANK(U193,U$11:U$343,1)+COUNTIF(U$11:U193,U193)-1)))</f>
        <v/>
      </c>
      <c r="W193" s="175"/>
      <c r="X193" s="5" t="str">
        <f>IF(L193="","",VLOOKUP($L193,classifications!$C:$J,6,FALSE))</f>
        <v/>
      </c>
      <c r="Y193" t="str">
        <f t="shared" si="95"/>
        <v/>
      </c>
      <c r="Z193" s="40" t="str">
        <f>IF(Y193="","",IF(I$8="A",(RANK(Y193,Y$11:Y$343,1)+COUNTIF(Y$11:Y193,Y193)-1),(RANK(Y193,Y$11:Y$343)+COUNTIF(Y$11:Y193,Y193)-1)))</f>
        <v/>
      </c>
      <c r="AA193" s="180" t="str">
        <f>IF(L193="","",VLOOKUP($L193,classifications!C:I,7,FALSE))</f>
        <v/>
      </c>
      <c r="AB193" s="174" t="str">
        <f t="shared" si="96"/>
        <v/>
      </c>
      <c r="AC193" s="174" t="str">
        <f>IF(AB193="","",IF($I$8="A",(RANK(AB193,AB$11:AB$343)+COUNTIF(AB$11:AB193,AB193)-1),(RANK(AB193,AB$11:AB$343,1)+COUNTIF(AB$11:AB193,AB193)-1)))</f>
        <v/>
      </c>
      <c r="AD193" s="174"/>
      <c r="AE193" s="36" t="str">
        <f t="shared" si="97"/>
        <v/>
      </c>
      <c r="AG193" s="15"/>
      <c r="AH193" s="3"/>
      <c r="AI193" s="5" t="str">
        <f>IF(L193="","",VLOOKUP($L193,classifications!$C:$J,8,FALSE))</f>
        <v/>
      </c>
      <c r="AJ193" s="43" t="str">
        <f t="shared" si="98"/>
        <v/>
      </c>
      <c r="AK193" s="40" t="str">
        <f>IF(AJ193="","",IF(I$8="A",(RANK(AJ193,AJ$11:AJ$343,1)+COUNTIF(AJ$11:AJ193,AJ193)-1),(RANK(AJ193,AJ$11:AJ$343)+COUNTIF(AJ$11:AJ193,AJ193)-1)))</f>
        <v/>
      </c>
      <c r="AL193" s="3" t="str">
        <f t="shared" si="99"/>
        <v/>
      </c>
      <c r="AM193" t="str">
        <f t="shared" si="100"/>
        <v/>
      </c>
      <c r="AN193" t="str">
        <f t="shared" si="101"/>
        <v/>
      </c>
      <c r="AP193" s="5" t="str">
        <f>IF(L193="","",VLOOKUP($L193,classifications!$C:$E,3,FALSE))</f>
        <v/>
      </c>
      <c r="AQ193" s="43" t="str">
        <f t="shared" si="102"/>
        <v/>
      </c>
      <c r="AR193" s="40" t="str">
        <f>IF(AQ193="","",IF(I$8="A",(RANK(AQ193,AQ$11:AQ$343,1)+COUNTIF(AQ$11:AQ193,AQ193)-1),(RANK(AQ193,AQ$11:AQ$343)+COUNTIF(AQ$11:AQ193,AQ193)-1)))</f>
        <v/>
      </c>
      <c r="AS193" s="3" t="str">
        <f t="shared" si="103"/>
        <v/>
      </c>
      <c r="AT193" s="40" t="str">
        <f t="shared" si="104"/>
        <v/>
      </c>
      <c r="AU193" s="43" t="str">
        <f t="shared" si="105"/>
        <v/>
      </c>
      <c r="AX193">
        <f>HLOOKUP($AX$9&amp;$AX$10,Data!$A$1:$ZZ$1980,(MATCH($C193,Data!$A$1:$A$1980,0)),FALSE)</f>
        <v>344.4</v>
      </c>
    </row>
    <row r="194" spans="1:50">
      <c r="A194" s="59" t="str">
        <f>$D$1&amp;184</f>
        <v>UA184</v>
      </c>
      <c r="B194" s="60">
        <f>IF(ISERROR(VLOOKUP(A197,classifications!A:C,3,FALSE)),0,VLOOKUP(A197,classifications!A:C,3,FALSE))</f>
        <v>0</v>
      </c>
      <c r="C194" t="s">
        <v>107</v>
      </c>
      <c r="D194" t="str">
        <f>VLOOKUP($C194,classifications!$C:$J,4,FALSE)</f>
        <v>SD</v>
      </c>
      <c r="E194">
        <f>VLOOKUP(C194,classifications!C:K,9,FALSE)</f>
        <v>0</v>
      </c>
      <c r="F194">
        <f t="shared" si="83"/>
        <v>355.4</v>
      </c>
      <c r="G194" s="15"/>
      <c r="H194" s="42" t="str">
        <f t="shared" si="84"/>
        <v/>
      </c>
      <c r="I194" s="79" t="str">
        <f>IF(H194="","",IF($I$8="A",(RANK(H194,H$11:H$343,1)+COUNTIF(H$11:H194,H194)-1),(RANK(H194,H$11:H$343)+COUNTIF(H$11:H194,H194)-1)))</f>
        <v/>
      </c>
      <c r="J194" s="41"/>
      <c r="K194" s="36" t="str">
        <f t="shared" si="85"/>
        <v/>
      </c>
      <c r="L194" t="str">
        <f t="shared" si="86"/>
        <v/>
      </c>
      <c r="M194" s="117" t="str">
        <f t="shared" si="87"/>
        <v/>
      </c>
      <c r="N194" s="112" t="str">
        <f t="shared" si="88"/>
        <v/>
      </c>
      <c r="O194" s="96" t="str">
        <f t="shared" si="89"/>
        <v/>
      </c>
      <c r="P194" s="96" t="str">
        <f t="shared" si="90"/>
        <v/>
      </c>
      <c r="Q194" s="96" t="str">
        <f t="shared" si="91"/>
        <v/>
      </c>
      <c r="R194" s="92" t="str">
        <f t="shared" si="92"/>
        <v/>
      </c>
      <c r="S194" s="42" t="str">
        <f t="shared" si="93"/>
        <v/>
      </c>
      <c r="T194" s="167" t="str">
        <f>IF(L194="","",VLOOKUP(L194,classifications!C:K,9,FALSE))</f>
        <v/>
      </c>
      <c r="U194" s="168" t="str">
        <f t="shared" si="94"/>
        <v/>
      </c>
      <c r="V194" s="174" t="str">
        <f>IF(U194="","",IF($I$8="A",(RANK(U194,U$11:U$343)+COUNTIF(U$11:U194,U194)-1),(RANK(U194,U$11:U$343,1)+COUNTIF(U$11:U194,U194)-1)))</f>
        <v/>
      </c>
      <c r="W194" s="175"/>
      <c r="X194" s="5" t="str">
        <f>IF(L194="","",VLOOKUP($L194,classifications!$C:$J,6,FALSE))</f>
        <v/>
      </c>
      <c r="Y194" t="str">
        <f t="shared" si="95"/>
        <v/>
      </c>
      <c r="Z194" s="40" t="str">
        <f>IF(Y194="","",IF(I$8="A",(RANK(Y194,Y$11:Y$343,1)+COUNTIF(Y$11:Y194,Y194)-1),(RANK(Y194,Y$11:Y$343)+COUNTIF(Y$11:Y194,Y194)-1)))</f>
        <v/>
      </c>
      <c r="AA194" s="180" t="str">
        <f>IF(L194="","",VLOOKUP($L194,classifications!C:I,7,FALSE))</f>
        <v/>
      </c>
      <c r="AB194" s="174" t="str">
        <f t="shared" si="96"/>
        <v/>
      </c>
      <c r="AC194" s="174" t="str">
        <f>IF(AB194="","",IF($I$8="A",(RANK(AB194,AB$11:AB$343)+COUNTIF(AB$11:AB194,AB194)-1),(RANK(AB194,AB$11:AB$343,1)+COUNTIF(AB$11:AB194,AB194)-1)))</f>
        <v/>
      </c>
      <c r="AD194" s="174"/>
      <c r="AE194" s="36" t="str">
        <f t="shared" si="97"/>
        <v/>
      </c>
      <c r="AG194" s="15"/>
      <c r="AH194" s="3"/>
      <c r="AI194" s="5" t="str">
        <f>IF(L194="","",VLOOKUP($L194,classifications!$C:$J,8,FALSE))</f>
        <v/>
      </c>
      <c r="AJ194" s="43" t="str">
        <f t="shared" si="98"/>
        <v/>
      </c>
      <c r="AK194" s="40" t="str">
        <f>IF(AJ194="","",IF(I$8="A",(RANK(AJ194,AJ$11:AJ$343,1)+COUNTIF(AJ$11:AJ194,AJ194)-1),(RANK(AJ194,AJ$11:AJ$343)+COUNTIF(AJ$11:AJ194,AJ194)-1)))</f>
        <v/>
      </c>
      <c r="AL194" s="3" t="str">
        <f t="shared" si="99"/>
        <v/>
      </c>
      <c r="AM194" t="str">
        <f t="shared" si="100"/>
        <v/>
      </c>
      <c r="AN194" t="str">
        <f t="shared" si="101"/>
        <v/>
      </c>
      <c r="AP194" s="5" t="str">
        <f>IF(L194="","",VLOOKUP($L194,classifications!$C:$E,3,FALSE))</f>
        <v/>
      </c>
      <c r="AQ194" s="43" t="str">
        <f t="shared" si="102"/>
        <v/>
      </c>
      <c r="AR194" s="40" t="str">
        <f>IF(AQ194="","",IF(I$8="A",(RANK(AQ194,AQ$11:AQ$343,1)+COUNTIF(AQ$11:AQ194,AQ194)-1),(RANK(AQ194,AQ$11:AQ$343)+COUNTIF(AQ$11:AQ194,AQ194)-1)))</f>
        <v/>
      </c>
      <c r="AS194" s="3" t="str">
        <f t="shared" si="103"/>
        <v/>
      </c>
      <c r="AT194" s="40" t="str">
        <f t="shared" si="104"/>
        <v/>
      </c>
      <c r="AU194" s="43" t="str">
        <f t="shared" si="105"/>
        <v/>
      </c>
      <c r="AX194">
        <f>HLOOKUP($AX$9&amp;$AX$10,Data!$A$1:$ZZ$1980,(MATCH($C194,Data!$A$1:$A$1980,0)),FALSE)</f>
        <v>355.4</v>
      </c>
    </row>
    <row r="195" spans="1:50">
      <c r="A195" s="59" t="str">
        <f>$D$1&amp;185</f>
        <v>UA185</v>
      </c>
      <c r="B195" s="60">
        <f>IF(ISERROR(VLOOKUP(A198,classifications!A:C,3,FALSE)),0,VLOOKUP(A198,classifications!A:C,3,FALSE))</f>
        <v>0</v>
      </c>
      <c r="C195" t="s">
        <v>216</v>
      </c>
      <c r="D195" t="str">
        <f>VLOOKUP($C195,classifications!$C:$J,4,FALSE)</f>
        <v>L</v>
      </c>
      <c r="E195">
        <f>VLOOKUP(C195,classifications!C:K,9,FALSE)</f>
        <v>0</v>
      </c>
      <c r="F195">
        <f t="shared" si="83"/>
        <v>332.3</v>
      </c>
      <c r="G195" s="15"/>
      <c r="H195" s="42" t="str">
        <f t="shared" si="84"/>
        <v/>
      </c>
      <c r="I195" s="79" t="str">
        <f>IF(H195="","",IF($I$8="A",(RANK(H195,H$11:H$343,1)+COUNTIF(H$11:H195,H195)-1),(RANK(H195,H$11:H$343)+COUNTIF(H$11:H195,H195)-1)))</f>
        <v/>
      </c>
      <c r="J195" s="41"/>
      <c r="K195" s="36" t="str">
        <f t="shared" si="85"/>
        <v/>
      </c>
      <c r="L195" t="str">
        <f t="shared" si="86"/>
        <v/>
      </c>
      <c r="M195" s="117" t="str">
        <f t="shared" si="87"/>
        <v/>
      </c>
      <c r="N195" s="112" t="str">
        <f t="shared" si="88"/>
        <v/>
      </c>
      <c r="O195" s="96" t="str">
        <f t="shared" si="89"/>
        <v/>
      </c>
      <c r="P195" s="96" t="str">
        <f t="shared" si="90"/>
        <v/>
      </c>
      <c r="Q195" s="96" t="str">
        <f t="shared" si="91"/>
        <v/>
      </c>
      <c r="R195" s="92" t="str">
        <f t="shared" si="92"/>
        <v/>
      </c>
      <c r="S195" s="42" t="str">
        <f t="shared" si="93"/>
        <v/>
      </c>
      <c r="T195" s="167" t="str">
        <f>IF(L195="","",VLOOKUP(L195,classifications!C:K,9,FALSE))</f>
        <v/>
      </c>
      <c r="U195" s="168" t="str">
        <f t="shared" si="94"/>
        <v/>
      </c>
      <c r="V195" s="174" t="str">
        <f>IF(U195="","",IF($I$8="A",(RANK(U195,U$11:U$343)+COUNTIF(U$11:U195,U195)-1),(RANK(U195,U$11:U$343,1)+COUNTIF(U$11:U195,U195)-1)))</f>
        <v/>
      </c>
      <c r="W195" s="175"/>
      <c r="X195" s="5" t="str">
        <f>IF(L195="","",VLOOKUP($L195,classifications!$C:$J,6,FALSE))</f>
        <v/>
      </c>
      <c r="Y195" t="str">
        <f t="shared" si="95"/>
        <v/>
      </c>
      <c r="Z195" s="40" t="str">
        <f>IF(Y195="","",IF(I$8="A",(RANK(Y195,Y$11:Y$343,1)+COUNTIF(Y$11:Y195,Y195)-1),(RANK(Y195,Y$11:Y$343)+COUNTIF(Y$11:Y195,Y195)-1)))</f>
        <v/>
      </c>
      <c r="AA195" s="180" t="str">
        <f>IF(L195="","",VLOOKUP($L195,classifications!C:I,7,FALSE))</f>
        <v/>
      </c>
      <c r="AB195" s="174" t="str">
        <f t="shared" si="96"/>
        <v/>
      </c>
      <c r="AC195" s="174" t="str">
        <f>IF(AB195="","",IF($I$8="A",(RANK(AB195,AB$11:AB$343)+COUNTIF(AB$11:AB195,AB195)-1),(RANK(AB195,AB$11:AB$343,1)+COUNTIF(AB$11:AB195,AB195)-1)))</f>
        <v/>
      </c>
      <c r="AD195" s="174"/>
      <c r="AE195" s="36" t="str">
        <f t="shared" si="97"/>
        <v/>
      </c>
      <c r="AG195" s="15"/>
      <c r="AH195" s="3"/>
      <c r="AI195" s="5" t="str">
        <f>IF(L195="","",VLOOKUP($L195,classifications!$C:$J,8,FALSE))</f>
        <v/>
      </c>
      <c r="AJ195" s="43" t="str">
        <f t="shared" si="98"/>
        <v/>
      </c>
      <c r="AK195" s="40" t="str">
        <f>IF(AJ195="","",IF(I$8="A",(RANK(AJ195,AJ$11:AJ$343,1)+COUNTIF(AJ$11:AJ195,AJ195)-1),(RANK(AJ195,AJ$11:AJ$343)+COUNTIF(AJ$11:AJ195,AJ195)-1)))</f>
        <v/>
      </c>
      <c r="AL195" s="3" t="str">
        <f t="shared" si="99"/>
        <v/>
      </c>
      <c r="AM195" t="str">
        <f t="shared" si="100"/>
        <v/>
      </c>
      <c r="AN195" t="str">
        <f t="shared" si="101"/>
        <v/>
      </c>
      <c r="AP195" s="5" t="str">
        <f>IF(L195="","",VLOOKUP($L195,classifications!$C:$E,3,FALSE))</f>
        <v/>
      </c>
      <c r="AQ195" s="43" t="str">
        <f t="shared" si="102"/>
        <v/>
      </c>
      <c r="AR195" s="40" t="str">
        <f>IF(AQ195="","",IF(I$8="A",(RANK(AQ195,AQ$11:AQ$343,1)+COUNTIF(AQ$11:AQ195,AQ195)-1),(RANK(AQ195,AQ$11:AQ$343)+COUNTIF(AQ$11:AQ195,AQ195)-1)))</f>
        <v/>
      </c>
      <c r="AS195" s="3" t="str">
        <f t="shared" si="103"/>
        <v/>
      </c>
      <c r="AT195" s="40" t="str">
        <f t="shared" si="104"/>
        <v/>
      </c>
      <c r="AU195" s="43" t="str">
        <f t="shared" si="105"/>
        <v/>
      </c>
      <c r="AX195">
        <f>HLOOKUP($AX$9&amp;$AX$10,Data!$A$1:$ZZ$1980,(MATCH($C195,Data!$A$1:$A$1980,0)),FALSE)</f>
        <v>332.3</v>
      </c>
    </row>
    <row r="196" spans="1:50">
      <c r="A196" s="59" t="str">
        <f>$D$1&amp;186</f>
        <v>UA186</v>
      </c>
      <c r="B196" s="60">
        <f>IF(ISERROR(VLOOKUP(A199,classifications!A:C,3,FALSE)),0,VLOOKUP(A199,classifications!A:C,3,FALSE))</f>
        <v>0</v>
      </c>
      <c r="C196" t="s">
        <v>320</v>
      </c>
      <c r="D196" t="str">
        <f>VLOOKUP($C196,classifications!$C:$J,4,FALSE)</f>
        <v>SC</v>
      </c>
      <c r="E196" t="str">
        <f>VLOOKUP(C196,classifications!C:K,9,FALSE)</f>
        <v>Sparse</v>
      </c>
      <c r="F196">
        <f t="shared" si="83"/>
        <v>419.6</v>
      </c>
      <c r="G196" s="15"/>
      <c r="H196" s="42" t="str">
        <f t="shared" si="84"/>
        <v/>
      </c>
      <c r="I196" s="79" t="str">
        <f>IF(H196="","",IF($I$8="A",(RANK(H196,H$11:H$343,1)+COUNTIF(H$11:H196,H196)-1),(RANK(H196,H$11:H$343)+COUNTIF(H$11:H196,H196)-1)))</f>
        <v/>
      </c>
      <c r="J196" s="41"/>
      <c r="K196" s="36" t="str">
        <f t="shared" si="85"/>
        <v/>
      </c>
      <c r="L196" t="str">
        <f t="shared" si="86"/>
        <v/>
      </c>
      <c r="M196" s="117" t="str">
        <f t="shared" si="87"/>
        <v/>
      </c>
      <c r="N196" s="112" t="str">
        <f t="shared" si="88"/>
        <v/>
      </c>
      <c r="O196" s="96" t="str">
        <f t="shared" si="89"/>
        <v/>
      </c>
      <c r="P196" s="96" t="str">
        <f t="shared" si="90"/>
        <v/>
      </c>
      <c r="Q196" s="96" t="str">
        <f t="shared" si="91"/>
        <v/>
      </c>
      <c r="R196" s="92" t="str">
        <f t="shared" si="92"/>
        <v/>
      </c>
      <c r="S196" s="42" t="str">
        <f t="shared" si="93"/>
        <v/>
      </c>
      <c r="T196" s="167" t="str">
        <f>IF(L196="","",VLOOKUP(L196,classifications!C:K,9,FALSE))</f>
        <v/>
      </c>
      <c r="U196" s="168" t="str">
        <f t="shared" si="94"/>
        <v/>
      </c>
      <c r="V196" s="174" t="str">
        <f>IF(U196="","",IF($I$8="A",(RANK(U196,U$11:U$343)+COUNTIF(U$11:U196,U196)-1),(RANK(U196,U$11:U$343,1)+COUNTIF(U$11:U196,U196)-1)))</f>
        <v/>
      </c>
      <c r="W196" s="175"/>
      <c r="X196" s="5" t="str">
        <f>IF(L196="","",VLOOKUP($L196,classifications!$C:$J,6,FALSE))</f>
        <v/>
      </c>
      <c r="Y196" t="str">
        <f t="shared" si="95"/>
        <v/>
      </c>
      <c r="Z196" s="40" t="str">
        <f>IF(Y196="","",IF(I$8="A",(RANK(Y196,Y$11:Y$343,1)+COUNTIF(Y$11:Y196,Y196)-1),(RANK(Y196,Y$11:Y$343)+COUNTIF(Y$11:Y196,Y196)-1)))</f>
        <v/>
      </c>
      <c r="AA196" s="180" t="str">
        <f>IF(L196="","",VLOOKUP($L196,classifications!C:I,7,FALSE))</f>
        <v/>
      </c>
      <c r="AB196" s="174" t="str">
        <f t="shared" si="96"/>
        <v/>
      </c>
      <c r="AC196" s="174" t="str">
        <f>IF(AB196="","",IF($I$8="A",(RANK(AB196,AB$11:AB$343)+COUNTIF(AB$11:AB196,AB196)-1),(RANK(AB196,AB$11:AB$343,1)+COUNTIF(AB$11:AB196,AB196)-1)))</f>
        <v/>
      </c>
      <c r="AD196" s="174"/>
      <c r="AE196" s="36" t="str">
        <f t="shared" si="97"/>
        <v/>
      </c>
      <c r="AG196" s="15"/>
      <c r="AH196" s="3"/>
      <c r="AI196" s="5" t="str">
        <f>IF(L196="","",VLOOKUP($L196,classifications!$C:$J,8,FALSE))</f>
        <v/>
      </c>
      <c r="AJ196" s="43" t="str">
        <f t="shared" si="98"/>
        <v/>
      </c>
      <c r="AK196" s="40" t="str">
        <f>IF(AJ196="","",IF(I$8="A",(RANK(AJ196,AJ$11:AJ$343,1)+COUNTIF(AJ$11:AJ196,AJ196)-1),(RANK(AJ196,AJ$11:AJ$343)+COUNTIF(AJ$11:AJ196,AJ196)-1)))</f>
        <v/>
      </c>
      <c r="AL196" s="3" t="str">
        <f t="shared" si="99"/>
        <v/>
      </c>
      <c r="AM196" t="str">
        <f t="shared" si="100"/>
        <v/>
      </c>
      <c r="AN196" t="str">
        <f t="shared" si="101"/>
        <v/>
      </c>
      <c r="AP196" s="5" t="str">
        <f>IF(L196="","",VLOOKUP($L196,classifications!$C:$E,3,FALSE))</f>
        <v/>
      </c>
      <c r="AQ196" s="43" t="str">
        <f t="shared" si="102"/>
        <v/>
      </c>
      <c r="AR196" s="40" t="str">
        <f>IF(AQ196="","",IF(I$8="A",(RANK(AQ196,AQ$11:AQ$343,1)+COUNTIF(AQ$11:AQ196,AQ196)-1),(RANK(AQ196,AQ$11:AQ$343)+COUNTIF(AQ$11:AQ196,AQ196)-1)))</f>
        <v/>
      </c>
      <c r="AS196" s="3" t="str">
        <f t="shared" si="103"/>
        <v/>
      </c>
      <c r="AT196" s="40" t="str">
        <f t="shared" si="104"/>
        <v/>
      </c>
      <c r="AU196" s="43" t="str">
        <f t="shared" si="105"/>
        <v/>
      </c>
      <c r="AX196">
        <f>HLOOKUP($AX$9&amp;$AX$10,Data!$A$1:$ZZ$1980,(MATCH($C196,Data!$A$1:$A$1980,0)),FALSE)</f>
        <v>419.6</v>
      </c>
    </row>
    <row r="197" spans="1:50">
      <c r="A197" s="59" t="str">
        <f>$D$1&amp;187</f>
        <v>UA187</v>
      </c>
      <c r="B197" s="60">
        <f>IF(ISERROR(VLOOKUP(A200,classifications!A:C,3,FALSE)),0,VLOOKUP(A200,classifications!A:C,3,FALSE))</f>
        <v>0</v>
      </c>
      <c r="C197" t="s">
        <v>108</v>
      </c>
      <c r="D197" t="str">
        <f>VLOOKUP($C197,classifications!$C:$J,4,FALSE)</f>
        <v>SD</v>
      </c>
      <c r="E197" t="str">
        <f>VLOOKUP(C197,classifications!C:K,9,FALSE)</f>
        <v>Sparse</v>
      </c>
      <c r="F197">
        <f t="shared" si="83"/>
        <v>366</v>
      </c>
      <c r="G197" s="15"/>
      <c r="H197" s="42" t="str">
        <f t="shared" si="84"/>
        <v/>
      </c>
      <c r="I197" s="79" t="str">
        <f>IF(H197="","",IF($I$8="A",(RANK(H197,H$11:H$343,1)+COUNTIF(H$11:H197,H197)-1),(RANK(H197,H$11:H$343)+COUNTIF(H$11:H197,H197)-1)))</f>
        <v/>
      </c>
      <c r="J197" s="41"/>
      <c r="K197" s="36" t="str">
        <f t="shared" si="85"/>
        <v/>
      </c>
      <c r="L197" t="str">
        <f t="shared" si="86"/>
        <v/>
      </c>
      <c r="M197" s="117" t="str">
        <f t="shared" si="87"/>
        <v/>
      </c>
      <c r="N197" s="112" t="str">
        <f t="shared" si="88"/>
        <v/>
      </c>
      <c r="O197" s="96" t="str">
        <f t="shared" si="89"/>
        <v/>
      </c>
      <c r="P197" s="96" t="str">
        <f t="shared" si="90"/>
        <v/>
      </c>
      <c r="Q197" s="96" t="str">
        <f t="shared" si="91"/>
        <v/>
      </c>
      <c r="R197" s="92" t="str">
        <f t="shared" si="92"/>
        <v/>
      </c>
      <c r="S197" s="42" t="str">
        <f t="shared" si="93"/>
        <v/>
      </c>
      <c r="T197" s="167" t="str">
        <f>IF(L197="","",VLOOKUP(L197,classifications!C:K,9,FALSE))</f>
        <v/>
      </c>
      <c r="U197" s="168" t="str">
        <f t="shared" si="94"/>
        <v/>
      </c>
      <c r="V197" s="174" t="str">
        <f>IF(U197="","",IF($I$8="A",(RANK(U197,U$11:U$343)+COUNTIF(U$11:U197,U197)-1),(RANK(U197,U$11:U$343,1)+COUNTIF(U$11:U197,U197)-1)))</f>
        <v/>
      </c>
      <c r="W197" s="175"/>
      <c r="X197" s="5" t="str">
        <f>IF(L197="","",VLOOKUP($L197,classifications!$C:$J,6,FALSE))</f>
        <v/>
      </c>
      <c r="Y197" t="str">
        <f t="shared" si="95"/>
        <v/>
      </c>
      <c r="Z197" s="40" t="str">
        <f>IF(Y197="","",IF(I$8="A",(RANK(Y197,Y$11:Y$343,1)+COUNTIF(Y$11:Y197,Y197)-1),(RANK(Y197,Y$11:Y$343)+COUNTIF(Y$11:Y197,Y197)-1)))</f>
        <v/>
      </c>
      <c r="AA197" s="180" t="str">
        <f>IF(L197="","",VLOOKUP($L197,classifications!C:I,7,FALSE))</f>
        <v/>
      </c>
      <c r="AB197" s="174" t="str">
        <f t="shared" si="96"/>
        <v/>
      </c>
      <c r="AC197" s="174" t="str">
        <f>IF(AB197="","",IF($I$8="A",(RANK(AB197,AB$11:AB$343)+COUNTIF(AB$11:AB197,AB197)-1),(RANK(AB197,AB$11:AB$343,1)+COUNTIF(AB$11:AB197,AB197)-1)))</f>
        <v/>
      </c>
      <c r="AD197" s="174"/>
      <c r="AE197" s="36" t="str">
        <f t="shared" si="97"/>
        <v/>
      </c>
      <c r="AG197" s="15"/>
      <c r="AH197" s="3"/>
      <c r="AI197" s="5" t="str">
        <f>IF(L197="","",VLOOKUP($L197,classifications!$C:$J,8,FALSE))</f>
        <v/>
      </c>
      <c r="AJ197" s="43" t="str">
        <f t="shared" si="98"/>
        <v/>
      </c>
      <c r="AK197" s="40" t="str">
        <f>IF(AJ197="","",IF(I$8="A",(RANK(AJ197,AJ$11:AJ$343,1)+COUNTIF(AJ$11:AJ197,AJ197)-1),(RANK(AJ197,AJ$11:AJ$343)+COUNTIF(AJ$11:AJ197,AJ197)-1)))</f>
        <v/>
      </c>
      <c r="AL197" s="3" t="str">
        <f t="shared" si="99"/>
        <v/>
      </c>
      <c r="AM197" t="str">
        <f t="shared" si="100"/>
        <v/>
      </c>
      <c r="AN197" t="str">
        <f t="shared" si="101"/>
        <v/>
      </c>
      <c r="AP197" s="5" t="str">
        <f>IF(L197="","",VLOOKUP($L197,classifications!$C:$E,3,FALSE))</f>
        <v/>
      </c>
      <c r="AQ197" s="43" t="str">
        <f t="shared" si="102"/>
        <v/>
      </c>
      <c r="AR197" s="40" t="str">
        <f>IF(AQ197="","",IF(I$8="A",(RANK(AQ197,AQ$11:AQ$343,1)+COUNTIF(AQ$11:AQ197,AQ197)-1),(RANK(AQ197,AQ$11:AQ$343)+COUNTIF(AQ$11:AQ197,AQ197)-1)))</f>
        <v/>
      </c>
      <c r="AS197" s="3" t="str">
        <f t="shared" si="103"/>
        <v/>
      </c>
      <c r="AT197" s="40" t="str">
        <f t="shared" si="104"/>
        <v/>
      </c>
      <c r="AU197" s="43" t="str">
        <f t="shared" si="105"/>
        <v/>
      </c>
      <c r="AX197">
        <f>HLOOKUP($AX$9&amp;$AX$10,Data!$A$1:$ZZ$1980,(MATCH($C197,Data!$A$1:$A$1980,0)),FALSE)</f>
        <v>366</v>
      </c>
    </row>
    <row r="198" spans="1:50">
      <c r="A198" s="59" t="str">
        <f>$D$1&amp;188</f>
        <v>UA188</v>
      </c>
      <c r="B198" s="60">
        <f>IF(ISERROR(VLOOKUP(A201,classifications!A:C,3,FALSE)),0,VLOOKUP(A201,classifications!A:C,3,FALSE))</f>
        <v>0</v>
      </c>
      <c r="C198" t="s">
        <v>110</v>
      </c>
      <c r="D198" t="str">
        <f>VLOOKUP($C198,classifications!$C:$J,4,FALSE)</f>
        <v>SD</v>
      </c>
      <c r="E198">
        <f>VLOOKUP(C198,classifications!C:K,9,FALSE)</f>
        <v>0</v>
      </c>
      <c r="F198">
        <f t="shared" si="83"/>
        <v>353.2</v>
      </c>
      <c r="G198" s="15"/>
      <c r="H198" s="42" t="str">
        <f t="shared" si="84"/>
        <v/>
      </c>
      <c r="I198" s="79" t="str">
        <f>IF(H198="","",IF($I$8="A",(RANK(H198,H$11:H$343,1)+COUNTIF(H$11:H198,H198)-1),(RANK(H198,H$11:H$343)+COUNTIF(H$11:H198,H198)-1)))</f>
        <v/>
      </c>
      <c r="J198" s="41"/>
      <c r="K198" s="36" t="str">
        <f t="shared" si="85"/>
        <v/>
      </c>
      <c r="L198" t="str">
        <f t="shared" si="86"/>
        <v/>
      </c>
      <c r="M198" s="117" t="str">
        <f t="shared" si="87"/>
        <v/>
      </c>
      <c r="N198" s="112" t="str">
        <f t="shared" si="88"/>
        <v/>
      </c>
      <c r="O198" s="96" t="str">
        <f t="shared" si="89"/>
        <v/>
      </c>
      <c r="P198" s="96" t="str">
        <f t="shared" si="90"/>
        <v/>
      </c>
      <c r="Q198" s="96" t="str">
        <f t="shared" si="91"/>
        <v/>
      </c>
      <c r="R198" s="92" t="str">
        <f t="shared" si="92"/>
        <v/>
      </c>
      <c r="S198" s="42" t="str">
        <f t="shared" si="93"/>
        <v/>
      </c>
      <c r="T198" s="167" t="str">
        <f>IF(L198="","",VLOOKUP(L198,classifications!C:K,9,FALSE))</f>
        <v/>
      </c>
      <c r="U198" s="168" t="str">
        <f t="shared" si="94"/>
        <v/>
      </c>
      <c r="V198" s="174" t="str">
        <f>IF(U198="","",IF($I$8="A",(RANK(U198,U$11:U$343)+COUNTIF(U$11:U198,U198)-1),(RANK(U198,U$11:U$343,1)+COUNTIF(U$11:U198,U198)-1)))</f>
        <v/>
      </c>
      <c r="W198" s="175"/>
      <c r="X198" s="5" t="str">
        <f>IF(L198="","",VLOOKUP($L198,classifications!$C:$J,6,FALSE))</f>
        <v/>
      </c>
      <c r="Y198" t="str">
        <f t="shared" si="95"/>
        <v/>
      </c>
      <c r="Z198" s="40" t="str">
        <f>IF(Y198="","",IF(I$8="A",(RANK(Y198,Y$11:Y$343,1)+COUNTIF(Y$11:Y198,Y198)-1),(RANK(Y198,Y$11:Y$343)+COUNTIF(Y$11:Y198,Y198)-1)))</f>
        <v/>
      </c>
      <c r="AA198" s="180" t="str">
        <f>IF(L198="","",VLOOKUP($L198,classifications!C:I,7,FALSE))</f>
        <v/>
      </c>
      <c r="AB198" s="174" t="str">
        <f t="shared" si="96"/>
        <v/>
      </c>
      <c r="AC198" s="174" t="str">
        <f>IF(AB198="","",IF($I$8="A",(RANK(AB198,AB$11:AB$343)+COUNTIF(AB$11:AB198,AB198)-1),(RANK(AB198,AB$11:AB$343,1)+COUNTIF(AB$11:AB198,AB198)-1)))</f>
        <v/>
      </c>
      <c r="AD198" s="174"/>
      <c r="AE198" s="36" t="str">
        <f t="shared" si="97"/>
        <v/>
      </c>
      <c r="AG198" s="15"/>
      <c r="AH198" s="3"/>
      <c r="AI198" s="5" t="str">
        <f>IF(L198="","",VLOOKUP($L198,classifications!$C:$J,8,FALSE))</f>
        <v/>
      </c>
      <c r="AJ198" s="43" t="str">
        <f t="shared" si="98"/>
        <v/>
      </c>
      <c r="AK198" s="40" t="str">
        <f>IF(AJ198="","",IF(I$8="A",(RANK(AJ198,AJ$11:AJ$343,1)+COUNTIF(AJ$11:AJ198,AJ198)-1),(RANK(AJ198,AJ$11:AJ$343)+COUNTIF(AJ$11:AJ198,AJ198)-1)))</f>
        <v/>
      </c>
      <c r="AL198" s="3" t="str">
        <f t="shared" si="99"/>
        <v/>
      </c>
      <c r="AM198" t="str">
        <f t="shared" si="100"/>
        <v/>
      </c>
      <c r="AN198" t="str">
        <f t="shared" si="101"/>
        <v/>
      </c>
      <c r="AP198" s="5" t="str">
        <f>IF(L198="","",VLOOKUP($L198,classifications!$C:$E,3,FALSE))</f>
        <v/>
      </c>
      <c r="AQ198" s="43" t="str">
        <f t="shared" si="102"/>
        <v/>
      </c>
      <c r="AR198" s="40" t="str">
        <f>IF(AQ198="","",IF(I$8="A",(RANK(AQ198,AQ$11:AQ$343,1)+COUNTIF(AQ$11:AQ198,AQ198)-1),(RANK(AQ198,AQ$11:AQ$343)+COUNTIF(AQ$11:AQ198,AQ198)-1)))</f>
        <v/>
      </c>
      <c r="AS198" s="3" t="str">
        <f t="shared" si="103"/>
        <v/>
      </c>
      <c r="AT198" s="40" t="str">
        <f t="shared" si="104"/>
        <v/>
      </c>
      <c r="AU198" s="43" t="str">
        <f t="shared" si="105"/>
        <v/>
      </c>
      <c r="AX198">
        <f>HLOOKUP($AX$9&amp;$AX$10,Data!$A$1:$ZZ$1980,(MATCH($C198,Data!$A$1:$A$1980,0)),FALSE)</f>
        <v>353.2</v>
      </c>
    </row>
    <row r="199" spans="1:50">
      <c r="A199" s="59" t="str">
        <f>$D$1&amp;189</f>
        <v>UA189</v>
      </c>
      <c r="B199" s="60">
        <f>IF(ISERROR(VLOOKUP(A202,classifications!A:C,3,FALSE)),0,VLOOKUP(A202,classifications!A:C,3,FALSE))</f>
        <v>0</v>
      </c>
      <c r="C199" t="s">
        <v>277</v>
      </c>
      <c r="D199" t="str">
        <f>VLOOKUP($C199,classifications!$C:$J,4,FALSE)</f>
        <v>UA</v>
      </c>
      <c r="E199">
        <f>VLOOKUP(C199,classifications!C:K,9,FALSE)</f>
        <v>0</v>
      </c>
      <c r="F199">
        <f t="shared" si="83"/>
        <v>430.4</v>
      </c>
      <c r="G199" s="15"/>
      <c r="H199" s="42">
        <f t="shared" si="84"/>
        <v>430.4</v>
      </c>
      <c r="I199" s="79">
        <f>IF(H199="","",IF($I$8="A",(RANK(H199,H$11:H$343,1)+COUNTIF(H$11:H199,H199)-1),(RANK(H199,H$11:H$343)+COUNTIF(H$11:H199,H199)-1)))</f>
        <v>47</v>
      </c>
      <c r="J199" s="41"/>
      <c r="K199" s="36" t="str">
        <f t="shared" si="85"/>
        <v/>
      </c>
      <c r="L199" t="str">
        <f t="shared" si="86"/>
        <v/>
      </c>
      <c r="M199" s="117" t="str">
        <f t="shared" si="87"/>
        <v/>
      </c>
      <c r="N199" s="112" t="str">
        <f t="shared" si="88"/>
        <v/>
      </c>
      <c r="O199" s="96" t="str">
        <f t="shared" si="89"/>
        <v/>
      </c>
      <c r="P199" s="96" t="str">
        <f t="shared" si="90"/>
        <v/>
      </c>
      <c r="Q199" s="96" t="str">
        <f t="shared" si="91"/>
        <v/>
      </c>
      <c r="R199" s="92" t="str">
        <f t="shared" si="92"/>
        <v/>
      </c>
      <c r="S199" s="42" t="str">
        <f t="shared" si="93"/>
        <v/>
      </c>
      <c r="T199" s="167" t="str">
        <f>IF(L199="","",VLOOKUP(L199,classifications!C:K,9,FALSE))</f>
        <v/>
      </c>
      <c r="U199" s="168" t="str">
        <f t="shared" si="94"/>
        <v/>
      </c>
      <c r="V199" s="174" t="str">
        <f>IF(U199="","",IF($I$8="A",(RANK(U199,U$11:U$343)+COUNTIF(U$11:U199,U199)-1),(RANK(U199,U$11:U$343,1)+COUNTIF(U$11:U199,U199)-1)))</f>
        <v/>
      </c>
      <c r="W199" s="175"/>
      <c r="X199" s="5" t="str">
        <f>IF(L199="","",VLOOKUP($L199,classifications!$C:$J,6,FALSE))</f>
        <v/>
      </c>
      <c r="Y199" t="str">
        <f t="shared" si="95"/>
        <v/>
      </c>
      <c r="Z199" s="40" t="str">
        <f>IF(Y199="","",IF(I$8="A",(RANK(Y199,Y$11:Y$343,1)+COUNTIF(Y$11:Y199,Y199)-1),(RANK(Y199,Y$11:Y$343)+COUNTIF(Y$11:Y199,Y199)-1)))</f>
        <v/>
      </c>
      <c r="AA199" s="180" t="str">
        <f>IF(L199="","",VLOOKUP($L199,classifications!C:I,7,FALSE))</f>
        <v/>
      </c>
      <c r="AB199" s="174" t="str">
        <f t="shared" si="96"/>
        <v/>
      </c>
      <c r="AC199" s="174" t="str">
        <f>IF(AB199="","",IF($I$8="A",(RANK(AB199,AB$11:AB$343)+COUNTIF(AB$11:AB199,AB199)-1),(RANK(AB199,AB$11:AB$343,1)+COUNTIF(AB$11:AB199,AB199)-1)))</f>
        <v/>
      </c>
      <c r="AD199" s="174"/>
      <c r="AE199" s="36" t="str">
        <f t="shared" si="97"/>
        <v/>
      </c>
      <c r="AG199" s="15"/>
      <c r="AH199" s="3"/>
      <c r="AI199" s="5" t="str">
        <f>IF(L199="","",VLOOKUP($L199,classifications!$C:$J,8,FALSE))</f>
        <v/>
      </c>
      <c r="AJ199" s="43" t="str">
        <f t="shared" si="98"/>
        <v/>
      </c>
      <c r="AK199" s="40" t="str">
        <f>IF(AJ199="","",IF(I$8="A",(RANK(AJ199,AJ$11:AJ$343,1)+COUNTIF(AJ$11:AJ199,AJ199)-1),(RANK(AJ199,AJ$11:AJ$343)+COUNTIF(AJ$11:AJ199,AJ199)-1)))</f>
        <v/>
      </c>
      <c r="AL199" s="3" t="str">
        <f t="shared" si="99"/>
        <v/>
      </c>
      <c r="AM199" t="str">
        <f t="shared" si="100"/>
        <v/>
      </c>
      <c r="AN199" t="str">
        <f t="shared" si="101"/>
        <v/>
      </c>
      <c r="AP199" s="5" t="str">
        <f>IF(L199="","",VLOOKUP($L199,classifications!$C:$E,3,FALSE))</f>
        <v/>
      </c>
      <c r="AQ199" s="43" t="str">
        <f t="shared" si="102"/>
        <v/>
      </c>
      <c r="AR199" s="40" t="str">
        <f>IF(AQ199="","",IF(I$8="A",(RANK(AQ199,AQ$11:AQ$343,1)+COUNTIF(AQ$11:AQ199,AQ199)-1),(RANK(AQ199,AQ$11:AQ$343)+COUNTIF(AQ$11:AQ199,AQ199)-1)))</f>
        <v/>
      </c>
      <c r="AS199" s="3" t="str">
        <f t="shared" si="103"/>
        <v/>
      </c>
      <c r="AT199" s="40" t="str">
        <f t="shared" si="104"/>
        <v/>
      </c>
      <c r="AU199" s="43" t="str">
        <f t="shared" si="105"/>
        <v/>
      </c>
      <c r="AX199">
        <f>HLOOKUP($AX$9&amp;$AX$10,Data!$A$1:$ZZ$1980,(MATCH($C199,Data!$A$1:$A$1980,0)),FALSE)</f>
        <v>430.4</v>
      </c>
    </row>
    <row r="200" spans="1:50">
      <c r="A200" s="59" t="str">
        <f>$D$1&amp;190</f>
        <v>UA190</v>
      </c>
      <c r="B200" s="60">
        <f>IF(ISERROR(VLOOKUP(A203,classifications!A:C,3,FALSE)),0,VLOOKUP(A203,classifications!A:C,3,FALSE))</f>
        <v>0</v>
      </c>
      <c r="C200" t="s">
        <v>111</v>
      </c>
      <c r="D200" t="str">
        <f>VLOOKUP($C200,classifications!$C:$J,4,FALSE)</f>
        <v>SD</v>
      </c>
      <c r="E200">
        <f>VLOOKUP(C200,classifications!C:K,9,FALSE)</f>
        <v>0</v>
      </c>
      <c r="F200">
        <f t="shared" si="83"/>
        <v>338.1</v>
      </c>
      <c r="G200" s="15"/>
      <c r="H200" s="42" t="str">
        <f t="shared" si="84"/>
        <v/>
      </c>
      <c r="I200" s="79" t="str">
        <f>IF(H200="","",IF($I$8="A",(RANK(H200,H$11:H$343,1)+COUNTIF(H$11:H200,H200)-1),(RANK(H200,H$11:H$343)+COUNTIF(H$11:H200,H200)-1)))</f>
        <v/>
      </c>
      <c r="J200" s="41"/>
      <c r="K200" s="36" t="str">
        <f t="shared" si="85"/>
        <v/>
      </c>
      <c r="L200" t="str">
        <f t="shared" si="86"/>
        <v/>
      </c>
      <c r="M200" s="117" t="str">
        <f t="shared" si="87"/>
        <v/>
      </c>
      <c r="N200" s="112" t="str">
        <f t="shared" si="88"/>
        <v/>
      </c>
      <c r="O200" s="96" t="str">
        <f t="shared" si="89"/>
        <v/>
      </c>
      <c r="P200" s="96" t="str">
        <f t="shared" si="90"/>
        <v/>
      </c>
      <c r="Q200" s="96" t="str">
        <f t="shared" si="91"/>
        <v/>
      </c>
      <c r="R200" s="92" t="str">
        <f t="shared" si="92"/>
        <v/>
      </c>
      <c r="S200" s="42" t="str">
        <f t="shared" si="93"/>
        <v/>
      </c>
      <c r="T200" s="167" t="str">
        <f>IF(L200="","",VLOOKUP(L200,classifications!C:K,9,FALSE))</f>
        <v/>
      </c>
      <c r="U200" s="168" t="str">
        <f t="shared" si="94"/>
        <v/>
      </c>
      <c r="V200" s="174" t="str">
        <f>IF(U200="","",IF($I$8="A",(RANK(U200,U$11:U$343)+COUNTIF(U$11:U200,U200)-1),(RANK(U200,U$11:U$343,1)+COUNTIF(U$11:U200,U200)-1)))</f>
        <v/>
      </c>
      <c r="W200" s="175"/>
      <c r="X200" s="5" t="str">
        <f>IF(L200="","",VLOOKUP($L200,classifications!$C:$J,6,FALSE))</f>
        <v/>
      </c>
      <c r="Y200" t="str">
        <f t="shared" si="95"/>
        <v/>
      </c>
      <c r="Z200" s="40" t="str">
        <f>IF(Y200="","",IF(I$8="A",(RANK(Y200,Y$11:Y$343,1)+COUNTIF(Y$11:Y200,Y200)-1),(RANK(Y200,Y$11:Y$343)+COUNTIF(Y$11:Y200,Y200)-1)))</f>
        <v/>
      </c>
      <c r="AA200" s="180" t="str">
        <f>IF(L200="","",VLOOKUP($L200,classifications!C:I,7,FALSE))</f>
        <v/>
      </c>
      <c r="AB200" s="174" t="str">
        <f t="shared" si="96"/>
        <v/>
      </c>
      <c r="AC200" s="174" t="str">
        <f>IF(AB200="","",IF($I$8="A",(RANK(AB200,AB$11:AB$343)+COUNTIF(AB$11:AB200,AB200)-1),(RANK(AB200,AB$11:AB$343,1)+COUNTIF(AB$11:AB200,AB200)-1)))</f>
        <v/>
      </c>
      <c r="AD200" s="174"/>
      <c r="AE200" s="36" t="str">
        <f t="shared" si="97"/>
        <v/>
      </c>
      <c r="AG200" s="15"/>
      <c r="AH200" s="3"/>
      <c r="AI200" s="5" t="str">
        <f>IF(L200="","",VLOOKUP($L200,classifications!$C:$J,8,FALSE))</f>
        <v/>
      </c>
      <c r="AJ200" s="43" t="str">
        <f t="shared" si="98"/>
        <v/>
      </c>
      <c r="AK200" s="40" t="str">
        <f>IF(AJ200="","",IF(I$8="A",(RANK(AJ200,AJ$11:AJ$343,1)+COUNTIF(AJ$11:AJ200,AJ200)-1),(RANK(AJ200,AJ$11:AJ$343)+COUNTIF(AJ$11:AJ200,AJ200)-1)))</f>
        <v/>
      </c>
      <c r="AL200" s="3" t="str">
        <f t="shared" si="99"/>
        <v/>
      </c>
      <c r="AM200" t="str">
        <f t="shared" si="100"/>
        <v/>
      </c>
      <c r="AN200" t="str">
        <f t="shared" si="101"/>
        <v/>
      </c>
      <c r="AP200" s="5" t="str">
        <f>IF(L200="","",VLOOKUP($L200,classifications!$C:$E,3,FALSE))</f>
        <v/>
      </c>
      <c r="AQ200" s="43" t="str">
        <f t="shared" si="102"/>
        <v/>
      </c>
      <c r="AR200" s="40" t="str">
        <f>IF(AQ200="","",IF(I$8="A",(RANK(AQ200,AQ$11:AQ$343,1)+COUNTIF(AQ$11:AQ200,AQ200)-1),(RANK(AQ200,AQ$11:AQ$343)+COUNTIF(AQ$11:AQ200,AQ200)-1)))</f>
        <v/>
      </c>
      <c r="AS200" s="3" t="str">
        <f t="shared" si="103"/>
        <v/>
      </c>
      <c r="AT200" s="40" t="str">
        <f t="shared" si="104"/>
        <v/>
      </c>
      <c r="AU200" s="43" t="str">
        <f t="shared" si="105"/>
        <v/>
      </c>
      <c r="AX200">
        <f>HLOOKUP($AX$9&amp;$AX$10,Data!$A$1:$ZZ$1980,(MATCH($C200,Data!$A$1:$A$1980,0)),FALSE)</f>
        <v>338.1</v>
      </c>
    </row>
    <row r="201" spans="1:50">
      <c r="A201" s="59" t="str">
        <f>$D$1&amp;191</f>
        <v>UA191</v>
      </c>
      <c r="B201" s="60">
        <f>IF(ISERROR(VLOOKUP(A204,classifications!A:C,3,FALSE)),0,VLOOKUP(A204,classifications!A:C,3,FALSE))</f>
        <v>0</v>
      </c>
      <c r="C201" t="s">
        <v>112</v>
      </c>
      <c r="D201" t="str">
        <f>VLOOKUP($C201,classifications!$C:$J,4,FALSE)</f>
        <v>SD</v>
      </c>
      <c r="E201" t="str">
        <f>VLOOKUP(C201,classifications!C:K,9,FALSE)</f>
        <v>Sparse</v>
      </c>
      <c r="F201">
        <f t="shared" si="83"/>
        <v>377.9</v>
      </c>
      <c r="G201" s="15"/>
      <c r="H201" s="42" t="str">
        <f t="shared" si="84"/>
        <v/>
      </c>
      <c r="I201" s="79" t="str">
        <f>IF(H201="","",IF($I$8="A",(RANK(H201,H$11:H$343,1)+COUNTIF(H$11:H201,H201)-1),(RANK(H201,H$11:H$343)+COUNTIF(H$11:H201,H201)-1)))</f>
        <v/>
      </c>
      <c r="J201" s="41"/>
      <c r="K201" s="36" t="str">
        <f t="shared" si="85"/>
        <v/>
      </c>
      <c r="L201" t="str">
        <f t="shared" si="86"/>
        <v/>
      </c>
      <c r="M201" s="117" t="str">
        <f t="shared" si="87"/>
        <v/>
      </c>
      <c r="N201" s="112" t="str">
        <f t="shared" si="88"/>
        <v/>
      </c>
      <c r="O201" s="96" t="str">
        <f t="shared" si="89"/>
        <v/>
      </c>
      <c r="P201" s="96" t="str">
        <f t="shared" si="90"/>
        <v/>
      </c>
      <c r="Q201" s="96" t="str">
        <f t="shared" si="91"/>
        <v/>
      </c>
      <c r="R201" s="92" t="str">
        <f t="shared" si="92"/>
        <v/>
      </c>
      <c r="S201" s="42" t="str">
        <f t="shared" si="93"/>
        <v/>
      </c>
      <c r="T201" s="167" t="str">
        <f>IF(L201="","",VLOOKUP(L201,classifications!C:K,9,FALSE))</f>
        <v/>
      </c>
      <c r="U201" s="168" t="str">
        <f t="shared" si="94"/>
        <v/>
      </c>
      <c r="V201" s="174" t="str">
        <f>IF(U201="","",IF($I$8="A",(RANK(U201,U$11:U$343)+COUNTIF(U$11:U201,U201)-1),(RANK(U201,U$11:U$343,1)+COUNTIF(U$11:U201,U201)-1)))</f>
        <v/>
      </c>
      <c r="W201" s="175"/>
      <c r="X201" s="5" t="str">
        <f>IF(L201="","",VLOOKUP($L201,classifications!$C:$J,6,FALSE))</f>
        <v/>
      </c>
      <c r="Y201" t="str">
        <f t="shared" si="95"/>
        <v/>
      </c>
      <c r="Z201" s="40" t="str">
        <f>IF(Y201="","",IF(I$8="A",(RANK(Y201,Y$11:Y$343,1)+COUNTIF(Y$11:Y201,Y201)-1),(RANK(Y201,Y$11:Y$343)+COUNTIF(Y$11:Y201,Y201)-1)))</f>
        <v/>
      </c>
      <c r="AA201" s="180" t="str">
        <f>IF(L201="","",VLOOKUP($L201,classifications!C:I,7,FALSE))</f>
        <v/>
      </c>
      <c r="AB201" s="174" t="str">
        <f t="shared" si="96"/>
        <v/>
      </c>
      <c r="AC201" s="174" t="str">
        <f>IF(AB201="","",IF($I$8="A",(RANK(AB201,AB$11:AB$343)+COUNTIF(AB$11:AB201,AB201)-1),(RANK(AB201,AB$11:AB$343,1)+COUNTIF(AB$11:AB201,AB201)-1)))</f>
        <v/>
      </c>
      <c r="AD201" s="174"/>
      <c r="AE201" s="36" t="str">
        <f t="shared" si="97"/>
        <v/>
      </c>
      <c r="AG201" s="15"/>
      <c r="AH201" s="3"/>
      <c r="AI201" s="5" t="str">
        <f>IF(L201="","",VLOOKUP($L201,classifications!$C:$J,8,FALSE))</f>
        <v/>
      </c>
      <c r="AJ201" s="43" t="str">
        <f t="shared" si="98"/>
        <v/>
      </c>
      <c r="AK201" s="40" t="str">
        <f>IF(AJ201="","",IF(I$8="A",(RANK(AJ201,AJ$11:AJ$343,1)+COUNTIF(AJ$11:AJ201,AJ201)-1),(RANK(AJ201,AJ$11:AJ$343)+COUNTIF(AJ$11:AJ201,AJ201)-1)))</f>
        <v/>
      </c>
      <c r="AL201" s="3" t="str">
        <f t="shared" si="99"/>
        <v/>
      </c>
      <c r="AM201" t="str">
        <f t="shared" si="100"/>
        <v/>
      </c>
      <c r="AN201" t="str">
        <f t="shared" si="101"/>
        <v/>
      </c>
      <c r="AP201" s="5" t="str">
        <f>IF(L201="","",VLOOKUP($L201,classifications!$C:$E,3,FALSE))</f>
        <v/>
      </c>
      <c r="AQ201" s="43" t="str">
        <f t="shared" si="102"/>
        <v/>
      </c>
      <c r="AR201" s="40" t="str">
        <f>IF(AQ201="","",IF(I$8="A",(RANK(AQ201,AQ$11:AQ$343,1)+COUNTIF(AQ$11:AQ201,AQ201)-1),(RANK(AQ201,AQ$11:AQ$343)+COUNTIF(AQ$11:AQ201,AQ201)-1)))</f>
        <v/>
      </c>
      <c r="AS201" s="3" t="str">
        <f t="shared" si="103"/>
        <v/>
      </c>
      <c r="AT201" s="40" t="str">
        <f t="shared" si="104"/>
        <v/>
      </c>
      <c r="AU201" s="43" t="str">
        <f t="shared" si="105"/>
        <v/>
      </c>
      <c r="AX201">
        <f>HLOOKUP($AX$9&amp;$AX$10,Data!$A$1:$ZZ$1980,(MATCH($C201,Data!$A$1:$A$1980,0)),FALSE)</f>
        <v>377.9</v>
      </c>
    </row>
    <row r="202" spans="1:50">
      <c r="A202" s="59" t="str">
        <f>$D$1&amp;192</f>
        <v>UA192</v>
      </c>
      <c r="B202" s="60">
        <f>IF(ISERROR(VLOOKUP(A205,classifications!A:C,3,FALSE)),0,VLOOKUP(A205,classifications!A:C,3,FALSE))</f>
        <v>0</v>
      </c>
      <c r="C202" t="s">
        <v>278</v>
      </c>
      <c r="D202" t="str">
        <f>VLOOKUP($C202,classifications!$C:$J,4,FALSE)</f>
        <v>UA</v>
      </c>
      <c r="E202" t="str">
        <f>VLOOKUP(C202,classifications!C:K,9,FALSE)</f>
        <v>Sparse</v>
      </c>
      <c r="F202">
        <f t="shared" si="83"/>
        <v>468.4</v>
      </c>
      <c r="G202" s="15"/>
      <c r="H202" s="42">
        <f t="shared" si="84"/>
        <v>468.4</v>
      </c>
      <c r="I202" s="79">
        <f>IF(H202="","",IF($I$8="A",(RANK(H202,H$11:H$343,1)+COUNTIF(H$11:H202,H202)-1),(RANK(H202,H$11:H$343)+COUNTIF(H$11:H202,H202)-1)))</f>
        <v>57</v>
      </c>
      <c r="J202" s="41"/>
      <c r="K202" s="36" t="str">
        <f t="shared" si="85"/>
        <v/>
      </c>
      <c r="L202" t="str">
        <f t="shared" si="86"/>
        <v/>
      </c>
      <c r="M202" s="117" t="str">
        <f t="shared" si="87"/>
        <v/>
      </c>
      <c r="N202" s="112" t="str">
        <f t="shared" si="88"/>
        <v/>
      </c>
      <c r="O202" s="96" t="str">
        <f t="shared" si="89"/>
        <v/>
      </c>
      <c r="P202" s="96" t="str">
        <f t="shared" si="90"/>
        <v/>
      </c>
      <c r="Q202" s="96" t="str">
        <f t="shared" si="91"/>
        <v/>
      </c>
      <c r="R202" s="92" t="str">
        <f t="shared" si="92"/>
        <v/>
      </c>
      <c r="S202" s="42" t="str">
        <f t="shared" si="93"/>
        <v/>
      </c>
      <c r="T202" s="167" t="str">
        <f>IF(L202="","",VLOOKUP(L202,classifications!C:K,9,FALSE))</f>
        <v/>
      </c>
      <c r="U202" s="168" t="str">
        <f t="shared" si="94"/>
        <v/>
      </c>
      <c r="V202" s="174" t="str">
        <f>IF(U202="","",IF($I$8="A",(RANK(U202,U$11:U$343)+COUNTIF(U$11:U202,U202)-1),(RANK(U202,U$11:U$343,1)+COUNTIF(U$11:U202,U202)-1)))</f>
        <v/>
      </c>
      <c r="W202" s="175"/>
      <c r="X202" s="5" t="str">
        <f>IF(L202="","",VLOOKUP($L202,classifications!$C:$J,6,FALSE))</f>
        <v/>
      </c>
      <c r="Y202" t="str">
        <f t="shared" si="95"/>
        <v/>
      </c>
      <c r="Z202" s="40" t="str">
        <f>IF(Y202="","",IF(I$8="A",(RANK(Y202,Y$11:Y$343,1)+COUNTIF(Y$11:Y202,Y202)-1),(RANK(Y202,Y$11:Y$343)+COUNTIF(Y$11:Y202,Y202)-1)))</f>
        <v/>
      </c>
      <c r="AA202" s="180" t="str">
        <f>IF(L202="","",VLOOKUP($L202,classifications!C:I,7,FALSE))</f>
        <v/>
      </c>
      <c r="AB202" s="174" t="str">
        <f t="shared" si="96"/>
        <v/>
      </c>
      <c r="AC202" s="174" t="str">
        <f>IF(AB202="","",IF($I$8="A",(RANK(AB202,AB$11:AB$343)+COUNTIF(AB$11:AB202,AB202)-1),(RANK(AB202,AB$11:AB$343,1)+COUNTIF(AB$11:AB202,AB202)-1)))</f>
        <v/>
      </c>
      <c r="AD202" s="174"/>
      <c r="AE202" s="36" t="str">
        <f t="shared" si="97"/>
        <v/>
      </c>
      <c r="AG202" s="15"/>
      <c r="AH202" s="3"/>
      <c r="AI202" s="5" t="str">
        <f>IF(L202="","",VLOOKUP($L202,classifications!$C:$J,8,FALSE))</f>
        <v/>
      </c>
      <c r="AJ202" s="43" t="str">
        <f t="shared" si="98"/>
        <v/>
      </c>
      <c r="AK202" s="40" t="str">
        <f>IF(AJ202="","",IF(I$8="A",(RANK(AJ202,AJ$11:AJ$343,1)+COUNTIF(AJ$11:AJ202,AJ202)-1),(RANK(AJ202,AJ$11:AJ$343)+COUNTIF(AJ$11:AJ202,AJ202)-1)))</f>
        <v/>
      </c>
      <c r="AL202" s="3" t="str">
        <f t="shared" si="99"/>
        <v/>
      </c>
      <c r="AM202" t="str">
        <f t="shared" si="100"/>
        <v/>
      </c>
      <c r="AN202" t="str">
        <f t="shared" si="101"/>
        <v/>
      </c>
      <c r="AP202" s="5" t="str">
        <f>IF(L202="","",VLOOKUP($L202,classifications!$C:$E,3,FALSE))</f>
        <v/>
      </c>
      <c r="AQ202" s="43" t="str">
        <f t="shared" si="102"/>
        <v/>
      </c>
      <c r="AR202" s="40" t="str">
        <f>IF(AQ202="","",IF(I$8="A",(RANK(AQ202,AQ$11:AQ$343,1)+COUNTIF(AQ$11:AQ202,AQ202)-1),(RANK(AQ202,AQ$11:AQ$343)+COUNTIF(AQ$11:AQ202,AQ202)-1)))</f>
        <v/>
      </c>
      <c r="AS202" s="3" t="str">
        <f t="shared" si="103"/>
        <v/>
      </c>
      <c r="AT202" s="40" t="str">
        <f t="shared" si="104"/>
        <v/>
      </c>
      <c r="AU202" s="43" t="str">
        <f t="shared" si="105"/>
        <v/>
      </c>
      <c r="AX202">
        <f>HLOOKUP($AX$9&amp;$AX$10,Data!$A$1:$ZZ$1980,(MATCH($C202,Data!$A$1:$A$1980,0)),FALSE)</f>
        <v>468.4</v>
      </c>
    </row>
    <row r="203" spans="1:50">
      <c r="A203" s="59" t="str">
        <f>$D$1&amp;193</f>
        <v>UA193</v>
      </c>
      <c r="B203" s="60">
        <f>IF(ISERROR(VLOOKUP(A206,classifications!A:C,3,FALSE)),0,VLOOKUP(A206,classifications!A:C,3,FALSE))</f>
        <v>0</v>
      </c>
      <c r="C203" t="s">
        <v>113</v>
      </c>
      <c r="D203" t="str">
        <f>VLOOKUP($C203,classifications!$C:$J,4,FALSE)</f>
        <v>SD</v>
      </c>
      <c r="E203" t="str">
        <f>VLOOKUP(C203,classifications!C:K,9,FALSE)</f>
        <v>Sparse</v>
      </c>
      <c r="F203">
        <f t="shared" si="83"/>
        <v>405</v>
      </c>
      <c r="G203" s="15"/>
      <c r="H203" s="42" t="str">
        <f t="shared" si="84"/>
        <v/>
      </c>
      <c r="I203" s="79" t="str">
        <f>IF(H203="","",IF($I$8="A",(RANK(H203,H$11:H$343,1)+COUNTIF(H$11:H203,H203)-1),(RANK(H203,H$11:H$343)+COUNTIF(H$11:H203,H203)-1)))</f>
        <v/>
      </c>
      <c r="J203" s="41"/>
      <c r="K203" s="36" t="str">
        <f t="shared" si="85"/>
        <v/>
      </c>
      <c r="L203" t="str">
        <f t="shared" si="86"/>
        <v/>
      </c>
      <c r="M203" s="117" t="str">
        <f t="shared" si="87"/>
        <v/>
      </c>
      <c r="N203" s="112" t="str">
        <f t="shared" si="88"/>
        <v/>
      </c>
      <c r="O203" s="96" t="str">
        <f t="shared" si="89"/>
        <v/>
      </c>
      <c r="P203" s="96" t="str">
        <f t="shared" si="90"/>
        <v/>
      </c>
      <c r="Q203" s="96" t="str">
        <f t="shared" si="91"/>
        <v/>
      </c>
      <c r="R203" s="92" t="str">
        <f t="shared" si="92"/>
        <v/>
      </c>
      <c r="S203" s="42" t="str">
        <f t="shared" si="93"/>
        <v/>
      </c>
      <c r="T203" s="167" t="str">
        <f>IF(L203="","",VLOOKUP(L203,classifications!C:K,9,FALSE))</f>
        <v/>
      </c>
      <c r="U203" s="168" t="str">
        <f t="shared" si="94"/>
        <v/>
      </c>
      <c r="V203" s="174" t="str">
        <f>IF(U203="","",IF($I$8="A",(RANK(U203,U$11:U$343)+COUNTIF(U$11:U203,U203)-1),(RANK(U203,U$11:U$343,1)+COUNTIF(U$11:U203,U203)-1)))</f>
        <v/>
      </c>
      <c r="W203" s="175"/>
      <c r="X203" s="5" t="str">
        <f>IF(L203="","",VLOOKUP($L203,classifications!$C:$J,6,FALSE))</f>
        <v/>
      </c>
      <c r="Y203" t="str">
        <f t="shared" si="95"/>
        <v/>
      </c>
      <c r="Z203" s="40" t="str">
        <f>IF(Y203="","",IF(I$8="A",(RANK(Y203,Y$11:Y$343,1)+COUNTIF(Y$11:Y203,Y203)-1),(RANK(Y203,Y$11:Y$343)+COUNTIF(Y$11:Y203,Y203)-1)))</f>
        <v/>
      </c>
      <c r="AA203" s="180" t="str">
        <f>IF(L203="","",VLOOKUP($L203,classifications!C:I,7,FALSE))</f>
        <v/>
      </c>
      <c r="AB203" s="174" t="str">
        <f t="shared" si="96"/>
        <v/>
      </c>
      <c r="AC203" s="174" t="str">
        <f>IF(AB203="","",IF($I$8="A",(RANK(AB203,AB$11:AB$343)+COUNTIF(AB$11:AB203,AB203)-1),(RANK(AB203,AB$11:AB$343,1)+COUNTIF(AB$11:AB203,AB203)-1)))</f>
        <v/>
      </c>
      <c r="AD203" s="174"/>
      <c r="AE203" s="36" t="str">
        <f t="shared" si="97"/>
        <v/>
      </c>
      <c r="AG203" s="15"/>
      <c r="AH203" s="3"/>
      <c r="AI203" s="5" t="str">
        <f>IF(L203="","",VLOOKUP($L203,classifications!$C:$J,8,FALSE))</f>
        <v/>
      </c>
      <c r="AJ203" s="43" t="str">
        <f t="shared" si="98"/>
        <v/>
      </c>
      <c r="AK203" s="40" t="str">
        <f>IF(AJ203="","",IF(I$8="A",(RANK(AJ203,AJ$11:AJ$343,1)+COUNTIF(AJ$11:AJ203,AJ203)-1),(RANK(AJ203,AJ$11:AJ$343)+COUNTIF(AJ$11:AJ203,AJ203)-1)))</f>
        <v/>
      </c>
      <c r="AL203" s="3" t="str">
        <f t="shared" si="99"/>
        <v/>
      </c>
      <c r="AM203" t="str">
        <f t="shared" si="100"/>
        <v/>
      </c>
      <c r="AN203" t="str">
        <f t="shared" si="101"/>
        <v/>
      </c>
      <c r="AP203" s="5" t="str">
        <f>IF(L203="","",VLOOKUP($L203,classifications!$C:$E,3,FALSE))</f>
        <v/>
      </c>
      <c r="AQ203" s="43" t="str">
        <f t="shared" si="102"/>
        <v/>
      </c>
      <c r="AR203" s="40" t="str">
        <f>IF(AQ203="","",IF(I$8="A",(RANK(AQ203,AQ$11:AQ$343,1)+COUNTIF(AQ$11:AQ203,AQ203)-1),(RANK(AQ203,AQ$11:AQ$343)+COUNTIF(AQ$11:AQ203,AQ203)-1)))</f>
        <v/>
      </c>
      <c r="AS203" s="3" t="str">
        <f t="shared" si="103"/>
        <v/>
      </c>
      <c r="AT203" s="40" t="str">
        <f t="shared" si="104"/>
        <v/>
      </c>
      <c r="AU203" s="43" t="str">
        <f t="shared" si="105"/>
        <v/>
      </c>
      <c r="AX203">
        <f>HLOOKUP($AX$9&amp;$AX$10,Data!$A$1:$ZZ$1980,(MATCH($C203,Data!$A$1:$A$1980,0)),FALSE)</f>
        <v>405</v>
      </c>
    </row>
    <row r="204" spans="1:50">
      <c r="A204" s="59" t="str">
        <f>$D$1&amp;194</f>
        <v>UA194</v>
      </c>
      <c r="B204" s="60">
        <f>IF(ISERROR(VLOOKUP(A207,classifications!A:C,3,FALSE)),0,VLOOKUP(A207,classifications!A:C,3,FALSE))</f>
        <v>0</v>
      </c>
      <c r="C204" t="s">
        <v>279</v>
      </c>
      <c r="D204" t="str">
        <f>VLOOKUP($C204,classifications!$C:$J,4,FALSE)</f>
        <v>UA</v>
      </c>
      <c r="E204" t="str">
        <f>VLOOKUP(C204,classifications!C:K,9,FALSE)</f>
        <v>Sparse</v>
      </c>
      <c r="F204">
        <f t="shared" si="83"/>
        <v>415</v>
      </c>
      <c r="G204" s="15"/>
      <c r="H204" s="42">
        <f t="shared" si="84"/>
        <v>415</v>
      </c>
      <c r="I204" s="79">
        <f>IF(H204="","",IF($I$8="A",(RANK(H204,H$11:H$343,1)+COUNTIF(H$11:H204,H204)-1),(RANK(H204,H$11:H$343)+COUNTIF(H$11:H204,H204)-1)))</f>
        <v>40</v>
      </c>
      <c r="J204" s="41"/>
      <c r="K204" s="36" t="str">
        <f t="shared" si="85"/>
        <v/>
      </c>
      <c r="L204" t="str">
        <f t="shared" si="86"/>
        <v/>
      </c>
      <c r="M204" s="117" t="str">
        <f t="shared" si="87"/>
        <v/>
      </c>
      <c r="N204" s="112" t="str">
        <f t="shared" si="88"/>
        <v/>
      </c>
      <c r="O204" s="96" t="str">
        <f t="shared" si="89"/>
        <v/>
      </c>
      <c r="P204" s="96" t="str">
        <f t="shared" si="90"/>
        <v/>
      </c>
      <c r="Q204" s="96" t="str">
        <f t="shared" si="91"/>
        <v/>
      </c>
      <c r="R204" s="92" t="str">
        <f t="shared" si="92"/>
        <v/>
      </c>
      <c r="S204" s="42" t="str">
        <f t="shared" si="93"/>
        <v/>
      </c>
      <c r="T204" s="167" t="str">
        <f>IF(L204="","",VLOOKUP(L204,classifications!C:K,9,FALSE))</f>
        <v/>
      </c>
      <c r="U204" s="168" t="str">
        <f t="shared" si="94"/>
        <v/>
      </c>
      <c r="V204" s="174" t="str">
        <f>IF(U204="","",IF($I$8="A",(RANK(U204,U$11:U$343)+COUNTIF(U$11:U204,U204)-1),(RANK(U204,U$11:U$343,1)+COUNTIF(U$11:U204,U204)-1)))</f>
        <v/>
      </c>
      <c r="W204" s="175"/>
      <c r="X204" s="5" t="str">
        <f>IF(L204="","",VLOOKUP($L204,classifications!$C:$J,6,FALSE))</f>
        <v/>
      </c>
      <c r="Y204" t="str">
        <f t="shared" si="95"/>
        <v/>
      </c>
      <c r="Z204" s="40" t="str">
        <f>IF(Y204="","",IF(I$8="A",(RANK(Y204,Y$11:Y$343,1)+COUNTIF(Y$11:Y204,Y204)-1),(RANK(Y204,Y$11:Y$343)+COUNTIF(Y$11:Y204,Y204)-1)))</f>
        <v/>
      </c>
      <c r="AA204" s="180" t="str">
        <f>IF(L204="","",VLOOKUP($L204,classifications!C:I,7,FALSE))</f>
        <v/>
      </c>
      <c r="AB204" s="174" t="str">
        <f t="shared" si="96"/>
        <v/>
      </c>
      <c r="AC204" s="174" t="str">
        <f>IF(AB204="","",IF($I$8="A",(RANK(AB204,AB$11:AB$343)+COUNTIF(AB$11:AB204,AB204)-1),(RANK(AB204,AB$11:AB$343,1)+COUNTIF(AB$11:AB204,AB204)-1)))</f>
        <v/>
      </c>
      <c r="AD204" s="174"/>
      <c r="AE204" s="36" t="str">
        <f t="shared" si="97"/>
        <v/>
      </c>
      <c r="AG204" s="15"/>
      <c r="AH204" s="3"/>
      <c r="AI204" s="5" t="str">
        <f>IF(L204="","",VLOOKUP($L204,classifications!$C:$J,8,FALSE))</f>
        <v/>
      </c>
      <c r="AJ204" s="43" t="str">
        <f t="shared" si="98"/>
        <v/>
      </c>
      <c r="AK204" s="40" t="str">
        <f>IF(AJ204="","",IF(I$8="A",(RANK(AJ204,AJ$11:AJ$343,1)+COUNTIF(AJ$11:AJ204,AJ204)-1),(RANK(AJ204,AJ$11:AJ$343)+COUNTIF(AJ$11:AJ204,AJ204)-1)))</f>
        <v/>
      </c>
      <c r="AL204" s="3" t="str">
        <f t="shared" si="99"/>
        <v/>
      </c>
      <c r="AM204" t="str">
        <f t="shared" si="100"/>
        <v/>
      </c>
      <c r="AN204" t="str">
        <f t="shared" si="101"/>
        <v/>
      </c>
      <c r="AP204" s="5" t="str">
        <f>IF(L204="","",VLOOKUP($L204,classifications!$C:$E,3,FALSE))</f>
        <v/>
      </c>
      <c r="AQ204" s="43" t="str">
        <f t="shared" si="102"/>
        <v/>
      </c>
      <c r="AR204" s="40" t="str">
        <f>IF(AQ204="","",IF(I$8="A",(RANK(AQ204,AQ$11:AQ$343,1)+COUNTIF(AQ$11:AQ204,AQ204)-1),(RANK(AQ204,AQ$11:AQ$343)+COUNTIF(AQ$11:AQ204,AQ204)-1)))</f>
        <v/>
      </c>
      <c r="AS204" s="3" t="str">
        <f t="shared" si="103"/>
        <v/>
      </c>
      <c r="AT204" s="40" t="str">
        <f t="shared" si="104"/>
        <v/>
      </c>
      <c r="AU204" s="43" t="str">
        <f t="shared" si="105"/>
        <v/>
      </c>
      <c r="AX204">
        <f>HLOOKUP($AX$9&amp;$AX$10,Data!$A$1:$ZZ$1980,(MATCH($C204,Data!$A$1:$A$1980,0)),FALSE)</f>
        <v>415</v>
      </c>
    </row>
    <row r="205" spans="1:50">
      <c r="A205" s="59" t="str">
        <f>$D$1&amp;195</f>
        <v>UA195</v>
      </c>
      <c r="B205" s="60">
        <f>IF(ISERROR(VLOOKUP(A208,classifications!A:C,3,FALSE)),0,VLOOKUP(A208,classifications!A:C,3,FALSE))</f>
        <v>0</v>
      </c>
      <c r="C205" t="s">
        <v>239</v>
      </c>
      <c r="D205" t="str">
        <f>VLOOKUP($C205,classifications!$C:$J,4,FALSE)</f>
        <v>MD</v>
      </c>
      <c r="E205">
        <f>VLOOKUP(C205,classifications!C:K,9,FALSE)</f>
        <v>0</v>
      </c>
      <c r="F205">
        <f t="shared" si="83"/>
        <v>394.1</v>
      </c>
      <c r="G205" s="15"/>
      <c r="H205" s="42" t="str">
        <f t="shared" si="84"/>
        <v/>
      </c>
      <c r="I205" s="79" t="str">
        <f>IF(H205="","",IF($I$8="A",(RANK(H205,H$11:H$343,1)+COUNTIF(H$11:H205,H205)-1),(RANK(H205,H$11:H$343)+COUNTIF(H$11:H205,H205)-1)))</f>
        <v/>
      </c>
      <c r="J205" s="41"/>
      <c r="K205" s="36" t="str">
        <f t="shared" si="85"/>
        <v/>
      </c>
      <c r="L205" t="str">
        <f t="shared" si="86"/>
        <v/>
      </c>
      <c r="M205" s="117" t="str">
        <f t="shared" si="87"/>
        <v/>
      </c>
      <c r="N205" s="112" t="str">
        <f t="shared" si="88"/>
        <v/>
      </c>
      <c r="O205" s="96" t="str">
        <f t="shared" si="89"/>
        <v/>
      </c>
      <c r="P205" s="96" t="str">
        <f t="shared" si="90"/>
        <v/>
      </c>
      <c r="Q205" s="96" t="str">
        <f t="shared" si="91"/>
        <v/>
      </c>
      <c r="R205" s="92" t="str">
        <f t="shared" si="92"/>
        <v/>
      </c>
      <c r="S205" s="42" t="str">
        <f t="shared" si="93"/>
        <v/>
      </c>
      <c r="T205" s="167" t="str">
        <f>IF(L205="","",VLOOKUP(L205,classifications!C:K,9,FALSE))</f>
        <v/>
      </c>
      <c r="U205" s="168" t="str">
        <f t="shared" si="94"/>
        <v/>
      </c>
      <c r="V205" s="174" t="str">
        <f>IF(U205="","",IF($I$8="A",(RANK(U205,U$11:U$343)+COUNTIF(U$11:U205,U205)-1),(RANK(U205,U$11:U$343,1)+COUNTIF(U$11:U205,U205)-1)))</f>
        <v/>
      </c>
      <c r="W205" s="175"/>
      <c r="X205" s="5" t="str">
        <f>IF(L205="","",VLOOKUP($L205,classifications!$C:$J,6,FALSE))</f>
        <v/>
      </c>
      <c r="Y205" t="str">
        <f t="shared" si="95"/>
        <v/>
      </c>
      <c r="Z205" s="40" t="str">
        <f>IF(Y205="","",IF(I$8="A",(RANK(Y205,Y$11:Y$343,1)+COUNTIF(Y$11:Y205,Y205)-1),(RANK(Y205,Y$11:Y$343)+COUNTIF(Y$11:Y205,Y205)-1)))</f>
        <v/>
      </c>
      <c r="AA205" s="180" t="str">
        <f>IF(L205="","",VLOOKUP($L205,classifications!C:I,7,FALSE))</f>
        <v/>
      </c>
      <c r="AB205" s="174" t="str">
        <f t="shared" si="96"/>
        <v/>
      </c>
      <c r="AC205" s="174" t="str">
        <f>IF(AB205="","",IF($I$8="A",(RANK(AB205,AB$11:AB$343)+COUNTIF(AB$11:AB205,AB205)-1),(RANK(AB205,AB$11:AB$343,1)+COUNTIF(AB$11:AB205,AB205)-1)))</f>
        <v/>
      </c>
      <c r="AD205" s="174"/>
      <c r="AE205" s="36" t="str">
        <f t="shared" si="97"/>
        <v/>
      </c>
      <c r="AG205" s="15"/>
      <c r="AH205" s="3"/>
      <c r="AI205" s="5" t="str">
        <f>IF(L205="","",VLOOKUP($L205,classifications!$C:$J,8,FALSE))</f>
        <v/>
      </c>
      <c r="AJ205" s="43" t="str">
        <f t="shared" si="98"/>
        <v/>
      </c>
      <c r="AK205" s="40" t="str">
        <f>IF(AJ205="","",IF(I$8="A",(RANK(AJ205,AJ$11:AJ$343,1)+COUNTIF(AJ$11:AJ205,AJ205)-1),(RANK(AJ205,AJ$11:AJ$343)+COUNTIF(AJ$11:AJ205,AJ205)-1)))</f>
        <v/>
      </c>
      <c r="AL205" s="3" t="str">
        <f t="shared" si="99"/>
        <v/>
      </c>
      <c r="AM205" t="str">
        <f t="shared" si="100"/>
        <v/>
      </c>
      <c r="AN205" t="str">
        <f t="shared" si="101"/>
        <v/>
      </c>
      <c r="AP205" s="5" t="str">
        <f>IF(L205="","",VLOOKUP($L205,classifications!$C:$E,3,FALSE))</f>
        <v/>
      </c>
      <c r="AQ205" s="43" t="str">
        <f t="shared" si="102"/>
        <v/>
      </c>
      <c r="AR205" s="40" t="str">
        <f>IF(AQ205="","",IF(I$8="A",(RANK(AQ205,AQ$11:AQ$343,1)+COUNTIF(AQ$11:AQ205,AQ205)-1),(RANK(AQ205,AQ$11:AQ$343)+COUNTIF(AQ$11:AQ205,AQ205)-1)))</f>
        <v/>
      </c>
      <c r="AS205" s="3" t="str">
        <f t="shared" si="103"/>
        <v/>
      </c>
      <c r="AT205" s="40" t="str">
        <f t="shared" si="104"/>
        <v/>
      </c>
      <c r="AU205" s="43" t="str">
        <f t="shared" si="105"/>
        <v/>
      </c>
      <c r="AX205">
        <f>HLOOKUP($AX$9&amp;$AX$10,Data!$A$1:$ZZ$1980,(MATCH($C205,Data!$A$1:$A$1980,0)),FALSE)</f>
        <v>394.1</v>
      </c>
    </row>
    <row r="206" spans="1:50">
      <c r="A206" s="59" t="str">
        <f>$D$1&amp;196</f>
        <v>UA196</v>
      </c>
      <c r="B206" s="60">
        <f>IF(ISERROR(VLOOKUP(A209,classifications!A:C,3,FALSE)),0,VLOOKUP(A209,classifications!A:C,3,FALSE))</f>
        <v>0</v>
      </c>
      <c r="C206" t="s">
        <v>114</v>
      </c>
      <c r="D206" t="str">
        <f>VLOOKUP($C206,classifications!$C:$J,4,FALSE)</f>
        <v>SD</v>
      </c>
      <c r="E206">
        <f>VLOOKUP(C206,classifications!C:K,9,FALSE)</f>
        <v>0</v>
      </c>
      <c r="F206">
        <f t="shared" si="83"/>
        <v>395.5</v>
      </c>
      <c r="G206" s="15"/>
      <c r="H206" s="42" t="str">
        <f t="shared" si="84"/>
        <v/>
      </c>
      <c r="I206" s="79" t="str">
        <f>IF(H206="","",IF($I$8="A",(RANK(H206,H$11:H$343,1)+COUNTIF(H$11:H206,H206)-1),(RANK(H206,H$11:H$343)+COUNTIF(H$11:H206,H206)-1)))</f>
        <v/>
      </c>
      <c r="J206" s="41"/>
      <c r="K206" s="36" t="str">
        <f t="shared" si="85"/>
        <v/>
      </c>
      <c r="L206" t="str">
        <f t="shared" si="86"/>
        <v/>
      </c>
      <c r="M206" s="117" t="str">
        <f t="shared" si="87"/>
        <v/>
      </c>
      <c r="N206" s="112" t="str">
        <f t="shared" si="88"/>
        <v/>
      </c>
      <c r="O206" s="96" t="str">
        <f t="shared" si="89"/>
        <v/>
      </c>
      <c r="P206" s="96" t="str">
        <f t="shared" si="90"/>
        <v/>
      </c>
      <c r="Q206" s="96" t="str">
        <f t="shared" si="91"/>
        <v/>
      </c>
      <c r="R206" s="92" t="str">
        <f t="shared" si="92"/>
        <v/>
      </c>
      <c r="S206" s="42" t="str">
        <f t="shared" si="93"/>
        <v/>
      </c>
      <c r="T206" s="167" t="str">
        <f>IF(L206="","",VLOOKUP(L206,classifications!C:K,9,FALSE))</f>
        <v/>
      </c>
      <c r="U206" s="168" t="str">
        <f t="shared" si="94"/>
        <v/>
      </c>
      <c r="V206" s="174" t="str">
        <f>IF(U206="","",IF($I$8="A",(RANK(U206,U$11:U$343)+COUNTIF(U$11:U206,U206)-1),(RANK(U206,U$11:U$343,1)+COUNTIF(U$11:U206,U206)-1)))</f>
        <v/>
      </c>
      <c r="W206" s="175"/>
      <c r="X206" s="5" t="str">
        <f>IF(L206="","",VLOOKUP($L206,classifications!$C:$J,6,FALSE))</f>
        <v/>
      </c>
      <c r="Y206" t="str">
        <f t="shared" si="95"/>
        <v/>
      </c>
      <c r="Z206" s="40" t="str">
        <f>IF(Y206="","",IF(I$8="A",(RANK(Y206,Y$11:Y$343,1)+COUNTIF(Y$11:Y206,Y206)-1),(RANK(Y206,Y$11:Y$343)+COUNTIF(Y$11:Y206,Y206)-1)))</f>
        <v/>
      </c>
      <c r="AA206" s="180" t="str">
        <f>IF(L206="","",VLOOKUP($L206,classifications!C:I,7,FALSE))</f>
        <v/>
      </c>
      <c r="AB206" s="174" t="str">
        <f t="shared" si="96"/>
        <v/>
      </c>
      <c r="AC206" s="174" t="str">
        <f>IF(AB206="","",IF($I$8="A",(RANK(AB206,AB$11:AB$343)+COUNTIF(AB$11:AB206,AB206)-1),(RANK(AB206,AB$11:AB$343,1)+COUNTIF(AB$11:AB206,AB206)-1)))</f>
        <v/>
      </c>
      <c r="AD206" s="174"/>
      <c r="AE206" s="36" t="str">
        <f t="shared" si="97"/>
        <v/>
      </c>
      <c r="AG206" s="15"/>
      <c r="AH206" s="3"/>
      <c r="AI206" s="5" t="str">
        <f>IF(L206="","",VLOOKUP($L206,classifications!$C:$J,8,FALSE))</f>
        <v/>
      </c>
      <c r="AJ206" s="43" t="str">
        <f t="shared" si="98"/>
        <v/>
      </c>
      <c r="AK206" s="40" t="str">
        <f>IF(AJ206="","",IF(I$8="A",(RANK(AJ206,AJ$11:AJ$343,1)+COUNTIF(AJ$11:AJ206,AJ206)-1),(RANK(AJ206,AJ$11:AJ$343)+COUNTIF(AJ$11:AJ206,AJ206)-1)))</f>
        <v/>
      </c>
      <c r="AL206" s="3" t="str">
        <f t="shared" si="99"/>
        <v/>
      </c>
      <c r="AM206" t="str">
        <f t="shared" si="100"/>
        <v/>
      </c>
      <c r="AN206" t="str">
        <f t="shared" si="101"/>
        <v/>
      </c>
      <c r="AP206" s="5" t="str">
        <f>IF(L206="","",VLOOKUP($L206,classifications!$C:$E,3,FALSE))</f>
        <v/>
      </c>
      <c r="AQ206" s="43" t="str">
        <f t="shared" si="102"/>
        <v/>
      </c>
      <c r="AR206" s="40" t="str">
        <f>IF(AQ206="","",IF(I$8="A",(RANK(AQ206,AQ$11:AQ$343,1)+COUNTIF(AQ$11:AQ206,AQ206)-1),(RANK(AQ206,AQ$11:AQ$343)+COUNTIF(AQ$11:AQ206,AQ206)-1)))</f>
        <v/>
      </c>
      <c r="AS206" s="3" t="str">
        <f t="shared" si="103"/>
        <v/>
      </c>
      <c r="AT206" s="40" t="str">
        <f t="shared" si="104"/>
        <v/>
      </c>
      <c r="AU206" s="43" t="str">
        <f t="shared" si="105"/>
        <v/>
      </c>
      <c r="AX206">
        <f>HLOOKUP($AX$9&amp;$AX$10,Data!$A$1:$ZZ$1980,(MATCH($C206,Data!$A$1:$A$1980,0)),FALSE)</f>
        <v>395.5</v>
      </c>
    </row>
    <row r="207" spans="1:50">
      <c r="A207" s="59" t="str">
        <f>$D$1&amp;197</f>
        <v>UA197</v>
      </c>
      <c r="B207" s="60">
        <f>IF(ISERROR(VLOOKUP(A210,classifications!A:C,3,FALSE)),0,VLOOKUP(A210,classifications!A:C,3,FALSE))</f>
        <v>0</v>
      </c>
      <c r="C207" t="s">
        <v>115</v>
      </c>
      <c r="D207" t="str">
        <f>VLOOKUP($C207,classifications!$C:$J,4,FALSE)</f>
        <v>SD</v>
      </c>
      <c r="E207">
        <f>VLOOKUP(C207,classifications!C:K,9,FALSE)</f>
        <v>0</v>
      </c>
      <c r="F207">
        <f t="shared" si="83"/>
        <v>364.2</v>
      </c>
      <c r="G207" s="15"/>
      <c r="H207" s="42" t="str">
        <f t="shared" si="84"/>
        <v/>
      </c>
      <c r="I207" s="79" t="str">
        <f>IF(H207="","",IF($I$8="A",(RANK(H207,H$11:H$343,1)+COUNTIF(H$11:H207,H207)-1),(RANK(H207,H$11:H$343)+COUNTIF(H$11:H207,H207)-1)))</f>
        <v/>
      </c>
      <c r="J207" s="41"/>
      <c r="K207" s="36" t="str">
        <f t="shared" si="85"/>
        <v/>
      </c>
      <c r="L207" t="str">
        <f t="shared" si="86"/>
        <v/>
      </c>
      <c r="M207" s="117" t="str">
        <f t="shared" si="87"/>
        <v/>
      </c>
      <c r="N207" s="112" t="str">
        <f t="shared" si="88"/>
        <v/>
      </c>
      <c r="O207" s="96" t="str">
        <f t="shared" si="89"/>
        <v/>
      </c>
      <c r="P207" s="96" t="str">
        <f t="shared" si="90"/>
        <v/>
      </c>
      <c r="Q207" s="96" t="str">
        <f t="shared" si="91"/>
        <v/>
      </c>
      <c r="R207" s="92" t="str">
        <f t="shared" si="92"/>
        <v/>
      </c>
      <c r="S207" s="42" t="str">
        <f t="shared" si="93"/>
        <v/>
      </c>
      <c r="T207" s="167" t="str">
        <f>IF(L207="","",VLOOKUP(L207,classifications!C:K,9,FALSE))</f>
        <v/>
      </c>
      <c r="U207" s="168" t="str">
        <f t="shared" si="94"/>
        <v/>
      </c>
      <c r="V207" s="174" t="str">
        <f>IF(U207="","",IF($I$8="A",(RANK(U207,U$11:U$343)+COUNTIF(U$11:U207,U207)-1),(RANK(U207,U$11:U$343,1)+COUNTIF(U$11:U207,U207)-1)))</f>
        <v/>
      </c>
      <c r="W207" s="175"/>
      <c r="X207" s="5" t="str">
        <f>IF(L207="","",VLOOKUP($L207,classifications!$C:$J,6,FALSE))</f>
        <v/>
      </c>
      <c r="Y207" t="str">
        <f t="shared" si="95"/>
        <v/>
      </c>
      <c r="Z207" s="40" t="str">
        <f>IF(Y207="","",IF(I$8="A",(RANK(Y207,Y$11:Y$343,1)+COUNTIF(Y$11:Y207,Y207)-1),(RANK(Y207,Y$11:Y$343)+COUNTIF(Y$11:Y207,Y207)-1)))</f>
        <v/>
      </c>
      <c r="AA207" s="180" t="str">
        <f>IF(L207="","",VLOOKUP($L207,classifications!C:I,7,FALSE))</f>
        <v/>
      </c>
      <c r="AB207" s="174" t="str">
        <f t="shared" si="96"/>
        <v/>
      </c>
      <c r="AC207" s="174" t="str">
        <f>IF(AB207="","",IF($I$8="A",(RANK(AB207,AB$11:AB$343)+COUNTIF(AB$11:AB207,AB207)-1),(RANK(AB207,AB$11:AB$343,1)+COUNTIF(AB$11:AB207,AB207)-1)))</f>
        <v/>
      </c>
      <c r="AD207" s="174"/>
      <c r="AE207" s="36" t="str">
        <f t="shared" si="97"/>
        <v/>
      </c>
      <c r="AG207" s="15"/>
      <c r="AH207" s="3"/>
      <c r="AI207" s="5" t="str">
        <f>IF(L207="","",VLOOKUP($L207,classifications!$C:$J,8,FALSE))</f>
        <v/>
      </c>
      <c r="AJ207" s="43" t="str">
        <f t="shared" si="98"/>
        <v/>
      </c>
      <c r="AK207" s="40" t="str">
        <f>IF(AJ207="","",IF(I$8="A",(RANK(AJ207,AJ$11:AJ$343,1)+COUNTIF(AJ$11:AJ207,AJ207)-1),(RANK(AJ207,AJ$11:AJ$343)+COUNTIF(AJ$11:AJ207,AJ207)-1)))</f>
        <v/>
      </c>
      <c r="AL207" s="3" t="str">
        <f t="shared" si="99"/>
        <v/>
      </c>
      <c r="AM207" t="str">
        <f t="shared" si="100"/>
        <v/>
      </c>
      <c r="AN207" t="str">
        <f t="shared" si="101"/>
        <v/>
      </c>
      <c r="AP207" s="5" t="str">
        <f>IF(L207="","",VLOOKUP($L207,classifications!$C:$E,3,FALSE))</f>
        <v/>
      </c>
      <c r="AQ207" s="43" t="str">
        <f t="shared" si="102"/>
        <v/>
      </c>
      <c r="AR207" s="40" t="str">
        <f>IF(AQ207="","",IF(I$8="A",(RANK(AQ207,AQ$11:AQ$343,1)+COUNTIF(AQ$11:AQ207,AQ207)-1),(RANK(AQ207,AQ$11:AQ$343)+COUNTIF(AQ$11:AQ207,AQ207)-1)))</f>
        <v/>
      </c>
      <c r="AS207" s="3" t="str">
        <f t="shared" si="103"/>
        <v/>
      </c>
      <c r="AT207" s="40" t="str">
        <f t="shared" si="104"/>
        <v/>
      </c>
      <c r="AU207" s="43" t="str">
        <f t="shared" si="105"/>
        <v/>
      </c>
      <c r="AX207">
        <f>HLOOKUP($AX$9&amp;$AX$10,Data!$A$1:$ZZ$1980,(MATCH($C207,Data!$A$1:$A$1980,0)),FALSE)</f>
        <v>364.2</v>
      </c>
    </row>
    <row r="208" spans="1:50">
      <c r="A208" s="59" t="str">
        <f>$D$1&amp;198</f>
        <v>UA198</v>
      </c>
      <c r="B208" s="60">
        <f>IF(ISERROR(VLOOKUP(A211,classifications!A:C,3,FALSE)),0,VLOOKUP(A211,classifications!A:C,3,FALSE))</f>
        <v>0</v>
      </c>
      <c r="C208" t="s">
        <v>321</v>
      </c>
      <c r="D208" t="str">
        <f>VLOOKUP($C208,classifications!$C:$J,4,FALSE)</f>
        <v>SC</v>
      </c>
      <c r="E208" t="str">
        <f>VLOOKUP(C208,classifications!C:K,9,FALSE)</f>
        <v>Sparse</v>
      </c>
      <c r="F208">
        <f t="shared" si="83"/>
        <v>447.6</v>
      </c>
      <c r="G208" s="15"/>
      <c r="H208" s="42" t="str">
        <f t="shared" si="84"/>
        <v/>
      </c>
      <c r="I208" s="79" t="str">
        <f>IF(H208="","",IF($I$8="A",(RANK(H208,H$11:H$343,1)+COUNTIF(H$11:H208,H208)-1),(RANK(H208,H$11:H$343)+COUNTIF(H$11:H208,H208)-1)))</f>
        <v/>
      </c>
      <c r="J208" s="41"/>
      <c r="K208" s="36" t="str">
        <f t="shared" si="85"/>
        <v/>
      </c>
      <c r="L208" t="str">
        <f t="shared" si="86"/>
        <v/>
      </c>
      <c r="M208" s="117" t="str">
        <f t="shared" si="87"/>
        <v/>
      </c>
      <c r="N208" s="112" t="str">
        <f t="shared" si="88"/>
        <v/>
      </c>
      <c r="O208" s="96" t="str">
        <f t="shared" si="89"/>
        <v/>
      </c>
      <c r="P208" s="96" t="str">
        <f t="shared" si="90"/>
        <v/>
      </c>
      <c r="Q208" s="96" t="str">
        <f t="shared" si="91"/>
        <v/>
      </c>
      <c r="R208" s="92" t="str">
        <f t="shared" si="92"/>
        <v/>
      </c>
      <c r="S208" s="42" t="str">
        <f t="shared" si="93"/>
        <v/>
      </c>
      <c r="T208" s="167" t="str">
        <f>IF(L208="","",VLOOKUP(L208,classifications!C:K,9,FALSE))</f>
        <v/>
      </c>
      <c r="U208" s="168" t="str">
        <f t="shared" si="94"/>
        <v/>
      </c>
      <c r="V208" s="174" t="str">
        <f>IF(U208="","",IF($I$8="A",(RANK(U208,U$11:U$343)+COUNTIF(U$11:U208,U208)-1),(RANK(U208,U$11:U$343,1)+COUNTIF(U$11:U208,U208)-1)))</f>
        <v/>
      </c>
      <c r="W208" s="175"/>
      <c r="X208" s="5" t="str">
        <f>IF(L208="","",VLOOKUP($L208,classifications!$C:$J,6,FALSE))</f>
        <v/>
      </c>
      <c r="Y208" t="str">
        <f t="shared" si="95"/>
        <v/>
      </c>
      <c r="Z208" s="40" t="str">
        <f>IF(Y208="","",IF(I$8="A",(RANK(Y208,Y$11:Y$343,1)+COUNTIF(Y$11:Y208,Y208)-1),(RANK(Y208,Y$11:Y$343)+COUNTIF(Y$11:Y208,Y208)-1)))</f>
        <v/>
      </c>
      <c r="AA208" s="180" t="str">
        <f>IF(L208="","",VLOOKUP($L208,classifications!C:I,7,FALSE))</f>
        <v/>
      </c>
      <c r="AB208" s="174" t="str">
        <f t="shared" si="96"/>
        <v/>
      </c>
      <c r="AC208" s="174" t="str">
        <f>IF(AB208="","",IF($I$8="A",(RANK(AB208,AB$11:AB$343)+COUNTIF(AB$11:AB208,AB208)-1),(RANK(AB208,AB$11:AB$343,1)+COUNTIF(AB$11:AB208,AB208)-1)))</f>
        <v/>
      </c>
      <c r="AD208" s="174"/>
      <c r="AE208" s="36" t="str">
        <f t="shared" si="97"/>
        <v/>
      </c>
      <c r="AG208" s="15"/>
      <c r="AH208" s="3"/>
      <c r="AI208" s="5" t="str">
        <f>IF(L208="","",VLOOKUP($L208,classifications!$C:$J,8,FALSE))</f>
        <v/>
      </c>
      <c r="AJ208" s="43" t="str">
        <f t="shared" si="98"/>
        <v/>
      </c>
      <c r="AK208" s="40" t="str">
        <f>IF(AJ208="","",IF(I$8="A",(RANK(AJ208,AJ$11:AJ$343,1)+COUNTIF(AJ$11:AJ208,AJ208)-1),(RANK(AJ208,AJ$11:AJ$343)+COUNTIF(AJ$11:AJ208,AJ208)-1)))</f>
        <v/>
      </c>
      <c r="AL208" s="3" t="str">
        <f t="shared" si="99"/>
        <v/>
      </c>
      <c r="AM208" t="str">
        <f t="shared" si="100"/>
        <v/>
      </c>
      <c r="AN208" t="str">
        <f t="shared" si="101"/>
        <v/>
      </c>
      <c r="AP208" s="5" t="str">
        <f>IF(L208="","",VLOOKUP($L208,classifications!$C:$E,3,FALSE))</f>
        <v/>
      </c>
      <c r="AQ208" s="43" t="str">
        <f t="shared" si="102"/>
        <v/>
      </c>
      <c r="AR208" s="40" t="str">
        <f>IF(AQ208="","",IF(I$8="A",(RANK(AQ208,AQ$11:AQ$343,1)+COUNTIF(AQ$11:AQ208,AQ208)-1),(RANK(AQ208,AQ$11:AQ$343)+COUNTIF(AQ$11:AQ208,AQ208)-1)))</f>
        <v/>
      </c>
      <c r="AS208" s="3" t="str">
        <f t="shared" si="103"/>
        <v/>
      </c>
      <c r="AT208" s="40" t="str">
        <f t="shared" si="104"/>
        <v/>
      </c>
      <c r="AU208" s="43" t="str">
        <f t="shared" si="105"/>
        <v/>
      </c>
      <c r="AX208">
        <f>HLOOKUP($AX$9&amp;$AX$10,Data!$A$1:$ZZ$1980,(MATCH($C208,Data!$A$1:$A$1980,0)),FALSE)</f>
        <v>447.6</v>
      </c>
    </row>
    <row r="209" spans="1:50">
      <c r="A209" s="59" t="str">
        <f>$D$1&amp;199</f>
        <v>UA199</v>
      </c>
      <c r="B209" s="60">
        <f>IF(ISERROR(VLOOKUP(A214,classifications!A:C,3,FALSE)),0,VLOOKUP(A214,classifications!A:C,3,FALSE))</f>
        <v>0</v>
      </c>
      <c r="C209" t="s">
        <v>323</v>
      </c>
      <c r="D209" t="str">
        <f>VLOOKUP($C209,classifications!$C:$J,4,FALSE)</f>
        <v>UA</v>
      </c>
      <c r="E209" t="str">
        <f>VLOOKUP(C209,classifications!C:K,9,FALSE)</f>
        <v>Sparse</v>
      </c>
      <c r="F209">
        <f t="shared" si="83"/>
        <v>445</v>
      </c>
      <c r="G209" s="15"/>
      <c r="H209" s="42">
        <f t="shared" si="84"/>
        <v>445</v>
      </c>
      <c r="I209" s="79">
        <f>IF(H209="","",IF($I$8="A",(RANK(H209,H$11:H$343,1)+COUNTIF(H$11:H209,H209)-1),(RANK(H209,H$11:H$343)+COUNTIF(H$11:H209,H209)-1)))</f>
        <v>53</v>
      </c>
      <c r="J209" s="41"/>
      <c r="K209" s="36" t="str">
        <f t="shared" si="85"/>
        <v/>
      </c>
      <c r="L209" t="str">
        <f t="shared" si="86"/>
        <v/>
      </c>
      <c r="M209" s="117" t="str">
        <f t="shared" si="87"/>
        <v/>
      </c>
      <c r="N209" s="112" t="str">
        <f t="shared" si="88"/>
        <v/>
      </c>
      <c r="O209" s="96" t="str">
        <f t="shared" si="89"/>
        <v/>
      </c>
      <c r="P209" s="96" t="str">
        <f t="shared" si="90"/>
        <v/>
      </c>
      <c r="Q209" s="96" t="str">
        <f t="shared" si="91"/>
        <v/>
      </c>
      <c r="R209" s="92" t="str">
        <f t="shared" si="92"/>
        <v/>
      </c>
      <c r="S209" s="42" t="str">
        <f t="shared" si="93"/>
        <v/>
      </c>
      <c r="T209" s="167" t="str">
        <f>IF(L209="","",VLOOKUP(L209,classifications!C:K,9,FALSE))</f>
        <v/>
      </c>
      <c r="U209" s="168" t="str">
        <f t="shared" si="94"/>
        <v/>
      </c>
      <c r="V209" s="174" t="str">
        <f>IF(U209="","",IF($I$8="A",(RANK(U209,U$11:U$343)+COUNTIF(U$11:U209,U209)-1),(RANK(U209,U$11:U$343,1)+COUNTIF(U$11:U209,U209)-1)))</f>
        <v/>
      </c>
      <c r="W209" s="175"/>
      <c r="X209" s="5" t="str">
        <f>IF(L209="","",VLOOKUP($L209,classifications!$C:$J,6,FALSE))</f>
        <v/>
      </c>
      <c r="Y209" t="str">
        <f t="shared" si="95"/>
        <v/>
      </c>
      <c r="Z209" s="40" t="str">
        <f>IF(Y209="","",IF(I$8="A",(RANK(Y209,Y$11:Y$343,1)+COUNTIF(Y$11:Y209,Y209)-1),(RANK(Y209,Y$11:Y$343)+COUNTIF(Y$11:Y209,Y209)-1)))</f>
        <v/>
      </c>
      <c r="AA209" s="180" t="str">
        <f>IF(L209="","",VLOOKUP($L209,classifications!C:I,7,FALSE))</f>
        <v/>
      </c>
      <c r="AB209" s="174" t="str">
        <f t="shared" si="96"/>
        <v/>
      </c>
      <c r="AC209" s="174" t="str">
        <f>IF(AB209="","",IF($I$8="A",(RANK(AB209,AB$11:AB$343)+COUNTIF(AB$11:AB209,AB209)-1),(RANK(AB209,AB$11:AB$343,1)+COUNTIF(AB$11:AB209,AB209)-1)))</f>
        <v/>
      </c>
      <c r="AD209" s="174"/>
      <c r="AE209" s="36" t="str">
        <f t="shared" si="97"/>
        <v/>
      </c>
      <c r="AG209" s="15"/>
      <c r="AH209" s="3"/>
      <c r="AI209" s="5" t="str">
        <f>IF(L209="","",VLOOKUP($L209,classifications!$C:$J,8,FALSE))</f>
        <v/>
      </c>
      <c r="AJ209" s="43" t="str">
        <f t="shared" si="98"/>
        <v/>
      </c>
      <c r="AK209" s="40" t="str">
        <f>IF(AJ209="","",IF(I$8="A",(RANK(AJ209,AJ$11:AJ$343,1)+COUNTIF(AJ$11:AJ209,AJ209)-1),(RANK(AJ209,AJ$11:AJ$343)+COUNTIF(AJ$11:AJ209,AJ209)-1)))</f>
        <v/>
      </c>
      <c r="AL209" s="3" t="str">
        <f t="shared" si="99"/>
        <v/>
      </c>
      <c r="AM209" t="str">
        <f t="shared" si="100"/>
        <v/>
      </c>
      <c r="AN209" t="str">
        <f t="shared" si="101"/>
        <v/>
      </c>
      <c r="AP209" s="5" t="str">
        <f>IF(L209="","",VLOOKUP($L209,classifications!$C:$E,3,FALSE))</f>
        <v/>
      </c>
      <c r="AQ209" s="43" t="str">
        <f t="shared" si="102"/>
        <v/>
      </c>
      <c r="AR209" s="40" t="str">
        <f>IF(AQ209="","",IF(I$8="A",(RANK(AQ209,AQ$11:AQ$343,1)+COUNTIF(AQ$11:AQ209,AQ209)-1),(RANK(AQ209,AQ$11:AQ$343)+COUNTIF(AQ$11:AQ209,AQ209)-1)))</f>
        <v/>
      </c>
      <c r="AS209" s="3" t="str">
        <f t="shared" si="103"/>
        <v/>
      </c>
      <c r="AT209" s="40" t="str">
        <f t="shared" si="104"/>
        <v/>
      </c>
      <c r="AU209" s="43" t="str">
        <f t="shared" si="105"/>
        <v/>
      </c>
      <c r="AX209">
        <f>HLOOKUP($AX$9&amp;$AX$10,Data!$A$1:$ZZ$1980,(MATCH($C209,Data!$A$1:$A$1980,0)),FALSE)</f>
        <v>445</v>
      </c>
    </row>
    <row r="210" spans="1:50">
      <c r="A210" s="59" t="str">
        <f>$D$1&amp;200</f>
        <v>UA200</v>
      </c>
      <c r="B210" s="60">
        <f>IF(ISERROR(VLOOKUP(A215,classifications!A:C,3,FALSE)),0,VLOOKUP(A215,classifications!A:C,3,FALSE))</f>
        <v>0</v>
      </c>
      <c r="C210" t="s">
        <v>117</v>
      </c>
      <c r="D210" t="str">
        <f>VLOOKUP($C210,classifications!$C:$J,4,FALSE)</f>
        <v>SD</v>
      </c>
      <c r="E210">
        <f>VLOOKUP(C210,classifications!C:K,9,FALSE)</f>
        <v>0</v>
      </c>
      <c r="F210">
        <f t="shared" si="83"/>
        <v>299.5</v>
      </c>
      <c r="G210" s="15"/>
      <c r="H210" s="42" t="str">
        <f t="shared" si="84"/>
        <v/>
      </c>
      <c r="I210" s="79" t="str">
        <f>IF(H210="","",IF($I$8="A",(RANK(H210,H$11:H$343,1)+COUNTIF(H$11:H210,H210)-1),(RANK(H210,H$11:H$343)+COUNTIF(H$11:H210,H210)-1)))</f>
        <v/>
      </c>
      <c r="J210" s="41"/>
      <c r="K210" s="36" t="str">
        <f t="shared" si="85"/>
        <v/>
      </c>
      <c r="L210" t="str">
        <f t="shared" si="86"/>
        <v/>
      </c>
      <c r="M210" s="117" t="str">
        <f t="shared" si="87"/>
        <v/>
      </c>
      <c r="N210" s="112" t="str">
        <f t="shared" si="88"/>
        <v/>
      </c>
      <c r="O210" s="96" t="str">
        <f t="shared" si="89"/>
        <v/>
      </c>
      <c r="P210" s="96" t="str">
        <f t="shared" si="90"/>
        <v/>
      </c>
      <c r="Q210" s="96" t="str">
        <f t="shared" si="91"/>
        <v/>
      </c>
      <c r="R210" s="92" t="str">
        <f t="shared" si="92"/>
        <v/>
      </c>
      <c r="S210" s="42" t="str">
        <f t="shared" si="93"/>
        <v/>
      </c>
      <c r="T210" s="167" t="str">
        <f>IF(L210="","",VLOOKUP(L210,classifications!C:K,9,FALSE))</f>
        <v/>
      </c>
      <c r="U210" s="168" t="str">
        <f t="shared" si="94"/>
        <v/>
      </c>
      <c r="V210" s="174" t="str">
        <f>IF(U210="","",IF($I$8="A",(RANK(U210,U$11:U$343)+COUNTIF(U$11:U210,U210)-1),(RANK(U210,U$11:U$343,1)+COUNTIF(U$11:U210,U210)-1)))</f>
        <v/>
      </c>
      <c r="W210" s="175"/>
      <c r="X210" s="5" t="str">
        <f>IF(L210="","",VLOOKUP($L210,classifications!$C:$J,6,FALSE))</f>
        <v/>
      </c>
      <c r="Y210" t="str">
        <f t="shared" si="95"/>
        <v/>
      </c>
      <c r="Z210" s="40" t="str">
        <f>IF(Y210="","",IF(I$8="A",(RANK(Y210,Y$11:Y$343,1)+COUNTIF(Y$11:Y210,Y210)-1),(RANK(Y210,Y$11:Y$343)+COUNTIF(Y$11:Y210,Y210)-1)))</f>
        <v/>
      </c>
      <c r="AA210" s="180" t="str">
        <f>IF(L210="","",VLOOKUP($L210,classifications!C:I,7,FALSE))</f>
        <v/>
      </c>
      <c r="AB210" s="174" t="str">
        <f t="shared" si="96"/>
        <v/>
      </c>
      <c r="AC210" s="174" t="str">
        <f>IF(AB210="","",IF($I$8="A",(RANK(AB210,AB$11:AB$343)+COUNTIF(AB$11:AB210,AB210)-1),(RANK(AB210,AB$11:AB$343,1)+COUNTIF(AB$11:AB210,AB210)-1)))</f>
        <v/>
      </c>
      <c r="AD210" s="174"/>
      <c r="AE210" s="36" t="str">
        <f t="shared" si="97"/>
        <v/>
      </c>
      <c r="AG210" s="15"/>
      <c r="AH210" s="3"/>
      <c r="AI210" s="5" t="str">
        <f>IF(L210="","",VLOOKUP($L210,classifications!$C:$J,8,FALSE))</f>
        <v/>
      </c>
      <c r="AJ210" s="43" t="str">
        <f t="shared" si="98"/>
        <v/>
      </c>
      <c r="AK210" s="40" t="str">
        <f>IF(AJ210="","",IF(I$8="A",(RANK(AJ210,AJ$11:AJ$343,1)+COUNTIF(AJ$11:AJ210,AJ210)-1),(RANK(AJ210,AJ$11:AJ$343)+COUNTIF(AJ$11:AJ210,AJ210)-1)))</f>
        <v/>
      </c>
      <c r="AL210" s="3" t="str">
        <f t="shared" si="99"/>
        <v/>
      </c>
      <c r="AM210" t="str">
        <f t="shared" si="100"/>
        <v/>
      </c>
      <c r="AN210" t="str">
        <f t="shared" si="101"/>
        <v/>
      </c>
      <c r="AP210" s="5" t="str">
        <f>IF(L210="","",VLOOKUP($L210,classifications!$C:$E,3,FALSE))</f>
        <v/>
      </c>
      <c r="AQ210" s="43" t="str">
        <f t="shared" si="102"/>
        <v/>
      </c>
      <c r="AR210" s="40" t="str">
        <f>IF(AQ210="","",IF(I$8="A",(RANK(AQ210,AQ$11:AQ$343,1)+COUNTIF(AQ$11:AQ210,AQ210)-1),(RANK(AQ210,AQ$11:AQ$343)+COUNTIF(AQ$11:AQ210,AQ210)-1)))</f>
        <v/>
      </c>
      <c r="AS210" s="3" t="str">
        <f t="shared" si="103"/>
        <v/>
      </c>
      <c r="AT210" s="40" t="str">
        <f t="shared" si="104"/>
        <v/>
      </c>
      <c r="AU210" s="43" t="str">
        <f t="shared" si="105"/>
        <v/>
      </c>
      <c r="AX210">
        <f>HLOOKUP($AX$9&amp;$AX$10,Data!$A$1:$ZZ$1980,(MATCH($C210,Data!$A$1:$A$1980,0)),FALSE)</f>
        <v>299.5</v>
      </c>
    </row>
    <row r="211" spans="1:50">
      <c r="A211" s="59" t="str">
        <f>$D$1&amp;201</f>
        <v>UA201</v>
      </c>
      <c r="B211" s="60">
        <f>IF(ISERROR(VLOOKUP(A216,classifications!A:C,3,FALSE)),0,VLOOKUP(A216,classifications!A:C,3,FALSE))</f>
        <v>0</v>
      </c>
      <c r="C211" t="s">
        <v>280</v>
      </c>
      <c r="D211" t="str">
        <f>VLOOKUP($C211,classifications!$C:$J,4,FALSE)</f>
        <v>UA</v>
      </c>
      <c r="E211">
        <f>VLOOKUP(C211,classifications!C:K,9,FALSE)</f>
        <v>0</v>
      </c>
      <c r="F211">
        <f t="shared" si="83"/>
        <v>340.9</v>
      </c>
      <c r="G211" s="15"/>
      <c r="H211" s="42">
        <f t="shared" si="84"/>
        <v>340.9</v>
      </c>
      <c r="I211" s="79">
        <f>IF(H211="","",IF($I$8="A",(RANK(H211,H$11:H$343,1)+COUNTIF(H$11:H211,H211)-1),(RANK(H211,H$11:H$343)+COUNTIF(H$11:H211,H211)-1)))</f>
        <v>9</v>
      </c>
      <c r="J211" s="41"/>
      <c r="K211" s="36" t="str">
        <f t="shared" si="85"/>
        <v/>
      </c>
      <c r="L211" t="str">
        <f t="shared" si="86"/>
        <v/>
      </c>
      <c r="M211" s="117" t="str">
        <f t="shared" si="87"/>
        <v/>
      </c>
      <c r="N211" s="112" t="str">
        <f t="shared" si="88"/>
        <v/>
      </c>
      <c r="O211" s="96" t="str">
        <f t="shared" si="89"/>
        <v/>
      </c>
      <c r="P211" s="96" t="str">
        <f t="shared" si="90"/>
        <v/>
      </c>
      <c r="Q211" s="96" t="str">
        <f t="shared" si="91"/>
        <v/>
      </c>
      <c r="R211" s="92" t="str">
        <f t="shared" si="92"/>
        <v/>
      </c>
      <c r="S211" s="42" t="str">
        <f t="shared" si="93"/>
        <v/>
      </c>
      <c r="T211" s="167" t="str">
        <f>IF(L211="","",VLOOKUP(L211,classifications!C:K,9,FALSE))</f>
        <v/>
      </c>
      <c r="U211" s="168" t="str">
        <f t="shared" si="94"/>
        <v/>
      </c>
      <c r="V211" s="174" t="str">
        <f>IF(U211="","",IF($I$8="A",(RANK(U211,U$11:U$343)+COUNTIF(U$11:U211,U211)-1),(RANK(U211,U$11:U$343,1)+COUNTIF(U$11:U211,U211)-1)))</f>
        <v/>
      </c>
      <c r="W211" s="175"/>
      <c r="X211" s="5" t="str">
        <f>IF(L211="","",VLOOKUP($L211,classifications!$C:$J,6,FALSE))</f>
        <v/>
      </c>
      <c r="Y211" t="str">
        <f t="shared" si="95"/>
        <v/>
      </c>
      <c r="Z211" s="40" t="str">
        <f>IF(Y211="","",IF(I$8="A",(RANK(Y211,Y$11:Y$343,1)+COUNTIF(Y$11:Y211,Y211)-1),(RANK(Y211,Y$11:Y$343)+COUNTIF(Y$11:Y211,Y211)-1)))</f>
        <v/>
      </c>
      <c r="AA211" s="180" t="str">
        <f>IF(L211="","",VLOOKUP($L211,classifications!C:I,7,FALSE))</f>
        <v/>
      </c>
      <c r="AB211" s="174" t="str">
        <f t="shared" si="96"/>
        <v/>
      </c>
      <c r="AC211" s="174" t="str">
        <f>IF(AB211="","",IF($I$8="A",(RANK(AB211,AB$11:AB$343)+COUNTIF(AB$11:AB211,AB211)-1),(RANK(AB211,AB$11:AB$343,1)+COUNTIF(AB$11:AB211,AB211)-1)))</f>
        <v/>
      </c>
      <c r="AD211" s="174"/>
      <c r="AE211" s="36" t="str">
        <f t="shared" si="97"/>
        <v/>
      </c>
      <c r="AG211" s="15"/>
      <c r="AH211" s="3"/>
      <c r="AI211" s="5" t="str">
        <f>IF(L211="","",VLOOKUP($L211,classifications!$C:$J,8,FALSE))</f>
        <v/>
      </c>
      <c r="AJ211" s="43" t="str">
        <f t="shared" si="98"/>
        <v/>
      </c>
      <c r="AK211" s="40" t="str">
        <f>IF(AJ211="","",IF(I$8="A",(RANK(AJ211,AJ$11:AJ$343,1)+COUNTIF(AJ$11:AJ211,AJ211)-1),(RANK(AJ211,AJ$11:AJ$343)+COUNTIF(AJ$11:AJ211,AJ211)-1)))</f>
        <v/>
      </c>
      <c r="AL211" s="3" t="str">
        <f t="shared" si="99"/>
        <v/>
      </c>
      <c r="AM211" t="str">
        <f t="shared" si="100"/>
        <v/>
      </c>
      <c r="AN211" t="str">
        <f t="shared" si="101"/>
        <v/>
      </c>
      <c r="AP211" s="5" t="str">
        <f>IF(L211="","",VLOOKUP($L211,classifications!$C:$E,3,FALSE))</f>
        <v/>
      </c>
      <c r="AQ211" s="43" t="str">
        <f t="shared" si="102"/>
        <v/>
      </c>
      <c r="AR211" s="40" t="str">
        <f>IF(AQ211="","",IF(I$8="A",(RANK(AQ211,AQ$11:AQ$343,1)+COUNTIF(AQ$11:AQ211,AQ211)-1),(RANK(AQ211,AQ$11:AQ$343)+COUNTIF(AQ$11:AQ211,AQ211)-1)))</f>
        <v/>
      </c>
      <c r="AS211" s="3" t="str">
        <f t="shared" si="103"/>
        <v/>
      </c>
      <c r="AT211" s="40" t="str">
        <f t="shared" si="104"/>
        <v/>
      </c>
      <c r="AU211" s="43" t="str">
        <f t="shared" si="105"/>
        <v/>
      </c>
      <c r="AX211">
        <f>HLOOKUP($AX$9&amp;$AX$10,Data!$A$1:$ZZ$1980,(MATCH($C211,Data!$A$1:$A$1980,0)),FALSE)</f>
        <v>340.9</v>
      </c>
    </row>
    <row r="212" spans="1:50">
      <c r="A212" s="59" t="str">
        <f>$D$1&amp;202</f>
        <v>UA202</v>
      </c>
      <c r="B212" s="60">
        <f>IF(ISERROR(VLOOKUP(A217,classifications!A:C,3,FALSE)),0,VLOOKUP(A217,classifications!A:C,3,FALSE))</f>
        <v>0</v>
      </c>
      <c r="C212" t="s">
        <v>324</v>
      </c>
      <c r="D212" t="str">
        <f>VLOOKUP($C212,classifications!$C:$J,4,FALSE)</f>
        <v>SC</v>
      </c>
      <c r="E212" t="str">
        <f>VLOOKUP(C212,classifications!C:K,9,FALSE)</f>
        <v>Sparse</v>
      </c>
      <c r="F212">
        <f t="shared" si="83"/>
        <v>440.6</v>
      </c>
      <c r="G212" s="15"/>
      <c r="H212" s="42" t="str">
        <f t="shared" si="84"/>
        <v/>
      </c>
      <c r="I212" s="79" t="str">
        <f>IF(H212="","",IF($I$8="A",(RANK(H212,H$11:H$343,1)+COUNTIF(H$11:H212,H212)-1),(RANK(H212,H$11:H$343)+COUNTIF(H$11:H212,H212)-1)))</f>
        <v/>
      </c>
      <c r="J212" s="41"/>
      <c r="K212" s="36" t="str">
        <f t="shared" si="85"/>
        <v/>
      </c>
      <c r="L212" t="str">
        <f t="shared" si="86"/>
        <v/>
      </c>
      <c r="M212" s="117" t="str">
        <f t="shared" si="87"/>
        <v/>
      </c>
      <c r="N212" s="112" t="str">
        <f t="shared" si="88"/>
        <v/>
      </c>
      <c r="O212" s="96" t="str">
        <f t="shared" si="89"/>
        <v/>
      </c>
      <c r="P212" s="96" t="str">
        <f t="shared" si="90"/>
        <v/>
      </c>
      <c r="Q212" s="96" t="str">
        <f t="shared" si="91"/>
        <v/>
      </c>
      <c r="R212" s="92" t="str">
        <f t="shared" si="92"/>
        <v/>
      </c>
      <c r="S212" s="42" t="str">
        <f t="shared" si="93"/>
        <v/>
      </c>
      <c r="T212" s="167" t="str">
        <f>IF(L212="","",VLOOKUP(L212,classifications!C:K,9,FALSE))</f>
        <v/>
      </c>
      <c r="U212" s="168" t="str">
        <f t="shared" si="94"/>
        <v/>
      </c>
      <c r="V212" s="174" t="str">
        <f>IF(U212="","",IF($I$8="A",(RANK(U212,U$11:U$343)+COUNTIF(U$11:U212,U212)-1),(RANK(U212,U$11:U$343,1)+COUNTIF(U$11:U212,U212)-1)))</f>
        <v/>
      </c>
      <c r="W212" s="175"/>
      <c r="X212" s="5" t="str">
        <f>IF(L212="","",VLOOKUP($L212,classifications!$C:$J,6,FALSE))</f>
        <v/>
      </c>
      <c r="Y212" t="str">
        <f t="shared" si="95"/>
        <v/>
      </c>
      <c r="Z212" s="40" t="str">
        <f>IF(Y212="","",IF(I$8="A",(RANK(Y212,Y$11:Y$343,1)+COUNTIF(Y$11:Y212,Y212)-1),(RANK(Y212,Y$11:Y$343)+COUNTIF(Y$11:Y212,Y212)-1)))</f>
        <v/>
      </c>
      <c r="AA212" s="180" t="str">
        <f>IF(L212="","",VLOOKUP($L212,classifications!C:I,7,FALSE))</f>
        <v/>
      </c>
      <c r="AB212" s="174" t="str">
        <f t="shared" si="96"/>
        <v/>
      </c>
      <c r="AC212" s="174" t="str">
        <f>IF(AB212="","",IF($I$8="A",(RANK(AB212,AB$11:AB$343)+COUNTIF(AB$11:AB212,AB212)-1),(RANK(AB212,AB$11:AB$343,1)+COUNTIF(AB$11:AB212,AB212)-1)))</f>
        <v/>
      </c>
      <c r="AD212" s="174"/>
      <c r="AE212" s="36" t="str">
        <f t="shared" si="97"/>
        <v/>
      </c>
      <c r="AG212" s="15"/>
      <c r="AH212" s="3"/>
      <c r="AI212" s="5" t="str">
        <f>IF(L212="","",VLOOKUP($L212,classifications!$C:$J,8,FALSE))</f>
        <v/>
      </c>
      <c r="AJ212" s="43" t="str">
        <f t="shared" si="98"/>
        <v/>
      </c>
      <c r="AK212" s="40" t="str">
        <f>IF(AJ212="","",IF(I$8="A",(RANK(AJ212,AJ$11:AJ$343,1)+COUNTIF(AJ$11:AJ212,AJ212)-1),(RANK(AJ212,AJ$11:AJ$343)+COUNTIF(AJ$11:AJ212,AJ212)-1)))</f>
        <v/>
      </c>
      <c r="AL212" s="3" t="str">
        <f t="shared" si="99"/>
        <v/>
      </c>
      <c r="AM212" t="str">
        <f t="shared" si="100"/>
        <v/>
      </c>
      <c r="AN212" t="str">
        <f t="shared" si="101"/>
        <v/>
      </c>
      <c r="AP212" s="5" t="str">
        <f>IF(L212="","",VLOOKUP($L212,classifications!$C:$E,3,FALSE))</f>
        <v/>
      </c>
      <c r="AQ212" s="43" t="str">
        <f t="shared" si="102"/>
        <v/>
      </c>
      <c r="AR212" s="40" t="str">
        <f>IF(AQ212="","",IF(I$8="A",(RANK(AQ212,AQ$11:AQ$343,1)+COUNTIF(AQ$11:AQ212,AQ212)-1),(RANK(AQ212,AQ$11:AQ$343)+COUNTIF(AQ$11:AQ212,AQ212)-1)))</f>
        <v/>
      </c>
      <c r="AS212" s="3" t="str">
        <f t="shared" si="103"/>
        <v/>
      </c>
      <c r="AT212" s="40" t="str">
        <f t="shared" si="104"/>
        <v/>
      </c>
      <c r="AU212" s="43" t="str">
        <f t="shared" si="105"/>
        <v/>
      </c>
      <c r="AX212">
        <f>HLOOKUP($AX$9&amp;$AX$10,Data!$A$1:$ZZ$1980,(MATCH($C212,Data!$A$1:$A$1980,0)),FALSE)</f>
        <v>440.6</v>
      </c>
    </row>
    <row r="213" spans="1:50">
      <c r="A213" s="59" t="str">
        <f>$D$1&amp;203</f>
        <v>UA203</v>
      </c>
      <c r="B213" s="60">
        <f>IF(ISERROR(VLOOKUP(A218,classifications!A:C,3,FALSE)),0,VLOOKUP(A218,classifications!A:C,3,FALSE))</f>
        <v>0</v>
      </c>
      <c r="C213" t="s">
        <v>348</v>
      </c>
      <c r="D213" t="str">
        <f>VLOOKUP($C213,classifications!$C:$J,4,FALSE)</f>
        <v>SD</v>
      </c>
      <c r="E213">
        <f>VLOOKUP(C213,classifications!C:K,9,FALSE)</f>
        <v>0</v>
      </c>
      <c r="F213">
        <f t="shared" si="83"/>
        <v>343.9</v>
      </c>
      <c r="G213" s="15"/>
      <c r="H213" s="42" t="str">
        <f t="shared" si="84"/>
        <v/>
      </c>
      <c r="I213" s="79" t="str">
        <f>IF(H213="","",IF($I$8="A",(RANK(H213,H$11:H$343,1)+COUNTIF(H$11:H213,H213)-1),(RANK(H213,H$11:H$343)+COUNTIF(H$11:H213,H213)-1)))</f>
        <v/>
      </c>
      <c r="J213" s="41"/>
      <c r="K213" s="36" t="str">
        <f t="shared" si="85"/>
        <v/>
      </c>
      <c r="L213" t="str">
        <f t="shared" si="86"/>
        <v/>
      </c>
      <c r="M213" s="117" t="str">
        <f t="shared" si="87"/>
        <v/>
      </c>
      <c r="N213" s="112" t="str">
        <f t="shared" si="88"/>
        <v/>
      </c>
      <c r="O213" s="96" t="str">
        <f t="shared" si="89"/>
        <v/>
      </c>
      <c r="P213" s="96" t="str">
        <f t="shared" si="90"/>
        <v/>
      </c>
      <c r="Q213" s="96" t="str">
        <f t="shared" si="91"/>
        <v/>
      </c>
      <c r="R213" s="92" t="str">
        <f t="shared" si="92"/>
        <v/>
      </c>
      <c r="S213" s="42" t="str">
        <f t="shared" si="93"/>
        <v/>
      </c>
      <c r="T213" s="167" t="str">
        <f>IF(L213="","",VLOOKUP(L213,classifications!C:K,9,FALSE))</f>
        <v/>
      </c>
      <c r="U213" s="168" t="str">
        <f t="shared" si="94"/>
        <v/>
      </c>
      <c r="V213" s="174" t="str">
        <f>IF(U213="","",IF($I$8="A",(RANK(U213,U$11:U$343)+COUNTIF(U$11:U213,U213)-1),(RANK(U213,U$11:U$343,1)+COUNTIF(U$11:U213,U213)-1)))</f>
        <v/>
      </c>
      <c r="W213" s="175"/>
      <c r="X213" s="5" t="str">
        <f>IF(L213="","",VLOOKUP($L213,classifications!$C:$J,6,FALSE))</f>
        <v/>
      </c>
      <c r="Y213" t="str">
        <f t="shared" si="95"/>
        <v/>
      </c>
      <c r="Z213" s="40" t="str">
        <f>IF(Y213="","",IF(I$8="A",(RANK(Y213,Y$11:Y$343,1)+COUNTIF(Y$11:Y213,Y213)-1),(RANK(Y213,Y$11:Y$343)+COUNTIF(Y$11:Y213,Y213)-1)))</f>
        <v/>
      </c>
      <c r="AA213" s="180" t="str">
        <f>IF(L213="","",VLOOKUP($L213,classifications!C:I,7,FALSE))</f>
        <v/>
      </c>
      <c r="AB213" s="174" t="str">
        <f t="shared" si="96"/>
        <v/>
      </c>
      <c r="AC213" s="174" t="str">
        <f>IF(AB213="","",IF($I$8="A",(RANK(AB213,AB$11:AB$343)+COUNTIF(AB$11:AB213,AB213)-1),(RANK(AB213,AB$11:AB$343,1)+COUNTIF(AB$11:AB213,AB213)-1)))</f>
        <v/>
      </c>
      <c r="AD213" s="174"/>
      <c r="AE213" s="36" t="str">
        <f t="shared" si="97"/>
        <v/>
      </c>
      <c r="AG213" s="15"/>
      <c r="AH213" s="3"/>
      <c r="AI213" s="5" t="str">
        <f>IF(L213="","",VLOOKUP($L213,classifications!$C:$J,8,FALSE))</f>
        <v/>
      </c>
      <c r="AJ213" s="43" t="str">
        <f t="shared" si="98"/>
        <v/>
      </c>
      <c r="AK213" s="40" t="str">
        <f>IF(AJ213="","",IF(I$8="A",(RANK(AJ213,AJ$11:AJ$343,1)+COUNTIF(AJ$11:AJ213,AJ213)-1),(RANK(AJ213,AJ$11:AJ$343)+COUNTIF(AJ$11:AJ213,AJ213)-1)))</f>
        <v/>
      </c>
      <c r="AL213" s="3" t="str">
        <f t="shared" si="99"/>
        <v/>
      </c>
      <c r="AM213" t="str">
        <f t="shared" si="100"/>
        <v/>
      </c>
      <c r="AN213" t="str">
        <f t="shared" si="101"/>
        <v/>
      </c>
      <c r="AP213" s="5" t="str">
        <f>IF(L213="","",VLOOKUP($L213,classifications!$C:$E,3,FALSE))</f>
        <v/>
      </c>
      <c r="AQ213" s="43" t="str">
        <f t="shared" si="102"/>
        <v/>
      </c>
      <c r="AR213" s="40" t="str">
        <f>IF(AQ213="","",IF(I$8="A",(RANK(AQ213,AQ$11:AQ$343,1)+COUNTIF(AQ$11:AQ213,AQ213)-1),(RANK(AQ213,AQ$11:AQ$343)+COUNTIF(AQ$11:AQ213,AQ213)-1)))</f>
        <v/>
      </c>
      <c r="AS213" s="3" t="str">
        <f t="shared" si="103"/>
        <v/>
      </c>
      <c r="AT213" s="40" t="str">
        <f t="shared" si="104"/>
        <v/>
      </c>
      <c r="AU213" s="43" t="str">
        <f t="shared" si="105"/>
        <v/>
      </c>
      <c r="AX213">
        <f>HLOOKUP($AX$9&amp;$AX$10,Data!$A$1:$ZZ$1980,(MATCH($C213,Data!$A$1:$A$1980,0)),FALSE)</f>
        <v>343.9</v>
      </c>
    </row>
    <row r="214" spans="1:50">
      <c r="A214" s="59" t="str">
        <f>$D$1&amp;204</f>
        <v>UA204</v>
      </c>
      <c r="B214" s="60">
        <f>IF(ISERROR(VLOOKUP(A219,classifications!A:C,3,FALSE)),0,VLOOKUP(A219,classifications!A:C,3,FALSE))</f>
        <v>0</v>
      </c>
      <c r="C214" t="s">
        <v>349</v>
      </c>
      <c r="D214" t="str">
        <f>VLOOKUP($C214,classifications!$C:$J,4,FALSE)</f>
        <v>SD</v>
      </c>
      <c r="E214">
        <f>VLOOKUP(C214,classifications!C:K,9,FALSE)</f>
        <v>0</v>
      </c>
      <c r="F214">
        <f t="shared" ref="F214:F277" si="106">HLOOKUP($D$6,AX$10:ZX$355,ROW()-9,FALSE)</f>
        <v>292.2</v>
      </c>
      <c r="G214" s="15"/>
      <c r="H214" s="42" t="str">
        <f t="shared" ref="H214:H277" si="107">IF(D214=$D$1,HLOOKUP($D$6,$AX$10:$ZZ$355,ROW()-9,FALSE),"")</f>
        <v/>
      </c>
      <c r="I214" s="79" t="str">
        <f>IF(H214="","",IF($I$8="A",(RANK(H214,H$11:H$343,1)+COUNTIF(H$11:H214,H214)-1),(RANK(H214,H$11:H$343)+COUNTIF(H$11:H214,H214)-1)))</f>
        <v/>
      </c>
      <c r="J214" s="41"/>
      <c r="K214" s="36" t="str">
        <f t="shared" ref="K214:K277" si="108">IF(K213="","",IF(K213+1&gt;(COUNT(H$11:H$343)),"",K213+1))</f>
        <v/>
      </c>
      <c r="L214" t="str">
        <f t="shared" ref="L214:L277" si="109">IF(K214="","",INDEX(C$11:C$343,MATCH(K214,I$11:I$343,0)))</f>
        <v/>
      </c>
      <c r="M214" s="117" t="str">
        <f t="shared" ref="M214:M277" si="110">IF(L214="","",IF(VLOOKUP(L214,C:D,2,FALSE)=$F$3,VLOOKUP(L214,C:H,6,FALSE),""))</f>
        <v/>
      </c>
      <c r="N214" s="112" t="str">
        <f t="shared" ref="N214:N277" si="111">IF(L214="","",IF($H$8="%%",M214*100,M214))</f>
        <v/>
      </c>
      <c r="O214" s="96" t="str">
        <f t="shared" ref="O214:O277" si="112">IF(I$8="A",IF(N214&gt;=$P$7,IF(N214&lt;=$O$10,N214,""),""),IF(N214&lt;=$P$7,IF(N214&gt;=$O$10,N214,""),""))</f>
        <v/>
      </c>
      <c r="P214" s="96" t="str">
        <f t="shared" ref="P214:P277" si="113">IF(I$8="A",IF(N214&gt;$O$10,IF(N214&lt;=$P$10,N214,""),""),IF(N214&lt;$O$10,IF(N214&gt;=$P$10,N214,""),""))</f>
        <v/>
      </c>
      <c r="Q214" s="96" t="str">
        <f t="shared" ref="Q214:Q277" si="114">IF(I$8="A",IF(N214&gt;$P$10,IF(N214&lt;=$Q$10,N214,""),""),IF(N214&lt;$P$10,IF(N214&gt;=$Q$10,N214,""),""))</f>
        <v/>
      </c>
      <c r="R214" s="92" t="str">
        <f t="shared" ref="R214:R277" si="115">IF(I$8="A",IF(N214&gt;$Q$10,N214,""),IF(N214&lt;$Q$10,N214,""))</f>
        <v/>
      </c>
      <c r="S214" s="42" t="str">
        <f t="shared" ref="S214:S277" si="116">IF(L214=D$3,"u","")</f>
        <v/>
      </c>
      <c r="T214" s="167" t="str">
        <f>IF(L214="","",VLOOKUP(L214,classifications!C:K,9,FALSE))</f>
        <v/>
      </c>
      <c r="U214" s="168" t="str">
        <f t="shared" ref="U214:U277" si="117">IF(T214="Sparse",M214,"")</f>
        <v/>
      </c>
      <c r="V214" s="174" t="str">
        <f>IF(U214="","",IF($I$8="A",(RANK(U214,U$11:U$343)+COUNTIF(U$11:U214,U214)-1),(RANK(U214,U$11:U$343,1)+COUNTIF(U$11:U214,U214)-1)))</f>
        <v/>
      </c>
      <c r="W214" s="175"/>
      <c r="X214" s="5" t="str">
        <f>IF(L214="","",VLOOKUP($L214,classifications!$C:$J,6,FALSE))</f>
        <v/>
      </c>
      <c r="Y214" t="str">
        <f t="shared" ref="Y214:Y277" si="118">IF($D$1="UA",IF(X214="Largely Rural (rural including hub towns 50-79%) ",M214,IF(X214="Mainly Rural (rural including hub towns &gt;=80%) ",M214,IF(X214="Urban with Significant Rural (rural including hub towns 26-49%)",M214,""))),IF($D$1="SD",IF(X214=$H$3,M214,"")))</f>
        <v/>
      </c>
      <c r="Z214" s="40" t="str">
        <f>IF(Y214="","",IF(I$8="A",(RANK(Y214,Y$11:Y$343,1)+COUNTIF(Y$11:Y214,Y214)-1),(RANK(Y214,Y$11:Y$343)+COUNTIF(Y$11:Y214,Y214)-1)))</f>
        <v/>
      </c>
      <c r="AA214" s="180" t="str">
        <f>IF(L214="","",VLOOKUP($L214,classifications!C:I,7,FALSE))</f>
        <v/>
      </c>
      <c r="AB214" s="174" t="str">
        <f t="shared" ref="AB214:AB277" si="119">IF(AA214=$J$3,M214,"")</f>
        <v/>
      </c>
      <c r="AC214" s="174" t="str">
        <f>IF(AB214="","",IF($I$8="A",(RANK(AB214,AB$11:AB$343)+COUNTIF(AB$11:AB214,AB214)-1),(RANK(AB214,AB$11:AB$343,1)+COUNTIF(AB$11:AB214,AB214)-1)))</f>
        <v/>
      </c>
      <c r="AD214" s="174"/>
      <c r="AE214" s="36" t="str">
        <f t="shared" ref="AE214:AE277" si="120">IF(AE213="","",IF(AE213+1&gt;(COUNT(AG:AG)),"",AE213+1))</f>
        <v/>
      </c>
      <c r="AG214" s="15"/>
      <c r="AH214" s="3"/>
      <c r="AI214" s="5" t="str">
        <f>IF(L214="","",VLOOKUP($L214,classifications!$C:$J,8,FALSE))</f>
        <v/>
      </c>
      <c r="AJ214" s="43" t="str">
        <f t="shared" ref="AJ214:AJ277" si="121">IF(AI214=$I$3,M214,"")</f>
        <v/>
      </c>
      <c r="AK214" s="40" t="str">
        <f>IF(AJ214="","",IF(I$8="A",(RANK(AJ214,AJ$11:AJ$343,1)+COUNTIF(AJ$11:AJ214,AJ214)-1),(RANK(AJ214,AJ$11:AJ$343)+COUNTIF(AJ$11:AJ214,AJ214)-1)))</f>
        <v/>
      </c>
      <c r="AL214" s="3" t="str">
        <f t="shared" ref="AL214:AL277" si="122">IF(AL213="","",IF(AL213+1&gt;(COUNT(AJ$11:AJ$343)),"",AL213+1))</f>
        <v/>
      </c>
      <c r="AM214" t="str">
        <f t="shared" ref="AM214:AM277" si="123">IF(ISNA(IF(AL214="","",INDEX(L$11:L$343,MATCH(AL214,AK$11:AK$343,0)))),"",(IF(AL214="","",INDEX(L$11:L$343,MATCH(AL214,AK$11:AK$343,0)))))</f>
        <v/>
      </c>
      <c r="AN214" t="str">
        <f t="shared" ref="AN214:AN277" si="124">(VLOOKUP(AM214,L:M,2,FALSE))</f>
        <v/>
      </c>
      <c r="AP214" s="5" t="str">
        <f>IF(L214="","",VLOOKUP($L214,classifications!$C:$E,3,FALSE))</f>
        <v/>
      </c>
      <c r="AQ214" s="43" t="str">
        <f t="shared" ref="AQ214:AQ277" si="125">IF(AP214=$G$3,$M214,"")</f>
        <v/>
      </c>
      <c r="AR214" s="40" t="str">
        <f>IF(AQ214="","",IF(I$8="A",(RANK(AQ214,AQ$11:AQ$343,1)+COUNTIF(AQ$11:AQ214,AQ214)-1),(RANK(AQ214,AQ$11:AQ$343)+COUNTIF(AQ$11:AQ214,AQ214)-1)))</f>
        <v/>
      </c>
      <c r="AS214" s="3" t="str">
        <f t="shared" ref="AS214:AS277" si="126">IF(AS213="","",IF(AS213+1&gt;(COUNT(AQ$11:AQ$343)),"",AS213+1))</f>
        <v/>
      </c>
      <c r="AT214" s="40" t="str">
        <f t="shared" ref="AT214:AT277" si="127">IF(AS214="","",INDEX(L$11:L$343,MATCH(AS214,AR$11:AR$343,0)))</f>
        <v/>
      </c>
      <c r="AU214" s="43" t="str">
        <f t="shared" ref="AU214:AU277" si="128">IF(AT214="","",VLOOKUP(AT214,L:M,2,FALSE))</f>
        <v/>
      </c>
      <c r="AX214">
        <f>HLOOKUP($AX$9&amp;$AX$10,Data!$A$1:$ZZ$1980,(MATCH($C214,Data!$A$1:$A$1980,0)),FALSE)</f>
        <v>292.2</v>
      </c>
    </row>
    <row r="215" spans="1:50">
      <c r="A215" s="59" t="str">
        <f>$D$1&amp;205</f>
        <v>UA205</v>
      </c>
      <c r="B215" s="60">
        <f>IF(ISERROR(VLOOKUP(A220,classifications!A:C,3,FALSE)),0,VLOOKUP(A220,classifications!A:C,3,FALSE))</f>
        <v>0</v>
      </c>
      <c r="C215" t="s">
        <v>240</v>
      </c>
      <c r="D215" t="str">
        <f>VLOOKUP($C215,classifications!$C:$J,4,FALSE)</f>
        <v>MD</v>
      </c>
      <c r="E215">
        <f>VLOOKUP(C215,classifications!C:K,9,FALSE)</f>
        <v>0</v>
      </c>
      <c r="F215">
        <f t="shared" si="106"/>
        <v>294.5</v>
      </c>
      <c r="G215" s="15"/>
      <c r="H215" s="42" t="str">
        <f t="shared" si="107"/>
        <v/>
      </c>
      <c r="I215" s="79" t="str">
        <f>IF(H215="","",IF($I$8="A",(RANK(H215,H$11:H$343,1)+COUNTIF(H$11:H215,H215)-1),(RANK(H215,H$11:H$343)+COUNTIF(H$11:H215,H215)-1)))</f>
        <v/>
      </c>
      <c r="J215" s="41"/>
      <c r="K215" s="36" t="str">
        <f t="shared" si="108"/>
        <v/>
      </c>
      <c r="L215" t="str">
        <f t="shared" si="109"/>
        <v/>
      </c>
      <c r="M215" s="117" t="str">
        <f t="shared" si="110"/>
        <v/>
      </c>
      <c r="N215" s="112" t="str">
        <f t="shared" si="111"/>
        <v/>
      </c>
      <c r="O215" s="96" t="str">
        <f t="shared" si="112"/>
        <v/>
      </c>
      <c r="P215" s="96" t="str">
        <f t="shared" si="113"/>
        <v/>
      </c>
      <c r="Q215" s="96" t="str">
        <f t="shared" si="114"/>
        <v/>
      </c>
      <c r="R215" s="92" t="str">
        <f t="shared" si="115"/>
        <v/>
      </c>
      <c r="S215" s="42" t="str">
        <f t="shared" si="116"/>
        <v/>
      </c>
      <c r="T215" s="167" t="str">
        <f>IF(L215="","",VLOOKUP(L215,classifications!C:K,9,FALSE))</f>
        <v/>
      </c>
      <c r="U215" s="168" t="str">
        <f t="shared" si="117"/>
        <v/>
      </c>
      <c r="V215" s="174" t="str">
        <f>IF(U215="","",IF($I$8="A",(RANK(U215,U$11:U$343)+COUNTIF(U$11:U215,U215)-1),(RANK(U215,U$11:U$343,1)+COUNTIF(U$11:U215,U215)-1)))</f>
        <v/>
      </c>
      <c r="W215" s="175"/>
      <c r="X215" s="5" t="str">
        <f>IF(L215="","",VLOOKUP($L215,classifications!$C:$J,6,FALSE))</f>
        <v/>
      </c>
      <c r="Y215" t="str">
        <f t="shared" si="118"/>
        <v/>
      </c>
      <c r="Z215" s="40" t="str">
        <f>IF(Y215="","",IF(I$8="A",(RANK(Y215,Y$11:Y$343,1)+COUNTIF(Y$11:Y215,Y215)-1),(RANK(Y215,Y$11:Y$343)+COUNTIF(Y$11:Y215,Y215)-1)))</f>
        <v/>
      </c>
      <c r="AA215" s="180" t="str">
        <f>IF(L215="","",VLOOKUP($L215,classifications!C:I,7,FALSE))</f>
        <v/>
      </c>
      <c r="AB215" s="174" t="str">
        <f t="shared" si="119"/>
        <v/>
      </c>
      <c r="AC215" s="174" t="str">
        <f>IF(AB215="","",IF($I$8="A",(RANK(AB215,AB$11:AB$343)+COUNTIF(AB$11:AB215,AB215)-1),(RANK(AB215,AB$11:AB$343,1)+COUNTIF(AB$11:AB215,AB215)-1)))</f>
        <v/>
      </c>
      <c r="AD215" s="174"/>
      <c r="AE215" s="36" t="str">
        <f t="shared" si="120"/>
        <v/>
      </c>
      <c r="AG215" s="15"/>
      <c r="AH215" s="3"/>
      <c r="AI215" s="5" t="str">
        <f>IF(L215="","",VLOOKUP($L215,classifications!$C:$J,8,FALSE))</f>
        <v/>
      </c>
      <c r="AJ215" s="43" t="str">
        <f t="shared" si="121"/>
        <v/>
      </c>
      <c r="AK215" s="40" t="str">
        <f>IF(AJ215="","",IF(I$8="A",(RANK(AJ215,AJ$11:AJ$343,1)+COUNTIF(AJ$11:AJ215,AJ215)-1),(RANK(AJ215,AJ$11:AJ$343)+COUNTIF(AJ$11:AJ215,AJ215)-1)))</f>
        <v/>
      </c>
      <c r="AL215" s="3" t="str">
        <f t="shared" si="122"/>
        <v/>
      </c>
      <c r="AM215" t="str">
        <f t="shared" si="123"/>
        <v/>
      </c>
      <c r="AN215" t="str">
        <f t="shared" si="124"/>
        <v/>
      </c>
      <c r="AP215" s="5" t="str">
        <f>IF(L215="","",VLOOKUP($L215,classifications!$C:$E,3,FALSE))</f>
        <v/>
      </c>
      <c r="AQ215" s="43" t="str">
        <f t="shared" si="125"/>
        <v/>
      </c>
      <c r="AR215" s="40" t="str">
        <f>IF(AQ215="","",IF(I$8="A",(RANK(AQ215,AQ$11:AQ$343,1)+COUNTIF(AQ$11:AQ215,AQ215)-1),(RANK(AQ215,AQ$11:AQ$343)+COUNTIF(AQ$11:AQ215,AQ215)-1)))</f>
        <v/>
      </c>
      <c r="AS215" s="3" t="str">
        <f t="shared" si="126"/>
        <v/>
      </c>
      <c r="AT215" s="40" t="str">
        <f t="shared" si="127"/>
        <v/>
      </c>
      <c r="AU215" s="43" t="str">
        <f t="shared" si="128"/>
        <v/>
      </c>
      <c r="AX215">
        <f>HLOOKUP($AX$9&amp;$AX$10,Data!$A$1:$ZZ$1980,(MATCH($C215,Data!$A$1:$A$1980,0)),FALSE)</f>
        <v>294.5</v>
      </c>
    </row>
    <row r="216" spans="1:50">
      <c r="A216" s="59" t="str">
        <f>$D$1&amp;206</f>
        <v>UA206</v>
      </c>
      <c r="B216" s="60">
        <f>IF(ISERROR(VLOOKUP(A221,classifications!A:C,3,FALSE)),0,VLOOKUP(A221,classifications!A:C,3,FALSE))</f>
        <v>0</v>
      </c>
      <c r="C216" t="s">
        <v>118</v>
      </c>
      <c r="D216" t="str">
        <f>VLOOKUP($C216,classifications!$C:$J,4,FALSE)</f>
        <v>SD</v>
      </c>
      <c r="E216">
        <f>VLOOKUP(C216,classifications!C:K,9,FALSE)</f>
        <v>0</v>
      </c>
      <c r="F216">
        <f t="shared" si="106"/>
        <v>247.1</v>
      </c>
      <c r="G216" s="15"/>
      <c r="H216" s="42" t="str">
        <f t="shared" si="107"/>
        <v/>
      </c>
      <c r="I216" s="79" t="str">
        <f>IF(H216="","",IF($I$8="A",(RANK(H216,H$11:H$343,1)+COUNTIF(H$11:H216,H216)-1),(RANK(H216,H$11:H$343)+COUNTIF(H$11:H216,H216)-1)))</f>
        <v/>
      </c>
      <c r="J216" s="41"/>
      <c r="K216" s="36" t="str">
        <f t="shared" si="108"/>
        <v/>
      </c>
      <c r="L216" t="str">
        <f t="shared" si="109"/>
        <v/>
      </c>
      <c r="M216" s="117" t="str">
        <f t="shared" si="110"/>
        <v/>
      </c>
      <c r="N216" s="112" t="str">
        <f t="shared" si="111"/>
        <v/>
      </c>
      <c r="O216" s="96" t="str">
        <f t="shared" si="112"/>
        <v/>
      </c>
      <c r="P216" s="96" t="str">
        <f t="shared" si="113"/>
        <v/>
      </c>
      <c r="Q216" s="96" t="str">
        <f t="shared" si="114"/>
        <v/>
      </c>
      <c r="R216" s="92" t="str">
        <f t="shared" si="115"/>
        <v/>
      </c>
      <c r="S216" s="42" t="str">
        <f t="shared" si="116"/>
        <v/>
      </c>
      <c r="T216" s="167" t="str">
        <f>IF(L216="","",VLOOKUP(L216,classifications!C:K,9,FALSE))</f>
        <v/>
      </c>
      <c r="U216" s="168" t="str">
        <f t="shared" si="117"/>
        <v/>
      </c>
      <c r="V216" s="174" t="str">
        <f>IF(U216="","",IF($I$8="A",(RANK(U216,U$11:U$343)+COUNTIF(U$11:U216,U216)-1),(RANK(U216,U$11:U$343,1)+COUNTIF(U$11:U216,U216)-1)))</f>
        <v/>
      </c>
      <c r="W216" s="175"/>
      <c r="X216" s="5" t="str">
        <f>IF(L216="","",VLOOKUP($L216,classifications!$C:$J,6,FALSE))</f>
        <v/>
      </c>
      <c r="Y216" t="str">
        <f t="shared" si="118"/>
        <v/>
      </c>
      <c r="Z216" s="40" t="str">
        <f>IF(Y216="","",IF(I$8="A",(RANK(Y216,Y$11:Y$343,1)+COUNTIF(Y$11:Y216,Y216)-1),(RANK(Y216,Y$11:Y$343)+COUNTIF(Y$11:Y216,Y216)-1)))</f>
        <v/>
      </c>
      <c r="AA216" s="180" t="str">
        <f>IF(L216="","",VLOOKUP($L216,classifications!C:I,7,FALSE))</f>
        <v/>
      </c>
      <c r="AB216" s="174" t="str">
        <f t="shared" si="119"/>
        <v/>
      </c>
      <c r="AC216" s="174" t="str">
        <f>IF(AB216="","",IF($I$8="A",(RANK(AB216,AB$11:AB$343)+COUNTIF(AB$11:AB216,AB216)-1),(RANK(AB216,AB$11:AB$343,1)+COUNTIF(AB$11:AB216,AB216)-1)))</f>
        <v/>
      </c>
      <c r="AD216" s="174"/>
      <c r="AE216" s="36" t="str">
        <f t="shared" si="120"/>
        <v/>
      </c>
      <c r="AG216" s="15"/>
      <c r="AH216" s="3"/>
      <c r="AI216" s="5" t="str">
        <f>IF(L216="","",VLOOKUP($L216,classifications!$C:$J,8,FALSE))</f>
        <v/>
      </c>
      <c r="AJ216" s="43" t="str">
        <f t="shared" si="121"/>
        <v/>
      </c>
      <c r="AK216" s="40" t="str">
        <f>IF(AJ216="","",IF(I$8="A",(RANK(AJ216,AJ$11:AJ$343,1)+COUNTIF(AJ$11:AJ216,AJ216)-1),(RANK(AJ216,AJ$11:AJ$343)+COUNTIF(AJ$11:AJ216,AJ216)-1)))</f>
        <v/>
      </c>
      <c r="AL216" s="3" t="str">
        <f t="shared" si="122"/>
        <v/>
      </c>
      <c r="AM216" t="str">
        <f t="shared" si="123"/>
        <v/>
      </c>
      <c r="AN216" t="str">
        <f t="shared" si="124"/>
        <v/>
      </c>
      <c r="AP216" s="5" t="str">
        <f>IF(L216="","",VLOOKUP($L216,classifications!$C:$E,3,FALSE))</f>
        <v/>
      </c>
      <c r="AQ216" s="43" t="str">
        <f t="shared" si="125"/>
        <v/>
      </c>
      <c r="AR216" s="40" t="str">
        <f>IF(AQ216="","",IF(I$8="A",(RANK(AQ216,AQ$11:AQ$343,1)+COUNTIF(AQ$11:AQ216,AQ216)-1),(RANK(AQ216,AQ$11:AQ$343)+COUNTIF(AQ$11:AQ216,AQ216)-1)))</f>
        <v/>
      </c>
      <c r="AS216" s="3" t="str">
        <f t="shared" si="126"/>
        <v/>
      </c>
      <c r="AT216" s="40" t="str">
        <f t="shared" si="127"/>
        <v/>
      </c>
      <c r="AU216" s="43" t="str">
        <f t="shared" si="128"/>
        <v/>
      </c>
      <c r="AX216">
        <f>HLOOKUP($AX$9&amp;$AX$10,Data!$A$1:$ZZ$1980,(MATCH($C216,Data!$A$1:$A$1980,0)),FALSE)</f>
        <v>247.1</v>
      </c>
    </row>
    <row r="217" spans="1:50">
      <c r="A217" s="59" t="str">
        <f>$D$1&amp;207</f>
        <v>UA207</v>
      </c>
      <c r="B217" s="60">
        <f>IF(ISERROR(VLOOKUP(A222,classifications!A:C,3,FALSE)),0,VLOOKUP(A222,classifications!A:C,3,FALSE))</f>
        <v>0</v>
      </c>
      <c r="C217" t="s">
        <v>325</v>
      </c>
      <c r="D217" t="str">
        <f>VLOOKUP($C217,classifications!$C:$J,4,FALSE)</f>
        <v>SC</v>
      </c>
      <c r="E217">
        <f>VLOOKUP(C217,classifications!C:K,9,FALSE)</f>
        <v>0</v>
      </c>
      <c r="F217">
        <f t="shared" si="106"/>
        <v>376</v>
      </c>
      <c r="G217" s="15"/>
      <c r="H217" s="42" t="str">
        <f t="shared" si="107"/>
        <v/>
      </c>
      <c r="I217" s="79" t="str">
        <f>IF(H217="","",IF($I$8="A",(RANK(H217,H$11:H$343,1)+COUNTIF(H$11:H217,H217)-1),(RANK(H217,H$11:H$343)+COUNTIF(H$11:H217,H217)-1)))</f>
        <v/>
      </c>
      <c r="J217" s="41"/>
      <c r="K217" s="36" t="str">
        <f t="shared" si="108"/>
        <v/>
      </c>
      <c r="L217" t="str">
        <f t="shared" si="109"/>
        <v/>
      </c>
      <c r="M217" s="117" t="str">
        <f t="shared" si="110"/>
        <v/>
      </c>
      <c r="N217" s="112" t="str">
        <f t="shared" si="111"/>
        <v/>
      </c>
      <c r="O217" s="96" t="str">
        <f t="shared" si="112"/>
        <v/>
      </c>
      <c r="P217" s="96" t="str">
        <f t="shared" si="113"/>
        <v/>
      </c>
      <c r="Q217" s="96" t="str">
        <f t="shared" si="114"/>
        <v/>
      </c>
      <c r="R217" s="92" t="str">
        <f t="shared" si="115"/>
        <v/>
      </c>
      <c r="S217" s="42" t="str">
        <f t="shared" si="116"/>
        <v/>
      </c>
      <c r="T217" s="167" t="str">
        <f>IF(L217="","",VLOOKUP(L217,classifications!C:K,9,FALSE))</f>
        <v/>
      </c>
      <c r="U217" s="168" t="str">
        <f t="shared" si="117"/>
        <v/>
      </c>
      <c r="V217" s="174" t="str">
        <f>IF(U217="","",IF($I$8="A",(RANK(U217,U$11:U$343)+COUNTIF(U$11:U217,U217)-1),(RANK(U217,U$11:U$343,1)+COUNTIF(U$11:U217,U217)-1)))</f>
        <v/>
      </c>
      <c r="W217" s="175"/>
      <c r="X217" s="5" t="str">
        <f>IF(L217="","",VLOOKUP($L217,classifications!$C:$J,6,FALSE))</f>
        <v/>
      </c>
      <c r="Y217" t="str">
        <f t="shared" si="118"/>
        <v/>
      </c>
      <c r="Z217" s="40" t="str">
        <f>IF(Y217="","",IF(I$8="A",(RANK(Y217,Y$11:Y$343,1)+COUNTIF(Y$11:Y217,Y217)-1),(RANK(Y217,Y$11:Y$343)+COUNTIF(Y$11:Y217,Y217)-1)))</f>
        <v/>
      </c>
      <c r="AA217" s="180" t="str">
        <f>IF(L217="","",VLOOKUP($L217,classifications!C:I,7,FALSE))</f>
        <v/>
      </c>
      <c r="AB217" s="174" t="str">
        <f t="shared" si="119"/>
        <v/>
      </c>
      <c r="AC217" s="174" t="str">
        <f>IF(AB217="","",IF($I$8="A",(RANK(AB217,AB$11:AB$343)+COUNTIF(AB$11:AB217,AB217)-1),(RANK(AB217,AB$11:AB$343,1)+COUNTIF(AB$11:AB217,AB217)-1)))</f>
        <v/>
      </c>
      <c r="AD217" s="174"/>
      <c r="AE217" s="36" t="str">
        <f t="shared" si="120"/>
        <v/>
      </c>
      <c r="AG217" s="15"/>
      <c r="AH217" s="3"/>
      <c r="AI217" s="5" t="str">
        <f>IF(L217="","",VLOOKUP($L217,classifications!$C:$J,8,FALSE))</f>
        <v/>
      </c>
      <c r="AJ217" s="43" t="str">
        <f t="shared" si="121"/>
        <v/>
      </c>
      <c r="AK217" s="40" t="str">
        <f>IF(AJ217="","",IF(I$8="A",(RANK(AJ217,AJ$11:AJ$343,1)+COUNTIF(AJ$11:AJ217,AJ217)-1),(RANK(AJ217,AJ$11:AJ$343)+COUNTIF(AJ$11:AJ217,AJ217)-1)))</f>
        <v/>
      </c>
      <c r="AL217" s="3" t="str">
        <f t="shared" si="122"/>
        <v/>
      </c>
      <c r="AM217" t="str">
        <f t="shared" si="123"/>
        <v/>
      </c>
      <c r="AN217" t="str">
        <f t="shared" si="124"/>
        <v/>
      </c>
      <c r="AP217" s="5" t="str">
        <f>IF(L217="","",VLOOKUP($L217,classifications!$C:$E,3,FALSE))</f>
        <v/>
      </c>
      <c r="AQ217" s="43" t="str">
        <f t="shared" si="125"/>
        <v/>
      </c>
      <c r="AR217" s="40" t="str">
        <f>IF(AQ217="","",IF(I$8="A",(RANK(AQ217,AQ$11:AQ$343,1)+COUNTIF(AQ$11:AQ217,AQ217)-1),(RANK(AQ217,AQ$11:AQ$343)+COUNTIF(AQ$11:AQ217,AQ217)-1)))</f>
        <v/>
      </c>
      <c r="AS217" s="3" t="str">
        <f t="shared" si="126"/>
        <v/>
      </c>
      <c r="AT217" s="40" t="str">
        <f t="shared" si="127"/>
        <v/>
      </c>
      <c r="AU217" s="43" t="str">
        <f t="shared" si="128"/>
        <v/>
      </c>
      <c r="AX217">
        <f>HLOOKUP($AX$9&amp;$AX$10,Data!$A$1:$ZZ$1980,(MATCH($C217,Data!$A$1:$A$1980,0)),FALSE)</f>
        <v>376</v>
      </c>
    </row>
    <row r="218" spans="1:50">
      <c r="A218" s="59" t="str">
        <f>$D$1&amp;208</f>
        <v>UA208</v>
      </c>
      <c r="B218" s="60">
        <f>IF(ISERROR(VLOOKUP(A223,classifications!A:C,3,FALSE)),0,VLOOKUP(A223,classifications!A:C,3,FALSE))</f>
        <v>0</v>
      </c>
      <c r="C218" t="s">
        <v>119</v>
      </c>
      <c r="D218" t="str">
        <f>VLOOKUP($C218,classifications!$C:$J,4,FALSE)</f>
        <v>SD</v>
      </c>
      <c r="E218">
        <f>VLOOKUP(C218,classifications!C:K,9,FALSE)</f>
        <v>0</v>
      </c>
      <c r="F218">
        <f t="shared" si="106"/>
        <v>342.5</v>
      </c>
      <c r="G218" s="15"/>
      <c r="H218" s="42" t="str">
        <f t="shared" si="107"/>
        <v/>
      </c>
      <c r="I218" s="79" t="str">
        <f>IF(H218="","",IF($I$8="A",(RANK(H218,H$11:H$343,1)+COUNTIF(H$11:H218,H218)-1),(RANK(H218,H$11:H$343)+COUNTIF(H$11:H218,H218)-1)))</f>
        <v/>
      </c>
      <c r="J218" s="41"/>
      <c r="K218" s="36" t="str">
        <f t="shared" si="108"/>
        <v/>
      </c>
      <c r="L218" t="str">
        <f t="shared" si="109"/>
        <v/>
      </c>
      <c r="M218" s="117" t="str">
        <f t="shared" si="110"/>
        <v/>
      </c>
      <c r="N218" s="112" t="str">
        <f t="shared" si="111"/>
        <v/>
      </c>
      <c r="O218" s="96" t="str">
        <f t="shared" si="112"/>
        <v/>
      </c>
      <c r="P218" s="96" t="str">
        <f t="shared" si="113"/>
        <v/>
      </c>
      <c r="Q218" s="96" t="str">
        <f t="shared" si="114"/>
        <v/>
      </c>
      <c r="R218" s="92" t="str">
        <f t="shared" si="115"/>
        <v/>
      </c>
      <c r="S218" s="42" t="str">
        <f t="shared" si="116"/>
        <v/>
      </c>
      <c r="T218" s="167" t="str">
        <f>IF(L218="","",VLOOKUP(L218,classifications!C:K,9,FALSE))</f>
        <v/>
      </c>
      <c r="U218" s="168" t="str">
        <f t="shared" si="117"/>
        <v/>
      </c>
      <c r="V218" s="174" t="str">
        <f>IF(U218="","",IF($I$8="A",(RANK(U218,U$11:U$343)+COUNTIF(U$11:U218,U218)-1),(RANK(U218,U$11:U$343,1)+COUNTIF(U$11:U218,U218)-1)))</f>
        <v/>
      </c>
      <c r="W218" s="175"/>
      <c r="X218" s="5" t="str">
        <f>IF(L218="","",VLOOKUP($L218,classifications!$C:$J,6,FALSE))</f>
        <v/>
      </c>
      <c r="Y218" t="str">
        <f t="shared" si="118"/>
        <v/>
      </c>
      <c r="Z218" s="40" t="str">
        <f>IF(Y218="","",IF(I$8="A",(RANK(Y218,Y$11:Y$343,1)+COUNTIF(Y$11:Y218,Y218)-1),(RANK(Y218,Y$11:Y$343)+COUNTIF(Y$11:Y218,Y218)-1)))</f>
        <v/>
      </c>
      <c r="AA218" s="180" t="str">
        <f>IF(L218="","",VLOOKUP($L218,classifications!C:I,7,FALSE))</f>
        <v/>
      </c>
      <c r="AB218" s="174" t="str">
        <f t="shared" si="119"/>
        <v/>
      </c>
      <c r="AC218" s="174" t="str">
        <f>IF(AB218="","",IF($I$8="A",(RANK(AB218,AB$11:AB$343)+COUNTIF(AB$11:AB218,AB218)-1),(RANK(AB218,AB$11:AB$343,1)+COUNTIF(AB$11:AB218,AB218)-1)))</f>
        <v/>
      </c>
      <c r="AD218" s="174"/>
      <c r="AE218" s="36" t="str">
        <f t="shared" si="120"/>
        <v/>
      </c>
      <c r="AG218" s="15"/>
      <c r="AH218" s="3"/>
      <c r="AI218" s="5" t="str">
        <f>IF(L218="","",VLOOKUP($L218,classifications!$C:$J,8,FALSE))</f>
        <v/>
      </c>
      <c r="AJ218" s="43" t="str">
        <f t="shared" si="121"/>
        <v/>
      </c>
      <c r="AK218" s="40" t="str">
        <f>IF(AJ218="","",IF(I$8="A",(RANK(AJ218,AJ$11:AJ$343,1)+COUNTIF(AJ$11:AJ218,AJ218)-1),(RANK(AJ218,AJ$11:AJ$343)+COUNTIF(AJ$11:AJ218,AJ218)-1)))</f>
        <v/>
      </c>
      <c r="AL218" s="3" t="str">
        <f t="shared" si="122"/>
        <v/>
      </c>
      <c r="AM218" t="str">
        <f t="shared" si="123"/>
        <v/>
      </c>
      <c r="AN218" t="str">
        <f t="shared" si="124"/>
        <v/>
      </c>
      <c r="AP218" s="5" t="str">
        <f>IF(L218="","",VLOOKUP($L218,classifications!$C:$E,3,FALSE))</f>
        <v/>
      </c>
      <c r="AQ218" s="43" t="str">
        <f t="shared" si="125"/>
        <v/>
      </c>
      <c r="AR218" s="40" t="str">
        <f>IF(AQ218="","",IF(I$8="A",(RANK(AQ218,AQ$11:AQ$343,1)+COUNTIF(AQ$11:AQ218,AQ218)-1),(RANK(AQ218,AQ$11:AQ$343)+COUNTIF(AQ$11:AQ218,AQ218)-1)))</f>
        <v/>
      </c>
      <c r="AS218" s="3" t="str">
        <f t="shared" si="126"/>
        <v/>
      </c>
      <c r="AT218" s="40" t="str">
        <f t="shared" si="127"/>
        <v/>
      </c>
      <c r="AU218" s="43" t="str">
        <f t="shared" si="128"/>
        <v/>
      </c>
      <c r="AX218">
        <f>HLOOKUP($AX$9&amp;$AX$10,Data!$A$1:$ZZ$1980,(MATCH($C218,Data!$A$1:$A$1980,0)),FALSE)</f>
        <v>342.5</v>
      </c>
    </row>
    <row r="219" spans="1:50">
      <c r="A219" s="59" t="str">
        <f>$D$1&amp;209</f>
        <v>UA209</v>
      </c>
      <c r="B219" s="60">
        <f>IF(ISERROR(VLOOKUP(A224,classifications!A:C,3,FALSE)),0,VLOOKUP(A224,classifications!A:C,3,FALSE))</f>
        <v>0</v>
      </c>
      <c r="C219" t="s">
        <v>281</v>
      </c>
      <c r="D219" t="str">
        <f>VLOOKUP($C219,classifications!$C:$J,4,FALSE)</f>
        <v>UA</v>
      </c>
      <c r="E219">
        <f>VLOOKUP(C219,classifications!C:K,9,FALSE)</f>
        <v>0</v>
      </c>
      <c r="F219">
        <f t="shared" si="106"/>
        <v>375.8</v>
      </c>
      <c r="G219" s="15"/>
      <c r="H219" s="42">
        <f t="shared" si="107"/>
        <v>375.8</v>
      </c>
      <c r="I219" s="79">
        <f>IF(H219="","",IF($I$8="A",(RANK(H219,H$11:H$343,1)+COUNTIF(H$11:H219,H219)-1),(RANK(H219,H$11:H$343)+COUNTIF(H$11:H219,H219)-1)))</f>
        <v>18</v>
      </c>
      <c r="J219" s="41"/>
      <c r="K219" s="36" t="str">
        <f t="shared" si="108"/>
        <v/>
      </c>
      <c r="L219" t="str">
        <f t="shared" si="109"/>
        <v/>
      </c>
      <c r="M219" s="117" t="str">
        <f t="shared" si="110"/>
        <v/>
      </c>
      <c r="N219" s="112" t="str">
        <f t="shared" si="111"/>
        <v/>
      </c>
      <c r="O219" s="96" t="str">
        <f t="shared" si="112"/>
        <v/>
      </c>
      <c r="P219" s="96" t="str">
        <f t="shared" si="113"/>
        <v/>
      </c>
      <c r="Q219" s="96" t="str">
        <f t="shared" si="114"/>
        <v/>
      </c>
      <c r="R219" s="92" t="str">
        <f t="shared" si="115"/>
        <v/>
      </c>
      <c r="S219" s="42" t="str">
        <f t="shared" si="116"/>
        <v/>
      </c>
      <c r="T219" s="167" t="str">
        <f>IF(L219="","",VLOOKUP(L219,classifications!C:K,9,FALSE))</f>
        <v/>
      </c>
      <c r="U219" s="168" t="str">
        <f t="shared" si="117"/>
        <v/>
      </c>
      <c r="V219" s="174" t="str">
        <f>IF(U219="","",IF($I$8="A",(RANK(U219,U$11:U$343)+COUNTIF(U$11:U219,U219)-1),(RANK(U219,U$11:U$343,1)+COUNTIF(U$11:U219,U219)-1)))</f>
        <v/>
      </c>
      <c r="W219" s="175"/>
      <c r="X219" s="5" t="str">
        <f>IF(L219="","",VLOOKUP($L219,classifications!$C:$J,6,FALSE))</f>
        <v/>
      </c>
      <c r="Y219" t="str">
        <f t="shared" si="118"/>
        <v/>
      </c>
      <c r="Z219" s="40" t="str">
        <f>IF(Y219="","",IF(I$8="A",(RANK(Y219,Y$11:Y$343,1)+COUNTIF(Y$11:Y219,Y219)-1),(RANK(Y219,Y$11:Y$343)+COUNTIF(Y$11:Y219,Y219)-1)))</f>
        <v/>
      </c>
      <c r="AA219" s="180" t="str">
        <f>IF(L219="","",VLOOKUP($L219,classifications!C:I,7,FALSE))</f>
        <v/>
      </c>
      <c r="AB219" s="174" t="str">
        <f t="shared" si="119"/>
        <v/>
      </c>
      <c r="AC219" s="174" t="str">
        <f>IF(AB219="","",IF($I$8="A",(RANK(AB219,AB$11:AB$343)+COUNTIF(AB$11:AB219,AB219)-1),(RANK(AB219,AB$11:AB$343,1)+COUNTIF(AB$11:AB219,AB219)-1)))</f>
        <v/>
      </c>
      <c r="AD219" s="174"/>
      <c r="AE219" s="36" t="str">
        <f t="shared" si="120"/>
        <v/>
      </c>
      <c r="AG219" s="15"/>
      <c r="AH219" s="3"/>
      <c r="AI219" s="5" t="str">
        <f>IF(L219="","",VLOOKUP($L219,classifications!$C:$J,8,FALSE))</f>
        <v/>
      </c>
      <c r="AJ219" s="43" t="str">
        <f t="shared" si="121"/>
        <v/>
      </c>
      <c r="AK219" s="40" t="str">
        <f>IF(AJ219="","",IF(I$8="A",(RANK(AJ219,AJ$11:AJ$343,1)+COUNTIF(AJ$11:AJ219,AJ219)-1),(RANK(AJ219,AJ$11:AJ$343)+COUNTIF(AJ$11:AJ219,AJ219)-1)))</f>
        <v/>
      </c>
      <c r="AL219" s="3" t="str">
        <f t="shared" si="122"/>
        <v/>
      </c>
      <c r="AM219" t="str">
        <f t="shared" si="123"/>
        <v/>
      </c>
      <c r="AN219" t="str">
        <f t="shared" si="124"/>
        <v/>
      </c>
      <c r="AP219" s="5" t="str">
        <f>IF(L219="","",VLOOKUP($L219,classifications!$C:$E,3,FALSE))</f>
        <v/>
      </c>
      <c r="AQ219" s="43" t="str">
        <f t="shared" si="125"/>
        <v/>
      </c>
      <c r="AR219" s="40" t="str">
        <f>IF(AQ219="","",IF(I$8="A",(RANK(AQ219,AQ$11:AQ$343,1)+COUNTIF(AQ$11:AQ219,AQ219)-1),(RANK(AQ219,AQ$11:AQ$343)+COUNTIF(AQ$11:AQ219,AQ219)-1)))</f>
        <v/>
      </c>
      <c r="AS219" s="3" t="str">
        <f t="shared" si="126"/>
        <v/>
      </c>
      <c r="AT219" s="40" t="str">
        <f t="shared" si="127"/>
        <v/>
      </c>
      <c r="AU219" s="43" t="str">
        <f t="shared" si="128"/>
        <v/>
      </c>
      <c r="AX219">
        <f>HLOOKUP($AX$9&amp;$AX$10,Data!$A$1:$ZZ$1980,(MATCH($C219,Data!$A$1:$A$1980,0)),FALSE)</f>
        <v>375.8</v>
      </c>
    </row>
    <row r="220" spans="1:50">
      <c r="A220" s="59" t="str">
        <f>$D$1&amp;210</f>
        <v>UA210</v>
      </c>
      <c r="B220" s="60">
        <f>IF(ISERROR(VLOOKUP(A225,classifications!A:C,3,FALSE)),0,VLOOKUP(A225,classifications!A:C,3,FALSE))</f>
        <v>0</v>
      </c>
      <c r="C220" t="s">
        <v>282</v>
      </c>
      <c r="D220" t="str">
        <f>VLOOKUP($C220,classifications!$C:$J,4,FALSE)</f>
        <v>UA</v>
      </c>
      <c r="E220">
        <f>VLOOKUP(C220,classifications!C:K,9,FALSE)</f>
        <v>0</v>
      </c>
      <c r="F220">
        <f t="shared" si="106"/>
        <v>374.6</v>
      </c>
      <c r="G220" s="15"/>
      <c r="H220" s="42">
        <f t="shared" si="107"/>
        <v>374.6</v>
      </c>
      <c r="I220" s="79">
        <f>IF(H220="","",IF($I$8="A",(RANK(H220,H$11:H$343,1)+COUNTIF(H$11:H220,H220)-1),(RANK(H220,H$11:H$343)+COUNTIF(H$11:H220,H220)-1)))</f>
        <v>17</v>
      </c>
      <c r="J220" s="41"/>
      <c r="K220" s="36" t="str">
        <f t="shared" si="108"/>
        <v/>
      </c>
      <c r="L220" t="str">
        <f t="shared" si="109"/>
        <v/>
      </c>
      <c r="M220" s="117" t="str">
        <f t="shared" si="110"/>
        <v/>
      </c>
      <c r="N220" s="112" t="str">
        <f t="shared" si="111"/>
        <v/>
      </c>
      <c r="O220" s="96" t="str">
        <f t="shared" si="112"/>
        <v/>
      </c>
      <c r="P220" s="96" t="str">
        <f t="shared" si="113"/>
        <v/>
      </c>
      <c r="Q220" s="96" t="str">
        <f t="shared" si="114"/>
        <v/>
      </c>
      <c r="R220" s="92" t="str">
        <f t="shared" si="115"/>
        <v/>
      </c>
      <c r="S220" s="42" t="str">
        <f t="shared" si="116"/>
        <v/>
      </c>
      <c r="T220" s="167" t="str">
        <f>IF(L220="","",VLOOKUP(L220,classifications!C:K,9,FALSE))</f>
        <v/>
      </c>
      <c r="U220" s="168" t="str">
        <f t="shared" si="117"/>
        <v/>
      </c>
      <c r="V220" s="174" t="str">
        <f>IF(U220="","",IF($I$8="A",(RANK(U220,U$11:U$343)+COUNTIF(U$11:U220,U220)-1),(RANK(U220,U$11:U$343,1)+COUNTIF(U$11:U220,U220)-1)))</f>
        <v/>
      </c>
      <c r="W220" s="175"/>
      <c r="X220" s="5" t="str">
        <f>IF(L220="","",VLOOKUP($L220,classifications!$C:$J,6,FALSE))</f>
        <v/>
      </c>
      <c r="Y220" t="str">
        <f t="shared" si="118"/>
        <v/>
      </c>
      <c r="Z220" s="40" t="str">
        <f>IF(Y220="","",IF(I$8="A",(RANK(Y220,Y$11:Y$343,1)+COUNTIF(Y$11:Y220,Y220)-1),(RANK(Y220,Y$11:Y$343)+COUNTIF(Y$11:Y220,Y220)-1)))</f>
        <v/>
      </c>
      <c r="AA220" s="180" t="str">
        <f>IF(L220="","",VLOOKUP($L220,classifications!C:I,7,FALSE))</f>
        <v/>
      </c>
      <c r="AB220" s="174" t="str">
        <f t="shared" si="119"/>
        <v/>
      </c>
      <c r="AC220" s="174" t="str">
        <f>IF(AB220="","",IF($I$8="A",(RANK(AB220,AB$11:AB$343)+COUNTIF(AB$11:AB220,AB220)-1),(RANK(AB220,AB$11:AB$343,1)+COUNTIF(AB$11:AB220,AB220)-1)))</f>
        <v/>
      </c>
      <c r="AD220" s="174"/>
      <c r="AE220" s="36" t="str">
        <f t="shared" si="120"/>
        <v/>
      </c>
      <c r="AG220" s="15"/>
      <c r="AH220" s="3"/>
      <c r="AI220" s="5" t="str">
        <f>IF(L220="","",VLOOKUP($L220,classifications!$C:$J,8,FALSE))</f>
        <v/>
      </c>
      <c r="AJ220" s="43" t="str">
        <f t="shared" si="121"/>
        <v/>
      </c>
      <c r="AK220" s="40" t="str">
        <f>IF(AJ220="","",IF(I$8="A",(RANK(AJ220,AJ$11:AJ$343,1)+COUNTIF(AJ$11:AJ220,AJ220)-1),(RANK(AJ220,AJ$11:AJ$343)+COUNTIF(AJ$11:AJ220,AJ220)-1)))</f>
        <v/>
      </c>
      <c r="AL220" s="3" t="str">
        <f t="shared" si="122"/>
        <v/>
      </c>
      <c r="AM220" t="str">
        <f t="shared" si="123"/>
        <v/>
      </c>
      <c r="AN220" t="str">
        <f t="shared" si="124"/>
        <v/>
      </c>
      <c r="AP220" s="5" t="str">
        <f>IF(L220="","",VLOOKUP($L220,classifications!$C:$E,3,FALSE))</f>
        <v/>
      </c>
      <c r="AQ220" s="43" t="str">
        <f t="shared" si="125"/>
        <v/>
      </c>
      <c r="AR220" s="40" t="str">
        <f>IF(AQ220="","",IF(I$8="A",(RANK(AQ220,AQ$11:AQ$343,1)+COUNTIF(AQ$11:AQ220,AQ220)-1),(RANK(AQ220,AQ$11:AQ$343)+COUNTIF(AQ$11:AQ220,AQ220)-1)))</f>
        <v/>
      </c>
      <c r="AS220" s="3" t="str">
        <f t="shared" si="126"/>
        <v/>
      </c>
      <c r="AT220" s="40" t="str">
        <f t="shared" si="127"/>
        <v/>
      </c>
      <c r="AU220" s="43" t="str">
        <f t="shared" si="128"/>
        <v/>
      </c>
      <c r="AX220">
        <f>HLOOKUP($AX$9&amp;$AX$10,Data!$A$1:$ZZ$1980,(MATCH($C220,Data!$A$1:$A$1980,0)),FALSE)</f>
        <v>374.6</v>
      </c>
    </row>
    <row r="221" spans="1:50">
      <c r="A221" s="59" t="str">
        <f>$D$1&amp;211</f>
        <v>UA211</v>
      </c>
      <c r="B221" s="60">
        <f>IF(ISERROR(VLOOKUP(A226,classifications!A:C,3,FALSE)),0,VLOOKUP(A226,classifications!A:C,3,FALSE))</f>
        <v>0</v>
      </c>
      <c r="C221" t="s">
        <v>284</v>
      </c>
      <c r="D221" t="str">
        <f>VLOOKUP($C221,classifications!$C:$J,4,FALSE)</f>
        <v>UA</v>
      </c>
      <c r="E221">
        <f>VLOOKUP(C221,classifications!C:K,9,FALSE)</f>
        <v>0</v>
      </c>
      <c r="F221">
        <f t="shared" si="106"/>
        <v>332</v>
      </c>
      <c r="G221" s="15"/>
      <c r="H221" s="42">
        <f t="shared" si="107"/>
        <v>332</v>
      </c>
      <c r="I221" s="79">
        <f>IF(H221="","",IF($I$8="A",(RANK(H221,H$11:H$343,1)+COUNTIF(H$11:H221,H221)-1),(RANK(H221,H$11:H$343)+COUNTIF(H$11:H221,H221)-1)))</f>
        <v>6</v>
      </c>
      <c r="J221" s="41"/>
      <c r="K221" s="36" t="str">
        <f t="shared" si="108"/>
        <v/>
      </c>
      <c r="L221" t="str">
        <f t="shared" si="109"/>
        <v/>
      </c>
      <c r="M221" s="117" t="str">
        <f t="shared" si="110"/>
        <v/>
      </c>
      <c r="N221" s="112" t="str">
        <f t="shared" si="111"/>
        <v/>
      </c>
      <c r="O221" s="96" t="str">
        <f t="shared" si="112"/>
        <v/>
      </c>
      <c r="P221" s="96" t="str">
        <f t="shared" si="113"/>
        <v/>
      </c>
      <c r="Q221" s="96" t="str">
        <f t="shared" si="114"/>
        <v/>
      </c>
      <c r="R221" s="92" t="str">
        <f t="shared" si="115"/>
        <v/>
      </c>
      <c r="S221" s="42" t="str">
        <f t="shared" si="116"/>
        <v/>
      </c>
      <c r="T221" s="167" t="str">
        <f>IF(L221="","",VLOOKUP(L221,classifications!C:K,9,FALSE))</f>
        <v/>
      </c>
      <c r="U221" s="168" t="str">
        <f t="shared" si="117"/>
        <v/>
      </c>
      <c r="V221" s="174" t="str">
        <f>IF(U221="","",IF($I$8="A",(RANK(U221,U$11:U$343)+COUNTIF(U$11:U221,U221)-1),(RANK(U221,U$11:U$343,1)+COUNTIF(U$11:U221,U221)-1)))</f>
        <v/>
      </c>
      <c r="W221" s="175"/>
      <c r="X221" s="5" t="str">
        <f>IF(L221="","",VLOOKUP($L221,classifications!$C:$J,6,FALSE))</f>
        <v/>
      </c>
      <c r="Y221" t="str">
        <f t="shared" si="118"/>
        <v/>
      </c>
      <c r="Z221" s="40" t="str">
        <f>IF(Y221="","",IF(I$8="A",(RANK(Y221,Y$11:Y$343,1)+COUNTIF(Y$11:Y221,Y221)-1),(RANK(Y221,Y$11:Y$343)+COUNTIF(Y$11:Y221,Y221)-1)))</f>
        <v/>
      </c>
      <c r="AA221" s="180" t="str">
        <f>IF(L221="","",VLOOKUP($L221,classifications!C:I,7,FALSE))</f>
        <v/>
      </c>
      <c r="AB221" s="174" t="str">
        <f t="shared" si="119"/>
        <v/>
      </c>
      <c r="AC221" s="174" t="str">
        <f>IF(AB221="","",IF($I$8="A",(RANK(AB221,AB$11:AB$343)+COUNTIF(AB$11:AB221,AB221)-1),(RANK(AB221,AB$11:AB$343,1)+COUNTIF(AB$11:AB221,AB221)-1)))</f>
        <v/>
      </c>
      <c r="AD221" s="174"/>
      <c r="AE221" s="36" t="str">
        <f t="shared" si="120"/>
        <v/>
      </c>
      <c r="AG221" s="15"/>
      <c r="AH221" s="3"/>
      <c r="AI221" s="5" t="str">
        <f>IF(L221="","",VLOOKUP($L221,classifications!$C:$J,8,FALSE))</f>
        <v/>
      </c>
      <c r="AJ221" s="43" t="str">
        <f t="shared" si="121"/>
        <v/>
      </c>
      <c r="AK221" s="40" t="str">
        <f>IF(AJ221="","",IF(I$8="A",(RANK(AJ221,AJ$11:AJ$343,1)+COUNTIF(AJ$11:AJ221,AJ221)-1),(RANK(AJ221,AJ$11:AJ$343)+COUNTIF(AJ$11:AJ221,AJ221)-1)))</f>
        <v/>
      </c>
      <c r="AL221" s="3" t="str">
        <f t="shared" si="122"/>
        <v/>
      </c>
      <c r="AM221" t="str">
        <f t="shared" si="123"/>
        <v/>
      </c>
      <c r="AN221" t="str">
        <f t="shared" si="124"/>
        <v/>
      </c>
      <c r="AP221" s="5" t="str">
        <f>IF(L221="","",VLOOKUP($L221,classifications!$C:$E,3,FALSE))</f>
        <v/>
      </c>
      <c r="AQ221" s="43" t="str">
        <f t="shared" si="125"/>
        <v/>
      </c>
      <c r="AR221" s="40" t="str">
        <f>IF(AQ221="","",IF(I$8="A",(RANK(AQ221,AQ$11:AQ$343,1)+COUNTIF(AQ$11:AQ221,AQ221)-1),(RANK(AQ221,AQ$11:AQ$343)+COUNTIF(AQ$11:AQ221,AQ221)-1)))</f>
        <v/>
      </c>
      <c r="AS221" s="3" t="str">
        <f t="shared" si="126"/>
        <v/>
      </c>
      <c r="AT221" s="40" t="str">
        <f t="shared" si="127"/>
        <v/>
      </c>
      <c r="AU221" s="43" t="str">
        <f t="shared" si="128"/>
        <v/>
      </c>
      <c r="AX221">
        <f>HLOOKUP($AX$9&amp;$AX$10,Data!$A$1:$ZZ$1980,(MATCH($C221,Data!$A$1:$A$1980,0)),FALSE)</f>
        <v>332</v>
      </c>
    </row>
    <row r="222" spans="1:50">
      <c r="A222" s="59" t="str">
        <f>$D$1&amp;212</f>
        <v>UA212</v>
      </c>
      <c r="B222" s="60">
        <f>IF(ISERROR(VLOOKUP(A227,classifications!A:C,3,FALSE)),0,VLOOKUP(A227,classifications!A:C,3,FALSE))</f>
        <v>0</v>
      </c>
      <c r="C222" t="s">
        <v>120</v>
      </c>
      <c r="D222" t="str">
        <f>VLOOKUP($C222,classifications!$C:$J,4,FALSE)</f>
        <v>SD</v>
      </c>
      <c r="E222">
        <f>VLOOKUP(C222,classifications!C:K,9,FALSE)</f>
        <v>0</v>
      </c>
      <c r="F222">
        <f t="shared" si="106"/>
        <v>342.1</v>
      </c>
      <c r="G222" s="15"/>
      <c r="H222" s="42" t="str">
        <f t="shared" si="107"/>
        <v/>
      </c>
      <c r="I222" s="79" t="str">
        <f>IF(H222="","",IF($I$8="A",(RANK(H222,H$11:H$343,1)+COUNTIF(H$11:H222,H222)-1),(RANK(H222,H$11:H$343)+COUNTIF(H$11:H222,H222)-1)))</f>
        <v/>
      </c>
      <c r="J222" s="41"/>
      <c r="K222" s="36" t="str">
        <f t="shared" si="108"/>
        <v/>
      </c>
      <c r="L222" t="str">
        <f t="shared" si="109"/>
        <v/>
      </c>
      <c r="M222" s="117" t="str">
        <f t="shared" si="110"/>
        <v/>
      </c>
      <c r="N222" s="112" t="str">
        <f t="shared" si="111"/>
        <v/>
      </c>
      <c r="O222" s="96" t="str">
        <f t="shared" si="112"/>
        <v/>
      </c>
      <c r="P222" s="96" t="str">
        <f t="shared" si="113"/>
        <v/>
      </c>
      <c r="Q222" s="96" t="str">
        <f t="shared" si="114"/>
        <v/>
      </c>
      <c r="R222" s="92" t="str">
        <f t="shared" si="115"/>
        <v/>
      </c>
      <c r="S222" s="42" t="str">
        <f t="shared" si="116"/>
        <v/>
      </c>
      <c r="T222" s="167" t="str">
        <f>IF(L222="","",VLOOKUP(L222,classifications!C:K,9,FALSE))</f>
        <v/>
      </c>
      <c r="U222" s="168" t="str">
        <f t="shared" si="117"/>
        <v/>
      </c>
      <c r="V222" s="174" t="str">
        <f>IF(U222="","",IF($I$8="A",(RANK(U222,U$11:U$343)+COUNTIF(U$11:U222,U222)-1),(RANK(U222,U$11:U$343,1)+COUNTIF(U$11:U222,U222)-1)))</f>
        <v/>
      </c>
      <c r="W222" s="175"/>
      <c r="X222" s="5" t="str">
        <f>IF(L222="","",VLOOKUP($L222,classifications!$C:$J,6,FALSE))</f>
        <v/>
      </c>
      <c r="Y222" t="str">
        <f t="shared" si="118"/>
        <v/>
      </c>
      <c r="Z222" s="40" t="str">
        <f>IF(Y222="","",IF(I$8="A",(RANK(Y222,Y$11:Y$343,1)+COUNTIF(Y$11:Y222,Y222)-1),(RANK(Y222,Y$11:Y$343)+COUNTIF(Y$11:Y222,Y222)-1)))</f>
        <v/>
      </c>
      <c r="AA222" s="180" t="str">
        <f>IF(L222="","",VLOOKUP($L222,classifications!C:I,7,FALSE))</f>
        <v/>
      </c>
      <c r="AB222" s="174" t="str">
        <f t="shared" si="119"/>
        <v/>
      </c>
      <c r="AC222" s="174" t="str">
        <f>IF(AB222="","",IF($I$8="A",(RANK(AB222,AB$11:AB$343)+COUNTIF(AB$11:AB222,AB222)-1),(RANK(AB222,AB$11:AB$343,1)+COUNTIF(AB$11:AB222,AB222)-1)))</f>
        <v/>
      </c>
      <c r="AD222" s="174"/>
      <c r="AE222" s="36" t="str">
        <f t="shared" si="120"/>
        <v/>
      </c>
      <c r="AG222" s="15"/>
      <c r="AH222" s="3"/>
      <c r="AI222" s="5" t="str">
        <f>IF(L222="","",VLOOKUP($L222,classifications!$C:$J,8,FALSE))</f>
        <v/>
      </c>
      <c r="AJ222" s="43" t="str">
        <f t="shared" si="121"/>
        <v/>
      </c>
      <c r="AK222" s="40" t="str">
        <f>IF(AJ222="","",IF(I$8="A",(RANK(AJ222,AJ$11:AJ$343,1)+COUNTIF(AJ$11:AJ222,AJ222)-1),(RANK(AJ222,AJ$11:AJ$343)+COUNTIF(AJ$11:AJ222,AJ222)-1)))</f>
        <v/>
      </c>
      <c r="AL222" s="3" t="str">
        <f t="shared" si="122"/>
        <v/>
      </c>
      <c r="AM222" t="str">
        <f t="shared" si="123"/>
        <v/>
      </c>
      <c r="AN222" t="str">
        <f t="shared" si="124"/>
        <v/>
      </c>
      <c r="AP222" s="5" t="str">
        <f>IF(L222="","",VLOOKUP($L222,classifications!$C:$E,3,FALSE))</f>
        <v/>
      </c>
      <c r="AQ222" s="43" t="str">
        <f t="shared" si="125"/>
        <v/>
      </c>
      <c r="AR222" s="40" t="str">
        <f>IF(AQ222="","",IF(I$8="A",(RANK(AQ222,AQ$11:AQ$343,1)+COUNTIF(AQ$11:AQ222,AQ222)-1),(RANK(AQ222,AQ$11:AQ$343)+COUNTIF(AQ$11:AQ222,AQ222)-1)))</f>
        <v/>
      </c>
      <c r="AS222" s="3" t="str">
        <f t="shared" si="126"/>
        <v/>
      </c>
      <c r="AT222" s="40" t="str">
        <f t="shared" si="127"/>
        <v/>
      </c>
      <c r="AU222" s="43" t="str">
        <f t="shared" si="128"/>
        <v/>
      </c>
      <c r="AX222">
        <f>HLOOKUP($AX$9&amp;$AX$10,Data!$A$1:$ZZ$1980,(MATCH($C222,Data!$A$1:$A$1980,0)),FALSE)</f>
        <v>342.1</v>
      </c>
    </row>
    <row r="223" spans="1:50">
      <c r="A223" s="59" t="str">
        <f>$D$1&amp;213</f>
        <v>UA213</v>
      </c>
      <c r="B223" s="60">
        <f>IF(ISERROR(VLOOKUP(A228,classifications!A:C,3,FALSE)),0,VLOOKUP(A228,classifications!A:C,3,FALSE))</f>
        <v>0</v>
      </c>
      <c r="C223" t="s">
        <v>285</v>
      </c>
      <c r="D223" t="str">
        <f>VLOOKUP($C223,classifications!$C:$J,4,FALSE)</f>
        <v>UA</v>
      </c>
      <c r="E223">
        <f>VLOOKUP(C223,classifications!C:K,9,FALSE)</f>
        <v>0</v>
      </c>
      <c r="F223">
        <f t="shared" si="106"/>
        <v>302</v>
      </c>
      <c r="G223" s="15"/>
      <c r="H223" s="42">
        <f t="shared" si="107"/>
        <v>302</v>
      </c>
      <c r="I223" s="79">
        <f>IF(H223="","",IF($I$8="A",(RANK(H223,H$11:H$343,1)+COUNTIF(H$11:H223,H223)-1),(RANK(H223,H$11:H$343)+COUNTIF(H$11:H223,H223)-1)))</f>
        <v>1</v>
      </c>
      <c r="J223" s="41"/>
      <c r="K223" s="36" t="str">
        <f t="shared" si="108"/>
        <v/>
      </c>
      <c r="L223" t="str">
        <f t="shared" si="109"/>
        <v/>
      </c>
      <c r="M223" s="117" t="str">
        <f t="shared" si="110"/>
        <v/>
      </c>
      <c r="N223" s="112" t="str">
        <f t="shared" si="111"/>
        <v/>
      </c>
      <c r="O223" s="96" t="str">
        <f t="shared" si="112"/>
        <v/>
      </c>
      <c r="P223" s="96" t="str">
        <f t="shared" si="113"/>
        <v/>
      </c>
      <c r="Q223" s="96" t="str">
        <f t="shared" si="114"/>
        <v/>
      </c>
      <c r="R223" s="92" t="str">
        <f t="shared" si="115"/>
        <v/>
      </c>
      <c r="S223" s="42" t="str">
        <f t="shared" si="116"/>
        <v/>
      </c>
      <c r="T223" s="167" t="str">
        <f>IF(L223="","",VLOOKUP(L223,classifications!C:K,9,FALSE))</f>
        <v/>
      </c>
      <c r="U223" s="168" t="str">
        <f t="shared" si="117"/>
        <v/>
      </c>
      <c r="V223" s="174" t="str">
        <f>IF(U223="","",IF($I$8="A",(RANK(U223,U$11:U$343)+COUNTIF(U$11:U223,U223)-1),(RANK(U223,U$11:U$343,1)+COUNTIF(U$11:U223,U223)-1)))</f>
        <v/>
      </c>
      <c r="W223" s="175"/>
      <c r="X223" s="5" t="str">
        <f>IF(L223="","",VLOOKUP($L223,classifications!$C:$J,6,FALSE))</f>
        <v/>
      </c>
      <c r="Y223" t="str">
        <f t="shared" si="118"/>
        <v/>
      </c>
      <c r="Z223" s="40" t="str">
        <f>IF(Y223="","",IF(I$8="A",(RANK(Y223,Y$11:Y$343,1)+COUNTIF(Y$11:Y223,Y223)-1),(RANK(Y223,Y$11:Y$343)+COUNTIF(Y$11:Y223,Y223)-1)))</f>
        <v/>
      </c>
      <c r="AA223" s="180" t="str">
        <f>IF(L223="","",VLOOKUP($L223,classifications!C:I,7,FALSE))</f>
        <v/>
      </c>
      <c r="AB223" s="174" t="str">
        <f t="shared" si="119"/>
        <v/>
      </c>
      <c r="AC223" s="174" t="str">
        <f>IF(AB223="","",IF($I$8="A",(RANK(AB223,AB$11:AB$343)+COUNTIF(AB$11:AB223,AB223)-1),(RANK(AB223,AB$11:AB$343,1)+COUNTIF(AB$11:AB223,AB223)-1)))</f>
        <v/>
      </c>
      <c r="AD223" s="174"/>
      <c r="AE223" s="36" t="str">
        <f t="shared" si="120"/>
        <v/>
      </c>
      <c r="AG223" s="15"/>
      <c r="AH223" s="3"/>
      <c r="AI223" s="5" t="str">
        <f>IF(L223="","",VLOOKUP($L223,classifications!$C:$J,8,FALSE))</f>
        <v/>
      </c>
      <c r="AJ223" s="43" t="str">
        <f t="shared" si="121"/>
        <v/>
      </c>
      <c r="AK223" s="40" t="str">
        <f>IF(AJ223="","",IF(I$8="A",(RANK(AJ223,AJ$11:AJ$343,1)+COUNTIF(AJ$11:AJ223,AJ223)-1),(RANK(AJ223,AJ$11:AJ$343)+COUNTIF(AJ$11:AJ223,AJ223)-1)))</f>
        <v/>
      </c>
      <c r="AL223" s="3" t="str">
        <f t="shared" si="122"/>
        <v/>
      </c>
      <c r="AM223" t="str">
        <f t="shared" si="123"/>
        <v/>
      </c>
      <c r="AN223" t="str">
        <f t="shared" si="124"/>
        <v/>
      </c>
      <c r="AP223" s="5" t="str">
        <f>IF(L223="","",VLOOKUP($L223,classifications!$C:$E,3,FALSE))</f>
        <v/>
      </c>
      <c r="AQ223" s="43" t="str">
        <f t="shared" si="125"/>
        <v/>
      </c>
      <c r="AR223" s="40" t="str">
        <f>IF(AQ223="","",IF(I$8="A",(RANK(AQ223,AQ$11:AQ$343,1)+COUNTIF(AQ$11:AQ223,AQ223)-1),(RANK(AQ223,AQ$11:AQ$343)+COUNTIF(AQ$11:AQ223,AQ223)-1)))</f>
        <v/>
      </c>
      <c r="AS223" s="3" t="str">
        <f t="shared" si="126"/>
        <v/>
      </c>
      <c r="AT223" s="40" t="str">
        <f t="shared" si="127"/>
        <v/>
      </c>
      <c r="AU223" s="43" t="str">
        <f t="shared" si="128"/>
        <v/>
      </c>
      <c r="AX223">
        <f>HLOOKUP($AX$9&amp;$AX$10,Data!$A$1:$ZZ$1980,(MATCH($C223,Data!$A$1:$A$1980,0)),FALSE)</f>
        <v>302</v>
      </c>
    </row>
    <row r="224" spans="1:50">
      <c r="A224" s="59" t="str">
        <f>$D$1&amp;214</f>
        <v>UA214</v>
      </c>
      <c r="B224" s="60">
        <f>IF(ISERROR(VLOOKUP(A229,classifications!A:C,3,FALSE)),0,VLOOKUP(A229,classifications!A:C,3,FALSE))</f>
        <v>0</v>
      </c>
      <c r="C224" t="s">
        <v>217</v>
      </c>
      <c r="D224" t="str">
        <f>VLOOKUP($C224,classifications!$C:$J,4,FALSE)</f>
        <v>L</v>
      </c>
      <c r="E224">
        <f>VLOOKUP(C224,classifications!C:K,9,FALSE)</f>
        <v>0</v>
      </c>
      <c r="F224">
        <f t="shared" si="106"/>
        <v>316.5</v>
      </c>
      <c r="G224" s="15"/>
      <c r="H224" s="42" t="str">
        <f t="shared" si="107"/>
        <v/>
      </c>
      <c r="I224" s="79" t="str">
        <f>IF(H224="","",IF($I$8="A",(RANK(H224,H$11:H$343,1)+COUNTIF(H$11:H224,H224)-1),(RANK(H224,H$11:H$343)+COUNTIF(H$11:H224,H224)-1)))</f>
        <v/>
      </c>
      <c r="J224" s="41"/>
      <c r="K224" s="36" t="str">
        <f t="shared" si="108"/>
        <v/>
      </c>
      <c r="L224" t="str">
        <f t="shared" si="109"/>
        <v/>
      </c>
      <c r="M224" s="117" t="str">
        <f t="shared" si="110"/>
        <v/>
      </c>
      <c r="N224" s="112" t="str">
        <f t="shared" si="111"/>
        <v/>
      </c>
      <c r="O224" s="96" t="str">
        <f t="shared" si="112"/>
        <v/>
      </c>
      <c r="P224" s="96" t="str">
        <f t="shared" si="113"/>
        <v/>
      </c>
      <c r="Q224" s="96" t="str">
        <f t="shared" si="114"/>
        <v/>
      </c>
      <c r="R224" s="92" t="str">
        <f t="shared" si="115"/>
        <v/>
      </c>
      <c r="S224" s="42" t="str">
        <f t="shared" si="116"/>
        <v/>
      </c>
      <c r="T224" s="167" t="str">
        <f>IF(L224="","",VLOOKUP(L224,classifications!C:K,9,FALSE))</f>
        <v/>
      </c>
      <c r="U224" s="168" t="str">
        <f t="shared" si="117"/>
        <v/>
      </c>
      <c r="V224" s="174" t="str">
        <f>IF(U224="","",IF($I$8="A",(RANK(U224,U$11:U$343)+COUNTIF(U$11:U224,U224)-1),(RANK(U224,U$11:U$343,1)+COUNTIF(U$11:U224,U224)-1)))</f>
        <v/>
      </c>
      <c r="W224" s="175"/>
      <c r="X224" s="5" t="str">
        <f>IF(L224="","",VLOOKUP($L224,classifications!$C:$J,6,FALSE))</f>
        <v/>
      </c>
      <c r="Y224" t="str">
        <f t="shared" si="118"/>
        <v/>
      </c>
      <c r="Z224" s="40" t="str">
        <f>IF(Y224="","",IF(I$8="A",(RANK(Y224,Y$11:Y$343,1)+COUNTIF(Y$11:Y224,Y224)-1),(RANK(Y224,Y$11:Y$343)+COUNTIF(Y$11:Y224,Y224)-1)))</f>
        <v/>
      </c>
      <c r="AA224" s="180" t="str">
        <f>IF(L224="","",VLOOKUP($L224,classifications!C:I,7,FALSE))</f>
        <v/>
      </c>
      <c r="AB224" s="174" t="str">
        <f t="shared" si="119"/>
        <v/>
      </c>
      <c r="AC224" s="174" t="str">
        <f>IF(AB224="","",IF($I$8="A",(RANK(AB224,AB$11:AB$343)+COUNTIF(AB$11:AB224,AB224)-1),(RANK(AB224,AB$11:AB$343,1)+COUNTIF(AB$11:AB224,AB224)-1)))</f>
        <v/>
      </c>
      <c r="AD224" s="174"/>
      <c r="AE224" s="36" t="str">
        <f t="shared" si="120"/>
        <v/>
      </c>
      <c r="AG224" s="15"/>
      <c r="AH224" s="3"/>
      <c r="AI224" s="5" t="str">
        <f>IF(L224="","",VLOOKUP($L224,classifications!$C:$J,8,FALSE))</f>
        <v/>
      </c>
      <c r="AJ224" s="43" t="str">
        <f t="shared" si="121"/>
        <v/>
      </c>
      <c r="AK224" s="40" t="str">
        <f>IF(AJ224="","",IF(I$8="A",(RANK(AJ224,AJ$11:AJ$343,1)+COUNTIF(AJ$11:AJ224,AJ224)-1),(RANK(AJ224,AJ$11:AJ$343)+COUNTIF(AJ$11:AJ224,AJ224)-1)))</f>
        <v/>
      </c>
      <c r="AL224" s="3" t="str">
        <f t="shared" si="122"/>
        <v/>
      </c>
      <c r="AM224" t="str">
        <f t="shared" si="123"/>
        <v/>
      </c>
      <c r="AN224" t="str">
        <f t="shared" si="124"/>
        <v/>
      </c>
      <c r="AP224" s="5" t="str">
        <f>IF(L224="","",VLOOKUP($L224,classifications!$C:$E,3,FALSE))</f>
        <v/>
      </c>
      <c r="AQ224" s="43" t="str">
        <f t="shared" si="125"/>
        <v/>
      </c>
      <c r="AR224" s="40" t="str">
        <f>IF(AQ224="","",IF(I$8="A",(RANK(AQ224,AQ$11:AQ$343,1)+COUNTIF(AQ$11:AQ224,AQ224)-1),(RANK(AQ224,AQ$11:AQ$343)+COUNTIF(AQ$11:AQ224,AQ224)-1)))</f>
        <v/>
      </c>
      <c r="AS224" s="3" t="str">
        <f t="shared" si="126"/>
        <v/>
      </c>
      <c r="AT224" s="40" t="str">
        <f t="shared" si="127"/>
        <v/>
      </c>
      <c r="AU224" s="43" t="str">
        <f t="shared" si="128"/>
        <v/>
      </c>
      <c r="AX224">
        <f>HLOOKUP($AX$9&amp;$AX$10,Data!$A$1:$ZZ$1980,(MATCH($C224,Data!$A$1:$A$1980,0)),FALSE)</f>
        <v>316.5</v>
      </c>
    </row>
    <row r="225" spans="1:50">
      <c r="A225" s="59" t="str">
        <f>$D$1&amp;215</f>
        <v>UA215</v>
      </c>
      <c r="B225" s="60">
        <f>IF(ISERROR(VLOOKUP(A230,classifications!A:C,3,FALSE)),0,VLOOKUP(A230,classifications!A:C,3,FALSE))</f>
        <v>0</v>
      </c>
      <c r="C225" t="s">
        <v>811</v>
      </c>
      <c r="D225" t="str">
        <f>VLOOKUP($C225,classifications!$C:$J,4,FALSE)</f>
        <v>UA</v>
      </c>
      <c r="E225">
        <f>VLOOKUP(C225,classifications!C:K,9,FALSE)</f>
        <v>0</v>
      </c>
      <c r="F225">
        <f t="shared" si="106"/>
        <v>392.1</v>
      </c>
      <c r="G225" s="15"/>
      <c r="H225" s="42">
        <f t="shared" si="107"/>
        <v>392.1</v>
      </c>
      <c r="I225" s="79">
        <f>IF(H225="","",IF($I$8="A",(RANK(H225,H$11:H$343,1)+COUNTIF(H$11:H225,H225)-1),(RANK(H225,H$11:H$343)+COUNTIF(H$11:H225,H225)-1)))</f>
        <v>27</v>
      </c>
      <c r="J225" s="41"/>
      <c r="K225" s="36" t="str">
        <f t="shared" si="108"/>
        <v/>
      </c>
      <c r="L225" t="str">
        <f t="shared" si="109"/>
        <v/>
      </c>
      <c r="M225" s="117" t="str">
        <f t="shared" si="110"/>
        <v/>
      </c>
      <c r="N225" s="112" t="str">
        <f t="shared" si="111"/>
        <v/>
      </c>
      <c r="O225" s="96" t="str">
        <f t="shared" si="112"/>
        <v/>
      </c>
      <c r="P225" s="96" t="str">
        <f t="shared" si="113"/>
        <v/>
      </c>
      <c r="Q225" s="96" t="str">
        <f t="shared" si="114"/>
        <v/>
      </c>
      <c r="R225" s="92" t="str">
        <f t="shared" si="115"/>
        <v/>
      </c>
      <c r="S225" s="42" t="str">
        <f t="shared" si="116"/>
        <v/>
      </c>
      <c r="T225" s="167" t="str">
        <f>IF(L225="","",VLOOKUP(L225,classifications!C:K,9,FALSE))</f>
        <v/>
      </c>
      <c r="U225" s="168" t="str">
        <f t="shared" si="117"/>
        <v/>
      </c>
      <c r="V225" s="174" t="str">
        <f>IF(U225="","",IF($I$8="A",(RANK(U225,U$11:U$343)+COUNTIF(U$11:U225,U225)-1),(RANK(U225,U$11:U$343,1)+COUNTIF(U$11:U225,U225)-1)))</f>
        <v/>
      </c>
      <c r="W225" s="175"/>
      <c r="X225" s="5" t="str">
        <f>IF(L225="","",VLOOKUP($L225,classifications!$C:$J,6,FALSE))</f>
        <v/>
      </c>
      <c r="Y225" t="str">
        <f t="shared" si="118"/>
        <v/>
      </c>
      <c r="Z225" s="40" t="str">
        <f>IF(Y225="","",IF(I$8="A",(RANK(Y225,Y$11:Y$343,1)+COUNTIF(Y$11:Y225,Y225)-1),(RANK(Y225,Y$11:Y$343)+COUNTIF(Y$11:Y225,Y225)-1)))</f>
        <v/>
      </c>
      <c r="AA225" s="180" t="str">
        <f>IF(L225="","",VLOOKUP($L225,classifications!C:I,7,FALSE))</f>
        <v/>
      </c>
      <c r="AB225" s="174" t="str">
        <f t="shared" si="119"/>
        <v/>
      </c>
      <c r="AC225" s="174" t="str">
        <f>IF(AB225="","",IF($I$8="A",(RANK(AB225,AB$11:AB$343)+COUNTIF(AB$11:AB225,AB225)-1),(RANK(AB225,AB$11:AB$343,1)+COUNTIF(AB$11:AB225,AB225)-1)))</f>
        <v/>
      </c>
      <c r="AD225" s="174"/>
      <c r="AE225" s="36" t="str">
        <f t="shared" si="120"/>
        <v/>
      </c>
      <c r="AG225" s="15"/>
      <c r="AH225" s="3"/>
      <c r="AI225" s="5" t="str">
        <f>IF(L225="","",VLOOKUP($L225,classifications!$C:$J,8,FALSE))</f>
        <v/>
      </c>
      <c r="AJ225" s="43" t="str">
        <f t="shared" si="121"/>
        <v/>
      </c>
      <c r="AK225" s="40" t="str">
        <f>IF(AJ225="","",IF(I$8="A",(RANK(AJ225,AJ$11:AJ$343,1)+COUNTIF(AJ$11:AJ225,AJ225)-1),(RANK(AJ225,AJ$11:AJ$343)+COUNTIF(AJ$11:AJ225,AJ225)-1)))</f>
        <v/>
      </c>
      <c r="AL225" s="3" t="str">
        <f t="shared" si="122"/>
        <v/>
      </c>
      <c r="AM225" t="str">
        <f t="shared" si="123"/>
        <v/>
      </c>
      <c r="AN225" t="str">
        <f t="shared" si="124"/>
        <v/>
      </c>
      <c r="AP225" s="5" t="str">
        <f>IF(L225="","",VLOOKUP($L225,classifications!$C:$E,3,FALSE))</f>
        <v/>
      </c>
      <c r="AQ225" s="43" t="str">
        <f t="shared" si="125"/>
        <v/>
      </c>
      <c r="AR225" s="40" t="str">
        <f>IF(AQ225="","",IF(I$8="A",(RANK(AQ225,AQ$11:AQ$343,1)+COUNTIF(AQ$11:AQ225,AQ225)-1),(RANK(AQ225,AQ$11:AQ$343)+COUNTIF(AQ$11:AQ225,AQ225)-1)))</f>
        <v/>
      </c>
      <c r="AS225" s="3" t="str">
        <f t="shared" si="126"/>
        <v/>
      </c>
      <c r="AT225" s="40" t="str">
        <f t="shared" si="127"/>
        <v/>
      </c>
      <c r="AU225" s="43" t="str">
        <f t="shared" si="128"/>
        <v/>
      </c>
      <c r="AX225">
        <f>HLOOKUP($AX$9&amp;$AX$10,Data!$A$1:$ZZ$1980,(MATCH($C225,Data!$A$1:$A$1980,0)),FALSE)</f>
        <v>392.1</v>
      </c>
    </row>
    <row r="226" spans="1:50">
      <c r="A226" s="59" t="str">
        <f>$D$1&amp;216</f>
        <v>UA216</v>
      </c>
      <c r="B226" s="60">
        <f>IF(ISERROR(VLOOKUP(A231,classifications!A:C,3,FALSE)),0,VLOOKUP(A231,classifications!A:C,3,FALSE))</f>
        <v>0</v>
      </c>
      <c r="C226" t="s">
        <v>122</v>
      </c>
      <c r="D226" t="str">
        <f>VLOOKUP($C226,classifications!$C:$J,4,FALSE)</f>
        <v>SD</v>
      </c>
      <c r="E226">
        <f>VLOOKUP(C226,classifications!C:K,9,FALSE)</f>
        <v>0</v>
      </c>
      <c r="F226">
        <f t="shared" si="106"/>
        <v>311</v>
      </c>
      <c r="G226" s="15"/>
      <c r="H226" s="42" t="str">
        <f t="shared" si="107"/>
        <v/>
      </c>
      <c r="I226" s="79" t="str">
        <f>IF(H226="","",IF($I$8="A",(RANK(H226,H$11:H$343,1)+COUNTIF(H$11:H226,H226)-1),(RANK(H226,H$11:H$343)+COUNTIF(H$11:H226,H226)-1)))</f>
        <v/>
      </c>
      <c r="J226" s="41"/>
      <c r="K226" s="36" t="str">
        <f t="shared" si="108"/>
        <v/>
      </c>
      <c r="L226" t="str">
        <f t="shared" si="109"/>
        <v/>
      </c>
      <c r="M226" s="117" t="str">
        <f t="shared" si="110"/>
        <v/>
      </c>
      <c r="N226" s="112" t="str">
        <f t="shared" si="111"/>
        <v/>
      </c>
      <c r="O226" s="96" t="str">
        <f t="shared" si="112"/>
        <v/>
      </c>
      <c r="P226" s="96" t="str">
        <f t="shared" si="113"/>
        <v/>
      </c>
      <c r="Q226" s="96" t="str">
        <f t="shared" si="114"/>
        <v/>
      </c>
      <c r="R226" s="92" t="str">
        <f t="shared" si="115"/>
        <v/>
      </c>
      <c r="S226" s="42" t="str">
        <f t="shared" si="116"/>
        <v/>
      </c>
      <c r="T226" s="167" t="str">
        <f>IF(L226="","",VLOOKUP(L226,classifications!C:K,9,FALSE))</f>
        <v/>
      </c>
      <c r="U226" s="168" t="str">
        <f t="shared" si="117"/>
        <v/>
      </c>
      <c r="V226" s="174" t="str">
        <f>IF(U226="","",IF($I$8="A",(RANK(U226,U$11:U$343)+COUNTIF(U$11:U226,U226)-1),(RANK(U226,U$11:U$343,1)+COUNTIF(U$11:U226,U226)-1)))</f>
        <v/>
      </c>
      <c r="W226" s="175"/>
      <c r="X226" s="5" t="str">
        <f>IF(L226="","",VLOOKUP($L226,classifications!$C:$J,6,FALSE))</f>
        <v/>
      </c>
      <c r="Y226" t="str">
        <f t="shared" si="118"/>
        <v/>
      </c>
      <c r="Z226" s="40" t="str">
        <f>IF(Y226="","",IF(I$8="A",(RANK(Y226,Y$11:Y$343,1)+COUNTIF(Y$11:Y226,Y226)-1),(RANK(Y226,Y$11:Y$343)+COUNTIF(Y$11:Y226,Y226)-1)))</f>
        <v/>
      </c>
      <c r="AA226" s="180" t="str">
        <f>IF(L226="","",VLOOKUP($L226,classifications!C:I,7,FALSE))</f>
        <v/>
      </c>
      <c r="AB226" s="174" t="str">
        <f t="shared" si="119"/>
        <v/>
      </c>
      <c r="AC226" s="174" t="str">
        <f>IF(AB226="","",IF($I$8="A",(RANK(AB226,AB$11:AB$343)+COUNTIF(AB$11:AB226,AB226)-1),(RANK(AB226,AB$11:AB$343,1)+COUNTIF(AB$11:AB226,AB226)-1)))</f>
        <v/>
      </c>
      <c r="AD226" s="174"/>
      <c r="AE226" s="36" t="str">
        <f t="shared" si="120"/>
        <v/>
      </c>
      <c r="AG226" s="15"/>
      <c r="AH226" s="3"/>
      <c r="AI226" s="5" t="str">
        <f>IF(L226="","",VLOOKUP($L226,classifications!$C:$J,8,FALSE))</f>
        <v/>
      </c>
      <c r="AJ226" s="43" t="str">
        <f t="shared" si="121"/>
        <v/>
      </c>
      <c r="AK226" s="40" t="str">
        <f>IF(AJ226="","",IF(I$8="A",(RANK(AJ226,AJ$11:AJ$343,1)+COUNTIF(AJ$11:AJ226,AJ226)-1),(RANK(AJ226,AJ$11:AJ$343)+COUNTIF(AJ$11:AJ226,AJ226)-1)))</f>
        <v/>
      </c>
      <c r="AL226" s="3" t="str">
        <f t="shared" si="122"/>
        <v/>
      </c>
      <c r="AM226" t="str">
        <f t="shared" si="123"/>
        <v/>
      </c>
      <c r="AN226" t="str">
        <f t="shared" si="124"/>
        <v/>
      </c>
      <c r="AP226" s="5" t="str">
        <f>IF(L226="","",VLOOKUP($L226,classifications!$C:$E,3,FALSE))</f>
        <v/>
      </c>
      <c r="AQ226" s="43" t="str">
        <f t="shared" si="125"/>
        <v/>
      </c>
      <c r="AR226" s="40" t="str">
        <f>IF(AQ226="","",IF(I$8="A",(RANK(AQ226,AQ$11:AQ$343,1)+COUNTIF(AQ$11:AQ226,AQ226)-1),(RANK(AQ226,AQ$11:AQ$343)+COUNTIF(AQ$11:AQ226,AQ226)-1)))</f>
        <v/>
      </c>
      <c r="AS226" s="3" t="str">
        <f t="shared" si="126"/>
        <v/>
      </c>
      <c r="AT226" s="40" t="str">
        <f t="shared" si="127"/>
        <v/>
      </c>
      <c r="AU226" s="43" t="str">
        <f t="shared" si="128"/>
        <v/>
      </c>
      <c r="AX226">
        <f>HLOOKUP($AX$9&amp;$AX$10,Data!$A$1:$ZZ$1980,(MATCH($C226,Data!$A$1:$A$1980,0)),FALSE)</f>
        <v>311</v>
      </c>
    </row>
    <row r="227" spans="1:50">
      <c r="A227" s="59" t="str">
        <f>$D$1&amp;217</f>
        <v>UA217</v>
      </c>
      <c r="B227" s="60">
        <f>IF(ISERROR(VLOOKUP(A232,classifications!A:C,3,FALSE)),0,VLOOKUP(A232,classifications!A:C,3,FALSE))</f>
        <v>0</v>
      </c>
      <c r="C227" t="s">
        <v>350</v>
      </c>
      <c r="D227" t="str">
        <f>VLOOKUP($C227,classifications!$C:$J,4,FALSE)</f>
        <v>SD</v>
      </c>
      <c r="E227">
        <f>VLOOKUP(C227,classifications!C:K,9,FALSE)</f>
        <v>0</v>
      </c>
      <c r="F227">
        <f t="shared" si="106"/>
        <v>339.7</v>
      </c>
      <c r="G227" s="15"/>
      <c r="H227" s="42" t="str">
        <f t="shared" si="107"/>
        <v/>
      </c>
      <c r="I227" s="79" t="str">
        <f>IF(H227="","",IF($I$8="A",(RANK(H227,H$11:H$343,1)+COUNTIF(H$11:H227,H227)-1),(RANK(H227,H$11:H$343)+COUNTIF(H$11:H227,H227)-1)))</f>
        <v/>
      </c>
      <c r="J227" s="41"/>
      <c r="K227" s="36" t="str">
        <f t="shared" si="108"/>
        <v/>
      </c>
      <c r="L227" t="str">
        <f t="shared" si="109"/>
        <v/>
      </c>
      <c r="M227" s="117" t="str">
        <f t="shared" si="110"/>
        <v/>
      </c>
      <c r="N227" s="112" t="str">
        <f t="shared" si="111"/>
        <v/>
      </c>
      <c r="O227" s="96" t="str">
        <f t="shared" si="112"/>
        <v/>
      </c>
      <c r="P227" s="96" t="str">
        <f t="shared" si="113"/>
        <v/>
      </c>
      <c r="Q227" s="96" t="str">
        <f t="shared" si="114"/>
        <v/>
      </c>
      <c r="R227" s="92" t="str">
        <f t="shared" si="115"/>
        <v/>
      </c>
      <c r="S227" s="42" t="str">
        <f t="shared" si="116"/>
        <v/>
      </c>
      <c r="T227" s="167" t="str">
        <f>IF(L227="","",VLOOKUP(L227,classifications!C:K,9,FALSE))</f>
        <v/>
      </c>
      <c r="U227" s="168" t="str">
        <f t="shared" si="117"/>
        <v/>
      </c>
      <c r="V227" s="174" t="str">
        <f>IF(U227="","",IF($I$8="A",(RANK(U227,U$11:U$343)+COUNTIF(U$11:U227,U227)-1),(RANK(U227,U$11:U$343,1)+COUNTIF(U$11:U227,U227)-1)))</f>
        <v/>
      </c>
      <c r="W227" s="175"/>
      <c r="X227" s="5" t="str">
        <f>IF(L227="","",VLOOKUP($L227,classifications!$C:$J,6,FALSE))</f>
        <v/>
      </c>
      <c r="Y227" t="str">
        <f t="shared" si="118"/>
        <v/>
      </c>
      <c r="Z227" s="40" t="str">
        <f>IF(Y227="","",IF(I$8="A",(RANK(Y227,Y$11:Y$343,1)+COUNTIF(Y$11:Y227,Y227)-1),(RANK(Y227,Y$11:Y$343)+COUNTIF(Y$11:Y227,Y227)-1)))</f>
        <v/>
      </c>
      <c r="AA227" s="180" t="str">
        <f>IF(L227="","",VLOOKUP($L227,classifications!C:I,7,FALSE))</f>
        <v/>
      </c>
      <c r="AB227" s="174" t="str">
        <f t="shared" si="119"/>
        <v/>
      </c>
      <c r="AC227" s="174" t="str">
        <f>IF(AB227="","",IF($I$8="A",(RANK(AB227,AB$11:AB$343)+COUNTIF(AB$11:AB227,AB227)-1),(RANK(AB227,AB$11:AB$343,1)+COUNTIF(AB$11:AB227,AB227)-1)))</f>
        <v/>
      </c>
      <c r="AD227" s="174"/>
      <c r="AE227" s="36" t="str">
        <f t="shared" si="120"/>
        <v/>
      </c>
      <c r="AG227" s="15"/>
      <c r="AH227" s="3"/>
      <c r="AI227" s="5" t="str">
        <f>IF(L227="","",VLOOKUP($L227,classifications!$C:$J,8,FALSE))</f>
        <v/>
      </c>
      <c r="AJ227" s="43" t="str">
        <f t="shared" si="121"/>
        <v/>
      </c>
      <c r="AK227" s="40" t="str">
        <f>IF(AJ227="","",IF(I$8="A",(RANK(AJ227,AJ$11:AJ$343,1)+COUNTIF(AJ$11:AJ227,AJ227)-1),(RANK(AJ227,AJ$11:AJ$343)+COUNTIF(AJ$11:AJ227,AJ227)-1)))</f>
        <v/>
      </c>
      <c r="AL227" s="3" t="str">
        <f t="shared" si="122"/>
        <v/>
      </c>
      <c r="AM227" t="str">
        <f t="shared" si="123"/>
        <v/>
      </c>
      <c r="AN227" t="str">
        <f t="shared" si="124"/>
        <v/>
      </c>
      <c r="AP227" s="5" t="str">
        <f>IF(L227="","",VLOOKUP($L227,classifications!$C:$E,3,FALSE))</f>
        <v/>
      </c>
      <c r="AQ227" s="43" t="str">
        <f t="shared" si="125"/>
        <v/>
      </c>
      <c r="AR227" s="40" t="str">
        <f>IF(AQ227="","",IF(I$8="A",(RANK(AQ227,AQ$11:AQ$343,1)+COUNTIF(AQ$11:AQ227,AQ227)-1),(RANK(AQ227,AQ$11:AQ$343)+COUNTIF(AQ$11:AQ227,AQ227)-1)))</f>
        <v/>
      </c>
      <c r="AS227" s="3" t="str">
        <f t="shared" si="126"/>
        <v/>
      </c>
      <c r="AT227" s="40" t="str">
        <f t="shared" si="127"/>
        <v/>
      </c>
      <c r="AU227" s="43" t="str">
        <f t="shared" si="128"/>
        <v/>
      </c>
      <c r="AX227">
        <f>HLOOKUP($AX$9&amp;$AX$10,Data!$A$1:$ZZ$1980,(MATCH($C227,Data!$A$1:$A$1980,0)),FALSE)</f>
        <v>339.7</v>
      </c>
    </row>
    <row r="228" spans="1:50">
      <c r="A228" s="59" t="str">
        <f>$D$1&amp;218</f>
        <v>UA218</v>
      </c>
      <c r="B228" s="60">
        <f>IF(ISERROR(VLOOKUP(A233,classifications!A:C,3,FALSE)),0,VLOOKUP(A233,classifications!A:C,3,FALSE))</f>
        <v>0</v>
      </c>
      <c r="C228" t="s">
        <v>123</v>
      </c>
      <c r="D228" t="str">
        <f>VLOOKUP($C228,classifications!$C:$J,4,FALSE)</f>
        <v>SD</v>
      </c>
      <c r="E228" t="str">
        <f>VLOOKUP(C228,classifications!C:K,9,FALSE)</f>
        <v>Sparse</v>
      </c>
      <c r="F228">
        <f t="shared" si="106"/>
        <v>377.6</v>
      </c>
      <c r="G228" s="15"/>
      <c r="H228" s="42" t="str">
        <f t="shared" si="107"/>
        <v/>
      </c>
      <c r="I228" s="79" t="str">
        <f>IF(H228="","",IF($I$8="A",(RANK(H228,H$11:H$343,1)+COUNTIF(H$11:H228,H228)-1),(RANK(H228,H$11:H$343)+COUNTIF(H$11:H228,H228)-1)))</f>
        <v/>
      </c>
      <c r="J228" s="41"/>
      <c r="K228" s="36" t="str">
        <f t="shared" si="108"/>
        <v/>
      </c>
      <c r="L228" t="str">
        <f t="shared" si="109"/>
        <v/>
      </c>
      <c r="M228" s="117" t="str">
        <f t="shared" si="110"/>
        <v/>
      </c>
      <c r="N228" s="112" t="str">
        <f t="shared" si="111"/>
        <v/>
      </c>
      <c r="O228" s="96" t="str">
        <f t="shared" si="112"/>
        <v/>
      </c>
      <c r="P228" s="96" t="str">
        <f t="shared" si="113"/>
        <v/>
      </c>
      <c r="Q228" s="96" t="str">
        <f t="shared" si="114"/>
        <v/>
      </c>
      <c r="R228" s="92" t="str">
        <f t="shared" si="115"/>
        <v/>
      </c>
      <c r="S228" s="42" t="str">
        <f t="shared" si="116"/>
        <v/>
      </c>
      <c r="T228" s="167" t="str">
        <f>IF(L228="","",VLOOKUP(L228,classifications!C:K,9,FALSE))</f>
        <v/>
      </c>
      <c r="U228" s="168" t="str">
        <f t="shared" si="117"/>
        <v/>
      </c>
      <c r="V228" s="174" t="str">
        <f>IF(U228="","",IF($I$8="A",(RANK(U228,U$11:U$343)+COUNTIF(U$11:U228,U228)-1),(RANK(U228,U$11:U$343,1)+COUNTIF(U$11:U228,U228)-1)))</f>
        <v/>
      </c>
      <c r="W228" s="175"/>
      <c r="X228" s="5" t="str">
        <f>IF(L228="","",VLOOKUP($L228,classifications!$C:$J,6,FALSE))</f>
        <v/>
      </c>
      <c r="Y228" t="str">
        <f t="shared" si="118"/>
        <v/>
      </c>
      <c r="Z228" s="40" t="str">
        <f>IF(Y228="","",IF(I$8="A",(RANK(Y228,Y$11:Y$343,1)+COUNTIF(Y$11:Y228,Y228)-1),(RANK(Y228,Y$11:Y$343)+COUNTIF(Y$11:Y228,Y228)-1)))</f>
        <v/>
      </c>
      <c r="AA228" s="180" t="str">
        <f>IF(L228="","",VLOOKUP($L228,classifications!C:I,7,FALSE))</f>
        <v/>
      </c>
      <c r="AB228" s="174" t="str">
        <f t="shared" si="119"/>
        <v/>
      </c>
      <c r="AC228" s="174" t="str">
        <f>IF(AB228="","",IF($I$8="A",(RANK(AB228,AB$11:AB$343)+COUNTIF(AB$11:AB228,AB228)-1),(RANK(AB228,AB$11:AB$343,1)+COUNTIF(AB$11:AB228,AB228)-1)))</f>
        <v/>
      </c>
      <c r="AD228" s="174"/>
      <c r="AE228" s="36" t="str">
        <f t="shared" si="120"/>
        <v/>
      </c>
      <c r="AG228" s="15"/>
      <c r="AH228" s="3"/>
      <c r="AI228" s="5" t="str">
        <f>IF(L228="","",VLOOKUP($L228,classifications!$C:$J,8,FALSE))</f>
        <v/>
      </c>
      <c r="AJ228" s="43" t="str">
        <f t="shared" si="121"/>
        <v/>
      </c>
      <c r="AK228" s="40" t="str">
        <f>IF(AJ228="","",IF(I$8="A",(RANK(AJ228,AJ$11:AJ$343,1)+COUNTIF(AJ$11:AJ228,AJ228)-1),(RANK(AJ228,AJ$11:AJ$343)+COUNTIF(AJ$11:AJ228,AJ228)-1)))</f>
        <v/>
      </c>
      <c r="AL228" s="3" t="str">
        <f t="shared" si="122"/>
        <v/>
      </c>
      <c r="AM228" t="str">
        <f t="shared" si="123"/>
        <v/>
      </c>
      <c r="AN228" t="str">
        <f t="shared" si="124"/>
        <v/>
      </c>
      <c r="AP228" s="5" t="str">
        <f>IF(L228="","",VLOOKUP($L228,classifications!$C:$E,3,FALSE))</f>
        <v/>
      </c>
      <c r="AQ228" s="43" t="str">
        <f t="shared" si="125"/>
        <v/>
      </c>
      <c r="AR228" s="40" t="str">
        <f>IF(AQ228="","",IF(I$8="A",(RANK(AQ228,AQ$11:AQ$343,1)+COUNTIF(AQ$11:AQ228,AQ228)-1),(RANK(AQ228,AQ$11:AQ$343)+COUNTIF(AQ$11:AQ228,AQ228)-1)))</f>
        <v/>
      </c>
      <c r="AS228" s="3" t="str">
        <f t="shared" si="126"/>
        <v/>
      </c>
      <c r="AT228" s="40" t="str">
        <f t="shared" si="127"/>
        <v/>
      </c>
      <c r="AU228" s="43" t="str">
        <f t="shared" si="128"/>
        <v/>
      </c>
      <c r="AX228">
        <f>HLOOKUP($AX$9&amp;$AX$10,Data!$A$1:$ZZ$1980,(MATCH($C228,Data!$A$1:$A$1980,0)),FALSE)</f>
        <v>377.6</v>
      </c>
    </row>
    <row r="229" spans="1:50">
      <c r="A229" s="59" t="str">
        <f>$D$1&amp;219</f>
        <v>UA219</v>
      </c>
      <c r="B229" s="60">
        <f>IF(ISERROR(VLOOKUP(A234,classifications!A:C,3,FALSE)),0,VLOOKUP(A234,classifications!A:C,3,FALSE))</f>
        <v>0</v>
      </c>
      <c r="C229" t="s">
        <v>395</v>
      </c>
      <c r="D229" t="str">
        <f>VLOOKUP($C229,classifications!$C:$J,4,FALSE)</f>
        <v>L</v>
      </c>
      <c r="E229">
        <f>VLOOKUP(C229,classifications!C:K,9,FALSE)</f>
        <v>0</v>
      </c>
      <c r="F229">
        <f t="shared" si="106"/>
        <v>362.4</v>
      </c>
      <c r="G229" s="15"/>
      <c r="H229" s="42" t="str">
        <f t="shared" si="107"/>
        <v/>
      </c>
      <c r="I229" s="79" t="str">
        <f>IF(H229="","",IF($I$8="A",(RANK(H229,H$11:H$343,1)+COUNTIF(H$11:H229,H229)-1),(RANK(H229,H$11:H$343)+COUNTIF(H$11:H229,H229)-1)))</f>
        <v/>
      </c>
      <c r="J229" s="41"/>
      <c r="K229" s="36" t="str">
        <f t="shared" si="108"/>
        <v/>
      </c>
      <c r="L229" t="str">
        <f t="shared" si="109"/>
        <v/>
      </c>
      <c r="M229" s="117" t="str">
        <f t="shared" si="110"/>
        <v/>
      </c>
      <c r="N229" s="112" t="str">
        <f t="shared" si="111"/>
        <v/>
      </c>
      <c r="O229" s="96" t="str">
        <f t="shared" si="112"/>
        <v/>
      </c>
      <c r="P229" s="96" t="str">
        <f t="shared" si="113"/>
        <v/>
      </c>
      <c r="Q229" s="96" t="str">
        <f t="shared" si="114"/>
        <v/>
      </c>
      <c r="R229" s="92" t="str">
        <f t="shared" si="115"/>
        <v/>
      </c>
      <c r="S229" s="42" t="str">
        <f t="shared" si="116"/>
        <v/>
      </c>
      <c r="T229" s="167" t="str">
        <f>IF(L229="","",VLOOKUP(L229,classifications!C:K,9,FALSE))</f>
        <v/>
      </c>
      <c r="U229" s="168" t="str">
        <f t="shared" si="117"/>
        <v/>
      </c>
      <c r="V229" s="174" t="str">
        <f>IF(U229="","",IF($I$8="A",(RANK(U229,U$11:U$343)+COUNTIF(U$11:U229,U229)-1),(RANK(U229,U$11:U$343,1)+COUNTIF(U$11:U229,U229)-1)))</f>
        <v/>
      </c>
      <c r="W229" s="175"/>
      <c r="X229" s="5" t="str">
        <f>IF(L229="","",VLOOKUP($L229,classifications!$C:$J,6,FALSE))</f>
        <v/>
      </c>
      <c r="Y229" t="str">
        <f t="shared" si="118"/>
        <v/>
      </c>
      <c r="Z229" s="40" t="str">
        <f>IF(Y229="","",IF(I$8="A",(RANK(Y229,Y$11:Y$343,1)+COUNTIF(Y$11:Y229,Y229)-1),(RANK(Y229,Y$11:Y$343)+COUNTIF(Y$11:Y229,Y229)-1)))</f>
        <v/>
      </c>
      <c r="AA229" s="180" t="str">
        <f>IF(L229="","",VLOOKUP($L229,classifications!C:I,7,FALSE))</f>
        <v/>
      </c>
      <c r="AB229" s="174" t="str">
        <f t="shared" si="119"/>
        <v/>
      </c>
      <c r="AC229" s="174" t="str">
        <f>IF(AB229="","",IF($I$8="A",(RANK(AB229,AB$11:AB$343)+COUNTIF(AB$11:AB229,AB229)-1),(RANK(AB229,AB$11:AB$343,1)+COUNTIF(AB$11:AB229,AB229)-1)))</f>
        <v/>
      </c>
      <c r="AD229" s="174"/>
      <c r="AE229" s="36" t="str">
        <f t="shared" si="120"/>
        <v/>
      </c>
      <c r="AG229" s="15"/>
      <c r="AH229" s="3"/>
      <c r="AI229" s="5" t="str">
        <f>IF(L229="","",VLOOKUP($L229,classifications!$C:$J,8,FALSE))</f>
        <v/>
      </c>
      <c r="AJ229" s="43" t="str">
        <f t="shared" si="121"/>
        <v/>
      </c>
      <c r="AK229" s="40" t="str">
        <f>IF(AJ229="","",IF(I$8="A",(RANK(AJ229,AJ$11:AJ$343,1)+COUNTIF(AJ$11:AJ229,AJ229)-1),(RANK(AJ229,AJ$11:AJ$343)+COUNTIF(AJ$11:AJ229,AJ229)-1)))</f>
        <v/>
      </c>
      <c r="AL229" s="3" t="str">
        <f t="shared" si="122"/>
        <v/>
      </c>
      <c r="AM229" t="str">
        <f t="shared" si="123"/>
        <v/>
      </c>
      <c r="AN229" t="str">
        <f t="shared" si="124"/>
        <v/>
      </c>
      <c r="AP229" s="5" t="str">
        <f>IF(L229="","",VLOOKUP($L229,classifications!$C:$E,3,FALSE))</f>
        <v/>
      </c>
      <c r="AQ229" s="43" t="str">
        <f t="shared" si="125"/>
        <v/>
      </c>
      <c r="AR229" s="40" t="str">
        <f>IF(AQ229="","",IF(I$8="A",(RANK(AQ229,AQ$11:AQ$343,1)+COUNTIF(AQ$11:AQ229,AQ229)-1),(RANK(AQ229,AQ$11:AQ$343)+COUNTIF(AQ$11:AQ229,AQ229)-1)))</f>
        <v/>
      </c>
      <c r="AS229" s="3" t="str">
        <f t="shared" si="126"/>
        <v/>
      </c>
      <c r="AT229" s="40" t="str">
        <f t="shared" si="127"/>
        <v/>
      </c>
      <c r="AU229" s="43" t="str">
        <f t="shared" si="128"/>
        <v/>
      </c>
      <c r="AX229">
        <f>HLOOKUP($AX$9&amp;$AX$10,Data!$A$1:$ZZ$1980,(MATCH($C229,Data!$A$1:$A$1980,0)),FALSE)</f>
        <v>362.4</v>
      </c>
    </row>
    <row r="230" spans="1:50">
      <c r="A230" s="59" t="str">
        <f>$D$1&amp;220</f>
        <v>UA220</v>
      </c>
      <c r="B230" s="60">
        <f>IF(ISERROR(VLOOKUP(A235,classifications!A:C,3,FALSE)),0,VLOOKUP(A235,classifications!A:C,3,FALSE))</f>
        <v>0</v>
      </c>
      <c r="C230" t="s">
        <v>124</v>
      </c>
      <c r="D230" t="str">
        <f>VLOOKUP($C230,classifications!$C:$J,4,FALSE)</f>
        <v>SD</v>
      </c>
      <c r="E230" t="str">
        <f>VLOOKUP(C230,classifications!C:K,9,FALSE)</f>
        <v>Sparse</v>
      </c>
      <c r="F230">
        <f t="shared" si="106"/>
        <v>356.5</v>
      </c>
      <c r="G230" s="15"/>
      <c r="H230" s="42" t="str">
        <f t="shared" si="107"/>
        <v/>
      </c>
      <c r="I230" s="79" t="str">
        <f>IF(H230="","",IF($I$8="A",(RANK(H230,H$11:H$343,1)+COUNTIF(H$11:H230,H230)-1),(RANK(H230,H$11:H$343)+COUNTIF(H$11:H230,H230)-1)))</f>
        <v/>
      </c>
      <c r="J230" s="41"/>
      <c r="K230" s="36" t="str">
        <f t="shared" si="108"/>
        <v/>
      </c>
      <c r="L230" t="str">
        <f t="shared" si="109"/>
        <v/>
      </c>
      <c r="M230" s="117" t="str">
        <f t="shared" si="110"/>
        <v/>
      </c>
      <c r="N230" s="112" t="str">
        <f t="shared" si="111"/>
        <v/>
      </c>
      <c r="O230" s="96" t="str">
        <f t="shared" si="112"/>
        <v/>
      </c>
      <c r="P230" s="96" t="str">
        <f t="shared" si="113"/>
        <v/>
      </c>
      <c r="Q230" s="96" t="str">
        <f t="shared" si="114"/>
        <v/>
      </c>
      <c r="R230" s="92" t="str">
        <f t="shared" si="115"/>
        <v/>
      </c>
      <c r="S230" s="42" t="str">
        <f t="shared" si="116"/>
        <v/>
      </c>
      <c r="T230" s="167" t="str">
        <f>IF(L230="","",VLOOKUP(L230,classifications!C:K,9,FALSE))</f>
        <v/>
      </c>
      <c r="U230" s="168" t="str">
        <f t="shared" si="117"/>
        <v/>
      </c>
      <c r="V230" s="174" t="str">
        <f>IF(U230="","",IF($I$8="A",(RANK(U230,U$11:U$343)+COUNTIF(U$11:U230,U230)-1),(RANK(U230,U$11:U$343,1)+COUNTIF(U$11:U230,U230)-1)))</f>
        <v/>
      </c>
      <c r="W230" s="175"/>
      <c r="X230" s="5" t="str">
        <f>IF(L230="","",VLOOKUP($L230,classifications!$C:$J,6,FALSE))</f>
        <v/>
      </c>
      <c r="Y230" t="str">
        <f t="shared" si="118"/>
        <v/>
      </c>
      <c r="Z230" s="40" t="str">
        <f>IF(Y230="","",IF(I$8="A",(RANK(Y230,Y$11:Y$343,1)+COUNTIF(Y$11:Y230,Y230)-1),(RANK(Y230,Y$11:Y$343)+COUNTIF(Y$11:Y230,Y230)-1)))</f>
        <v/>
      </c>
      <c r="AA230" s="180" t="str">
        <f>IF(L230="","",VLOOKUP($L230,classifications!C:I,7,FALSE))</f>
        <v/>
      </c>
      <c r="AB230" s="174" t="str">
        <f t="shared" si="119"/>
        <v/>
      </c>
      <c r="AC230" s="174" t="str">
        <f>IF(AB230="","",IF($I$8="A",(RANK(AB230,AB$11:AB$343)+COUNTIF(AB$11:AB230,AB230)-1),(RANK(AB230,AB$11:AB$343,1)+COUNTIF(AB$11:AB230,AB230)-1)))</f>
        <v/>
      </c>
      <c r="AD230" s="174"/>
      <c r="AE230" s="36" t="str">
        <f t="shared" si="120"/>
        <v/>
      </c>
      <c r="AG230" s="15"/>
      <c r="AH230" s="3"/>
      <c r="AI230" s="5" t="str">
        <f>IF(L230="","",VLOOKUP($L230,classifications!$C:$J,8,FALSE))</f>
        <v/>
      </c>
      <c r="AJ230" s="43" t="str">
        <f t="shared" si="121"/>
        <v/>
      </c>
      <c r="AK230" s="40" t="str">
        <f>IF(AJ230="","",IF(I$8="A",(RANK(AJ230,AJ$11:AJ$343,1)+COUNTIF(AJ$11:AJ230,AJ230)-1),(RANK(AJ230,AJ$11:AJ$343)+COUNTIF(AJ$11:AJ230,AJ230)-1)))</f>
        <v/>
      </c>
      <c r="AL230" s="3" t="str">
        <f t="shared" si="122"/>
        <v/>
      </c>
      <c r="AM230" t="str">
        <f t="shared" si="123"/>
        <v/>
      </c>
      <c r="AN230" t="str">
        <f t="shared" si="124"/>
        <v/>
      </c>
      <c r="AP230" s="5" t="str">
        <f>IF(L230="","",VLOOKUP($L230,classifications!$C:$E,3,FALSE))</f>
        <v/>
      </c>
      <c r="AQ230" s="43" t="str">
        <f t="shared" si="125"/>
        <v/>
      </c>
      <c r="AR230" s="40" t="str">
        <f>IF(AQ230="","",IF(I$8="A",(RANK(AQ230,AQ$11:AQ$343,1)+COUNTIF(AQ$11:AQ230,AQ230)-1),(RANK(AQ230,AQ$11:AQ$343)+COUNTIF(AQ$11:AQ230,AQ230)-1)))</f>
        <v/>
      </c>
      <c r="AS230" s="3" t="str">
        <f t="shared" si="126"/>
        <v/>
      </c>
      <c r="AT230" s="40" t="str">
        <f t="shared" si="127"/>
        <v/>
      </c>
      <c r="AU230" s="43" t="str">
        <f t="shared" si="128"/>
        <v/>
      </c>
      <c r="AX230">
        <f>HLOOKUP($AX$9&amp;$AX$10,Data!$A$1:$ZZ$1980,(MATCH($C230,Data!$A$1:$A$1980,0)),FALSE)</f>
        <v>356.5</v>
      </c>
    </row>
    <row r="231" spans="1:50">
      <c r="A231" s="59" t="str">
        <f>$D$1&amp;221</f>
        <v>UA221</v>
      </c>
      <c r="B231" s="60">
        <f>IF(ISERROR(VLOOKUP(A236,classifications!A:C,3,FALSE)),0,VLOOKUP(A236,classifications!A:C,3,FALSE))</f>
        <v>0</v>
      </c>
      <c r="C231" t="s">
        <v>241</v>
      </c>
      <c r="D231" t="str">
        <f>VLOOKUP($C231,classifications!$C:$J,4,FALSE)</f>
        <v>MD</v>
      </c>
      <c r="E231">
        <f>VLOOKUP(C231,classifications!C:K,9,FALSE)</f>
        <v>0</v>
      </c>
      <c r="F231">
        <f t="shared" si="106"/>
        <v>309.7</v>
      </c>
      <c r="G231" s="15"/>
      <c r="H231" s="42" t="str">
        <f t="shared" si="107"/>
        <v/>
      </c>
      <c r="I231" s="79" t="str">
        <f>IF(H231="","",IF($I$8="A",(RANK(H231,H$11:H$343,1)+COUNTIF(H$11:H231,H231)-1),(RANK(H231,H$11:H$343)+COUNTIF(H$11:H231,H231)-1)))</f>
        <v/>
      </c>
      <c r="J231" s="41"/>
      <c r="K231" s="36" t="str">
        <f t="shared" si="108"/>
        <v/>
      </c>
      <c r="L231" t="str">
        <f t="shared" si="109"/>
        <v/>
      </c>
      <c r="M231" s="117" t="str">
        <f t="shared" si="110"/>
        <v/>
      </c>
      <c r="N231" s="112" t="str">
        <f t="shared" si="111"/>
        <v/>
      </c>
      <c r="O231" s="96" t="str">
        <f t="shared" si="112"/>
        <v/>
      </c>
      <c r="P231" s="96" t="str">
        <f t="shared" si="113"/>
        <v/>
      </c>
      <c r="Q231" s="96" t="str">
        <f t="shared" si="114"/>
        <v/>
      </c>
      <c r="R231" s="92" t="str">
        <f t="shared" si="115"/>
        <v/>
      </c>
      <c r="S231" s="42" t="str">
        <f t="shared" si="116"/>
        <v/>
      </c>
      <c r="T231" s="167" t="str">
        <f>IF(L231="","",VLOOKUP(L231,classifications!C:K,9,FALSE))</f>
        <v/>
      </c>
      <c r="U231" s="168" t="str">
        <f t="shared" si="117"/>
        <v/>
      </c>
      <c r="V231" s="174" t="str">
        <f>IF(U231="","",IF($I$8="A",(RANK(U231,U$11:U$343)+COUNTIF(U$11:U231,U231)-1),(RANK(U231,U$11:U$343,1)+COUNTIF(U$11:U231,U231)-1)))</f>
        <v/>
      </c>
      <c r="W231" s="175"/>
      <c r="X231" s="5" t="str">
        <f>IF(L231="","",VLOOKUP($L231,classifications!$C:$J,6,FALSE))</f>
        <v/>
      </c>
      <c r="Y231" t="str">
        <f t="shared" si="118"/>
        <v/>
      </c>
      <c r="Z231" s="40" t="str">
        <f>IF(Y231="","",IF(I$8="A",(RANK(Y231,Y$11:Y$343,1)+COUNTIF(Y$11:Y231,Y231)-1),(RANK(Y231,Y$11:Y$343)+COUNTIF(Y$11:Y231,Y231)-1)))</f>
        <v/>
      </c>
      <c r="AA231" s="180" t="str">
        <f>IF(L231="","",VLOOKUP($L231,classifications!C:I,7,FALSE))</f>
        <v/>
      </c>
      <c r="AB231" s="174" t="str">
        <f t="shared" si="119"/>
        <v/>
      </c>
      <c r="AC231" s="174" t="str">
        <f>IF(AB231="","",IF($I$8="A",(RANK(AB231,AB$11:AB$343)+COUNTIF(AB$11:AB231,AB231)-1),(RANK(AB231,AB$11:AB$343,1)+COUNTIF(AB$11:AB231,AB231)-1)))</f>
        <v/>
      </c>
      <c r="AD231" s="174"/>
      <c r="AE231" s="36" t="str">
        <f t="shared" si="120"/>
        <v/>
      </c>
      <c r="AG231" s="15"/>
      <c r="AH231" s="3"/>
      <c r="AI231" s="5" t="str">
        <f>IF(L231="","",VLOOKUP($L231,classifications!$C:$J,8,FALSE))</f>
        <v/>
      </c>
      <c r="AJ231" s="43" t="str">
        <f t="shared" si="121"/>
        <v/>
      </c>
      <c r="AK231" s="40" t="str">
        <f>IF(AJ231="","",IF(I$8="A",(RANK(AJ231,AJ$11:AJ$343,1)+COUNTIF(AJ$11:AJ231,AJ231)-1),(RANK(AJ231,AJ$11:AJ$343)+COUNTIF(AJ$11:AJ231,AJ231)-1)))</f>
        <v/>
      </c>
      <c r="AL231" s="3" t="str">
        <f t="shared" si="122"/>
        <v/>
      </c>
      <c r="AM231" t="str">
        <f t="shared" si="123"/>
        <v/>
      </c>
      <c r="AN231" t="str">
        <f t="shared" si="124"/>
        <v/>
      </c>
      <c r="AP231" s="5" t="str">
        <f>IF(L231="","",VLOOKUP($L231,classifications!$C:$E,3,FALSE))</f>
        <v/>
      </c>
      <c r="AQ231" s="43" t="str">
        <f t="shared" si="125"/>
        <v/>
      </c>
      <c r="AR231" s="40" t="str">
        <f>IF(AQ231="","",IF(I$8="A",(RANK(AQ231,AQ$11:AQ$343,1)+COUNTIF(AQ$11:AQ231,AQ231)-1),(RANK(AQ231,AQ$11:AQ$343)+COUNTIF(AQ$11:AQ231,AQ231)-1)))</f>
        <v/>
      </c>
      <c r="AS231" s="3" t="str">
        <f t="shared" si="126"/>
        <v/>
      </c>
      <c r="AT231" s="40" t="str">
        <f t="shared" si="127"/>
        <v/>
      </c>
      <c r="AU231" s="43" t="str">
        <f t="shared" si="128"/>
        <v/>
      </c>
      <c r="AX231">
        <f>HLOOKUP($AX$9&amp;$AX$10,Data!$A$1:$ZZ$1980,(MATCH($C231,Data!$A$1:$A$1980,0)),FALSE)</f>
        <v>309.7</v>
      </c>
    </row>
    <row r="232" spans="1:50">
      <c r="A232" s="59" t="str">
        <f>$D$1&amp;222</f>
        <v>UA222</v>
      </c>
      <c r="B232" s="60">
        <f>IF(ISERROR(VLOOKUP(A237,classifications!A:C,3,FALSE)),0,VLOOKUP(A237,classifications!A:C,3,FALSE))</f>
        <v>0</v>
      </c>
      <c r="C232" t="s">
        <v>125</v>
      </c>
      <c r="D232" t="str">
        <f>VLOOKUP($C232,classifications!$C:$J,4,FALSE)</f>
        <v>SD</v>
      </c>
      <c r="E232">
        <f>VLOOKUP(C232,classifications!C:K,9,FALSE)</f>
        <v>0</v>
      </c>
      <c r="F232">
        <f t="shared" si="106"/>
        <v>382.8</v>
      </c>
      <c r="G232" s="15"/>
      <c r="H232" s="42" t="str">
        <f t="shared" si="107"/>
        <v/>
      </c>
      <c r="I232" s="79" t="str">
        <f>IF(H232="","",IF($I$8="A",(RANK(H232,H$11:H$343,1)+COUNTIF(H$11:H232,H232)-1),(RANK(H232,H$11:H$343)+COUNTIF(H$11:H232,H232)-1)))</f>
        <v/>
      </c>
      <c r="J232" s="41"/>
      <c r="K232" s="36" t="str">
        <f t="shared" si="108"/>
        <v/>
      </c>
      <c r="L232" t="str">
        <f t="shared" si="109"/>
        <v/>
      </c>
      <c r="M232" s="117" t="str">
        <f t="shared" si="110"/>
        <v/>
      </c>
      <c r="N232" s="112" t="str">
        <f t="shared" si="111"/>
        <v/>
      </c>
      <c r="O232" s="96" t="str">
        <f t="shared" si="112"/>
        <v/>
      </c>
      <c r="P232" s="96" t="str">
        <f t="shared" si="113"/>
        <v/>
      </c>
      <c r="Q232" s="96" t="str">
        <f t="shared" si="114"/>
        <v/>
      </c>
      <c r="R232" s="92" t="str">
        <f t="shared" si="115"/>
        <v/>
      </c>
      <c r="S232" s="42" t="str">
        <f t="shared" si="116"/>
        <v/>
      </c>
      <c r="T232" s="167" t="str">
        <f>IF(L232="","",VLOOKUP(L232,classifications!C:K,9,FALSE))</f>
        <v/>
      </c>
      <c r="U232" s="168" t="str">
        <f t="shared" si="117"/>
        <v/>
      </c>
      <c r="V232" s="174" t="str">
        <f>IF(U232="","",IF($I$8="A",(RANK(U232,U$11:U$343)+COUNTIF(U$11:U232,U232)-1),(RANK(U232,U$11:U$343,1)+COUNTIF(U$11:U232,U232)-1)))</f>
        <v/>
      </c>
      <c r="W232" s="175"/>
      <c r="X232" s="5" t="str">
        <f>IF(L232="","",VLOOKUP($L232,classifications!$C:$J,6,FALSE))</f>
        <v/>
      </c>
      <c r="Y232" t="str">
        <f t="shared" si="118"/>
        <v/>
      </c>
      <c r="Z232" s="40" t="str">
        <f>IF(Y232="","",IF(I$8="A",(RANK(Y232,Y$11:Y$343,1)+COUNTIF(Y$11:Y232,Y232)-1),(RANK(Y232,Y$11:Y$343)+COUNTIF(Y$11:Y232,Y232)-1)))</f>
        <v/>
      </c>
      <c r="AA232" s="180" t="str">
        <f>IF(L232="","",VLOOKUP($L232,classifications!C:I,7,FALSE))</f>
        <v/>
      </c>
      <c r="AB232" s="174" t="str">
        <f t="shared" si="119"/>
        <v/>
      </c>
      <c r="AC232" s="174" t="str">
        <f>IF(AB232="","",IF($I$8="A",(RANK(AB232,AB$11:AB$343)+COUNTIF(AB$11:AB232,AB232)-1),(RANK(AB232,AB$11:AB$343,1)+COUNTIF(AB$11:AB232,AB232)-1)))</f>
        <v/>
      </c>
      <c r="AD232" s="174"/>
      <c r="AE232" s="36" t="str">
        <f t="shared" si="120"/>
        <v/>
      </c>
      <c r="AG232" s="15"/>
      <c r="AH232" s="3"/>
      <c r="AI232" s="5" t="str">
        <f>IF(L232="","",VLOOKUP($L232,classifications!$C:$J,8,FALSE))</f>
        <v/>
      </c>
      <c r="AJ232" s="43" t="str">
        <f t="shared" si="121"/>
        <v/>
      </c>
      <c r="AK232" s="40" t="str">
        <f>IF(AJ232="","",IF(I$8="A",(RANK(AJ232,AJ$11:AJ$343,1)+COUNTIF(AJ$11:AJ232,AJ232)-1),(RANK(AJ232,AJ$11:AJ$343)+COUNTIF(AJ$11:AJ232,AJ232)-1)))</f>
        <v/>
      </c>
      <c r="AL232" s="3" t="str">
        <f t="shared" si="122"/>
        <v/>
      </c>
      <c r="AM232" t="str">
        <f t="shared" si="123"/>
        <v/>
      </c>
      <c r="AN232" t="str">
        <f t="shared" si="124"/>
        <v/>
      </c>
      <c r="AP232" s="5" t="str">
        <f>IF(L232="","",VLOOKUP($L232,classifications!$C:$E,3,FALSE))</f>
        <v/>
      </c>
      <c r="AQ232" s="43" t="str">
        <f t="shared" si="125"/>
        <v/>
      </c>
      <c r="AR232" s="40" t="str">
        <f>IF(AQ232="","",IF(I$8="A",(RANK(AQ232,AQ$11:AQ$343,1)+COUNTIF(AQ$11:AQ232,AQ232)-1),(RANK(AQ232,AQ$11:AQ$343)+COUNTIF(AQ$11:AQ232,AQ232)-1)))</f>
        <v/>
      </c>
      <c r="AS232" s="3" t="str">
        <f t="shared" si="126"/>
        <v/>
      </c>
      <c r="AT232" s="40" t="str">
        <f t="shared" si="127"/>
        <v/>
      </c>
      <c r="AU232" s="43" t="str">
        <f t="shared" si="128"/>
        <v/>
      </c>
      <c r="AX232">
        <f>HLOOKUP($AX$9&amp;$AX$10,Data!$A$1:$ZZ$1980,(MATCH($C232,Data!$A$1:$A$1980,0)),FALSE)</f>
        <v>382.8</v>
      </c>
    </row>
    <row r="233" spans="1:50">
      <c r="A233" s="59" t="str">
        <f>$D$1&amp;223</f>
        <v>UA223</v>
      </c>
      <c r="B233" s="60">
        <f>IF(ISERROR(VLOOKUP(A238,classifications!A:C,3,FALSE)),0,VLOOKUP(A238,classifications!A:C,3,FALSE))</f>
        <v>0</v>
      </c>
      <c r="C233" t="s">
        <v>126</v>
      </c>
      <c r="D233" t="str">
        <f>VLOOKUP($C233,classifications!$C:$J,4,FALSE)</f>
        <v>SD</v>
      </c>
      <c r="E233">
        <f>VLOOKUP(C233,classifications!C:K,9,FALSE)</f>
        <v>0</v>
      </c>
      <c r="F233">
        <f t="shared" si="106"/>
        <v>339.5</v>
      </c>
      <c r="G233" s="15"/>
      <c r="H233" s="42" t="str">
        <f t="shared" si="107"/>
        <v/>
      </c>
      <c r="I233" s="79" t="str">
        <f>IF(H233="","",IF($I$8="A",(RANK(H233,H$11:H$343,1)+COUNTIF(H$11:H233,H233)-1),(RANK(H233,H$11:H$343)+COUNTIF(H$11:H233,H233)-1)))</f>
        <v/>
      </c>
      <c r="J233" s="41"/>
      <c r="K233" s="36" t="str">
        <f t="shared" si="108"/>
        <v/>
      </c>
      <c r="L233" t="str">
        <f t="shared" si="109"/>
        <v/>
      </c>
      <c r="M233" s="117" t="str">
        <f t="shared" si="110"/>
        <v/>
      </c>
      <c r="N233" s="112" t="str">
        <f t="shared" si="111"/>
        <v/>
      </c>
      <c r="O233" s="96" t="str">
        <f t="shared" si="112"/>
        <v/>
      </c>
      <c r="P233" s="96" t="str">
        <f t="shared" si="113"/>
        <v/>
      </c>
      <c r="Q233" s="96" t="str">
        <f t="shared" si="114"/>
        <v/>
      </c>
      <c r="R233" s="92" t="str">
        <f t="shared" si="115"/>
        <v/>
      </c>
      <c r="S233" s="42" t="str">
        <f t="shared" si="116"/>
        <v/>
      </c>
      <c r="T233" s="167" t="str">
        <f>IF(L233="","",VLOOKUP(L233,classifications!C:K,9,FALSE))</f>
        <v/>
      </c>
      <c r="U233" s="168" t="str">
        <f t="shared" si="117"/>
        <v/>
      </c>
      <c r="V233" s="174" t="str">
        <f>IF(U233="","",IF($I$8="A",(RANK(U233,U$11:U$343)+COUNTIF(U$11:U233,U233)-1),(RANK(U233,U$11:U$343,1)+COUNTIF(U$11:U233,U233)-1)))</f>
        <v/>
      </c>
      <c r="W233" s="175"/>
      <c r="X233" s="5" t="str">
        <f>IF(L233="","",VLOOKUP($L233,classifications!$C:$J,6,FALSE))</f>
        <v/>
      </c>
      <c r="Y233" t="str">
        <f t="shared" si="118"/>
        <v/>
      </c>
      <c r="Z233" s="40" t="str">
        <f>IF(Y233="","",IF(I$8="A",(RANK(Y233,Y$11:Y$343,1)+COUNTIF(Y$11:Y233,Y233)-1),(RANK(Y233,Y$11:Y$343)+COUNTIF(Y$11:Y233,Y233)-1)))</f>
        <v/>
      </c>
      <c r="AA233" s="180" t="str">
        <f>IF(L233="","",VLOOKUP($L233,classifications!C:I,7,FALSE))</f>
        <v/>
      </c>
      <c r="AB233" s="174" t="str">
        <f t="shared" si="119"/>
        <v/>
      </c>
      <c r="AC233" s="174" t="str">
        <f>IF(AB233="","",IF($I$8="A",(RANK(AB233,AB$11:AB$343)+COUNTIF(AB$11:AB233,AB233)-1),(RANK(AB233,AB$11:AB$343,1)+COUNTIF(AB$11:AB233,AB233)-1)))</f>
        <v/>
      </c>
      <c r="AD233" s="174"/>
      <c r="AE233" s="36" t="str">
        <f t="shared" si="120"/>
        <v/>
      </c>
      <c r="AG233" s="15"/>
      <c r="AH233" s="3"/>
      <c r="AI233" s="5" t="str">
        <f>IF(L233="","",VLOOKUP($L233,classifications!$C:$J,8,FALSE))</f>
        <v/>
      </c>
      <c r="AJ233" s="43" t="str">
        <f t="shared" si="121"/>
        <v/>
      </c>
      <c r="AK233" s="40" t="str">
        <f>IF(AJ233="","",IF(I$8="A",(RANK(AJ233,AJ$11:AJ$343,1)+COUNTIF(AJ$11:AJ233,AJ233)-1),(RANK(AJ233,AJ$11:AJ$343)+COUNTIF(AJ$11:AJ233,AJ233)-1)))</f>
        <v/>
      </c>
      <c r="AL233" s="3" t="str">
        <f t="shared" si="122"/>
        <v/>
      </c>
      <c r="AM233" t="str">
        <f t="shared" si="123"/>
        <v/>
      </c>
      <c r="AN233" t="str">
        <f t="shared" si="124"/>
        <v/>
      </c>
      <c r="AP233" s="5" t="str">
        <f>IF(L233="","",VLOOKUP($L233,classifications!$C:$E,3,FALSE))</f>
        <v/>
      </c>
      <c r="AQ233" s="43" t="str">
        <f t="shared" si="125"/>
        <v/>
      </c>
      <c r="AR233" s="40" t="str">
        <f>IF(AQ233="","",IF(I$8="A",(RANK(AQ233,AQ$11:AQ$343,1)+COUNTIF(AQ$11:AQ233,AQ233)-1),(RANK(AQ233,AQ$11:AQ$343)+COUNTIF(AQ$11:AQ233,AQ233)-1)))</f>
        <v/>
      </c>
      <c r="AS233" s="3" t="str">
        <f t="shared" si="126"/>
        <v/>
      </c>
      <c r="AT233" s="40" t="str">
        <f t="shared" si="127"/>
        <v/>
      </c>
      <c r="AU233" s="43" t="str">
        <f t="shared" si="128"/>
        <v/>
      </c>
      <c r="AX233">
        <f>HLOOKUP($AX$9&amp;$AX$10,Data!$A$1:$ZZ$1980,(MATCH($C233,Data!$A$1:$A$1980,0)),FALSE)</f>
        <v>339.5</v>
      </c>
    </row>
    <row r="234" spans="1:50">
      <c r="A234" s="59" t="str">
        <f>$D$1&amp;224</f>
        <v>UA224</v>
      </c>
      <c r="B234" s="60">
        <f>IF(ISERROR(VLOOKUP(A239,classifications!A:C,3,FALSE)),0,VLOOKUP(A239,classifications!A:C,3,FALSE))</f>
        <v>0</v>
      </c>
      <c r="C234" t="s">
        <v>127</v>
      </c>
      <c r="D234" t="str">
        <f>VLOOKUP($C234,classifications!$C:$J,4,FALSE)</f>
        <v>SD</v>
      </c>
      <c r="E234" t="str">
        <f>VLOOKUP(C234,classifications!C:K,9,FALSE)</f>
        <v>Sparse</v>
      </c>
      <c r="F234">
        <f t="shared" si="106"/>
        <v>391.9</v>
      </c>
      <c r="G234" s="15"/>
      <c r="H234" s="42" t="str">
        <f t="shared" si="107"/>
        <v/>
      </c>
      <c r="I234" s="79" t="str">
        <f>IF(H234="","",IF($I$8="A",(RANK(H234,H$11:H$343,1)+COUNTIF(H$11:H234,H234)-1),(RANK(H234,H$11:H$343)+COUNTIF(H$11:H234,H234)-1)))</f>
        <v/>
      </c>
      <c r="J234" s="41"/>
      <c r="K234" s="36" t="str">
        <f t="shared" si="108"/>
        <v/>
      </c>
      <c r="L234" t="str">
        <f t="shared" si="109"/>
        <v/>
      </c>
      <c r="M234" s="117" t="str">
        <f t="shared" si="110"/>
        <v/>
      </c>
      <c r="N234" s="112" t="str">
        <f t="shared" si="111"/>
        <v/>
      </c>
      <c r="O234" s="96" t="str">
        <f t="shared" si="112"/>
        <v/>
      </c>
      <c r="P234" s="96" t="str">
        <f t="shared" si="113"/>
        <v/>
      </c>
      <c r="Q234" s="96" t="str">
        <f t="shared" si="114"/>
        <v/>
      </c>
      <c r="R234" s="92" t="str">
        <f t="shared" si="115"/>
        <v/>
      </c>
      <c r="S234" s="42" t="str">
        <f t="shared" si="116"/>
        <v/>
      </c>
      <c r="T234" s="167" t="str">
        <f>IF(L234="","",VLOOKUP(L234,classifications!C:K,9,FALSE))</f>
        <v/>
      </c>
      <c r="U234" s="168" t="str">
        <f t="shared" si="117"/>
        <v/>
      </c>
      <c r="V234" s="174" t="str">
        <f>IF(U234="","",IF($I$8="A",(RANK(U234,U$11:U$343)+COUNTIF(U$11:U234,U234)-1),(RANK(U234,U$11:U$343,1)+COUNTIF(U$11:U234,U234)-1)))</f>
        <v/>
      </c>
      <c r="W234" s="175"/>
      <c r="X234" s="5" t="str">
        <f>IF(L234="","",VLOOKUP($L234,classifications!$C:$J,6,FALSE))</f>
        <v/>
      </c>
      <c r="Y234" t="str">
        <f t="shared" si="118"/>
        <v/>
      </c>
      <c r="Z234" s="40" t="str">
        <f>IF(Y234="","",IF(I$8="A",(RANK(Y234,Y$11:Y$343,1)+COUNTIF(Y$11:Y234,Y234)-1),(RANK(Y234,Y$11:Y$343)+COUNTIF(Y$11:Y234,Y234)-1)))</f>
        <v/>
      </c>
      <c r="AA234" s="180" t="str">
        <f>IF(L234="","",VLOOKUP($L234,classifications!C:I,7,FALSE))</f>
        <v/>
      </c>
      <c r="AB234" s="174" t="str">
        <f t="shared" si="119"/>
        <v/>
      </c>
      <c r="AC234" s="174" t="str">
        <f>IF(AB234="","",IF($I$8="A",(RANK(AB234,AB$11:AB$343)+COUNTIF(AB$11:AB234,AB234)-1),(RANK(AB234,AB$11:AB$343,1)+COUNTIF(AB$11:AB234,AB234)-1)))</f>
        <v/>
      </c>
      <c r="AD234" s="174"/>
      <c r="AE234" s="36" t="str">
        <f t="shared" si="120"/>
        <v/>
      </c>
      <c r="AG234" s="15"/>
      <c r="AH234" s="3"/>
      <c r="AI234" s="5" t="str">
        <f>IF(L234="","",VLOOKUP($L234,classifications!$C:$J,8,FALSE))</f>
        <v/>
      </c>
      <c r="AJ234" s="43" t="str">
        <f t="shared" si="121"/>
        <v/>
      </c>
      <c r="AK234" s="40" t="str">
        <f>IF(AJ234="","",IF(I$8="A",(RANK(AJ234,AJ$11:AJ$343,1)+COUNTIF(AJ$11:AJ234,AJ234)-1),(RANK(AJ234,AJ$11:AJ$343)+COUNTIF(AJ$11:AJ234,AJ234)-1)))</f>
        <v/>
      </c>
      <c r="AL234" s="3" t="str">
        <f t="shared" si="122"/>
        <v/>
      </c>
      <c r="AM234" t="str">
        <f t="shared" si="123"/>
        <v/>
      </c>
      <c r="AN234" t="str">
        <f t="shared" si="124"/>
        <v/>
      </c>
      <c r="AP234" s="5" t="str">
        <f>IF(L234="","",VLOOKUP($L234,classifications!$C:$E,3,FALSE))</f>
        <v/>
      </c>
      <c r="AQ234" s="43" t="str">
        <f t="shared" si="125"/>
        <v/>
      </c>
      <c r="AR234" s="40" t="str">
        <f>IF(AQ234="","",IF(I$8="A",(RANK(AQ234,AQ$11:AQ$343,1)+COUNTIF(AQ$11:AQ234,AQ234)-1),(RANK(AQ234,AQ$11:AQ$343)+COUNTIF(AQ$11:AQ234,AQ234)-1)))</f>
        <v/>
      </c>
      <c r="AS234" s="3" t="str">
        <f t="shared" si="126"/>
        <v/>
      </c>
      <c r="AT234" s="40" t="str">
        <f t="shared" si="127"/>
        <v/>
      </c>
      <c r="AU234" s="43" t="str">
        <f t="shared" si="128"/>
        <v/>
      </c>
      <c r="AX234">
        <f>HLOOKUP($AX$9&amp;$AX$10,Data!$A$1:$ZZ$1980,(MATCH($C234,Data!$A$1:$A$1980,0)),FALSE)</f>
        <v>391.9</v>
      </c>
    </row>
    <row r="235" spans="1:50">
      <c r="A235" s="59" t="str">
        <f>$D$1&amp;225</f>
        <v>UA225</v>
      </c>
      <c r="B235" s="60">
        <f>IF(ISERROR(VLOOKUP(A240,classifications!A:C,3,FALSE)),0,VLOOKUP(A240,classifications!A:C,3,FALSE))</f>
        <v>0</v>
      </c>
      <c r="C235" t="s">
        <v>242</v>
      </c>
      <c r="D235" t="str">
        <f>VLOOKUP($C235,classifications!$C:$J,4,FALSE)</f>
        <v>MD</v>
      </c>
      <c r="E235">
        <f>VLOOKUP(C235,classifications!C:K,9,FALSE)</f>
        <v>0</v>
      </c>
      <c r="F235">
        <f t="shared" si="106"/>
        <v>382.8</v>
      </c>
      <c r="G235" s="15"/>
      <c r="H235" s="42" t="str">
        <f t="shared" si="107"/>
        <v/>
      </c>
      <c r="I235" s="79" t="str">
        <f>IF(H235="","",IF($I$8="A",(RANK(H235,H$11:H$343,1)+COUNTIF(H$11:H235,H235)-1),(RANK(H235,H$11:H$343)+COUNTIF(H$11:H235,H235)-1)))</f>
        <v/>
      </c>
      <c r="J235" s="41"/>
      <c r="K235" s="36" t="str">
        <f t="shared" si="108"/>
        <v/>
      </c>
      <c r="L235" t="str">
        <f t="shared" si="109"/>
        <v/>
      </c>
      <c r="M235" s="117" t="str">
        <f t="shared" si="110"/>
        <v/>
      </c>
      <c r="N235" s="112" t="str">
        <f t="shared" si="111"/>
        <v/>
      </c>
      <c r="O235" s="96" t="str">
        <f t="shared" si="112"/>
        <v/>
      </c>
      <c r="P235" s="96" t="str">
        <f t="shared" si="113"/>
        <v/>
      </c>
      <c r="Q235" s="96" t="str">
        <f t="shared" si="114"/>
        <v/>
      </c>
      <c r="R235" s="92" t="str">
        <f t="shared" si="115"/>
        <v/>
      </c>
      <c r="S235" s="42" t="str">
        <f t="shared" si="116"/>
        <v/>
      </c>
      <c r="T235" s="167" t="str">
        <f>IF(L235="","",VLOOKUP(L235,classifications!C:K,9,FALSE))</f>
        <v/>
      </c>
      <c r="U235" s="168" t="str">
        <f t="shared" si="117"/>
        <v/>
      </c>
      <c r="V235" s="174" t="str">
        <f>IF(U235="","",IF($I$8="A",(RANK(U235,U$11:U$343)+COUNTIF(U$11:U235,U235)-1),(RANK(U235,U$11:U$343,1)+COUNTIF(U$11:U235,U235)-1)))</f>
        <v/>
      </c>
      <c r="W235" s="175"/>
      <c r="X235" s="5" t="str">
        <f>IF(L235="","",VLOOKUP($L235,classifications!$C:$J,6,FALSE))</f>
        <v/>
      </c>
      <c r="Y235" t="str">
        <f t="shared" si="118"/>
        <v/>
      </c>
      <c r="Z235" s="40" t="str">
        <f>IF(Y235="","",IF(I$8="A",(RANK(Y235,Y$11:Y$343,1)+COUNTIF(Y$11:Y235,Y235)-1),(RANK(Y235,Y$11:Y$343)+COUNTIF(Y$11:Y235,Y235)-1)))</f>
        <v/>
      </c>
      <c r="AA235" s="180" t="str">
        <f>IF(L235="","",VLOOKUP($L235,classifications!C:I,7,FALSE))</f>
        <v/>
      </c>
      <c r="AB235" s="174" t="str">
        <f t="shared" si="119"/>
        <v/>
      </c>
      <c r="AC235" s="174" t="str">
        <f>IF(AB235="","",IF($I$8="A",(RANK(AB235,AB$11:AB$343)+COUNTIF(AB$11:AB235,AB235)-1),(RANK(AB235,AB$11:AB$343,1)+COUNTIF(AB$11:AB235,AB235)-1)))</f>
        <v/>
      </c>
      <c r="AD235" s="174"/>
      <c r="AE235" s="36" t="str">
        <f t="shared" si="120"/>
        <v/>
      </c>
      <c r="AG235" s="15"/>
      <c r="AH235" s="3"/>
      <c r="AI235" s="5" t="str">
        <f>IF(L235="","",VLOOKUP($L235,classifications!$C:$J,8,FALSE))</f>
        <v/>
      </c>
      <c r="AJ235" s="43" t="str">
        <f t="shared" si="121"/>
        <v/>
      </c>
      <c r="AK235" s="40" t="str">
        <f>IF(AJ235="","",IF(I$8="A",(RANK(AJ235,AJ$11:AJ$343,1)+COUNTIF(AJ$11:AJ235,AJ235)-1),(RANK(AJ235,AJ$11:AJ$343)+COUNTIF(AJ$11:AJ235,AJ235)-1)))</f>
        <v/>
      </c>
      <c r="AL235" s="3" t="str">
        <f t="shared" si="122"/>
        <v/>
      </c>
      <c r="AM235" t="str">
        <f t="shared" si="123"/>
        <v/>
      </c>
      <c r="AN235" t="str">
        <f t="shared" si="124"/>
        <v/>
      </c>
      <c r="AP235" s="5" t="str">
        <f>IF(L235="","",VLOOKUP($L235,classifications!$C:$E,3,FALSE))</f>
        <v/>
      </c>
      <c r="AQ235" s="43" t="str">
        <f t="shared" si="125"/>
        <v/>
      </c>
      <c r="AR235" s="40" t="str">
        <f>IF(AQ235="","",IF(I$8="A",(RANK(AQ235,AQ$11:AQ$343,1)+COUNTIF(AQ$11:AQ235,AQ235)-1),(RANK(AQ235,AQ$11:AQ$343)+COUNTIF(AQ$11:AQ235,AQ235)-1)))</f>
        <v/>
      </c>
      <c r="AS235" s="3" t="str">
        <f t="shared" si="126"/>
        <v/>
      </c>
      <c r="AT235" s="40" t="str">
        <f t="shared" si="127"/>
        <v/>
      </c>
      <c r="AU235" s="43" t="str">
        <f t="shared" si="128"/>
        <v/>
      </c>
      <c r="AX235">
        <f>HLOOKUP($AX$9&amp;$AX$10,Data!$A$1:$ZZ$1980,(MATCH($C235,Data!$A$1:$A$1980,0)),FALSE)</f>
        <v>382.8</v>
      </c>
    </row>
    <row r="236" spans="1:50">
      <c r="A236" s="59" t="str">
        <f>$D$1&amp;226</f>
        <v>UA226</v>
      </c>
      <c r="B236" s="60">
        <f>IF(ISERROR(VLOOKUP(A241,classifications!A:C,3,FALSE)),0,VLOOKUP(A241,classifications!A:C,3,FALSE))</f>
        <v>0</v>
      </c>
      <c r="C236" t="s">
        <v>128</v>
      </c>
      <c r="D236" t="str">
        <f>VLOOKUP($C236,classifications!$C:$J,4,FALSE)</f>
        <v>SD</v>
      </c>
      <c r="E236" t="str">
        <f>VLOOKUP(C236,classifications!C:K,9,FALSE)</f>
        <v>Sparse</v>
      </c>
      <c r="F236">
        <f t="shared" si="106"/>
        <v>326.39999999999998</v>
      </c>
      <c r="G236" s="15"/>
      <c r="H236" s="42" t="str">
        <f t="shared" si="107"/>
        <v/>
      </c>
      <c r="I236" s="79" t="str">
        <f>IF(H236="","",IF($I$8="A",(RANK(H236,H$11:H$343,1)+COUNTIF(H$11:H236,H236)-1),(RANK(H236,H$11:H$343)+COUNTIF(H$11:H236,H236)-1)))</f>
        <v/>
      </c>
      <c r="J236" s="41"/>
      <c r="K236" s="36" t="str">
        <f t="shared" si="108"/>
        <v/>
      </c>
      <c r="L236" t="str">
        <f t="shared" si="109"/>
        <v/>
      </c>
      <c r="M236" s="117" t="str">
        <f t="shared" si="110"/>
        <v/>
      </c>
      <c r="N236" s="112" t="str">
        <f t="shared" si="111"/>
        <v/>
      </c>
      <c r="O236" s="96" t="str">
        <f t="shared" si="112"/>
        <v/>
      </c>
      <c r="P236" s="96" t="str">
        <f t="shared" si="113"/>
        <v/>
      </c>
      <c r="Q236" s="96" t="str">
        <f t="shared" si="114"/>
        <v/>
      </c>
      <c r="R236" s="92" t="str">
        <f t="shared" si="115"/>
        <v/>
      </c>
      <c r="S236" s="42" t="str">
        <f t="shared" si="116"/>
        <v/>
      </c>
      <c r="T236" s="167" t="str">
        <f>IF(L236="","",VLOOKUP(L236,classifications!C:K,9,FALSE))</f>
        <v/>
      </c>
      <c r="U236" s="168" t="str">
        <f t="shared" si="117"/>
        <v/>
      </c>
      <c r="V236" s="174" t="str">
        <f>IF(U236="","",IF($I$8="A",(RANK(U236,U$11:U$343)+COUNTIF(U$11:U236,U236)-1),(RANK(U236,U$11:U$343,1)+COUNTIF(U$11:U236,U236)-1)))</f>
        <v/>
      </c>
      <c r="W236" s="175"/>
      <c r="X236" s="5" t="str">
        <f>IF(L236="","",VLOOKUP($L236,classifications!$C:$J,6,FALSE))</f>
        <v/>
      </c>
      <c r="Y236" t="str">
        <f t="shared" si="118"/>
        <v/>
      </c>
      <c r="Z236" s="40" t="str">
        <f>IF(Y236="","",IF(I$8="A",(RANK(Y236,Y$11:Y$343,1)+COUNTIF(Y$11:Y236,Y236)-1),(RANK(Y236,Y$11:Y$343)+COUNTIF(Y$11:Y236,Y236)-1)))</f>
        <v/>
      </c>
      <c r="AA236" s="180" t="str">
        <f>IF(L236="","",VLOOKUP($L236,classifications!C:I,7,FALSE))</f>
        <v/>
      </c>
      <c r="AB236" s="174" t="str">
        <f t="shared" si="119"/>
        <v/>
      </c>
      <c r="AC236" s="174" t="str">
        <f>IF(AB236="","",IF($I$8="A",(RANK(AB236,AB$11:AB$343)+COUNTIF(AB$11:AB236,AB236)-1),(RANK(AB236,AB$11:AB$343,1)+COUNTIF(AB$11:AB236,AB236)-1)))</f>
        <v/>
      </c>
      <c r="AD236" s="174"/>
      <c r="AE236" s="36" t="str">
        <f t="shared" si="120"/>
        <v/>
      </c>
      <c r="AG236" s="15"/>
      <c r="AH236" s="3"/>
      <c r="AI236" s="5" t="str">
        <f>IF(L236="","",VLOOKUP($L236,classifications!$C:$J,8,FALSE))</f>
        <v/>
      </c>
      <c r="AJ236" s="43" t="str">
        <f t="shared" si="121"/>
        <v/>
      </c>
      <c r="AK236" s="40" t="str">
        <f>IF(AJ236="","",IF(I$8="A",(RANK(AJ236,AJ$11:AJ$343,1)+COUNTIF(AJ$11:AJ236,AJ236)-1),(RANK(AJ236,AJ$11:AJ$343)+COUNTIF(AJ$11:AJ236,AJ236)-1)))</f>
        <v/>
      </c>
      <c r="AL236" s="3" t="str">
        <f t="shared" si="122"/>
        <v/>
      </c>
      <c r="AM236" t="str">
        <f t="shared" si="123"/>
        <v/>
      </c>
      <c r="AN236" t="str">
        <f t="shared" si="124"/>
        <v/>
      </c>
      <c r="AP236" s="5" t="str">
        <f>IF(L236="","",VLOOKUP($L236,classifications!$C:$E,3,FALSE))</f>
        <v/>
      </c>
      <c r="AQ236" s="43" t="str">
        <f t="shared" si="125"/>
        <v/>
      </c>
      <c r="AR236" s="40" t="str">
        <f>IF(AQ236="","",IF(I$8="A",(RANK(AQ236,AQ$11:AQ$343,1)+COUNTIF(AQ$11:AQ236,AQ236)-1),(RANK(AQ236,AQ$11:AQ$343)+COUNTIF(AQ$11:AQ236,AQ236)-1)))</f>
        <v/>
      </c>
      <c r="AS236" s="3" t="str">
        <f t="shared" si="126"/>
        <v/>
      </c>
      <c r="AT236" s="40" t="str">
        <f t="shared" si="127"/>
        <v/>
      </c>
      <c r="AU236" s="43" t="str">
        <f t="shared" si="128"/>
        <v/>
      </c>
      <c r="AX236">
        <f>HLOOKUP($AX$9&amp;$AX$10,Data!$A$1:$ZZ$1980,(MATCH($C236,Data!$A$1:$A$1980,0)),FALSE)</f>
        <v>326.39999999999998</v>
      </c>
    </row>
    <row r="237" spans="1:50">
      <c r="A237" s="59" t="str">
        <f>$D$1&amp;227</f>
        <v>UA227</v>
      </c>
      <c r="B237" s="60">
        <f>IF(ISERROR(VLOOKUP(A242,classifications!A:C,3,FALSE)),0,VLOOKUP(A242,classifications!A:C,3,FALSE))</f>
        <v>0</v>
      </c>
      <c r="C237" t="s">
        <v>129</v>
      </c>
      <c r="D237" t="str">
        <f>VLOOKUP($C237,classifications!$C:$J,4,FALSE)</f>
        <v>SD</v>
      </c>
      <c r="E237">
        <f>VLOOKUP(C237,classifications!C:K,9,FALSE)</f>
        <v>0</v>
      </c>
      <c r="F237">
        <f t="shared" si="106"/>
        <v>322.7</v>
      </c>
      <c r="G237" s="15"/>
      <c r="H237" s="42" t="str">
        <f t="shared" si="107"/>
        <v/>
      </c>
      <c r="I237" s="79" t="str">
        <f>IF(H237="","",IF($I$8="A",(RANK(H237,H$11:H$343,1)+COUNTIF(H$11:H237,H237)-1),(RANK(H237,H$11:H$343)+COUNTIF(H$11:H237,H237)-1)))</f>
        <v/>
      </c>
      <c r="J237" s="41"/>
      <c r="K237" s="36" t="str">
        <f t="shared" si="108"/>
        <v/>
      </c>
      <c r="L237" t="str">
        <f t="shared" si="109"/>
        <v/>
      </c>
      <c r="M237" s="117" t="str">
        <f t="shared" si="110"/>
        <v/>
      </c>
      <c r="N237" s="112" t="str">
        <f t="shared" si="111"/>
        <v/>
      </c>
      <c r="O237" s="96" t="str">
        <f t="shared" si="112"/>
        <v/>
      </c>
      <c r="P237" s="96" t="str">
        <f t="shared" si="113"/>
        <v/>
      </c>
      <c r="Q237" s="96" t="str">
        <f t="shared" si="114"/>
        <v/>
      </c>
      <c r="R237" s="92" t="str">
        <f t="shared" si="115"/>
        <v/>
      </c>
      <c r="S237" s="42" t="str">
        <f t="shared" si="116"/>
        <v/>
      </c>
      <c r="T237" s="167" t="str">
        <f>IF(L237="","",VLOOKUP(L237,classifications!C:K,9,FALSE))</f>
        <v/>
      </c>
      <c r="U237" s="168" t="str">
        <f t="shared" si="117"/>
        <v/>
      </c>
      <c r="V237" s="174" t="str">
        <f>IF(U237="","",IF($I$8="A",(RANK(U237,U$11:U$343)+COUNTIF(U$11:U237,U237)-1),(RANK(U237,U$11:U$343,1)+COUNTIF(U$11:U237,U237)-1)))</f>
        <v/>
      </c>
      <c r="W237" s="175"/>
      <c r="X237" s="5" t="str">
        <f>IF(L237="","",VLOOKUP($L237,classifications!$C:$J,6,FALSE))</f>
        <v/>
      </c>
      <c r="Y237" t="str">
        <f t="shared" si="118"/>
        <v/>
      </c>
      <c r="Z237" s="40" t="str">
        <f>IF(Y237="","",IF(I$8="A",(RANK(Y237,Y$11:Y$343,1)+COUNTIF(Y$11:Y237,Y237)-1),(RANK(Y237,Y$11:Y$343)+COUNTIF(Y$11:Y237,Y237)-1)))</f>
        <v/>
      </c>
      <c r="AA237" s="180" t="str">
        <f>IF(L237="","",VLOOKUP($L237,classifications!C:I,7,FALSE))</f>
        <v/>
      </c>
      <c r="AB237" s="174" t="str">
        <f t="shared" si="119"/>
        <v/>
      </c>
      <c r="AC237" s="174" t="str">
        <f>IF(AB237="","",IF($I$8="A",(RANK(AB237,AB$11:AB$343)+COUNTIF(AB$11:AB237,AB237)-1),(RANK(AB237,AB$11:AB$343,1)+COUNTIF(AB$11:AB237,AB237)-1)))</f>
        <v/>
      </c>
      <c r="AD237" s="174"/>
      <c r="AE237" s="36" t="str">
        <f t="shared" si="120"/>
        <v/>
      </c>
      <c r="AG237" s="15"/>
      <c r="AH237" s="3"/>
      <c r="AI237" s="5" t="str">
        <f>IF(L237="","",VLOOKUP($L237,classifications!$C:$J,8,FALSE))</f>
        <v/>
      </c>
      <c r="AJ237" s="43" t="str">
        <f t="shared" si="121"/>
        <v/>
      </c>
      <c r="AK237" s="40" t="str">
        <f>IF(AJ237="","",IF(I$8="A",(RANK(AJ237,AJ$11:AJ$343,1)+COUNTIF(AJ$11:AJ237,AJ237)-1),(RANK(AJ237,AJ$11:AJ$343)+COUNTIF(AJ$11:AJ237,AJ237)-1)))</f>
        <v/>
      </c>
      <c r="AL237" s="3" t="str">
        <f t="shared" si="122"/>
        <v/>
      </c>
      <c r="AM237" t="str">
        <f t="shared" si="123"/>
        <v/>
      </c>
      <c r="AN237" t="str">
        <f t="shared" si="124"/>
        <v/>
      </c>
      <c r="AP237" s="5" t="str">
        <f>IF(L237="","",VLOOKUP($L237,classifications!$C:$E,3,FALSE))</f>
        <v/>
      </c>
      <c r="AQ237" s="43" t="str">
        <f t="shared" si="125"/>
        <v/>
      </c>
      <c r="AR237" s="40" t="str">
        <f>IF(AQ237="","",IF(I$8="A",(RANK(AQ237,AQ$11:AQ$343,1)+COUNTIF(AQ$11:AQ237,AQ237)-1),(RANK(AQ237,AQ$11:AQ$343)+COUNTIF(AQ$11:AQ237,AQ237)-1)))</f>
        <v/>
      </c>
      <c r="AS237" s="3" t="str">
        <f t="shared" si="126"/>
        <v/>
      </c>
      <c r="AT237" s="40" t="str">
        <f t="shared" si="127"/>
        <v/>
      </c>
      <c r="AU237" s="43" t="str">
        <f t="shared" si="128"/>
        <v/>
      </c>
      <c r="AX237">
        <f>HLOOKUP($AX$9&amp;$AX$10,Data!$A$1:$ZZ$1980,(MATCH($C237,Data!$A$1:$A$1980,0)),FALSE)</f>
        <v>322.7</v>
      </c>
    </row>
    <row r="238" spans="1:50">
      <c r="A238" s="59" t="str">
        <f>$D$1&amp;228</f>
        <v>UA228</v>
      </c>
      <c r="B238" s="60">
        <f>IF(ISERROR(VLOOKUP(A243,classifications!A:C,3,FALSE)),0,VLOOKUP(A243,classifications!A:C,3,FALSE))</f>
        <v>0</v>
      </c>
      <c r="C238" t="s">
        <v>130</v>
      </c>
      <c r="D238" t="str">
        <f>VLOOKUP($C238,classifications!$C:$J,4,FALSE)</f>
        <v>SD</v>
      </c>
      <c r="E238">
        <f>VLOOKUP(C238,classifications!C:K,9,FALSE)</f>
        <v>0</v>
      </c>
      <c r="F238">
        <f t="shared" si="106"/>
        <v>365.4</v>
      </c>
      <c r="G238" s="15"/>
      <c r="H238" s="42" t="str">
        <f t="shared" si="107"/>
        <v/>
      </c>
      <c r="I238" s="79" t="str">
        <f>IF(H238="","",IF($I$8="A",(RANK(H238,H$11:H$343,1)+COUNTIF(H$11:H238,H238)-1),(RANK(H238,H$11:H$343)+COUNTIF(H$11:H238,H238)-1)))</f>
        <v/>
      </c>
      <c r="J238" s="41"/>
      <c r="K238" s="36" t="str">
        <f t="shared" si="108"/>
        <v/>
      </c>
      <c r="L238" t="str">
        <f t="shared" si="109"/>
        <v/>
      </c>
      <c r="M238" s="117" t="str">
        <f t="shared" si="110"/>
        <v/>
      </c>
      <c r="N238" s="112" t="str">
        <f t="shared" si="111"/>
        <v/>
      </c>
      <c r="O238" s="96" t="str">
        <f t="shared" si="112"/>
        <v/>
      </c>
      <c r="P238" s="96" t="str">
        <f t="shared" si="113"/>
        <v/>
      </c>
      <c r="Q238" s="96" t="str">
        <f t="shared" si="114"/>
        <v/>
      </c>
      <c r="R238" s="92" t="str">
        <f t="shared" si="115"/>
        <v/>
      </c>
      <c r="S238" s="42" t="str">
        <f t="shared" si="116"/>
        <v/>
      </c>
      <c r="T238" s="167" t="str">
        <f>IF(L238="","",VLOOKUP(L238,classifications!C:K,9,FALSE))</f>
        <v/>
      </c>
      <c r="U238" s="168" t="str">
        <f t="shared" si="117"/>
        <v/>
      </c>
      <c r="V238" s="174" t="str">
        <f>IF(U238="","",IF($I$8="A",(RANK(U238,U$11:U$343)+COUNTIF(U$11:U238,U238)-1),(RANK(U238,U$11:U$343,1)+COUNTIF(U$11:U238,U238)-1)))</f>
        <v/>
      </c>
      <c r="W238" s="175"/>
      <c r="X238" s="5" t="str">
        <f>IF(L238="","",VLOOKUP($L238,classifications!$C:$J,6,FALSE))</f>
        <v/>
      </c>
      <c r="Y238" t="str">
        <f t="shared" si="118"/>
        <v/>
      </c>
      <c r="Z238" s="40" t="str">
        <f>IF(Y238="","",IF(I$8="A",(RANK(Y238,Y$11:Y$343,1)+COUNTIF(Y$11:Y238,Y238)-1),(RANK(Y238,Y$11:Y$343)+COUNTIF(Y$11:Y238,Y238)-1)))</f>
        <v/>
      </c>
      <c r="AA238" s="180" t="str">
        <f>IF(L238="","",VLOOKUP($L238,classifications!C:I,7,FALSE))</f>
        <v/>
      </c>
      <c r="AB238" s="174" t="str">
        <f t="shared" si="119"/>
        <v/>
      </c>
      <c r="AC238" s="174" t="str">
        <f>IF(AB238="","",IF($I$8="A",(RANK(AB238,AB$11:AB$343)+COUNTIF(AB$11:AB238,AB238)-1),(RANK(AB238,AB$11:AB$343,1)+COUNTIF(AB$11:AB238,AB238)-1)))</f>
        <v/>
      </c>
      <c r="AD238" s="174"/>
      <c r="AE238" s="36" t="str">
        <f t="shared" si="120"/>
        <v/>
      </c>
      <c r="AG238" s="15"/>
      <c r="AH238" s="3"/>
      <c r="AI238" s="5" t="str">
        <f>IF(L238="","",VLOOKUP($L238,classifications!$C:$J,8,FALSE))</f>
        <v/>
      </c>
      <c r="AJ238" s="43" t="str">
        <f t="shared" si="121"/>
        <v/>
      </c>
      <c r="AK238" s="40" t="str">
        <f>IF(AJ238="","",IF(I$8="A",(RANK(AJ238,AJ$11:AJ$343,1)+COUNTIF(AJ$11:AJ238,AJ238)-1),(RANK(AJ238,AJ$11:AJ$343)+COUNTIF(AJ$11:AJ238,AJ238)-1)))</f>
        <v/>
      </c>
      <c r="AL238" s="3" t="str">
        <f t="shared" si="122"/>
        <v/>
      </c>
      <c r="AM238" t="str">
        <f t="shared" si="123"/>
        <v/>
      </c>
      <c r="AN238" t="str">
        <f t="shared" si="124"/>
        <v/>
      </c>
      <c r="AP238" s="5" t="str">
        <f>IF(L238="","",VLOOKUP($L238,classifications!$C:$E,3,FALSE))</f>
        <v/>
      </c>
      <c r="AQ238" s="43" t="str">
        <f t="shared" si="125"/>
        <v/>
      </c>
      <c r="AR238" s="40" t="str">
        <f>IF(AQ238="","",IF(I$8="A",(RANK(AQ238,AQ$11:AQ$343,1)+COUNTIF(AQ$11:AQ238,AQ238)-1),(RANK(AQ238,AQ$11:AQ$343)+COUNTIF(AQ$11:AQ238,AQ238)-1)))</f>
        <v/>
      </c>
      <c r="AS238" s="3" t="str">
        <f t="shared" si="126"/>
        <v/>
      </c>
      <c r="AT238" s="40" t="str">
        <f t="shared" si="127"/>
        <v/>
      </c>
      <c r="AU238" s="43" t="str">
        <f t="shared" si="128"/>
        <v/>
      </c>
      <c r="AX238">
        <f>HLOOKUP($AX$9&amp;$AX$10,Data!$A$1:$ZZ$1980,(MATCH($C238,Data!$A$1:$A$1980,0)),FALSE)</f>
        <v>365.4</v>
      </c>
    </row>
    <row r="239" spans="1:50">
      <c r="A239" s="59" t="str">
        <f>$D$1&amp;229</f>
        <v>UA229</v>
      </c>
      <c r="B239" s="60">
        <f>IF(ISERROR(VLOOKUP(A244,classifications!A:C,3,FALSE)),0,VLOOKUP(A244,classifications!A:C,3,FALSE))</f>
        <v>0</v>
      </c>
      <c r="C239" t="s">
        <v>131</v>
      </c>
      <c r="D239" t="str">
        <f>VLOOKUP($C239,classifications!$C:$J,4,FALSE)</f>
        <v>SD</v>
      </c>
      <c r="E239">
        <f>VLOOKUP(C239,classifications!C:K,9,FALSE)</f>
        <v>0</v>
      </c>
      <c r="F239">
        <f t="shared" si="106"/>
        <v>302.2</v>
      </c>
      <c r="G239" s="15"/>
      <c r="H239" s="42" t="str">
        <f t="shared" si="107"/>
        <v/>
      </c>
      <c r="I239" s="79" t="str">
        <f>IF(H239="","",IF($I$8="A",(RANK(H239,H$11:H$343,1)+COUNTIF(H$11:H239,H239)-1),(RANK(H239,H$11:H$343)+COUNTIF(H$11:H239,H239)-1)))</f>
        <v/>
      </c>
      <c r="J239" s="41"/>
      <c r="K239" s="36" t="str">
        <f t="shared" si="108"/>
        <v/>
      </c>
      <c r="L239" t="str">
        <f t="shared" si="109"/>
        <v/>
      </c>
      <c r="M239" s="117" t="str">
        <f t="shared" si="110"/>
        <v/>
      </c>
      <c r="N239" s="112" t="str">
        <f t="shared" si="111"/>
        <v/>
      </c>
      <c r="O239" s="96" t="str">
        <f t="shared" si="112"/>
        <v/>
      </c>
      <c r="P239" s="96" t="str">
        <f t="shared" si="113"/>
        <v/>
      </c>
      <c r="Q239" s="96" t="str">
        <f t="shared" si="114"/>
        <v/>
      </c>
      <c r="R239" s="92" t="str">
        <f t="shared" si="115"/>
        <v/>
      </c>
      <c r="S239" s="42" t="str">
        <f t="shared" si="116"/>
        <v/>
      </c>
      <c r="T239" s="167" t="str">
        <f>IF(L239="","",VLOOKUP(L239,classifications!C:K,9,FALSE))</f>
        <v/>
      </c>
      <c r="U239" s="168" t="str">
        <f t="shared" si="117"/>
        <v/>
      </c>
      <c r="V239" s="174" t="str">
        <f>IF(U239="","",IF($I$8="A",(RANK(U239,U$11:U$343)+COUNTIF(U$11:U239,U239)-1),(RANK(U239,U$11:U$343,1)+COUNTIF(U$11:U239,U239)-1)))</f>
        <v/>
      </c>
      <c r="W239" s="175"/>
      <c r="X239" s="5" t="str">
        <f>IF(L239="","",VLOOKUP($L239,classifications!$C:$J,6,FALSE))</f>
        <v/>
      </c>
      <c r="Y239" t="str">
        <f t="shared" si="118"/>
        <v/>
      </c>
      <c r="Z239" s="40" t="str">
        <f>IF(Y239="","",IF(I$8="A",(RANK(Y239,Y$11:Y$343,1)+COUNTIF(Y$11:Y239,Y239)-1),(RANK(Y239,Y$11:Y$343)+COUNTIF(Y$11:Y239,Y239)-1)))</f>
        <v/>
      </c>
      <c r="AA239" s="180" t="str">
        <f>IF(L239="","",VLOOKUP($L239,classifications!C:I,7,FALSE))</f>
        <v/>
      </c>
      <c r="AB239" s="174" t="str">
        <f t="shared" si="119"/>
        <v/>
      </c>
      <c r="AC239" s="174" t="str">
        <f>IF(AB239="","",IF($I$8="A",(RANK(AB239,AB$11:AB$343)+COUNTIF(AB$11:AB239,AB239)-1),(RANK(AB239,AB$11:AB$343,1)+COUNTIF(AB$11:AB239,AB239)-1)))</f>
        <v/>
      </c>
      <c r="AD239" s="174"/>
      <c r="AE239" s="36" t="str">
        <f t="shared" si="120"/>
        <v/>
      </c>
      <c r="AG239" s="15"/>
      <c r="AH239" s="3"/>
      <c r="AI239" s="5" t="str">
        <f>IF(L239="","",VLOOKUP($L239,classifications!$C:$J,8,FALSE))</f>
        <v/>
      </c>
      <c r="AJ239" s="43" t="str">
        <f t="shared" si="121"/>
        <v/>
      </c>
      <c r="AK239" s="40" t="str">
        <f>IF(AJ239="","",IF(I$8="A",(RANK(AJ239,AJ$11:AJ$343,1)+COUNTIF(AJ$11:AJ239,AJ239)-1),(RANK(AJ239,AJ$11:AJ$343)+COUNTIF(AJ$11:AJ239,AJ239)-1)))</f>
        <v/>
      </c>
      <c r="AL239" s="3" t="str">
        <f t="shared" si="122"/>
        <v/>
      </c>
      <c r="AM239" t="str">
        <f t="shared" si="123"/>
        <v/>
      </c>
      <c r="AN239" t="str">
        <f t="shared" si="124"/>
        <v/>
      </c>
      <c r="AP239" s="5" t="str">
        <f>IF(L239="","",VLOOKUP($L239,classifications!$C:$E,3,FALSE))</f>
        <v/>
      </c>
      <c r="AQ239" s="43" t="str">
        <f t="shared" si="125"/>
        <v/>
      </c>
      <c r="AR239" s="40" t="str">
        <f>IF(AQ239="","",IF(I$8="A",(RANK(AQ239,AQ$11:AQ$343,1)+COUNTIF(AQ$11:AQ239,AQ239)-1),(RANK(AQ239,AQ$11:AQ$343)+COUNTIF(AQ$11:AQ239,AQ239)-1)))</f>
        <v/>
      </c>
      <c r="AS239" s="3" t="str">
        <f t="shared" si="126"/>
        <v/>
      </c>
      <c r="AT239" s="40" t="str">
        <f t="shared" si="127"/>
        <v/>
      </c>
      <c r="AU239" s="43" t="str">
        <f t="shared" si="128"/>
        <v/>
      </c>
      <c r="AX239">
        <f>HLOOKUP($AX$9&amp;$AX$10,Data!$A$1:$ZZ$1980,(MATCH($C239,Data!$A$1:$A$1980,0)),FALSE)</f>
        <v>302.2</v>
      </c>
    </row>
    <row r="240" spans="1:50">
      <c r="A240" s="59" t="str">
        <f>$D$1&amp;230</f>
        <v>UA230</v>
      </c>
      <c r="B240" s="60">
        <f>IF(ISERROR(VLOOKUP(A245,classifications!A:C,3,FALSE)),0,VLOOKUP(A245,classifications!A:C,3,FALSE))</f>
        <v>0</v>
      </c>
      <c r="C240" t="s">
        <v>286</v>
      </c>
      <c r="D240" t="str">
        <f>VLOOKUP($C240,classifications!$C:$J,4,FALSE)</f>
        <v>UA</v>
      </c>
      <c r="E240" t="str">
        <f>VLOOKUP(C240,classifications!C:K,9,FALSE)</f>
        <v>Sparse</v>
      </c>
      <c r="F240">
        <f t="shared" si="106"/>
        <v>468.3</v>
      </c>
      <c r="G240" s="15"/>
      <c r="H240" s="42">
        <f t="shared" si="107"/>
        <v>468.3</v>
      </c>
      <c r="I240" s="79">
        <f>IF(H240="","",IF($I$8="A",(RANK(H240,H$11:H$343,1)+COUNTIF(H$11:H240,H240)-1),(RANK(H240,H$11:H$343)+COUNTIF(H$11:H240,H240)-1)))</f>
        <v>56</v>
      </c>
      <c r="J240" s="41"/>
      <c r="K240" s="36" t="str">
        <f t="shared" si="108"/>
        <v/>
      </c>
      <c r="L240" t="str">
        <f t="shared" si="109"/>
        <v/>
      </c>
      <c r="M240" s="117" t="str">
        <f t="shared" si="110"/>
        <v/>
      </c>
      <c r="N240" s="112" t="str">
        <f t="shared" si="111"/>
        <v/>
      </c>
      <c r="O240" s="96" t="str">
        <f t="shared" si="112"/>
        <v/>
      </c>
      <c r="P240" s="96" t="str">
        <f t="shared" si="113"/>
        <v/>
      </c>
      <c r="Q240" s="96" t="str">
        <f t="shared" si="114"/>
        <v/>
      </c>
      <c r="R240" s="92" t="str">
        <f t="shared" si="115"/>
        <v/>
      </c>
      <c r="S240" s="42" t="str">
        <f t="shared" si="116"/>
        <v/>
      </c>
      <c r="T240" s="167" t="str">
        <f>IF(L240="","",VLOOKUP(L240,classifications!C:K,9,FALSE))</f>
        <v/>
      </c>
      <c r="U240" s="168" t="str">
        <f t="shared" si="117"/>
        <v/>
      </c>
      <c r="V240" s="174" t="str">
        <f>IF(U240="","",IF($I$8="A",(RANK(U240,U$11:U$343)+COUNTIF(U$11:U240,U240)-1),(RANK(U240,U$11:U$343,1)+COUNTIF(U$11:U240,U240)-1)))</f>
        <v/>
      </c>
      <c r="W240" s="175"/>
      <c r="X240" s="5" t="str">
        <f>IF(L240="","",VLOOKUP($L240,classifications!$C:$J,6,FALSE))</f>
        <v/>
      </c>
      <c r="Y240" t="str">
        <f t="shared" si="118"/>
        <v/>
      </c>
      <c r="Z240" s="40" t="str">
        <f>IF(Y240="","",IF(I$8="A",(RANK(Y240,Y$11:Y$343,1)+COUNTIF(Y$11:Y240,Y240)-1),(RANK(Y240,Y$11:Y$343)+COUNTIF(Y$11:Y240,Y240)-1)))</f>
        <v/>
      </c>
      <c r="AA240" s="180" t="str">
        <f>IF(L240="","",VLOOKUP($L240,classifications!C:I,7,FALSE))</f>
        <v/>
      </c>
      <c r="AB240" s="174" t="str">
        <f t="shared" si="119"/>
        <v/>
      </c>
      <c r="AC240" s="174" t="str">
        <f>IF(AB240="","",IF($I$8="A",(RANK(AB240,AB$11:AB$343)+COUNTIF(AB$11:AB240,AB240)-1),(RANK(AB240,AB$11:AB$343,1)+COUNTIF(AB$11:AB240,AB240)-1)))</f>
        <v/>
      </c>
      <c r="AD240" s="174"/>
      <c r="AE240" s="36" t="str">
        <f t="shared" si="120"/>
        <v/>
      </c>
      <c r="AG240" s="15"/>
      <c r="AH240" s="3"/>
      <c r="AI240" s="5" t="str">
        <f>IF(L240="","",VLOOKUP($L240,classifications!$C:$J,8,FALSE))</f>
        <v/>
      </c>
      <c r="AJ240" s="43" t="str">
        <f t="shared" si="121"/>
        <v/>
      </c>
      <c r="AK240" s="40" t="str">
        <f>IF(AJ240="","",IF(I$8="A",(RANK(AJ240,AJ$11:AJ$343,1)+COUNTIF(AJ$11:AJ240,AJ240)-1),(RANK(AJ240,AJ$11:AJ$343)+COUNTIF(AJ$11:AJ240,AJ240)-1)))</f>
        <v/>
      </c>
      <c r="AL240" s="3" t="str">
        <f t="shared" si="122"/>
        <v/>
      </c>
      <c r="AM240" t="str">
        <f t="shared" si="123"/>
        <v/>
      </c>
      <c r="AN240" t="str">
        <f t="shared" si="124"/>
        <v/>
      </c>
      <c r="AP240" s="5" t="str">
        <f>IF(L240="","",VLOOKUP($L240,classifications!$C:$E,3,FALSE))</f>
        <v/>
      </c>
      <c r="AQ240" s="43" t="str">
        <f t="shared" si="125"/>
        <v/>
      </c>
      <c r="AR240" s="40" t="str">
        <f>IF(AQ240="","",IF(I$8="A",(RANK(AQ240,AQ$11:AQ$343,1)+COUNTIF(AQ$11:AQ240,AQ240)-1),(RANK(AQ240,AQ$11:AQ$343)+COUNTIF(AQ$11:AQ240,AQ240)-1)))</f>
        <v/>
      </c>
      <c r="AS240" s="3" t="str">
        <f t="shared" si="126"/>
        <v/>
      </c>
      <c r="AT240" s="40" t="str">
        <f t="shared" si="127"/>
        <v/>
      </c>
      <c r="AU240" s="43" t="str">
        <f t="shared" si="128"/>
        <v/>
      </c>
      <c r="AX240">
        <f>HLOOKUP($AX$9&amp;$AX$10,Data!$A$1:$ZZ$1980,(MATCH($C240,Data!$A$1:$A$1980,0)),FALSE)</f>
        <v>468.3</v>
      </c>
    </row>
    <row r="241" spans="1:50">
      <c r="A241" s="59" t="str">
        <f>$D$1&amp;231</f>
        <v>UA231</v>
      </c>
      <c r="B241" s="60">
        <f>IF(ISERROR(VLOOKUP(A246,classifications!A:C,3,FALSE)),0,VLOOKUP(A246,classifications!A:C,3,FALSE))</f>
        <v>0</v>
      </c>
      <c r="C241" t="s">
        <v>132</v>
      </c>
      <c r="D241" t="str">
        <f>VLOOKUP($C241,classifications!$C:$J,4,FALSE)</f>
        <v>SD</v>
      </c>
      <c r="E241" t="str">
        <f>VLOOKUP(C241,classifications!C:K,9,FALSE)</f>
        <v>Sparse</v>
      </c>
      <c r="F241">
        <f t="shared" si="106"/>
        <v>403.8</v>
      </c>
      <c r="G241" s="15"/>
      <c r="H241" s="42" t="str">
        <f t="shared" si="107"/>
        <v/>
      </c>
      <c r="I241" s="79" t="str">
        <f>IF(H241="","",IF($I$8="A",(RANK(H241,H$11:H$343,1)+COUNTIF(H$11:H241,H241)-1),(RANK(H241,H$11:H$343)+COUNTIF(H$11:H241,H241)-1)))</f>
        <v/>
      </c>
      <c r="J241" s="41"/>
      <c r="K241" s="36" t="str">
        <f t="shared" si="108"/>
        <v/>
      </c>
      <c r="L241" t="str">
        <f t="shared" si="109"/>
        <v/>
      </c>
      <c r="M241" s="117" t="str">
        <f t="shared" si="110"/>
        <v/>
      </c>
      <c r="N241" s="112" t="str">
        <f t="shared" si="111"/>
        <v/>
      </c>
      <c r="O241" s="96" t="str">
        <f t="shared" si="112"/>
        <v/>
      </c>
      <c r="P241" s="96" t="str">
        <f t="shared" si="113"/>
        <v/>
      </c>
      <c r="Q241" s="96" t="str">
        <f t="shared" si="114"/>
        <v/>
      </c>
      <c r="R241" s="92" t="str">
        <f t="shared" si="115"/>
        <v/>
      </c>
      <c r="S241" s="42" t="str">
        <f t="shared" si="116"/>
        <v/>
      </c>
      <c r="T241" s="167" t="str">
        <f>IF(L241="","",VLOOKUP(L241,classifications!C:K,9,FALSE))</f>
        <v/>
      </c>
      <c r="U241" s="168" t="str">
        <f t="shared" si="117"/>
        <v/>
      </c>
      <c r="V241" s="174" t="str">
        <f>IF(U241="","",IF($I$8="A",(RANK(U241,U$11:U$343)+COUNTIF(U$11:U241,U241)-1),(RANK(U241,U$11:U$343,1)+COUNTIF(U$11:U241,U241)-1)))</f>
        <v/>
      </c>
      <c r="W241" s="175"/>
      <c r="X241" s="5" t="str">
        <f>IF(L241="","",VLOOKUP($L241,classifications!$C:$J,6,FALSE))</f>
        <v/>
      </c>
      <c r="Y241" t="str">
        <f t="shared" si="118"/>
        <v/>
      </c>
      <c r="Z241" s="40" t="str">
        <f>IF(Y241="","",IF(I$8="A",(RANK(Y241,Y$11:Y$343,1)+COUNTIF(Y$11:Y241,Y241)-1),(RANK(Y241,Y$11:Y$343)+COUNTIF(Y$11:Y241,Y241)-1)))</f>
        <v/>
      </c>
      <c r="AA241" s="180" t="str">
        <f>IF(L241="","",VLOOKUP($L241,classifications!C:I,7,FALSE))</f>
        <v/>
      </c>
      <c r="AB241" s="174" t="str">
        <f t="shared" si="119"/>
        <v/>
      </c>
      <c r="AC241" s="174" t="str">
        <f>IF(AB241="","",IF($I$8="A",(RANK(AB241,AB$11:AB$343)+COUNTIF(AB$11:AB241,AB241)-1),(RANK(AB241,AB$11:AB$343,1)+COUNTIF(AB$11:AB241,AB241)-1)))</f>
        <v/>
      </c>
      <c r="AD241" s="174"/>
      <c r="AE241" s="36" t="str">
        <f t="shared" si="120"/>
        <v/>
      </c>
      <c r="AG241" s="15"/>
      <c r="AH241" s="3"/>
      <c r="AI241" s="5" t="str">
        <f>IF(L241="","",VLOOKUP($L241,classifications!$C:$J,8,FALSE))</f>
        <v/>
      </c>
      <c r="AJ241" s="43" t="str">
        <f t="shared" si="121"/>
        <v/>
      </c>
      <c r="AK241" s="40" t="str">
        <f>IF(AJ241="","",IF(I$8="A",(RANK(AJ241,AJ$11:AJ$343,1)+COUNTIF(AJ$11:AJ241,AJ241)-1),(RANK(AJ241,AJ$11:AJ$343)+COUNTIF(AJ$11:AJ241,AJ241)-1)))</f>
        <v/>
      </c>
      <c r="AL241" s="3" t="str">
        <f t="shared" si="122"/>
        <v/>
      </c>
      <c r="AM241" t="str">
        <f t="shared" si="123"/>
        <v/>
      </c>
      <c r="AN241" t="str">
        <f t="shared" si="124"/>
        <v/>
      </c>
      <c r="AP241" s="5" t="str">
        <f>IF(L241="","",VLOOKUP($L241,classifications!$C:$E,3,FALSE))</f>
        <v/>
      </c>
      <c r="AQ241" s="43" t="str">
        <f t="shared" si="125"/>
        <v/>
      </c>
      <c r="AR241" s="40" t="str">
        <f>IF(AQ241="","",IF(I$8="A",(RANK(AQ241,AQ$11:AQ$343,1)+COUNTIF(AQ$11:AQ241,AQ241)-1),(RANK(AQ241,AQ$11:AQ$343)+COUNTIF(AQ$11:AQ241,AQ241)-1)))</f>
        <v/>
      </c>
      <c r="AS241" s="3" t="str">
        <f t="shared" si="126"/>
        <v/>
      </c>
      <c r="AT241" s="40" t="str">
        <f t="shared" si="127"/>
        <v/>
      </c>
      <c r="AU241" s="43" t="str">
        <f t="shared" si="128"/>
        <v/>
      </c>
      <c r="AX241">
        <f>HLOOKUP($AX$9&amp;$AX$10,Data!$A$1:$ZZ$1980,(MATCH($C241,Data!$A$1:$A$1980,0)),FALSE)</f>
        <v>403.8</v>
      </c>
    </row>
    <row r="242" spans="1:50">
      <c r="A242" s="59" t="str">
        <f>$D$1&amp;232</f>
        <v>UA232</v>
      </c>
      <c r="B242" s="60">
        <f>IF(ISERROR(VLOOKUP(A247,classifications!A:C,3,FALSE)),0,VLOOKUP(A247,classifications!A:C,3,FALSE))</f>
        <v>0</v>
      </c>
      <c r="C242" t="s">
        <v>243</v>
      </c>
      <c r="D242" t="str">
        <f>VLOOKUP($C242,classifications!$C:$J,4,FALSE)</f>
        <v>MD</v>
      </c>
      <c r="E242">
        <f>VLOOKUP(C242,classifications!C:K,9,FALSE)</f>
        <v>0</v>
      </c>
      <c r="F242">
        <f t="shared" si="106"/>
        <v>284.5</v>
      </c>
      <c r="G242" s="15"/>
      <c r="H242" s="42" t="str">
        <f t="shared" si="107"/>
        <v/>
      </c>
      <c r="I242" s="79" t="str">
        <f>IF(H242="","",IF($I$8="A",(RANK(H242,H$11:H$343,1)+COUNTIF(H$11:H242,H242)-1),(RANK(H242,H$11:H$343)+COUNTIF(H$11:H242,H242)-1)))</f>
        <v/>
      </c>
      <c r="J242" s="41"/>
      <c r="K242" s="36" t="str">
        <f t="shared" si="108"/>
        <v/>
      </c>
      <c r="L242" t="str">
        <f t="shared" si="109"/>
        <v/>
      </c>
      <c r="M242" s="117" t="str">
        <f t="shared" si="110"/>
        <v/>
      </c>
      <c r="N242" s="112" t="str">
        <f t="shared" si="111"/>
        <v/>
      </c>
      <c r="O242" s="96" t="str">
        <f t="shared" si="112"/>
        <v/>
      </c>
      <c r="P242" s="96" t="str">
        <f t="shared" si="113"/>
        <v/>
      </c>
      <c r="Q242" s="96" t="str">
        <f t="shared" si="114"/>
        <v/>
      </c>
      <c r="R242" s="92" t="str">
        <f t="shared" si="115"/>
        <v/>
      </c>
      <c r="S242" s="42" t="str">
        <f t="shared" si="116"/>
        <v/>
      </c>
      <c r="T242" s="167" t="str">
        <f>IF(L242="","",VLOOKUP(L242,classifications!C:K,9,FALSE))</f>
        <v/>
      </c>
      <c r="U242" s="168" t="str">
        <f t="shared" si="117"/>
        <v/>
      </c>
      <c r="V242" s="174" t="str">
        <f>IF(U242="","",IF($I$8="A",(RANK(U242,U$11:U$343)+COUNTIF(U$11:U242,U242)-1),(RANK(U242,U$11:U$343,1)+COUNTIF(U$11:U242,U242)-1)))</f>
        <v/>
      </c>
      <c r="W242" s="175"/>
      <c r="X242" s="5" t="str">
        <f>IF(L242="","",VLOOKUP($L242,classifications!$C:$J,6,FALSE))</f>
        <v/>
      </c>
      <c r="Y242" t="str">
        <f t="shared" si="118"/>
        <v/>
      </c>
      <c r="Z242" s="40" t="str">
        <f>IF(Y242="","",IF(I$8="A",(RANK(Y242,Y$11:Y$343,1)+COUNTIF(Y$11:Y242,Y242)-1),(RANK(Y242,Y$11:Y$343)+COUNTIF(Y$11:Y242,Y242)-1)))</f>
        <v/>
      </c>
      <c r="AA242" s="180" t="str">
        <f>IF(L242="","",VLOOKUP($L242,classifications!C:I,7,FALSE))</f>
        <v/>
      </c>
      <c r="AB242" s="174" t="str">
        <f t="shared" si="119"/>
        <v/>
      </c>
      <c r="AC242" s="174" t="str">
        <f>IF(AB242="","",IF($I$8="A",(RANK(AB242,AB$11:AB$343)+COUNTIF(AB$11:AB242,AB242)-1),(RANK(AB242,AB$11:AB$343,1)+COUNTIF(AB$11:AB242,AB242)-1)))</f>
        <v/>
      </c>
      <c r="AD242" s="174"/>
      <c r="AE242" s="36" t="str">
        <f t="shared" si="120"/>
        <v/>
      </c>
      <c r="AG242" s="15"/>
      <c r="AH242" s="3"/>
      <c r="AI242" s="5" t="str">
        <f>IF(L242="","",VLOOKUP($L242,classifications!$C:$J,8,FALSE))</f>
        <v/>
      </c>
      <c r="AJ242" s="43" t="str">
        <f t="shared" si="121"/>
        <v/>
      </c>
      <c r="AK242" s="40" t="str">
        <f>IF(AJ242="","",IF(I$8="A",(RANK(AJ242,AJ$11:AJ$343,1)+COUNTIF(AJ$11:AJ242,AJ242)-1),(RANK(AJ242,AJ$11:AJ$343)+COUNTIF(AJ$11:AJ242,AJ242)-1)))</f>
        <v/>
      </c>
      <c r="AL242" s="3" t="str">
        <f t="shared" si="122"/>
        <v/>
      </c>
      <c r="AM242" t="str">
        <f t="shared" si="123"/>
        <v/>
      </c>
      <c r="AN242" t="str">
        <f t="shared" si="124"/>
        <v/>
      </c>
      <c r="AP242" s="5" t="str">
        <f>IF(L242="","",VLOOKUP($L242,classifications!$C:$E,3,FALSE))</f>
        <v/>
      </c>
      <c r="AQ242" s="43" t="str">
        <f t="shared" si="125"/>
        <v/>
      </c>
      <c r="AR242" s="40" t="str">
        <f>IF(AQ242="","",IF(I$8="A",(RANK(AQ242,AQ$11:AQ$343,1)+COUNTIF(AQ$11:AQ242,AQ242)-1),(RANK(AQ242,AQ$11:AQ$343)+COUNTIF(AQ$11:AQ242,AQ242)-1)))</f>
        <v/>
      </c>
      <c r="AS242" s="3" t="str">
        <f t="shared" si="126"/>
        <v/>
      </c>
      <c r="AT242" s="40" t="str">
        <f t="shared" si="127"/>
        <v/>
      </c>
      <c r="AU242" s="43" t="str">
        <f t="shared" si="128"/>
        <v/>
      </c>
      <c r="AX242">
        <f>HLOOKUP($AX$9&amp;$AX$10,Data!$A$1:$ZZ$1980,(MATCH($C242,Data!$A$1:$A$1980,0)),FALSE)</f>
        <v>284.5</v>
      </c>
    </row>
    <row r="243" spans="1:50">
      <c r="A243" s="59" t="str">
        <f>$D$1&amp;233</f>
        <v>UA233</v>
      </c>
      <c r="B243" s="60">
        <f>IF(ISERROR(VLOOKUP(A248,classifications!A:C,3,FALSE)),0,VLOOKUP(A248,classifications!A:C,3,FALSE))</f>
        <v>0</v>
      </c>
      <c r="C243" t="s">
        <v>244</v>
      </c>
      <c r="D243" t="str">
        <f>VLOOKUP($C243,classifications!$C:$J,4,FALSE)</f>
        <v>MD</v>
      </c>
      <c r="E243">
        <f>VLOOKUP(C243,classifications!C:K,9,FALSE)</f>
        <v>0</v>
      </c>
      <c r="F243">
        <f t="shared" si="106"/>
        <v>348.9</v>
      </c>
      <c r="G243" s="15"/>
      <c r="H243" s="42" t="str">
        <f t="shared" si="107"/>
        <v/>
      </c>
      <c r="I243" s="79" t="str">
        <f>IF(H243="","",IF($I$8="A",(RANK(H243,H$11:H$343,1)+COUNTIF(H$11:H243,H243)-1),(RANK(H243,H$11:H$343)+COUNTIF(H$11:H243,H243)-1)))</f>
        <v/>
      </c>
      <c r="J243" s="41"/>
      <c r="K243" s="36" t="str">
        <f t="shared" si="108"/>
        <v/>
      </c>
      <c r="L243" t="str">
        <f t="shared" si="109"/>
        <v/>
      </c>
      <c r="M243" s="117" t="str">
        <f t="shared" si="110"/>
        <v/>
      </c>
      <c r="N243" s="112" t="str">
        <f t="shared" si="111"/>
        <v/>
      </c>
      <c r="O243" s="96" t="str">
        <f t="shared" si="112"/>
        <v/>
      </c>
      <c r="P243" s="96" t="str">
        <f t="shared" si="113"/>
        <v/>
      </c>
      <c r="Q243" s="96" t="str">
        <f t="shared" si="114"/>
        <v/>
      </c>
      <c r="R243" s="92" t="str">
        <f t="shared" si="115"/>
        <v/>
      </c>
      <c r="S243" s="42" t="str">
        <f t="shared" si="116"/>
        <v/>
      </c>
      <c r="T243" s="167" t="str">
        <f>IF(L243="","",VLOOKUP(L243,classifications!C:K,9,FALSE))</f>
        <v/>
      </c>
      <c r="U243" s="168" t="str">
        <f t="shared" si="117"/>
        <v/>
      </c>
      <c r="V243" s="174" t="str">
        <f>IF(U243="","",IF($I$8="A",(RANK(U243,U$11:U$343)+COUNTIF(U$11:U243,U243)-1),(RANK(U243,U$11:U$343,1)+COUNTIF(U$11:U243,U243)-1)))</f>
        <v/>
      </c>
      <c r="W243" s="175"/>
      <c r="X243" s="5" t="str">
        <f>IF(L243="","",VLOOKUP($L243,classifications!$C:$J,6,FALSE))</f>
        <v/>
      </c>
      <c r="Y243" t="str">
        <f t="shared" si="118"/>
        <v/>
      </c>
      <c r="Z243" s="40" t="str">
        <f>IF(Y243="","",IF(I$8="A",(RANK(Y243,Y$11:Y$343,1)+COUNTIF(Y$11:Y243,Y243)-1),(RANK(Y243,Y$11:Y$343)+COUNTIF(Y$11:Y243,Y243)-1)))</f>
        <v/>
      </c>
      <c r="AA243" s="180" t="str">
        <f>IF(L243="","",VLOOKUP($L243,classifications!C:I,7,FALSE))</f>
        <v/>
      </c>
      <c r="AB243" s="174" t="str">
        <f t="shared" si="119"/>
        <v/>
      </c>
      <c r="AC243" s="174" t="str">
        <f>IF(AB243="","",IF($I$8="A",(RANK(AB243,AB$11:AB$343)+COUNTIF(AB$11:AB243,AB243)-1),(RANK(AB243,AB$11:AB$343,1)+COUNTIF(AB$11:AB243,AB243)-1)))</f>
        <v/>
      </c>
      <c r="AD243" s="174"/>
      <c r="AE243" s="36" t="str">
        <f t="shared" si="120"/>
        <v/>
      </c>
      <c r="AG243" s="15"/>
      <c r="AH243" s="3"/>
      <c r="AI243" s="5" t="str">
        <f>IF(L243="","",VLOOKUP($L243,classifications!$C:$J,8,FALSE))</f>
        <v/>
      </c>
      <c r="AJ243" s="43" t="str">
        <f t="shared" si="121"/>
        <v/>
      </c>
      <c r="AK243" s="40" t="str">
        <f>IF(AJ243="","",IF(I$8="A",(RANK(AJ243,AJ$11:AJ$343,1)+COUNTIF(AJ$11:AJ243,AJ243)-1),(RANK(AJ243,AJ$11:AJ$343)+COUNTIF(AJ$11:AJ243,AJ243)-1)))</f>
        <v/>
      </c>
      <c r="AL243" s="3" t="str">
        <f t="shared" si="122"/>
        <v/>
      </c>
      <c r="AM243" t="str">
        <f t="shared" si="123"/>
        <v/>
      </c>
      <c r="AN243" t="str">
        <f t="shared" si="124"/>
        <v/>
      </c>
      <c r="AP243" s="5" t="str">
        <f>IF(L243="","",VLOOKUP($L243,classifications!$C:$E,3,FALSE))</f>
        <v/>
      </c>
      <c r="AQ243" s="43" t="str">
        <f t="shared" si="125"/>
        <v/>
      </c>
      <c r="AR243" s="40" t="str">
        <f>IF(AQ243="","",IF(I$8="A",(RANK(AQ243,AQ$11:AQ$343,1)+COUNTIF(AQ$11:AQ243,AQ243)-1),(RANK(AQ243,AQ$11:AQ$343)+COUNTIF(AQ$11:AQ243,AQ243)-1)))</f>
        <v/>
      </c>
      <c r="AS243" s="3" t="str">
        <f t="shared" si="126"/>
        <v/>
      </c>
      <c r="AT243" s="40" t="str">
        <f t="shared" si="127"/>
        <v/>
      </c>
      <c r="AU243" s="43" t="str">
        <f t="shared" si="128"/>
        <v/>
      </c>
      <c r="AX243">
        <f>HLOOKUP($AX$9&amp;$AX$10,Data!$A$1:$ZZ$1980,(MATCH($C243,Data!$A$1:$A$1980,0)),FALSE)</f>
        <v>348.9</v>
      </c>
    </row>
    <row r="244" spans="1:50">
      <c r="A244" s="59" t="str">
        <f>$D$1&amp;234</f>
        <v>UA234</v>
      </c>
      <c r="B244" s="60">
        <f>IF(ISERROR(VLOOKUP(A249,classifications!A:C,3,FALSE)),0,VLOOKUP(A249,classifications!A:C,3,FALSE))</f>
        <v>0</v>
      </c>
      <c r="C244" t="s">
        <v>133</v>
      </c>
      <c r="D244" t="str">
        <f>VLOOKUP($C244,classifications!$C:$J,4,FALSE)</f>
        <v>SD</v>
      </c>
      <c r="E244" t="str">
        <f>VLOOKUP(C244,classifications!C:K,9,FALSE)</f>
        <v>Sparse</v>
      </c>
      <c r="F244">
        <f t="shared" si="106"/>
        <v>373.6</v>
      </c>
      <c r="G244" s="15"/>
      <c r="H244" s="42" t="str">
        <f t="shared" si="107"/>
        <v/>
      </c>
      <c r="I244" s="79" t="str">
        <f>IF(H244="","",IF($I$8="A",(RANK(H244,H$11:H$343,1)+COUNTIF(H$11:H244,H244)-1),(RANK(H244,H$11:H$343)+COUNTIF(H$11:H244,H244)-1)))</f>
        <v/>
      </c>
      <c r="J244" s="41"/>
      <c r="K244" s="36" t="str">
        <f t="shared" si="108"/>
        <v/>
      </c>
      <c r="L244" t="str">
        <f t="shared" si="109"/>
        <v/>
      </c>
      <c r="M244" s="117" t="str">
        <f t="shared" si="110"/>
        <v/>
      </c>
      <c r="N244" s="112" t="str">
        <f t="shared" si="111"/>
        <v/>
      </c>
      <c r="O244" s="96" t="str">
        <f t="shared" si="112"/>
        <v/>
      </c>
      <c r="P244" s="96" t="str">
        <f t="shared" si="113"/>
        <v/>
      </c>
      <c r="Q244" s="96" t="str">
        <f t="shared" si="114"/>
        <v/>
      </c>
      <c r="R244" s="92" t="str">
        <f t="shared" si="115"/>
        <v/>
      </c>
      <c r="S244" s="42" t="str">
        <f t="shared" si="116"/>
        <v/>
      </c>
      <c r="T244" s="167" t="str">
        <f>IF(L244="","",VLOOKUP(L244,classifications!C:K,9,FALSE))</f>
        <v/>
      </c>
      <c r="U244" s="168" t="str">
        <f t="shared" si="117"/>
        <v/>
      </c>
      <c r="V244" s="174" t="str">
        <f>IF(U244="","",IF($I$8="A",(RANK(U244,U$11:U$343)+COUNTIF(U$11:U244,U244)-1),(RANK(U244,U$11:U$343,1)+COUNTIF(U$11:U244,U244)-1)))</f>
        <v/>
      </c>
      <c r="W244" s="175"/>
      <c r="X244" s="5" t="str">
        <f>IF(L244="","",VLOOKUP($L244,classifications!$C:$J,6,FALSE))</f>
        <v/>
      </c>
      <c r="Y244" t="str">
        <f t="shared" si="118"/>
        <v/>
      </c>
      <c r="Z244" s="40" t="str">
        <f>IF(Y244="","",IF(I$8="A",(RANK(Y244,Y$11:Y$343,1)+COUNTIF(Y$11:Y244,Y244)-1),(RANK(Y244,Y$11:Y$343)+COUNTIF(Y$11:Y244,Y244)-1)))</f>
        <v/>
      </c>
      <c r="AA244" s="180" t="str">
        <f>IF(L244="","",VLOOKUP($L244,classifications!C:I,7,FALSE))</f>
        <v/>
      </c>
      <c r="AB244" s="174" t="str">
        <f t="shared" si="119"/>
        <v/>
      </c>
      <c r="AC244" s="174" t="str">
        <f>IF(AB244="","",IF($I$8="A",(RANK(AB244,AB$11:AB$343)+COUNTIF(AB$11:AB244,AB244)-1),(RANK(AB244,AB$11:AB$343,1)+COUNTIF(AB$11:AB244,AB244)-1)))</f>
        <v/>
      </c>
      <c r="AD244" s="174"/>
      <c r="AE244" s="36" t="str">
        <f t="shared" si="120"/>
        <v/>
      </c>
      <c r="AG244" s="15"/>
      <c r="AH244" s="3"/>
      <c r="AI244" s="5" t="str">
        <f>IF(L244="","",VLOOKUP($L244,classifications!$C:$J,8,FALSE))</f>
        <v/>
      </c>
      <c r="AJ244" s="43" t="str">
        <f t="shared" si="121"/>
        <v/>
      </c>
      <c r="AK244" s="40" t="str">
        <f>IF(AJ244="","",IF(I$8="A",(RANK(AJ244,AJ$11:AJ$343,1)+COUNTIF(AJ$11:AJ244,AJ244)-1),(RANK(AJ244,AJ$11:AJ$343)+COUNTIF(AJ$11:AJ244,AJ244)-1)))</f>
        <v/>
      </c>
      <c r="AL244" s="3" t="str">
        <f t="shared" si="122"/>
        <v/>
      </c>
      <c r="AM244" t="str">
        <f t="shared" si="123"/>
        <v/>
      </c>
      <c r="AN244" t="str">
        <f t="shared" si="124"/>
        <v/>
      </c>
      <c r="AP244" s="5" t="str">
        <f>IF(L244="","",VLOOKUP($L244,classifications!$C:$E,3,FALSE))</f>
        <v/>
      </c>
      <c r="AQ244" s="43" t="str">
        <f t="shared" si="125"/>
        <v/>
      </c>
      <c r="AR244" s="40" t="str">
        <f>IF(AQ244="","",IF(I$8="A",(RANK(AQ244,AQ$11:AQ$343,1)+COUNTIF(AQ$11:AQ244,AQ244)-1),(RANK(AQ244,AQ$11:AQ$343)+COUNTIF(AQ$11:AQ244,AQ244)-1)))</f>
        <v/>
      </c>
      <c r="AS244" s="3" t="str">
        <f t="shared" si="126"/>
        <v/>
      </c>
      <c r="AT244" s="40" t="str">
        <f t="shared" si="127"/>
        <v/>
      </c>
      <c r="AU244" s="43" t="str">
        <f t="shared" si="128"/>
        <v/>
      </c>
      <c r="AX244">
        <f>HLOOKUP($AX$9&amp;$AX$10,Data!$A$1:$ZZ$1980,(MATCH($C244,Data!$A$1:$A$1980,0)),FALSE)</f>
        <v>373.6</v>
      </c>
    </row>
    <row r="245" spans="1:50">
      <c r="A245" s="59" t="str">
        <f>$D$1&amp;235</f>
        <v>UA235</v>
      </c>
      <c r="B245" s="60">
        <f>IF(ISERROR(VLOOKUP(A250,classifications!A:C,3,FALSE)),0,VLOOKUP(A250,classifications!A:C,3,FALSE))</f>
        <v>0</v>
      </c>
      <c r="C245" t="s">
        <v>134</v>
      </c>
      <c r="D245" t="str">
        <f>VLOOKUP($C245,classifications!$C:$J,4,FALSE)</f>
        <v>SD</v>
      </c>
      <c r="E245" t="str">
        <f>VLOOKUP(C245,classifications!C:K,9,FALSE)</f>
        <v>Sparse</v>
      </c>
      <c r="F245" t="str">
        <f t="shared" si="106"/>
        <v>..</v>
      </c>
      <c r="G245" s="15"/>
      <c r="H245" s="42" t="str">
        <f t="shared" si="107"/>
        <v/>
      </c>
      <c r="I245" s="79" t="str">
        <f>IF(H245="","",IF($I$8="A",(RANK(H245,H$11:H$343,1)+COUNTIF(H$11:H245,H245)-1),(RANK(H245,H$11:H$343)+COUNTIF(H$11:H245,H245)-1)))</f>
        <v/>
      </c>
      <c r="J245" s="41"/>
      <c r="K245" s="36" t="str">
        <f t="shared" si="108"/>
        <v/>
      </c>
      <c r="L245" t="str">
        <f t="shared" si="109"/>
        <v/>
      </c>
      <c r="M245" s="117" t="str">
        <f t="shared" si="110"/>
        <v/>
      </c>
      <c r="N245" s="112" t="str">
        <f t="shared" si="111"/>
        <v/>
      </c>
      <c r="O245" s="96" t="str">
        <f t="shared" si="112"/>
        <v/>
      </c>
      <c r="P245" s="96" t="str">
        <f t="shared" si="113"/>
        <v/>
      </c>
      <c r="Q245" s="96" t="str">
        <f t="shared" si="114"/>
        <v/>
      </c>
      <c r="R245" s="92" t="str">
        <f t="shared" si="115"/>
        <v/>
      </c>
      <c r="S245" s="42" t="str">
        <f t="shared" si="116"/>
        <v/>
      </c>
      <c r="T245" s="167" t="str">
        <f>IF(L245="","",VLOOKUP(L245,classifications!C:K,9,FALSE))</f>
        <v/>
      </c>
      <c r="U245" s="168" t="str">
        <f t="shared" si="117"/>
        <v/>
      </c>
      <c r="V245" s="174" t="str">
        <f>IF(U245="","",IF($I$8="A",(RANK(U245,U$11:U$343)+COUNTIF(U$11:U245,U245)-1),(RANK(U245,U$11:U$343,1)+COUNTIF(U$11:U245,U245)-1)))</f>
        <v/>
      </c>
      <c r="W245" s="175"/>
      <c r="X245" s="5" t="str">
        <f>IF(L245="","",VLOOKUP($L245,classifications!$C:$J,6,FALSE))</f>
        <v/>
      </c>
      <c r="Y245" t="str">
        <f t="shared" si="118"/>
        <v/>
      </c>
      <c r="Z245" s="40" t="str">
        <f>IF(Y245="","",IF(I$8="A",(RANK(Y245,Y$11:Y$343,1)+COUNTIF(Y$11:Y245,Y245)-1),(RANK(Y245,Y$11:Y$343)+COUNTIF(Y$11:Y245,Y245)-1)))</f>
        <v/>
      </c>
      <c r="AA245" s="180" t="str">
        <f>IF(L245="","",VLOOKUP($L245,classifications!C:I,7,FALSE))</f>
        <v/>
      </c>
      <c r="AB245" s="174" t="str">
        <f t="shared" si="119"/>
        <v/>
      </c>
      <c r="AC245" s="174" t="str">
        <f>IF(AB245="","",IF($I$8="A",(RANK(AB245,AB$11:AB$343)+COUNTIF(AB$11:AB245,AB245)-1),(RANK(AB245,AB$11:AB$343,1)+COUNTIF(AB$11:AB245,AB245)-1)))</f>
        <v/>
      </c>
      <c r="AD245" s="174"/>
      <c r="AE245" s="36" t="str">
        <f t="shared" si="120"/>
        <v/>
      </c>
      <c r="AG245" s="15"/>
      <c r="AH245" s="3"/>
      <c r="AI245" s="5" t="str">
        <f>IF(L245="","",VLOOKUP($L245,classifications!$C:$J,8,FALSE))</f>
        <v/>
      </c>
      <c r="AJ245" s="43" t="str">
        <f t="shared" si="121"/>
        <v/>
      </c>
      <c r="AK245" s="40" t="str">
        <f>IF(AJ245="","",IF(I$8="A",(RANK(AJ245,AJ$11:AJ$343,1)+COUNTIF(AJ$11:AJ245,AJ245)-1),(RANK(AJ245,AJ$11:AJ$343)+COUNTIF(AJ$11:AJ245,AJ245)-1)))</f>
        <v/>
      </c>
      <c r="AL245" s="3" t="str">
        <f t="shared" si="122"/>
        <v/>
      </c>
      <c r="AM245" t="str">
        <f t="shared" si="123"/>
        <v/>
      </c>
      <c r="AN245" t="str">
        <f t="shared" si="124"/>
        <v/>
      </c>
      <c r="AP245" s="5" t="str">
        <f>IF(L245="","",VLOOKUP($L245,classifications!$C:$E,3,FALSE))</f>
        <v/>
      </c>
      <c r="AQ245" s="43" t="str">
        <f t="shared" si="125"/>
        <v/>
      </c>
      <c r="AR245" s="40" t="str">
        <f>IF(AQ245="","",IF(I$8="A",(RANK(AQ245,AQ$11:AQ$343,1)+COUNTIF(AQ$11:AQ245,AQ245)-1),(RANK(AQ245,AQ$11:AQ$343)+COUNTIF(AQ$11:AQ245,AQ245)-1)))</f>
        <v/>
      </c>
      <c r="AS245" s="3" t="str">
        <f t="shared" si="126"/>
        <v/>
      </c>
      <c r="AT245" s="40" t="str">
        <f t="shared" si="127"/>
        <v/>
      </c>
      <c r="AU245" s="43" t="str">
        <f t="shared" si="128"/>
        <v/>
      </c>
      <c r="AX245" t="str">
        <f>HLOOKUP($AX$9&amp;$AX$10,Data!$A$1:$ZZ$1980,(MATCH($C245,Data!$A$1:$A$1980,0)),FALSE)</f>
        <v>..</v>
      </c>
    </row>
    <row r="246" spans="1:50">
      <c r="A246" s="59" t="str">
        <f>$D$1&amp;236</f>
        <v>UA236</v>
      </c>
      <c r="B246" s="60">
        <f>IF(ISERROR(VLOOKUP(A251,classifications!A:C,3,FALSE)),0,VLOOKUP(A251,classifications!A:C,3,FALSE))</f>
        <v>0</v>
      </c>
      <c r="C246" t="s">
        <v>245</v>
      </c>
      <c r="D246" t="str">
        <f>VLOOKUP($C246,classifications!$C:$J,4,FALSE)</f>
        <v>MD</v>
      </c>
      <c r="E246">
        <f>VLOOKUP(C246,classifications!C:K,9,FALSE)</f>
        <v>0</v>
      </c>
      <c r="F246">
        <f t="shared" si="106"/>
        <v>384.3</v>
      </c>
      <c r="G246" s="15"/>
      <c r="H246" s="42" t="str">
        <f t="shared" si="107"/>
        <v/>
      </c>
      <c r="I246" s="79" t="str">
        <f>IF(H246="","",IF($I$8="A",(RANK(H246,H$11:H$343,1)+COUNTIF(H$11:H246,H246)-1),(RANK(H246,H$11:H$343)+COUNTIF(H$11:H246,H246)-1)))</f>
        <v/>
      </c>
      <c r="J246" s="41"/>
      <c r="K246" s="36" t="str">
        <f t="shared" si="108"/>
        <v/>
      </c>
      <c r="L246" t="str">
        <f t="shared" si="109"/>
        <v/>
      </c>
      <c r="M246" s="117" t="str">
        <f t="shared" si="110"/>
        <v/>
      </c>
      <c r="N246" s="112" t="str">
        <f t="shared" si="111"/>
        <v/>
      </c>
      <c r="O246" s="96" t="str">
        <f t="shared" si="112"/>
        <v/>
      </c>
      <c r="P246" s="96" t="str">
        <f t="shared" si="113"/>
        <v/>
      </c>
      <c r="Q246" s="96" t="str">
        <f t="shared" si="114"/>
        <v/>
      </c>
      <c r="R246" s="92" t="str">
        <f t="shared" si="115"/>
        <v/>
      </c>
      <c r="S246" s="42" t="str">
        <f t="shared" si="116"/>
        <v/>
      </c>
      <c r="T246" s="167" t="str">
        <f>IF(L246="","",VLOOKUP(L246,classifications!C:K,9,FALSE))</f>
        <v/>
      </c>
      <c r="U246" s="168" t="str">
        <f t="shared" si="117"/>
        <v/>
      </c>
      <c r="V246" s="174" t="str">
        <f>IF(U246="","",IF($I$8="A",(RANK(U246,U$11:U$343)+COUNTIF(U$11:U246,U246)-1),(RANK(U246,U$11:U$343,1)+COUNTIF(U$11:U246,U246)-1)))</f>
        <v/>
      </c>
      <c r="W246" s="175"/>
      <c r="X246" s="5" t="str">
        <f>IF(L246="","",VLOOKUP($L246,classifications!$C:$J,6,FALSE))</f>
        <v/>
      </c>
      <c r="Y246" t="str">
        <f t="shared" si="118"/>
        <v/>
      </c>
      <c r="Z246" s="40" t="str">
        <f>IF(Y246="","",IF(I$8="A",(RANK(Y246,Y$11:Y$343,1)+COUNTIF(Y$11:Y246,Y246)-1),(RANK(Y246,Y$11:Y$343)+COUNTIF(Y$11:Y246,Y246)-1)))</f>
        <v/>
      </c>
      <c r="AA246" s="180" t="str">
        <f>IF(L246="","",VLOOKUP($L246,classifications!C:I,7,FALSE))</f>
        <v/>
      </c>
      <c r="AB246" s="174" t="str">
        <f t="shared" si="119"/>
        <v/>
      </c>
      <c r="AC246" s="174" t="str">
        <f>IF(AB246="","",IF($I$8="A",(RANK(AB246,AB$11:AB$343)+COUNTIF(AB$11:AB246,AB246)-1),(RANK(AB246,AB$11:AB$343,1)+COUNTIF(AB$11:AB246,AB246)-1)))</f>
        <v/>
      </c>
      <c r="AD246" s="174"/>
      <c r="AE246" s="36" t="str">
        <f t="shared" si="120"/>
        <v/>
      </c>
      <c r="AG246" s="15"/>
      <c r="AH246" s="3"/>
      <c r="AI246" s="5" t="str">
        <f>IF(L246="","",VLOOKUP($L246,classifications!$C:$J,8,FALSE))</f>
        <v/>
      </c>
      <c r="AJ246" s="43" t="str">
        <f t="shared" si="121"/>
        <v/>
      </c>
      <c r="AK246" s="40" t="str">
        <f>IF(AJ246="","",IF(I$8="A",(RANK(AJ246,AJ$11:AJ$343,1)+COUNTIF(AJ$11:AJ246,AJ246)-1),(RANK(AJ246,AJ$11:AJ$343)+COUNTIF(AJ$11:AJ246,AJ246)-1)))</f>
        <v/>
      </c>
      <c r="AL246" s="3" t="str">
        <f t="shared" si="122"/>
        <v/>
      </c>
      <c r="AM246" t="str">
        <f t="shared" si="123"/>
        <v/>
      </c>
      <c r="AN246" t="str">
        <f t="shared" si="124"/>
        <v/>
      </c>
      <c r="AP246" s="5" t="str">
        <f>IF(L246="","",VLOOKUP($L246,classifications!$C:$E,3,FALSE))</f>
        <v/>
      </c>
      <c r="AQ246" s="43" t="str">
        <f t="shared" si="125"/>
        <v/>
      </c>
      <c r="AR246" s="40" t="str">
        <f>IF(AQ246="","",IF(I$8="A",(RANK(AQ246,AQ$11:AQ$343,1)+COUNTIF(AQ$11:AQ246,AQ246)-1),(RANK(AQ246,AQ$11:AQ$343)+COUNTIF(AQ$11:AQ246,AQ246)-1)))</f>
        <v/>
      </c>
      <c r="AS246" s="3" t="str">
        <f t="shared" si="126"/>
        <v/>
      </c>
      <c r="AT246" s="40" t="str">
        <f t="shared" si="127"/>
        <v/>
      </c>
      <c r="AU246" s="43" t="str">
        <f t="shared" si="128"/>
        <v/>
      </c>
      <c r="AX246">
        <f>HLOOKUP($AX$9&amp;$AX$10,Data!$A$1:$ZZ$1980,(MATCH($C246,Data!$A$1:$A$1980,0)),FALSE)</f>
        <v>384.3</v>
      </c>
    </row>
    <row r="247" spans="1:50">
      <c r="A247" s="59" t="str">
        <f>$D$1&amp;237</f>
        <v>UA237</v>
      </c>
      <c r="B247" s="60">
        <f>IF(ISERROR(VLOOKUP(A252,classifications!A:C,3,FALSE)),0,VLOOKUP(A252,classifications!A:C,3,FALSE))</f>
        <v>0</v>
      </c>
      <c r="C247" t="s">
        <v>135</v>
      </c>
      <c r="D247" t="str">
        <f>VLOOKUP($C247,classifications!$C:$J,4,FALSE)</f>
        <v>SD</v>
      </c>
      <c r="E247" t="str">
        <f>VLOOKUP(C247,classifications!C:K,9,FALSE)</f>
        <v>Sparse</v>
      </c>
      <c r="F247">
        <f t="shared" si="106"/>
        <v>414.7</v>
      </c>
      <c r="G247" s="15"/>
      <c r="H247" s="42" t="str">
        <f t="shared" si="107"/>
        <v/>
      </c>
      <c r="I247" s="79" t="str">
        <f>IF(H247="","",IF($I$8="A",(RANK(H247,H$11:H$343,1)+COUNTIF(H$11:H247,H247)-1),(RANK(H247,H$11:H$343)+COUNTIF(H$11:H247,H247)-1)))</f>
        <v/>
      </c>
      <c r="J247" s="41"/>
      <c r="K247" s="36" t="str">
        <f t="shared" si="108"/>
        <v/>
      </c>
      <c r="L247" t="str">
        <f t="shared" si="109"/>
        <v/>
      </c>
      <c r="M247" s="117" t="str">
        <f t="shared" si="110"/>
        <v/>
      </c>
      <c r="N247" s="112" t="str">
        <f t="shared" si="111"/>
        <v/>
      </c>
      <c r="O247" s="96" t="str">
        <f t="shared" si="112"/>
        <v/>
      </c>
      <c r="P247" s="96" t="str">
        <f t="shared" si="113"/>
        <v/>
      </c>
      <c r="Q247" s="96" t="str">
        <f t="shared" si="114"/>
        <v/>
      </c>
      <c r="R247" s="92" t="str">
        <f t="shared" si="115"/>
        <v/>
      </c>
      <c r="S247" s="42" t="str">
        <f t="shared" si="116"/>
        <v/>
      </c>
      <c r="T247" s="167" t="str">
        <f>IF(L247="","",VLOOKUP(L247,classifications!C:K,9,FALSE))</f>
        <v/>
      </c>
      <c r="U247" s="168" t="str">
        <f t="shared" si="117"/>
        <v/>
      </c>
      <c r="V247" s="174" t="str">
        <f>IF(U247="","",IF($I$8="A",(RANK(U247,U$11:U$343)+COUNTIF(U$11:U247,U247)-1),(RANK(U247,U$11:U$343,1)+COUNTIF(U$11:U247,U247)-1)))</f>
        <v/>
      </c>
      <c r="W247" s="175"/>
      <c r="X247" s="5" t="str">
        <f>IF(L247="","",VLOOKUP($L247,classifications!$C:$J,6,FALSE))</f>
        <v/>
      </c>
      <c r="Y247" t="str">
        <f t="shared" si="118"/>
        <v/>
      </c>
      <c r="Z247" s="40" t="str">
        <f>IF(Y247="","",IF(I$8="A",(RANK(Y247,Y$11:Y$343,1)+COUNTIF(Y$11:Y247,Y247)-1),(RANK(Y247,Y$11:Y$343)+COUNTIF(Y$11:Y247,Y247)-1)))</f>
        <v/>
      </c>
      <c r="AA247" s="180" t="str">
        <f>IF(L247="","",VLOOKUP($L247,classifications!C:I,7,FALSE))</f>
        <v/>
      </c>
      <c r="AB247" s="174" t="str">
        <f t="shared" si="119"/>
        <v/>
      </c>
      <c r="AC247" s="174" t="str">
        <f>IF(AB247="","",IF($I$8="A",(RANK(AB247,AB$11:AB$343)+COUNTIF(AB$11:AB247,AB247)-1),(RANK(AB247,AB$11:AB$343,1)+COUNTIF(AB$11:AB247,AB247)-1)))</f>
        <v/>
      </c>
      <c r="AD247" s="174"/>
      <c r="AE247" s="36" t="str">
        <f t="shared" si="120"/>
        <v/>
      </c>
      <c r="AG247" s="15"/>
      <c r="AH247" s="3"/>
      <c r="AI247" s="5" t="str">
        <f>IF(L247="","",VLOOKUP($L247,classifications!$C:$J,8,FALSE))</f>
        <v/>
      </c>
      <c r="AJ247" s="43" t="str">
        <f t="shared" si="121"/>
        <v/>
      </c>
      <c r="AK247" s="40" t="str">
        <f>IF(AJ247="","",IF(I$8="A",(RANK(AJ247,AJ$11:AJ$343,1)+COUNTIF(AJ$11:AJ247,AJ247)-1),(RANK(AJ247,AJ$11:AJ$343)+COUNTIF(AJ$11:AJ247,AJ247)-1)))</f>
        <v/>
      </c>
      <c r="AL247" s="3" t="str">
        <f t="shared" si="122"/>
        <v/>
      </c>
      <c r="AM247" t="str">
        <f t="shared" si="123"/>
        <v/>
      </c>
      <c r="AN247" t="str">
        <f t="shared" si="124"/>
        <v/>
      </c>
      <c r="AP247" s="5" t="str">
        <f>IF(L247="","",VLOOKUP($L247,classifications!$C:$E,3,FALSE))</f>
        <v/>
      </c>
      <c r="AQ247" s="43" t="str">
        <f t="shared" si="125"/>
        <v/>
      </c>
      <c r="AR247" s="40" t="str">
        <f>IF(AQ247="","",IF(I$8="A",(RANK(AQ247,AQ$11:AQ$343,1)+COUNTIF(AQ$11:AQ247,AQ247)-1),(RANK(AQ247,AQ$11:AQ$343)+COUNTIF(AQ$11:AQ247,AQ247)-1)))</f>
        <v/>
      </c>
      <c r="AS247" s="3" t="str">
        <f t="shared" si="126"/>
        <v/>
      </c>
      <c r="AT247" s="40" t="str">
        <f t="shared" si="127"/>
        <v/>
      </c>
      <c r="AU247" s="43" t="str">
        <f t="shared" si="128"/>
        <v/>
      </c>
      <c r="AX247">
        <f>HLOOKUP($AX$9&amp;$AX$10,Data!$A$1:$ZZ$1980,(MATCH($C247,Data!$A$1:$A$1980,0)),FALSE)</f>
        <v>414.7</v>
      </c>
    </row>
    <row r="248" spans="1:50">
      <c r="A248" s="59" t="str">
        <f>$D$1&amp;238</f>
        <v>UA238</v>
      </c>
      <c r="B248" s="60">
        <f>IF(ISERROR(VLOOKUP(A253,classifications!A:C,3,FALSE)),0,VLOOKUP(A253,classifications!A:C,3,FALSE))</f>
        <v>0</v>
      </c>
      <c r="C248" t="s">
        <v>136</v>
      </c>
      <c r="D248" t="str">
        <f>VLOOKUP($C248,classifications!$C:$J,4,FALSE)</f>
        <v>SD</v>
      </c>
      <c r="E248">
        <f>VLOOKUP(C248,classifications!C:K,9,FALSE)</f>
        <v>0</v>
      </c>
      <c r="F248">
        <f t="shared" si="106"/>
        <v>379.3</v>
      </c>
      <c r="G248" s="15"/>
      <c r="H248" s="42" t="str">
        <f t="shared" si="107"/>
        <v/>
      </c>
      <c r="I248" s="79" t="str">
        <f>IF(H248="","",IF($I$8="A",(RANK(H248,H$11:H$343,1)+COUNTIF(H$11:H248,H248)-1),(RANK(H248,H$11:H$343)+COUNTIF(H$11:H248,H248)-1)))</f>
        <v/>
      </c>
      <c r="J248" s="41"/>
      <c r="K248" s="36" t="str">
        <f t="shared" si="108"/>
        <v/>
      </c>
      <c r="L248" t="str">
        <f t="shared" si="109"/>
        <v/>
      </c>
      <c r="M248" s="117" t="str">
        <f t="shared" si="110"/>
        <v/>
      </c>
      <c r="N248" s="112" t="str">
        <f t="shared" si="111"/>
        <v/>
      </c>
      <c r="O248" s="96" t="str">
        <f t="shared" si="112"/>
        <v/>
      </c>
      <c r="P248" s="96" t="str">
        <f t="shared" si="113"/>
        <v/>
      </c>
      <c r="Q248" s="96" t="str">
        <f t="shared" si="114"/>
        <v/>
      </c>
      <c r="R248" s="92" t="str">
        <f t="shared" si="115"/>
        <v/>
      </c>
      <c r="S248" s="42" t="str">
        <f t="shared" si="116"/>
        <v/>
      </c>
      <c r="T248" s="167" t="str">
        <f>IF(L248="","",VLOOKUP(L248,classifications!C:K,9,FALSE))</f>
        <v/>
      </c>
      <c r="U248" s="168" t="str">
        <f t="shared" si="117"/>
        <v/>
      </c>
      <c r="V248" s="174" t="str">
        <f>IF(U248="","",IF($I$8="A",(RANK(U248,U$11:U$343)+COUNTIF(U$11:U248,U248)-1),(RANK(U248,U$11:U$343,1)+COUNTIF(U$11:U248,U248)-1)))</f>
        <v/>
      </c>
      <c r="W248" s="175"/>
      <c r="X248" s="5" t="str">
        <f>IF(L248="","",VLOOKUP($L248,classifications!$C:$J,6,FALSE))</f>
        <v/>
      </c>
      <c r="Y248" t="str">
        <f t="shared" si="118"/>
        <v/>
      </c>
      <c r="Z248" s="40" t="str">
        <f>IF(Y248="","",IF(I$8="A",(RANK(Y248,Y$11:Y$343,1)+COUNTIF(Y$11:Y248,Y248)-1),(RANK(Y248,Y$11:Y$343)+COUNTIF(Y$11:Y248,Y248)-1)))</f>
        <v/>
      </c>
      <c r="AA248" s="180" t="str">
        <f>IF(L248="","",VLOOKUP($L248,classifications!C:I,7,FALSE))</f>
        <v/>
      </c>
      <c r="AB248" s="174" t="str">
        <f t="shared" si="119"/>
        <v/>
      </c>
      <c r="AC248" s="174" t="str">
        <f>IF(AB248="","",IF($I$8="A",(RANK(AB248,AB$11:AB$343)+COUNTIF(AB$11:AB248,AB248)-1),(RANK(AB248,AB$11:AB$343,1)+COUNTIF(AB$11:AB248,AB248)-1)))</f>
        <v/>
      </c>
      <c r="AD248" s="174"/>
      <c r="AE248" s="36" t="str">
        <f t="shared" si="120"/>
        <v/>
      </c>
      <c r="AG248" s="15"/>
      <c r="AH248" s="3"/>
      <c r="AI248" s="5" t="str">
        <f>IF(L248="","",VLOOKUP($L248,classifications!$C:$J,8,FALSE))</f>
        <v/>
      </c>
      <c r="AJ248" s="43" t="str">
        <f t="shared" si="121"/>
        <v/>
      </c>
      <c r="AK248" s="40" t="str">
        <f>IF(AJ248="","",IF(I$8="A",(RANK(AJ248,AJ$11:AJ$343,1)+COUNTIF(AJ$11:AJ248,AJ248)-1),(RANK(AJ248,AJ$11:AJ$343)+COUNTIF(AJ$11:AJ248,AJ248)-1)))</f>
        <v/>
      </c>
      <c r="AL248" s="3" t="str">
        <f t="shared" si="122"/>
        <v/>
      </c>
      <c r="AM248" t="str">
        <f t="shared" si="123"/>
        <v/>
      </c>
      <c r="AN248" t="str">
        <f t="shared" si="124"/>
        <v/>
      </c>
      <c r="AP248" s="5" t="str">
        <f>IF(L248="","",VLOOKUP($L248,classifications!$C:$E,3,FALSE))</f>
        <v/>
      </c>
      <c r="AQ248" s="43" t="str">
        <f t="shared" si="125"/>
        <v/>
      </c>
      <c r="AR248" s="40" t="str">
        <f>IF(AQ248="","",IF(I$8="A",(RANK(AQ248,AQ$11:AQ$343,1)+COUNTIF(AQ$11:AQ248,AQ248)-1),(RANK(AQ248,AQ$11:AQ$343)+COUNTIF(AQ$11:AQ248,AQ248)-1)))</f>
        <v/>
      </c>
      <c r="AS248" s="3" t="str">
        <f t="shared" si="126"/>
        <v/>
      </c>
      <c r="AT248" s="40" t="str">
        <f t="shared" si="127"/>
        <v/>
      </c>
      <c r="AU248" s="43" t="str">
        <f t="shared" si="128"/>
        <v/>
      </c>
      <c r="AX248">
        <f>HLOOKUP($AX$9&amp;$AX$10,Data!$A$1:$ZZ$1980,(MATCH($C248,Data!$A$1:$A$1980,0)),FALSE)</f>
        <v>379.3</v>
      </c>
    </row>
    <row r="249" spans="1:50">
      <c r="A249" s="59" t="str">
        <f>$D$1&amp;239</f>
        <v>UA239</v>
      </c>
      <c r="B249" s="60">
        <f>IF(ISERROR(VLOOKUP(A254,classifications!A:C,3,FALSE)),0,VLOOKUP(A254,classifications!A:C,3,FALSE))</f>
        <v>0</v>
      </c>
      <c r="C249" t="s">
        <v>246</v>
      </c>
      <c r="D249" t="str">
        <f>VLOOKUP($C249,classifications!$C:$J,4,FALSE)</f>
        <v>MD</v>
      </c>
      <c r="E249">
        <f>VLOOKUP(C249,classifications!C:K,9,FALSE)</f>
        <v>0</v>
      </c>
      <c r="F249">
        <f t="shared" si="106"/>
        <v>321.3</v>
      </c>
      <c r="G249" s="15"/>
      <c r="H249" s="42" t="str">
        <f t="shared" si="107"/>
        <v/>
      </c>
      <c r="I249" s="79" t="str">
        <f>IF(H249="","",IF($I$8="A",(RANK(H249,H$11:H$343,1)+COUNTIF(H$11:H249,H249)-1),(RANK(H249,H$11:H$343)+COUNTIF(H$11:H249,H249)-1)))</f>
        <v/>
      </c>
      <c r="J249" s="41"/>
      <c r="K249" s="36" t="str">
        <f t="shared" si="108"/>
        <v/>
      </c>
      <c r="L249" t="str">
        <f t="shared" si="109"/>
        <v/>
      </c>
      <c r="M249" s="117" t="str">
        <f t="shared" si="110"/>
        <v/>
      </c>
      <c r="N249" s="112" t="str">
        <f t="shared" si="111"/>
        <v/>
      </c>
      <c r="O249" s="96" t="str">
        <f t="shared" si="112"/>
        <v/>
      </c>
      <c r="P249" s="96" t="str">
        <f t="shared" si="113"/>
        <v/>
      </c>
      <c r="Q249" s="96" t="str">
        <f t="shared" si="114"/>
        <v/>
      </c>
      <c r="R249" s="92" t="str">
        <f t="shared" si="115"/>
        <v/>
      </c>
      <c r="S249" s="42" t="str">
        <f t="shared" si="116"/>
        <v/>
      </c>
      <c r="T249" s="167" t="str">
        <f>IF(L249="","",VLOOKUP(L249,classifications!C:K,9,FALSE))</f>
        <v/>
      </c>
      <c r="U249" s="168" t="str">
        <f t="shared" si="117"/>
        <v/>
      </c>
      <c r="V249" s="174" t="str">
        <f>IF(U249="","",IF($I$8="A",(RANK(U249,U$11:U$343)+COUNTIF(U$11:U249,U249)-1),(RANK(U249,U$11:U$343,1)+COUNTIF(U$11:U249,U249)-1)))</f>
        <v/>
      </c>
      <c r="W249" s="175"/>
      <c r="X249" s="5" t="str">
        <f>IF(L249="","",VLOOKUP($L249,classifications!$C:$J,6,FALSE))</f>
        <v/>
      </c>
      <c r="Y249" t="str">
        <f t="shared" si="118"/>
        <v/>
      </c>
      <c r="Z249" s="40" t="str">
        <f>IF(Y249="","",IF(I$8="A",(RANK(Y249,Y$11:Y$343,1)+COUNTIF(Y$11:Y249,Y249)-1),(RANK(Y249,Y$11:Y$343)+COUNTIF(Y$11:Y249,Y249)-1)))</f>
        <v/>
      </c>
      <c r="AA249" s="180" t="str">
        <f>IF(L249="","",VLOOKUP($L249,classifications!C:I,7,FALSE))</f>
        <v/>
      </c>
      <c r="AB249" s="174" t="str">
        <f t="shared" si="119"/>
        <v/>
      </c>
      <c r="AC249" s="174" t="str">
        <f>IF(AB249="","",IF($I$8="A",(RANK(AB249,AB$11:AB$343)+COUNTIF(AB$11:AB249,AB249)-1),(RANK(AB249,AB$11:AB$343,1)+COUNTIF(AB$11:AB249,AB249)-1)))</f>
        <v/>
      </c>
      <c r="AD249" s="174"/>
      <c r="AE249" s="36" t="str">
        <f t="shared" si="120"/>
        <v/>
      </c>
      <c r="AG249" s="15"/>
      <c r="AH249" s="3"/>
      <c r="AI249" s="5" t="str">
        <f>IF(L249="","",VLOOKUP($L249,classifications!$C:$J,8,FALSE))</f>
        <v/>
      </c>
      <c r="AJ249" s="43" t="str">
        <f t="shared" si="121"/>
        <v/>
      </c>
      <c r="AK249" s="40" t="str">
        <f>IF(AJ249="","",IF(I$8="A",(RANK(AJ249,AJ$11:AJ$343,1)+COUNTIF(AJ$11:AJ249,AJ249)-1),(RANK(AJ249,AJ$11:AJ$343)+COUNTIF(AJ$11:AJ249,AJ249)-1)))</f>
        <v/>
      </c>
      <c r="AL249" s="3" t="str">
        <f t="shared" si="122"/>
        <v/>
      </c>
      <c r="AM249" t="str">
        <f t="shared" si="123"/>
        <v/>
      </c>
      <c r="AN249" t="str">
        <f t="shared" si="124"/>
        <v/>
      </c>
      <c r="AP249" s="5" t="str">
        <f>IF(L249="","",VLOOKUP($L249,classifications!$C:$E,3,FALSE))</f>
        <v/>
      </c>
      <c r="AQ249" s="43" t="str">
        <f t="shared" si="125"/>
        <v/>
      </c>
      <c r="AR249" s="40" t="str">
        <f>IF(AQ249="","",IF(I$8="A",(RANK(AQ249,AQ$11:AQ$343,1)+COUNTIF(AQ$11:AQ249,AQ249)-1),(RANK(AQ249,AQ$11:AQ$343)+COUNTIF(AQ$11:AQ249,AQ249)-1)))</f>
        <v/>
      </c>
      <c r="AS249" s="3" t="str">
        <f t="shared" si="126"/>
        <v/>
      </c>
      <c r="AT249" s="40" t="str">
        <f t="shared" si="127"/>
        <v/>
      </c>
      <c r="AU249" s="43" t="str">
        <f t="shared" si="128"/>
        <v/>
      </c>
      <c r="AX249">
        <f>HLOOKUP($AX$9&amp;$AX$10,Data!$A$1:$ZZ$1980,(MATCH($C249,Data!$A$1:$A$1980,0)),FALSE)</f>
        <v>321.3</v>
      </c>
    </row>
    <row r="250" spans="1:50">
      <c r="A250" s="59" t="str">
        <f>$D$1&amp;240</f>
        <v>UA240</v>
      </c>
      <c r="B250" s="60">
        <f>IF(ISERROR(VLOOKUP(A255,classifications!A:C,3,FALSE)),0,VLOOKUP(A255,classifications!A:C,3,FALSE))</f>
        <v>0</v>
      </c>
      <c r="C250" t="s">
        <v>902</v>
      </c>
      <c r="D250" t="str">
        <f>VLOOKUP($C250,classifications!$C:$J,4,FALSE)</f>
        <v>SD</v>
      </c>
      <c r="E250">
        <f>VLOOKUP(C250,classifications!C:K,9,FALSE)</f>
        <v>0</v>
      </c>
      <c r="F250">
        <f t="shared" si="106"/>
        <v>363.2</v>
      </c>
      <c r="G250" s="15"/>
      <c r="H250" s="42" t="str">
        <f t="shared" si="107"/>
        <v/>
      </c>
      <c r="I250" s="79" t="str">
        <f>IF(H250="","",IF($I$8="A",(RANK(H250,H$11:H$343,1)+COUNTIF(H$11:H250,H250)-1),(RANK(H250,H$11:H$343)+COUNTIF(H$11:H250,H250)-1)))</f>
        <v/>
      </c>
      <c r="J250" s="41"/>
      <c r="K250" s="36" t="str">
        <f t="shared" si="108"/>
        <v/>
      </c>
      <c r="L250" t="str">
        <f t="shared" si="109"/>
        <v/>
      </c>
      <c r="M250" s="117" t="str">
        <f t="shared" si="110"/>
        <v/>
      </c>
      <c r="N250" s="112" t="str">
        <f t="shared" si="111"/>
        <v/>
      </c>
      <c r="O250" s="96" t="str">
        <f t="shared" si="112"/>
        <v/>
      </c>
      <c r="P250" s="96" t="str">
        <f t="shared" si="113"/>
        <v/>
      </c>
      <c r="Q250" s="96" t="str">
        <f t="shared" si="114"/>
        <v/>
      </c>
      <c r="R250" s="92" t="str">
        <f t="shared" si="115"/>
        <v/>
      </c>
      <c r="S250" s="42" t="str">
        <f t="shared" si="116"/>
        <v/>
      </c>
      <c r="T250" s="167" t="str">
        <f>IF(L250="","",VLOOKUP(L250,classifications!C:K,9,FALSE))</f>
        <v/>
      </c>
      <c r="U250" s="168" t="str">
        <f t="shared" si="117"/>
        <v/>
      </c>
      <c r="V250" s="174" t="str">
        <f>IF(U250="","",IF($I$8="A",(RANK(U250,U$11:U$343)+COUNTIF(U$11:U250,U250)-1),(RANK(U250,U$11:U$343,1)+COUNTIF(U$11:U250,U250)-1)))</f>
        <v/>
      </c>
      <c r="W250" s="175"/>
      <c r="X250" s="5" t="str">
        <f>IF(L250="","",VLOOKUP($L250,classifications!$C:$J,6,FALSE))</f>
        <v/>
      </c>
      <c r="Y250" t="str">
        <f t="shared" si="118"/>
        <v/>
      </c>
      <c r="Z250" s="40" t="str">
        <f>IF(Y250="","",IF(I$8="A",(RANK(Y250,Y$11:Y$343,1)+COUNTIF(Y$11:Y250,Y250)-1),(RANK(Y250,Y$11:Y$343)+COUNTIF(Y$11:Y250,Y250)-1)))</f>
        <v/>
      </c>
      <c r="AA250" s="180" t="str">
        <f>IF(L250="","",VLOOKUP($L250,classifications!C:I,7,FALSE))</f>
        <v/>
      </c>
      <c r="AB250" s="174" t="str">
        <f t="shared" si="119"/>
        <v/>
      </c>
      <c r="AC250" s="174" t="str">
        <f>IF(AB250="","",IF($I$8="A",(RANK(AB250,AB$11:AB$343)+COUNTIF(AB$11:AB250,AB250)-1),(RANK(AB250,AB$11:AB$343,1)+COUNTIF(AB$11:AB250,AB250)-1)))</f>
        <v/>
      </c>
      <c r="AD250" s="174"/>
      <c r="AE250" s="36" t="str">
        <f t="shared" si="120"/>
        <v/>
      </c>
      <c r="AG250" s="15"/>
      <c r="AH250" s="3"/>
      <c r="AI250" s="5" t="str">
        <f>IF(L250="","",VLOOKUP($L250,classifications!$C:$J,8,FALSE))</f>
        <v/>
      </c>
      <c r="AJ250" s="43" t="str">
        <f t="shared" si="121"/>
        <v/>
      </c>
      <c r="AK250" s="40" t="str">
        <f>IF(AJ250="","",IF(I$8="A",(RANK(AJ250,AJ$11:AJ$343,1)+COUNTIF(AJ$11:AJ250,AJ250)-1),(RANK(AJ250,AJ$11:AJ$343)+COUNTIF(AJ$11:AJ250,AJ250)-1)))</f>
        <v/>
      </c>
      <c r="AL250" s="3" t="str">
        <f t="shared" si="122"/>
        <v/>
      </c>
      <c r="AM250" t="str">
        <f t="shared" si="123"/>
        <v/>
      </c>
      <c r="AN250" t="str">
        <f t="shared" si="124"/>
        <v/>
      </c>
      <c r="AP250" s="5" t="str">
        <f>IF(L250="","",VLOOKUP($L250,classifications!$C:$E,3,FALSE))</f>
        <v/>
      </c>
      <c r="AQ250" s="43" t="str">
        <f t="shared" si="125"/>
        <v/>
      </c>
      <c r="AR250" s="40" t="str">
        <f>IF(AQ250="","",IF(I$8="A",(RANK(AQ250,AQ$11:AQ$343,1)+COUNTIF(AQ$11:AQ250,AQ250)-1),(RANK(AQ250,AQ$11:AQ$343)+COUNTIF(AQ$11:AQ250,AQ250)-1)))</f>
        <v/>
      </c>
      <c r="AS250" s="3" t="str">
        <f t="shared" si="126"/>
        <v/>
      </c>
      <c r="AT250" s="40" t="str">
        <f t="shared" si="127"/>
        <v/>
      </c>
      <c r="AU250" s="43" t="str">
        <f t="shared" si="128"/>
        <v/>
      </c>
      <c r="AX250">
        <f>HLOOKUP($AX$9&amp;$AX$10,Data!$A$1:$ZZ$1980,(MATCH($C250,Data!$A$1:$A$1980,0)),FALSE)</f>
        <v>363.2</v>
      </c>
    </row>
    <row r="251" spans="1:50">
      <c r="A251" s="59" t="str">
        <f>$D$1&amp;241</f>
        <v>UA241</v>
      </c>
      <c r="B251" s="60">
        <f>IF(ISERROR(VLOOKUP(A256,classifications!A:C,3,FALSE)),0,VLOOKUP(A256,classifications!A:C,3,FALSE))</f>
        <v>0</v>
      </c>
      <c r="C251" t="s">
        <v>326</v>
      </c>
      <c r="D251" t="str">
        <f>VLOOKUP($C251,classifications!$C:$J,4,FALSE)</f>
        <v>UA</v>
      </c>
      <c r="E251" t="str">
        <f>VLOOKUP(C251,classifications!C:K,9,FALSE)</f>
        <v>Sparse</v>
      </c>
      <c r="F251">
        <f t="shared" si="106"/>
        <v>479.3</v>
      </c>
      <c r="G251" s="15"/>
      <c r="H251" s="42">
        <f t="shared" si="107"/>
        <v>479.3</v>
      </c>
      <c r="I251" s="79">
        <f>IF(H251="","",IF($I$8="A",(RANK(H251,H$11:H$343,1)+COUNTIF(H$11:H251,H251)-1),(RANK(H251,H$11:H$343)+COUNTIF(H$11:H251,H251)-1)))</f>
        <v>58</v>
      </c>
      <c r="J251" s="41"/>
      <c r="K251" s="36" t="str">
        <f t="shared" si="108"/>
        <v/>
      </c>
      <c r="L251" t="str">
        <f t="shared" si="109"/>
        <v/>
      </c>
      <c r="M251" s="117" t="str">
        <f t="shared" si="110"/>
        <v/>
      </c>
      <c r="N251" s="112" t="str">
        <f t="shared" si="111"/>
        <v/>
      </c>
      <c r="O251" s="96" t="str">
        <f t="shared" si="112"/>
        <v/>
      </c>
      <c r="P251" s="96" t="str">
        <f t="shared" si="113"/>
        <v/>
      </c>
      <c r="Q251" s="96" t="str">
        <f t="shared" si="114"/>
        <v/>
      </c>
      <c r="R251" s="92" t="str">
        <f t="shared" si="115"/>
        <v/>
      </c>
      <c r="S251" s="42" t="str">
        <f t="shared" si="116"/>
        <v/>
      </c>
      <c r="T251" s="167" t="str">
        <f>IF(L251="","",VLOOKUP(L251,classifications!C:K,9,FALSE))</f>
        <v/>
      </c>
      <c r="U251" s="168" t="str">
        <f t="shared" si="117"/>
        <v/>
      </c>
      <c r="V251" s="174" t="str">
        <f>IF(U251="","",IF($I$8="A",(RANK(U251,U$11:U$343)+COUNTIF(U$11:U251,U251)-1),(RANK(U251,U$11:U$343,1)+COUNTIF(U$11:U251,U251)-1)))</f>
        <v/>
      </c>
      <c r="W251" s="175"/>
      <c r="X251" s="5" t="str">
        <f>IF(L251="","",VLOOKUP($L251,classifications!$C:$J,6,FALSE))</f>
        <v/>
      </c>
      <c r="Y251" t="str">
        <f t="shared" si="118"/>
        <v/>
      </c>
      <c r="Z251" s="40" t="str">
        <f>IF(Y251="","",IF(I$8="A",(RANK(Y251,Y$11:Y$343,1)+COUNTIF(Y$11:Y251,Y251)-1),(RANK(Y251,Y$11:Y$343)+COUNTIF(Y$11:Y251,Y251)-1)))</f>
        <v/>
      </c>
      <c r="AA251" s="180" t="str">
        <f>IF(L251="","",VLOOKUP($L251,classifications!C:I,7,FALSE))</f>
        <v/>
      </c>
      <c r="AB251" s="174" t="str">
        <f t="shared" si="119"/>
        <v/>
      </c>
      <c r="AC251" s="174" t="str">
        <f>IF(AB251="","",IF($I$8="A",(RANK(AB251,AB$11:AB$343)+COUNTIF(AB$11:AB251,AB251)-1),(RANK(AB251,AB$11:AB$343,1)+COUNTIF(AB$11:AB251,AB251)-1)))</f>
        <v/>
      </c>
      <c r="AD251" s="174"/>
      <c r="AE251" s="36" t="str">
        <f t="shared" si="120"/>
        <v/>
      </c>
      <c r="AG251" s="15"/>
      <c r="AH251" s="3"/>
      <c r="AI251" s="5" t="str">
        <f>IF(L251="","",VLOOKUP($L251,classifications!$C:$J,8,FALSE))</f>
        <v/>
      </c>
      <c r="AJ251" s="43" t="str">
        <f t="shared" si="121"/>
        <v/>
      </c>
      <c r="AK251" s="40" t="str">
        <f>IF(AJ251="","",IF(I$8="A",(RANK(AJ251,AJ$11:AJ$343,1)+COUNTIF(AJ$11:AJ251,AJ251)-1),(RANK(AJ251,AJ$11:AJ$343)+COUNTIF(AJ$11:AJ251,AJ251)-1)))</f>
        <v/>
      </c>
      <c r="AL251" s="3" t="str">
        <f t="shared" si="122"/>
        <v/>
      </c>
      <c r="AM251" t="str">
        <f t="shared" si="123"/>
        <v/>
      </c>
      <c r="AN251" t="str">
        <f t="shared" si="124"/>
        <v/>
      </c>
      <c r="AP251" s="5" t="str">
        <f>IF(L251="","",VLOOKUP($L251,classifications!$C:$E,3,FALSE))</f>
        <v/>
      </c>
      <c r="AQ251" s="43" t="str">
        <f t="shared" si="125"/>
        <v/>
      </c>
      <c r="AR251" s="40" t="str">
        <f>IF(AQ251="","",IF(I$8="A",(RANK(AQ251,AQ$11:AQ$343,1)+COUNTIF(AQ$11:AQ251,AQ251)-1),(RANK(AQ251,AQ$11:AQ$343)+COUNTIF(AQ$11:AQ251,AQ251)-1)))</f>
        <v/>
      </c>
      <c r="AS251" s="3" t="str">
        <f t="shared" si="126"/>
        <v/>
      </c>
      <c r="AT251" s="40" t="str">
        <f t="shared" si="127"/>
        <v/>
      </c>
      <c r="AU251" s="43" t="str">
        <f t="shared" si="128"/>
        <v/>
      </c>
      <c r="AX251">
        <f>HLOOKUP($AX$9&amp;$AX$10,Data!$A$1:$ZZ$1980,(MATCH($C251,Data!$A$1:$A$1980,0)),FALSE)</f>
        <v>479.3</v>
      </c>
    </row>
    <row r="252" spans="1:50">
      <c r="A252" s="59" t="str">
        <f>$D$1&amp;242</f>
        <v>UA242</v>
      </c>
      <c r="B252" s="60">
        <f>IF(ISERROR(VLOOKUP(A257,classifications!A:C,3,FALSE)),0,VLOOKUP(A257,classifications!A:C,3,FALSE))</f>
        <v>0</v>
      </c>
      <c r="C252" t="s">
        <v>287</v>
      </c>
      <c r="D252" t="str">
        <f>VLOOKUP($C252,classifications!$C:$J,4,FALSE)</f>
        <v>UA</v>
      </c>
      <c r="E252">
        <f>VLOOKUP(C252,classifications!C:K,9,FALSE)</f>
        <v>0</v>
      </c>
      <c r="F252">
        <f t="shared" si="106"/>
        <v>310.8</v>
      </c>
      <c r="G252" s="15"/>
      <c r="H252" s="42">
        <f t="shared" si="107"/>
        <v>310.8</v>
      </c>
      <c r="I252" s="79">
        <f>IF(H252="","",IF($I$8="A",(RANK(H252,H$11:H$343,1)+COUNTIF(H$11:H252,H252)-1),(RANK(H252,H$11:H$343)+COUNTIF(H$11:H252,H252)-1)))</f>
        <v>2</v>
      </c>
      <c r="J252" s="41"/>
      <c r="K252" s="36" t="str">
        <f t="shared" si="108"/>
        <v/>
      </c>
      <c r="L252" t="str">
        <f t="shared" si="109"/>
        <v/>
      </c>
      <c r="M252" s="117" t="str">
        <f t="shared" si="110"/>
        <v/>
      </c>
      <c r="N252" s="112" t="str">
        <f t="shared" si="111"/>
        <v/>
      </c>
      <c r="O252" s="96" t="str">
        <f t="shared" si="112"/>
        <v/>
      </c>
      <c r="P252" s="96" t="str">
        <f t="shared" si="113"/>
        <v/>
      </c>
      <c r="Q252" s="96" t="str">
        <f t="shared" si="114"/>
        <v/>
      </c>
      <c r="R252" s="92" t="str">
        <f t="shared" si="115"/>
        <v/>
      </c>
      <c r="S252" s="42" t="str">
        <f t="shared" si="116"/>
        <v/>
      </c>
      <c r="T252" s="167" t="str">
        <f>IF(L252="","",VLOOKUP(L252,classifications!C:K,9,FALSE))</f>
        <v/>
      </c>
      <c r="U252" s="168" t="str">
        <f t="shared" si="117"/>
        <v/>
      </c>
      <c r="V252" s="174" t="str">
        <f>IF(U252="","",IF($I$8="A",(RANK(U252,U$11:U$343)+COUNTIF(U$11:U252,U252)-1),(RANK(U252,U$11:U$343,1)+COUNTIF(U$11:U252,U252)-1)))</f>
        <v/>
      </c>
      <c r="W252" s="175"/>
      <c r="X252" s="5" t="str">
        <f>IF(L252="","",VLOOKUP($L252,classifications!$C:$J,6,FALSE))</f>
        <v/>
      </c>
      <c r="Y252" t="str">
        <f t="shared" si="118"/>
        <v/>
      </c>
      <c r="Z252" s="40" t="str">
        <f>IF(Y252="","",IF(I$8="A",(RANK(Y252,Y$11:Y$343,1)+COUNTIF(Y$11:Y252,Y252)-1),(RANK(Y252,Y$11:Y$343)+COUNTIF(Y$11:Y252,Y252)-1)))</f>
        <v/>
      </c>
      <c r="AA252" s="180" t="str">
        <f>IF(L252="","",VLOOKUP($L252,classifications!C:I,7,FALSE))</f>
        <v/>
      </c>
      <c r="AB252" s="174" t="str">
        <f t="shared" si="119"/>
        <v/>
      </c>
      <c r="AC252" s="174" t="str">
        <f>IF(AB252="","",IF($I$8="A",(RANK(AB252,AB$11:AB$343)+COUNTIF(AB$11:AB252,AB252)-1),(RANK(AB252,AB$11:AB$343,1)+COUNTIF(AB$11:AB252,AB252)-1)))</f>
        <v/>
      </c>
      <c r="AD252" s="174"/>
      <c r="AE252" s="36" t="str">
        <f t="shared" si="120"/>
        <v/>
      </c>
      <c r="AG252" s="15"/>
      <c r="AH252" s="3"/>
      <c r="AI252" s="5" t="str">
        <f>IF(L252="","",VLOOKUP($L252,classifications!$C:$J,8,FALSE))</f>
        <v/>
      </c>
      <c r="AJ252" s="43" t="str">
        <f t="shared" si="121"/>
        <v/>
      </c>
      <c r="AK252" s="40" t="str">
        <f>IF(AJ252="","",IF(I$8="A",(RANK(AJ252,AJ$11:AJ$343,1)+COUNTIF(AJ$11:AJ252,AJ252)-1),(RANK(AJ252,AJ$11:AJ$343)+COUNTIF(AJ$11:AJ252,AJ252)-1)))</f>
        <v/>
      </c>
      <c r="AL252" s="3" t="str">
        <f t="shared" si="122"/>
        <v/>
      </c>
      <c r="AM252" t="str">
        <f t="shared" si="123"/>
        <v/>
      </c>
      <c r="AN252" t="str">
        <f t="shared" si="124"/>
        <v/>
      </c>
      <c r="AP252" s="5" t="str">
        <f>IF(L252="","",VLOOKUP($L252,classifications!$C:$E,3,FALSE))</f>
        <v/>
      </c>
      <c r="AQ252" s="43" t="str">
        <f t="shared" si="125"/>
        <v/>
      </c>
      <c r="AR252" s="40" t="str">
        <f>IF(AQ252="","",IF(I$8="A",(RANK(AQ252,AQ$11:AQ$343,1)+COUNTIF(AQ$11:AQ252,AQ252)-1),(RANK(AQ252,AQ$11:AQ$343)+COUNTIF(AQ$11:AQ252,AQ252)-1)))</f>
        <v/>
      </c>
      <c r="AS252" s="3" t="str">
        <f t="shared" si="126"/>
        <v/>
      </c>
      <c r="AT252" s="40" t="str">
        <f t="shared" si="127"/>
        <v/>
      </c>
      <c r="AU252" s="43" t="str">
        <f t="shared" si="128"/>
        <v/>
      </c>
      <c r="AX252">
        <f>HLOOKUP($AX$9&amp;$AX$10,Data!$A$1:$ZZ$1980,(MATCH($C252,Data!$A$1:$A$1980,0)),FALSE)</f>
        <v>310.8</v>
      </c>
    </row>
    <row r="253" spans="1:50">
      <c r="A253" s="59" t="str">
        <f>$D$1&amp;243</f>
        <v>UA243</v>
      </c>
      <c r="B253" s="60">
        <f>IF(ISERROR(VLOOKUP(A258,classifications!A:C,3,FALSE)),0,VLOOKUP(A258,classifications!A:C,3,FALSE))</f>
        <v>0</v>
      </c>
      <c r="C253" t="s">
        <v>247</v>
      </c>
      <c r="D253" t="str">
        <f>VLOOKUP($C253,classifications!$C:$J,4,FALSE)</f>
        <v>MD</v>
      </c>
      <c r="E253">
        <f>VLOOKUP(C253,classifications!C:K,9,FALSE)</f>
        <v>0</v>
      </c>
      <c r="F253">
        <f t="shared" si="106"/>
        <v>403.9</v>
      </c>
      <c r="G253" s="15"/>
      <c r="H253" s="42" t="str">
        <f t="shared" si="107"/>
        <v/>
      </c>
      <c r="I253" s="79" t="str">
        <f>IF(H253="","",IF($I$8="A",(RANK(H253,H$11:H$343,1)+COUNTIF(H$11:H253,H253)-1),(RANK(H253,H$11:H$343)+COUNTIF(H$11:H253,H253)-1)))</f>
        <v/>
      </c>
      <c r="J253" s="41"/>
      <c r="K253" s="36" t="str">
        <f t="shared" si="108"/>
        <v/>
      </c>
      <c r="L253" t="str">
        <f t="shared" si="109"/>
        <v/>
      </c>
      <c r="M253" s="117" t="str">
        <f t="shared" si="110"/>
        <v/>
      </c>
      <c r="N253" s="112" t="str">
        <f t="shared" si="111"/>
        <v/>
      </c>
      <c r="O253" s="96" t="str">
        <f t="shared" si="112"/>
        <v/>
      </c>
      <c r="P253" s="96" t="str">
        <f t="shared" si="113"/>
        <v/>
      </c>
      <c r="Q253" s="96" t="str">
        <f t="shared" si="114"/>
        <v/>
      </c>
      <c r="R253" s="92" t="str">
        <f t="shared" si="115"/>
        <v/>
      </c>
      <c r="S253" s="42" t="str">
        <f t="shared" si="116"/>
        <v/>
      </c>
      <c r="T253" s="167" t="str">
        <f>IF(L253="","",VLOOKUP(L253,classifications!C:K,9,FALSE))</f>
        <v/>
      </c>
      <c r="U253" s="168" t="str">
        <f t="shared" si="117"/>
        <v/>
      </c>
      <c r="V253" s="174" t="str">
        <f>IF(U253="","",IF($I$8="A",(RANK(U253,U$11:U$343)+COUNTIF(U$11:U253,U253)-1),(RANK(U253,U$11:U$343,1)+COUNTIF(U$11:U253,U253)-1)))</f>
        <v/>
      </c>
      <c r="W253" s="175"/>
      <c r="X253" s="5" t="str">
        <f>IF(L253="","",VLOOKUP($L253,classifications!$C:$J,6,FALSE))</f>
        <v/>
      </c>
      <c r="Y253" t="str">
        <f t="shared" si="118"/>
        <v/>
      </c>
      <c r="Z253" s="40" t="str">
        <f>IF(Y253="","",IF(I$8="A",(RANK(Y253,Y$11:Y$343,1)+COUNTIF(Y$11:Y253,Y253)-1),(RANK(Y253,Y$11:Y$343)+COUNTIF(Y$11:Y253,Y253)-1)))</f>
        <v/>
      </c>
      <c r="AA253" s="180" t="str">
        <f>IF(L253="","",VLOOKUP($L253,classifications!C:I,7,FALSE))</f>
        <v/>
      </c>
      <c r="AB253" s="174" t="str">
        <f t="shared" si="119"/>
        <v/>
      </c>
      <c r="AC253" s="174" t="str">
        <f>IF(AB253="","",IF($I$8="A",(RANK(AB253,AB$11:AB$343)+COUNTIF(AB$11:AB253,AB253)-1),(RANK(AB253,AB$11:AB$343,1)+COUNTIF(AB$11:AB253,AB253)-1)))</f>
        <v/>
      </c>
      <c r="AD253" s="174"/>
      <c r="AE253" s="36" t="str">
        <f t="shared" si="120"/>
        <v/>
      </c>
      <c r="AG253" s="15"/>
      <c r="AH253" s="3"/>
      <c r="AI253" s="5" t="str">
        <f>IF(L253="","",VLOOKUP($L253,classifications!$C:$J,8,FALSE))</f>
        <v/>
      </c>
      <c r="AJ253" s="43" t="str">
        <f t="shared" si="121"/>
        <v/>
      </c>
      <c r="AK253" s="40" t="str">
        <f>IF(AJ253="","",IF(I$8="A",(RANK(AJ253,AJ$11:AJ$343,1)+COUNTIF(AJ$11:AJ253,AJ253)-1),(RANK(AJ253,AJ$11:AJ$343)+COUNTIF(AJ$11:AJ253,AJ253)-1)))</f>
        <v/>
      </c>
      <c r="AL253" s="3" t="str">
        <f t="shared" si="122"/>
        <v/>
      </c>
      <c r="AM253" t="str">
        <f t="shared" si="123"/>
        <v/>
      </c>
      <c r="AN253" t="str">
        <f t="shared" si="124"/>
        <v/>
      </c>
      <c r="AP253" s="5" t="str">
        <f>IF(L253="","",VLOOKUP($L253,classifications!$C:$E,3,FALSE))</f>
        <v/>
      </c>
      <c r="AQ253" s="43" t="str">
        <f t="shared" si="125"/>
        <v/>
      </c>
      <c r="AR253" s="40" t="str">
        <f>IF(AQ253="","",IF(I$8="A",(RANK(AQ253,AQ$11:AQ$343,1)+COUNTIF(AQ$11:AQ253,AQ253)-1),(RANK(AQ253,AQ$11:AQ$343)+COUNTIF(AQ$11:AQ253,AQ253)-1)))</f>
        <v/>
      </c>
      <c r="AS253" s="3" t="str">
        <f t="shared" si="126"/>
        <v/>
      </c>
      <c r="AT253" s="40" t="str">
        <f t="shared" si="127"/>
        <v/>
      </c>
      <c r="AU253" s="43" t="str">
        <f t="shared" si="128"/>
        <v/>
      </c>
      <c r="AX253">
        <f>HLOOKUP($AX$9&amp;$AX$10,Data!$A$1:$ZZ$1980,(MATCH($C253,Data!$A$1:$A$1980,0)),FALSE)</f>
        <v>403.9</v>
      </c>
    </row>
    <row r="254" spans="1:50">
      <c r="A254" s="59" t="str">
        <f>$D$1&amp;244</f>
        <v>UA244</v>
      </c>
      <c r="B254" s="60">
        <f>IF(ISERROR(VLOOKUP(A259,classifications!A:C,3,FALSE)),0,VLOOKUP(A259,classifications!A:C,3,FALSE))</f>
        <v>0</v>
      </c>
      <c r="C254" t="s">
        <v>327</v>
      </c>
      <c r="D254" t="str">
        <f>VLOOKUP($C254,classifications!$C:$J,4,FALSE)</f>
        <v>SC</v>
      </c>
      <c r="E254">
        <f>VLOOKUP(C254,classifications!C:K,9,FALSE)</f>
        <v>0</v>
      </c>
      <c r="F254" t="str">
        <f t="shared" si="106"/>
        <v>..</v>
      </c>
      <c r="G254" s="15"/>
      <c r="H254" s="42" t="str">
        <f t="shared" si="107"/>
        <v/>
      </c>
      <c r="I254" s="79" t="str">
        <f>IF(H254="","",IF($I$8="A",(RANK(H254,H$11:H$343,1)+COUNTIF(H$11:H254,H254)-1),(RANK(H254,H$11:H$343)+COUNTIF(H$11:H254,H254)-1)))</f>
        <v/>
      </c>
      <c r="J254" s="41"/>
      <c r="K254" s="36" t="str">
        <f t="shared" si="108"/>
        <v/>
      </c>
      <c r="L254" t="str">
        <f t="shared" si="109"/>
        <v/>
      </c>
      <c r="M254" s="117" t="str">
        <f t="shared" si="110"/>
        <v/>
      </c>
      <c r="N254" s="112" t="str">
        <f t="shared" si="111"/>
        <v/>
      </c>
      <c r="O254" s="96" t="str">
        <f t="shared" si="112"/>
        <v/>
      </c>
      <c r="P254" s="96" t="str">
        <f t="shared" si="113"/>
        <v/>
      </c>
      <c r="Q254" s="96" t="str">
        <f t="shared" si="114"/>
        <v/>
      </c>
      <c r="R254" s="92" t="str">
        <f t="shared" si="115"/>
        <v/>
      </c>
      <c r="S254" s="42" t="str">
        <f t="shared" si="116"/>
        <v/>
      </c>
      <c r="T254" s="167" t="str">
        <f>IF(L254="","",VLOOKUP(L254,classifications!C:K,9,FALSE))</f>
        <v/>
      </c>
      <c r="U254" s="168" t="str">
        <f t="shared" si="117"/>
        <v/>
      </c>
      <c r="V254" s="174" t="str">
        <f>IF(U254="","",IF($I$8="A",(RANK(U254,U$11:U$343)+COUNTIF(U$11:U254,U254)-1),(RANK(U254,U$11:U$343,1)+COUNTIF(U$11:U254,U254)-1)))</f>
        <v/>
      </c>
      <c r="W254" s="175"/>
      <c r="X254" s="5" t="str">
        <f>IF(L254="","",VLOOKUP($L254,classifications!$C:$J,6,FALSE))</f>
        <v/>
      </c>
      <c r="Y254" t="str">
        <f t="shared" si="118"/>
        <v/>
      </c>
      <c r="Z254" s="40" t="str">
        <f>IF(Y254="","",IF(I$8="A",(RANK(Y254,Y$11:Y$343,1)+COUNTIF(Y$11:Y254,Y254)-1),(RANK(Y254,Y$11:Y$343)+COUNTIF(Y$11:Y254,Y254)-1)))</f>
        <v/>
      </c>
      <c r="AA254" s="180" t="str">
        <f>IF(L254="","",VLOOKUP($L254,classifications!C:I,7,FALSE))</f>
        <v/>
      </c>
      <c r="AB254" s="174" t="str">
        <f t="shared" si="119"/>
        <v/>
      </c>
      <c r="AC254" s="174" t="str">
        <f>IF(AB254="","",IF($I$8="A",(RANK(AB254,AB$11:AB$343)+COUNTIF(AB$11:AB254,AB254)-1),(RANK(AB254,AB$11:AB$343,1)+COUNTIF(AB$11:AB254,AB254)-1)))</f>
        <v/>
      </c>
      <c r="AD254" s="174"/>
      <c r="AE254" s="36" t="str">
        <f t="shared" si="120"/>
        <v/>
      </c>
      <c r="AG254" s="15"/>
      <c r="AH254" s="3"/>
      <c r="AI254" s="5" t="str">
        <f>IF(L254="","",VLOOKUP($L254,classifications!$C:$J,8,FALSE))</f>
        <v/>
      </c>
      <c r="AJ254" s="43" t="str">
        <f t="shared" si="121"/>
        <v/>
      </c>
      <c r="AK254" s="40" t="str">
        <f>IF(AJ254="","",IF(I$8="A",(RANK(AJ254,AJ$11:AJ$343,1)+COUNTIF(AJ$11:AJ254,AJ254)-1),(RANK(AJ254,AJ$11:AJ$343)+COUNTIF(AJ$11:AJ254,AJ254)-1)))</f>
        <v/>
      </c>
      <c r="AL254" s="3" t="str">
        <f t="shared" si="122"/>
        <v/>
      </c>
      <c r="AM254" t="str">
        <f t="shared" si="123"/>
        <v/>
      </c>
      <c r="AN254" t="str">
        <f t="shared" si="124"/>
        <v/>
      </c>
      <c r="AP254" s="5" t="str">
        <f>IF(L254="","",VLOOKUP($L254,classifications!$C:$E,3,FALSE))</f>
        <v/>
      </c>
      <c r="AQ254" s="43" t="str">
        <f t="shared" si="125"/>
        <v/>
      </c>
      <c r="AR254" s="40" t="str">
        <f>IF(AQ254="","",IF(I$8="A",(RANK(AQ254,AQ$11:AQ$343,1)+COUNTIF(AQ$11:AQ254,AQ254)-1),(RANK(AQ254,AQ$11:AQ$343)+COUNTIF(AQ$11:AQ254,AQ254)-1)))</f>
        <v/>
      </c>
      <c r="AS254" s="3" t="str">
        <f t="shared" si="126"/>
        <v/>
      </c>
      <c r="AT254" s="40" t="str">
        <f t="shared" si="127"/>
        <v/>
      </c>
      <c r="AU254" s="43" t="str">
        <f t="shared" si="128"/>
        <v/>
      </c>
      <c r="AX254" t="str">
        <f>HLOOKUP($AX$9&amp;$AX$10,Data!$A$1:$ZZ$1980,(MATCH($C254,Data!$A$1:$A$1980,0)),FALSE)</f>
        <v>..</v>
      </c>
    </row>
    <row r="255" spans="1:50">
      <c r="A255" s="59" t="str">
        <f>$D$1&amp;245</f>
        <v>UA245</v>
      </c>
      <c r="B255" s="60">
        <f>IF(ISERROR(VLOOKUP(A261,classifications!A:C,3,FALSE)),0,VLOOKUP(A261,classifications!A:C,3,FALSE))</f>
        <v>0</v>
      </c>
      <c r="C255" t="s">
        <v>912</v>
      </c>
      <c r="D255" t="str">
        <f>VLOOKUP($C255,classifications!$C:$J,4,FALSE)</f>
        <v>SD</v>
      </c>
      <c r="E255" t="str">
        <f>VLOOKUP(C255,classifications!C:K,9,FALSE)</f>
        <v>Sparse</v>
      </c>
      <c r="F255">
        <f t="shared" si="106"/>
        <v>321.2</v>
      </c>
      <c r="G255" s="15"/>
      <c r="H255" s="42" t="str">
        <f t="shared" si="107"/>
        <v/>
      </c>
      <c r="I255" s="79" t="str">
        <f>IF(H255="","",IF($I$8="A",(RANK(H255,H$11:H$343,1)+COUNTIF(H$11:H255,H255)-1),(RANK(H255,H$11:H$343)+COUNTIF(H$11:H255,H255)-1)))</f>
        <v/>
      </c>
      <c r="J255" s="41"/>
      <c r="K255" s="36" t="str">
        <f t="shared" si="108"/>
        <v/>
      </c>
      <c r="L255" t="str">
        <f t="shared" si="109"/>
        <v/>
      </c>
      <c r="M255" s="117" t="str">
        <f t="shared" si="110"/>
        <v/>
      </c>
      <c r="N255" s="112" t="str">
        <f t="shared" si="111"/>
        <v/>
      </c>
      <c r="O255" s="96" t="str">
        <f t="shared" si="112"/>
        <v/>
      </c>
      <c r="P255" s="96" t="str">
        <f t="shared" si="113"/>
        <v/>
      </c>
      <c r="Q255" s="96" t="str">
        <f t="shared" si="114"/>
        <v/>
      </c>
      <c r="R255" s="92" t="str">
        <f t="shared" si="115"/>
        <v/>
      </c>
      <c r="S255" s="42" t="str">
        <f t="shared" si="116"/>
        <v/>
      </c>
      <c r="T255" s="167" t="str">
        <f>IF(L255="","",VLOOKUP(L255,classifications!C:K,9,FALSE))</f>
        <v/>
      </c>
      <c r="U255" s="168" t="str">
        <f t="shared" si="117"/>
        <v/>
      </c>
      <c r="V255" s="174" t="str">
        <f>IF(U255="","",IF($I$8="A",(RANK(U255,U$11:U$343)+COUNTIF(U$11:U255,U255)-1),(RANK(U255,U$11:U$343,1)+COUNTIF(U$11:U255,U255)-1)))</f>
        <v/>
      </c>
      <c r="W255" s="175"/>
      <c r="X255" s="5" t="str">
        <f>IF(L255="","",VLOOKUP($L255,classifications!$C:$J,6,FALSE))</f>
        <v/>
      </c>
      <c r="Y255" t="str">
        <f t="shared" si="118"/>
        <v/>
      </c>
      <c r="Z255" s="40" t="str">
        <f>IF(Y255="","",IF(I$8="A",(RANK(Y255,Y$11:Y$343,1)+COUNTIF(Y$11:Y255,Y255)-1),(RANK(Y255,Y$11:Y$343)+COUNTIF(Y$11:Y255,Y255)-1)))</f>
        <v/>
      </c>
      <c r="AA255" s="180" t="str">
        <f>IF(L255="","",VLOOKUP($L255,classifications!C:I,7,FALSE))</f>
        <v/>
      </c>
      <c r="AB255" s="174" t="str">
        <f t="shared" si="119"/>
        <v/>
      </c>
      <c r="AC255" s="174" t="str">
        <f>IF(AB255="","",IF($I$8="A",(RANK(AB255,AB$11:AB$343)+COUNTIF(AB$11:AB255,AB255)-1),(RANK(AB255,AB$11:AB$343,1)+COUNTIF(AB$11:AB255,AB255)-1)))</f>
        <v/>
      </c>
      <c r="AD255" s="174"/>
      <c r="AE255" s="36" t="str">
        <f t="shared" si="120"/>
        <v/>
      </c>
      <c r="AG255" s="15"/>
      <c r="AH255" s="3"/>
      <c r="AI255" s="5" t="str">
        <f>IF(L255="","",VLOOKUP($L255,classifications!$C:$J,8,FALSE))</f>
        <v/>
      </c>
      <c r="AJ255" s="43" t="str">
        <f t="shared" si="121"/>
        <v/>
      </c>
      <c r="AK255" s="40" t="str">
        <f>IF(AJ255="","",IF(I$8="A",(RANK(AJ255,AJ$11:AJ$343,1)+COUNTIF(AJ$11:AJ255,AJ255)-1),(RANK(AJ255,AJ$11:AJ$343)+COUNTIF(AJ$11:AJ255,AJ255)-1)))</f>
        <v/>
      </c>
      <c r="AL255" s="3" t="str">
        <f t="shared" si="122"/>
        <v/>
      </c>
      <c r="AM255" t="str">
        <f t="shared" si="123"/>
        <v/>
      </c>
      <c r="AN255" t="str">
        <f t="shared" si="124"/>
        <v/>
      </c>
      <c r="AP255" s="5" t="str">
        <f>IF(L255="","",VLOOKUP($L255,classifications!$C:$E,3,FALSE))</f>
        <v/>
      </c>
      <c r="AQ255" s="43" t="str">
        <f t="shared" si="125"/>
        <v/>
      </c>
      <c r="AR255" s="40" t="str">
        <f>IF(AQ255="","",IF(I$8="A",(RANK(AQ255,AQ$11:AQ$343,1)+COUNTIF(AQ$11:AQ255,AQ255)-1),(RANK(AQ255,AQ$11:AQ$343)+COUNTIF(AQ$11:AQ255,AQ255)-1)))</f>
        <v/>
      </c>
      <c r="AS255" s="3" t="str">
        <f t="shared" si="126"/>
        <v/>
      </c>
      <c r="AT255" s="40" t="str">
        <f t="shared" si="127"/>
        <v/>
      </c>
      <c r="AU255" s="43" t="str">
        <f t="shared" si="128"/>
        <v/>
      </c>
      <c r="AX255">
        <f>HLOOKUP($AX$9&amp;$AX$10,Data!$A$1:$ZZ$1980,(MATCH($C255,Data!$A$1:$A$1980,0)),FALSE)</f>
        <v>321.2</v>
      </c>
    </row>
    <row r="256" spans="1:50">
      <c r="A256" s="59" t="str">
        <f>$D$1&amp;246</f>
        <v>UA246</v>
      </c>
      <c r="B256" s="60">
        <f>IF(ISERROR(VLOOKUP(A262,classifications!A:C,3,FALSE)),0,VLOOKUP(A262,classifications!A:C,3,FALSE))</f>
        <v>0</v>
      </c>
      <c r="C256" t="s">
        <v>140</v>
      </c>
      <c r="D256" t="str">
        <f>VLOOKUP($C256,classifications!$C:$J,4,FALSE)</f>
        <v>SD</v>
      </c>
      <c r="E256">
        <f>VLOOKUP(C256,classifications!C:K,9,FALSE)</f>
        <v>0</v>
      </c>
      <c r="F256">
        <f t="shared" si="106"/>
        <v>368</v>
      </c>
      <c r="G256" s="15"/>
      <c r="H256" s="42" t="str">
        <f t="shared" si="107"/>
        <v/>
      </c>
      <c r="I256" s="79" t="str">
        <f>IF(H256="","",IF($I$8="A",(RANK(H256,H$11:H$343,1)+COUNTIF(H$11:H256,H256)-1),(RANK(H256,H$11:H$343)+COUNTIF(H$11:H256,H256)-1)))</f>
        <v/>
      </c>
      <c r="J256" s="41"/>
      <c r="K256" s="36" t="str">
        <f t="shared" si="108"/>
        <v/>
      </c>
      <c r="L256" t="str">
        <f t="shared" si="109"/>
        <v/>
      </c>
      <c r="M256" s="117" t="str">
        <f t="shared" si="110"/>
        <v/>
      </c>
      <c r="N256" s="112" t="str">
        <f t="shared" si="111"/>
        <v/>
      </c>
      <c r="O256" s="96" t="str">
        <f t="shared" si="112"/>
        <v/>
      </c>
      <c r="P256" s="96" t="str">
        <f t="shared" si="113"/>
        <v/>
      </c>
      <c r="Q256" s="96" t="str">
        <f t="shared" si="114"/>
        <v/>
      </c>
      <c r="R256" s="92" t="str">
        <f t="shared" si="115"/>
        <v/>
      </c>
      <c r="S256" s="42" t="str">
        <f t="shared" si="116"/>
        <v/>
      </c>
      <c r="T256" s="167" t="str">
        <f>IF(L256="","",VLOOKUP(L256,classifications!C:K,9,FALSE))</f>
        <v/>
      </c>
      <c r="U256" s="168" t="str">
        <f t="shared" si="117"/>
        <v/>
      </c>
      <c r="V256" s="174" t="str">
        <f>IF(U256="","",IF($I$8="A",(RANK(U256,U$11:U$343)+COUNTIF(U$11:U256,U256)-1),(RANK(U256,U$11:U$343,1)+COUNTIF(U$11:U256,U256)-1)))</f>
        <v/>
      </c>
      <c r="W256" s="175"/>
      <c r="X256" s="5" t="str">
        <f>IF(L256="","",VLOOKUP($L256,classifications!$C:$J,6,FALSE))</f>
        <v/>
      </c>
      <c r="Y256" t="str">
        <f t="shared" si="118"/>
        <v/>
      </c>
      <c r="Z256" s="40" t="str">
        <f>IF(Y256="","",IF(I$8="A",(RANK(Y256,Y$11:Y$343,1)+COUNTIF(Y$11:Y256,Y256)-1),(RANK(Y256,Y$11:Y$343)+COUNTIF(Y$11:Y256,Y256)-1)))</f>
        <v/>
      </c>
      <c r="AA256" s="180" t="str">
        <f>IF(L256="","",VLOOKUP($L256,classifications!C:I,7,FALSE))</f>
        <v/>
      </c>
      <c r="AB256" s="174" t="str">
        <f t="shared" si="119"/>
        <v/>
      </c>
      <c r="AC256" s="174" t="str">
        <f>IF(AB256="","",IF($I$8="A",(RANK(AB256,AB$11:AB$343)+COUNTIF(AB$11:AB256,AB256)-1),(RANK(AB256,AB$11:AB$343,1)+COUNTIF(AB$11:AB256,AB256)-1)))</f>
        <v/>
      </c>
      <c r="AD256" s="174"/>
      <c r="AE256" s="36" t="str">
        <f t="shared" si="120"/>
        <v/>
      </c>
      <c r="AG256" s="15"/>
      <c r="AH256" s="3"/>
      <c r="AI256" s="5" t="str">
        <f>IF(L256="","",VLOOKUP($L256,classifications!$C:$J,8,FALSE))</f>
        <v/>
      </c>
      <c r="AJ256" s="43" t="str">
        <f t="shared" si="121"/>
        <v/>
      </c>
      <c r="AK256" s="40" t="str">
        <f>IF(AJ256="","",IF(I$8="A",(RANK(AJ256,AJ$11:AJ$343,1)+COUNTIF(AJ$11:AJ256,AJ256)-1),(RANK(AJ256,AJ$11:AJ$343)+COUNTIF(AJ$11:AJ256,AJ256)-1)))</f>
        <v/>
      </c>
      <c r="AL256" s="3" t="str">
        <f t="shared" si="122"/>
        <v/>
      </c>
      <c r="AM256" t="str">
        <f t="shared" si="123"/>
        <v/>
      </c>
      <c r="AN256" t="str">
        <f t="shared" si="124"/>
        <v/>
      </c>
      <c r="AP256" s="5" t="str">
        <f>IF(L256="","",VLOOKUP($L256,classifications!$C:$E,3,FALSE))</f>
        <v/>
      </c>
      <c r="AQ256" s="43" t="str">
        <f t="shared" si="125"/>
        <v/>
      </c>
      <c r="AR256" s="40" t="str">
        <f>IF(AQ256="","",IF(I$8="A",(RANK(AQ256,AQ$11:AQ$343,1)+COUNTIF(AQ$11:AQ256,AQ256)-1),(RANK(AQ256,AQ$11:AQ$343)+COUNTIF(AQ$11:AQ256,AQ256)-1)))</f>
        <v/>
      </c>
      <c r="AS256" s="3" t="str">
        <f t="shared" si="126"/>
        <v/>
      </c>
      <c r="AT256" s="40" t="str">
        <f t="shared" si="127"/>
        <v/>
      </c>
      <c r="AU256" s="43" t="str">
        <f t="shared" si="128"/>
        <v/>
      </c>
      <c r="AX256">
        <f>HLOOKUP($AX$9&amp;$AX$10,Data!$A$1:$ZZ$1980,(MATCH($C256,Data!$A$1:$A$1980,0)),FALSE)</f>
        <v>368</v>
      </c>
    </row>
    <row r="257" spans="1:50">
      <c r="A257" s="59" t="str">
        <f>$D$1&amp;247</f>
        <v>UA247</v>
      </c>
      <c r="B257" s="60">
        <f>IF(ISERROR(VLOOKUP(A263,classifications!A:C,3,FALSE)),0,VLOOKUP(A263,classifications!A:C,3,FALSE))</f>
        <v>0</v>
      </c>
      <c r="C257" t="s">
        <v>288</v>
      </c>
      <c r="D257" t="str">
        <f>VLOOKUP($C257,classifications!$C:$J,4,FALSE)</f>
        <v>UA</v>
      </c>
      <c r="E257">
        <f>VLOOKUP(C257,classifications!C:K,9,FALSE)</f>
        <v>0</v>
      </c>
      <c r="F257">
        <f t="shared" si="106"/>
        <v>388.7</v>
      </c>
      <c r="G257" s="15"/>
      <c r="H257" s="42">
        <f t="shared" si="107"/>
        <v>388.7</v>
      </c>
      <c r="I257" s="79">
        <f>IF(H257="","",IF($I$8="A",(RANK(H257,H$11:H$343,1)+COUNTIF(H$11:H257,H257)-1),(RANK(H257,H$11:H$343)+COUNTIF(H$11:H257,H257)-1)))</f>
        <v>25</v>
      </c>
      <c r="J257" s="41"/>
      <c r="K257" s="36" t="str">
        <f t="shared" si="108"/>
        <v/>
      </c>
      <c r="L257" t="str">
        <f t="shared" si="109"/>
        <v/>
      </c>
      <c r="M257" s="117" t="str">
        <f t="shared" si="110"/>
        <v/>
      </c>
      <c r="N257" s="112" t="str">
        <f t="shared" si="111"/>
        <v/>
      </c>
      <c r="O257" s="96" t="str">
        <f t="shared" si="112"/>
        <v/>
      </c>
      <c r="P257" s="96" t="str">
        <f t="shared" si="113"/>
        <v/>
      </c>
      <c r="Q257" s="96" t="str">
        <f t="shared" si="114"/>
        <v/>
      </c>
      <c r="R257" s="92" t="str">
        <f t="shared" si="115"/>
        <v/>
      </c>
      <c r="S257" s="42" t="str">
        <f t="shared" si="116"/>
        <v/>
      </c>
      <c r="T257" s="167" t="str">
        <f>IF(L257="","",VLOOKUP(L257,classifications!C:K,9,FALSE))</f>
        <v/>
      </c>
      <c r="U257" s="168" t="str">
        <f t="shared" si="117"/>
        <v/>
      </c>
      <c r="V257" s="174" t="str">
        <f>IF(U257="","",IF($I$8="A",(RANK(U257,U$11:U$343)+COUNTIF(U$11:U257,U257)-1),(RANK(U257,U$11:U$343,1)+COUNTIF(U$11:U257,U257)-1)))</f>
        <v/>
      </c>
      <c r="W257" s="175"/>
      <c r="X257" s="5" t="str">
        <f>IF(L257="","",VLOOKUP($L257,classifications!$C:$J,6,FALSE))</f>
        <v/>
      </c>
      <c r="Y257" t="str">
        <f t="shared" si="118"/>
        <v/>
      </c>
      <c r="Z257" s="40" t="str">
        <f>IF(Y257="","",IF(I$8="A",(RANK(Y257,Y$11:Y$343,1)+COUNTIF(Y$11:Y257,Y257)-1),(RANK(Y257,Y$11:Y$343)+COUNTIF(Y$11:Y257,Y257)-1)))</f>
        <v/>
      </c>
      <c r="AA257" s="180" t="str">
        <f>IF(L257="","",VLOOKUP($L257,classifications!C:I,7,FALSE))</f>
        <v/>
      </c>
      <c r="AB257" s="174" t="str">
        <f t="shared" si="119"/>
        <v/>
      </c>
      <c r="AC257" s="174" t="str">
        <f>IF(AB257="","",IF($I$8="A",(RANK(AB257,AB$11:AB$343)+COUNTIF(AB$11:AB257,AB257)-1),(RANK(AB257,AB$11:AB$343,1)+COUNTIF(AB$11:AB257,AB257)-1)))</f>
        <v/>
      </c>
      <c r="AD257" s="174"/>
      <c r="AE257" s="36" t="str">
        <f t="shared" si="120"/>
        <v/>
      </c>
      <c r="AG257" s="15"/>
      <c r="AH257" s="3"/>
      <c r="AI257" s="5" t="str">
        <f>IF(L257="","",VLOOKUP($L257,classifications!$C:$J,8,FALSE))</f>
        <v/>
      </c>
      <c r="AJ257" s="43" t="str">
        <f t="shared" si="121"/>
        <v/>
      </c>
      <c r="AK257" s="40" t="str">
        <f>IF(AJ257="","",IF(I$8="A",(RANK(AJ257,AJ$11:AJ$343,1)+COUNTIF(AJ$11:AJ257,AJ257)-1),(RANK(AJ257,AJ$11:AJ$343)+COUNTIF(AJ$11:AJ257,AJ257)-1)))</f>
        <v/>
      </c>
      <c r="AL257" s="3" t="str">
        <f t="shared" si="122"/>
        <v/>
      </c>
      <c r="AM257" t="str">
        <f t="shared" si="123"/>
        <v/>
      </c>
      <c r="AN257" t="str">
        <f t="shared" si="124"/>
        <v/>
      </c>
      <c r="AP257" s="5" t="str">
        <f>IF(L257="","",VLOOKUP($L257,classifications!$C:$E,3,FALSE))</f>
        <v/>
      </c>
      <c r="AQ257" s="43" t="str">
        <f t="shared" si="125"/>
        <v/>
      </c>
      <c r="AR257" s="40" t="str">
        <f>IF(AQ257="","",IF(I$8="A",(RANK(AQ257,AQ$11:AQ$343,1)+COUNTIF(AQ$11:AQ257,AQ257)-1),(RANK(AQ257,AQ$11:AQ$343)+COUNTIF(AQ$11:AQ257,AQ257)-1)))</f>
        <v/>
      </c>
      <c r="AS257" s="3" t="str">
        <f t="shared" si="126"/>
        <v/>
      </c>
      <c r="AT257" s="40" t="str">
        <f t="shared" si="127"/>
        <v/>
      </c>
      <c r="AU257" s="43" t="str">
        <f t="shared" si="128"/>
        <v/>
      </c>
      <c r="AX257">
        <f>HLOOKUP($AX$9&amp;$AX$10,Data!$A$1:$ZZ$1980,(MATCH($C257,Data!$A$1:$A$1980,0)),FALSE)</f>
        <v>388.7</v>
      </c>
    </row>
    <row r="258" spans="1:50">
      <c r="A258" s="59" t="str">
        <f>$D$1&amp;248</f>
        <v>UA248</v>
      </c>
      <c r="B258" s="60">
        <f>IF(ISERROR(VLOOKUP(A264,classifications!A:C,3,FALSE)),0,VLOOKUP(A264,classifications!A:C,3,FALSE))</f>
        <v>0</v>
      </c>
      <c r="C258" t="s">
        <v>141</v>
      </c>
      <c r="D258" t="str">
        <f>VLOOKUP($C258,classifications!$C:$J,4,FALSE)</f>
        <v>SD</v>
      </c>
      <c r="E258" t="str">
        <f>VLOOKUP(C258,classifications!C:K,9,FALSE)</f>
        <v>Sparse</v>
      </c>
      <c r="F258">
        <f t="shared" si="106"/>
        <v>337.1</v>
      </c>
      <c r="G258" s="15"/>
      <c r="H258" s="42" t="str">
        <f t="shared" si="107"/>
        <v/>
      </c>
      <c r="I258" s="79" t="str">
        <f>IF(H258="","",IF($I$8="A",(RANK(H258,H$11:H$343,1)+COUNTIF(H$11:H258,H258)-1),(RANK(H258,H$11:H$343)+COUNTIF(H$11:H258,H258)-1)))</f>
        <v/>
      </c>
      <c r="J258" s="41"/>
      <c r="K258" s="36" t="str">
        <f t="shared" si="108"/>
        <v/>
      </c>
      <c r="L258" t="str">
        <f t="shared" si="109"/>
        <v/>
      </c>
      <c r="M258" s="117" t="str">
        <f t="shared" si="110"/>
        <v/>
      </c>
      <c r="N258" s="112" t="str">
        <f t="shared" si="111"/>
        <v/>
      </c>
      <c r="O258" s="96" t="str">
        <f t="shared" si="112"/>
        <v/>
      </c>
      <c r="P258" s="96" t="str">
        <f t="shared" si="113"/>
        <v/>
      </c>
      <c r="Q258" s="96" t="str">
        <f t="shared" si="114"/>
        <v/>
      </c>
      <c r="R258" s="92" t="str">
        <f t="shared" si="115"/>
        <v/>
      </c>
      <c r="S258" s="42" t="str">
        <f t="shared" si="116"/>
        <v/>
      </c>
      <c r="T258" s="167" t="str">
        <f>IF(L258="","",VLOOKUP(L258,classifications!C:K,9,FALSE))</f>
        <v/>
      </c>
      <c r="U258" s="168" t="str">
        <f t="shared" si="117"/>
        <v/>
      </c>
      <c r="V258" s="174" t="str">
        <f>IF(U258="","",IF($I$8="A",(RANK(U258,U$11:U$343)+COUNTIF(U$11:U258,U258)-1),(RANK(U258,U$11:U$343,1)+COUNTIF(U$11:U258,U258)-1)))</f>
        <v/>
      </c>
      <c r="W258" s="175"/>
      <c r="X258" s="5" t="str">
        <f>IF(L258="","",VLOOKUP($L258,classifications!$C:$J,6,FALSE))</f>
        <v/>
      </c>
      <c r="Y258" t="str">
        <f t="shared" si="118"/>
        <v/>
      </c>
      <c r="Z258" s="40" t="str">
        <f>IF(Y258="","",IF(I$8="A",(RANK(Y258,Y$11:Y$343,1)+COUNTIF(Y$11:Y258,Y258)-1),(RANK(Y258,Y$11:Y$343)+COUNTIF(Y$11:Y258,Y258)-1)))</f>
        <v/>
      </c>
      <c r="AA258" s="180" t="str">
        <f>IF(L258="","",VLOOKUP($L258,classifications!C:I,7,FALSE))</f>
        <v/>
      </c>
      <c r="AB258" s="174" t="str">
        <f t="shared" si="119"/>
        <v/>
      </c>
      <c r="AC258" s="174" t="str">
        <f>IF(AB258="","",IF($I$8="A",(RANK(AB258,AB$11:AB$343)+COUNTIF(AB$11:AB258,AB258)-1),(RANK(AB258,AB$11:AB$343,1)+COUNTIF(AB$11:AB258,AB258)-1)))</f>
        <v/>
      </c>
      <c r="AD258" s="174"/>
      <c r="AE258" s="36" t="str">
        <f t="shared" si="120"/>
        <v/>
      </c>
      <c r="AG258" s="15"/>
      <c r="AH258" s="3"/>
      <c r="AI258" s="5" t="str">
        <f>IF(L258="","",VLOOKUP($L258,classifications!$C:$J,8,FALSE))</f>
        <v/>
      </c>
      <c r="AJ258" s="43" t="str">
        <f t="shared" si="121"/>
        <v/>
      </c>
      <c r="AK258" s="40" t="str">
        <f>IF(AJ258="","",IF(I$8="A",(RANK(AJ258,AJ$11:AJ$343,1)+COUNTIF(AJ$11:AJ258,AJ258)-1),(RANK(AJ258,AJ$11:AJ$343)+COUNTIF(AJ$11:AJ258,AJ258)-1)))</f>
        <v/>
      </c>
      <c r="AL258" s="3" t="str">
        <f t="shared" si="122"/>
        <v/>
      </c>
      <c r="AM258" t="str">
        <f t="shared" si="123"/>
        <v/>
      </c>
      <c r="AN258" t="str">
        <f t="shared" si="124"/>
        <v/>
      </c>
      <c r="AP258" s="5" t="str">
        <f>IF(L258="","",VLOOKUP($L258,classifications!$C:$E,3,FALSE))</f>
        <v/>
      </c>
      <c r="AQ258" s="43" t="str">
        <f t="shared" si="125"/>
        <v/>
      </c>
      <c r="AR258" s="40" t="str">
        <f>IF(AQ258="","",IF(I$8="A",(RANK(AQ258,AQ$11:AQ$343,1)+COUNTIF(AQ$11:AQ258,AQ258)-1),(RANK(AQ258,AQ$11:AQ$343)+COUNTIF(AQ$11:AQ258,AQ258)-1)))</f>
        <v/>
      </c>
      <c r="AS258" s="3" t="str">
        <f t="shared" si="126"/>
        <v/>
      </c>
      <c r="AT258" s="40" t="str">
        <f t="shared" si="127"/>
        <v/>
      </c>
      <c r="AU258" s="43" t="str">
        <f t="shared" si="128"/>
        <v/>
      </c>
      <c r="AX258">
        <f>HLOOKUP($AX$9&amp;$AX$10,Data!$A$1:$ZZ$1980,(MATCH($C258,Data!$A$1:$A$1980,0)),FALSE)</f>
        <v>337.1</v>
      </c>
    </row>
    <row r="259" spans="1:50">
      <c r="A259" s="59" t="str">
        <f>$D$1&amp;249</f>
        <v>UA249</v>
      </c>
      <c r="B259" s="60">
        <f>IF(ISERROR(VLOOKUP(A265,classifications!A:C,3,FALSE)),0,VLOOKUP(A265,classifications!A:C,3,FALSE))</f>
        <v>0</v>
      </c>
      <c r="C259" t="s">
        <v>142</v>
      </c>
      <c r="D259" t="str">
        <f>VLOOKUP($C259,classifications!$C:$J,4,FALSE)</f>
        <v>SD</v>
      </c>
      <c r="E259" t="str">
        <f>VLOOKUP(C259,classifications!C:K,9,FALSE)</f>
        <v>Sparse</v>
      </c>
      <c r="F259">
        <f t="shared" si="106"/>
        <v>361.5</v>
      </c>
      <c r="G259" s="15"/>
      <c r="H259" s="42" t="str">
        <f t="shared" si="107"/>
        <v/>
      </c>
      <c r="I259" s="79" t="str">
        <f>IF(H259="","",IF($I$8="A",(RANK(H259,H$11:H$343,1)+COUNTIF(H$11:H259,H259)-1),(RANK(H259,H$11:H$343)+COUNTIF(H$11:H259,H259)-1)))</f>
        <v/>
      </c>
      <c r="J259" s="41"/>
      <c r="K259" s="36" t="str">
        <f t="shared" si="108"/>
        <v/>
      </c>
      <c r="L259" t="str">
        <f t="shared" si="109"/>
        <v/>
      </c>
      <c r="M259" s="117" t="str">
        <f t="shared" si="110"/>
        <v/>
      </c>
      <c r="N259" s="112" t="str">
        <f t="shared" si="111"/>
        <v/>
      </c>
      <c r="O259" s="96" t="str">
        <f t="shared" si="112"/>
        <v/>
      </c>
      <c r="P259" s="96" t="str">
        <f t="shared" si="113"/>
        <v/>
      </c>
      <c r="Q259" s="96" t="str">
        <f t="shared" si="114"/>
        <v/>
      </c>
      <c r="R259" s="92" t="str">
        <f t="shared" si="115"/>
        <v/>
      </c>
      <c r="S259" s="42" t="str">
        <f t="shared" si="116"/>
        <v/>
      </c>
      <c r="T259" s="167" t="str">
        <f>IF(L259="","",VLOOKUP(L259,classifications!C:K,9,FALSE))</f>
        <v/>
      </c>
      <c r="U259" s="168" t="str">
        <f t="shared" si="117"/>
        <v/>
      </c>
      <c r="V259" s="174" t="str">
        <f>IF(U259="","",IF($I$8="A",(RANK(U259,U$11:U$343)+COUNTIF(U$11:U259,U259)-1),(RANK(U259,U$11:U$343,1)+COUNTIF(U$11:U259,U259)-1)))</f>
        <v/>
      </c>
      <c r="W259" s="175"/>
      <c r="X259" s="5" t="str">
        <f>IF(L259="","",VLOOKUP($L259,classifications!$C:$J,6,FALSE))</f>
        <v/>
      </c>
      <c r="Y259" t="str">
        <f t="shared" si="118"/>
        <v/>
      </c>
      <c r="Z259" s="40" t="str">
        <f>IF(Y259="","",IF(I$8="A",(RANK(Y259,Y$11:Y$343,1)+COUNTIF(Y$11:Y259,Y259)-1),(RANK(Y259,Y$11:Y$343)+COUNTIF(Y$11:Y259,Y259)-1)))</f>
        <v/>
      </c>
      <c r="AA259" s="180" t="str">
        <f>IF(L259="","",VLOOKUP($L259,classifications!C:I,7,FALSE))</f>
        <v/>
      </c>
      <c r="AB259" s="174" t="str">
        <f t="shared" si="119"/>
        <v/>
      </c>
      <c r="AC259" s="174" t="str">
        <f>IF(AB259="","",IF($I$8="A",(RANK(AB259,AB$11:AB$343)+COUNTIF(AB$11:AB259,AB259)-1),(RANK(AB259,AB$11:AB$343,1)+COUNTIF(AB$11:AB259,AB259)-1)))</f>
        <v/>
      </c>
      <c r="AD259" s="174"/>
      <c r="AE259" s="36" t="str">
        <f t="shared" si="120"/>
        <v/>
      </c>
      <c r="AG259" s="15"/>
      <c r="AH259" s="3"/>
      <c r="AI259" s="5" t="str">
        <f>IF(L259="","",VLOOKUP($L259,classifications!$C:$J,8,FALSE))</f>
        <v/>
      </c>
      <c r="AJ259" s="43" t="str">
        <f t="shared" si="121"/>
        <v/>
      </c>
      <c r="AK259" s="40" t="str">
        <f>IF(AJ259="","",IF(I$8="A",(RANK(AJ259,AJ$11:AJ$343,1)+COUNTIF(AJ$11:AJ259,AJ259)-1),(RANK(AJ259,AJ$11:AJ$343)+COUNTIF(AJ$11:AJ259,AJ259)-1)))</f>
        <v/>
      </c>
      <c r="AL259" s="3" t="str">
        <f t="shared" si="122"/>
        <v/>
      </c>
      <c r="AM259" t="str">
        <f t="shared" si="123"/>
        <v/>
      </c>
      <c r="AN259" t="str">
        <f t="shared" si="124"/>
        <v/>
      </c>
      <c r="AP259" s="5" t="str">
        <f>IF(L259="","",VLOOKUP($L259,classifications!$C:$E,3,FALSE))</f>
        <v/>
      </c>
      <c r="AQ259" s="43" t="str">
        <f t="shared" si="125"/>
        <v/>
      </c>
      <c r="AR259" s="40" t="str">
        <f>IF(AQ259="","",IF(I$8="A",(RANK(AQ259,AQ$11:AQ$343,1)+COUNTIF(AQ$11:AQ259,AQ259)-1),(RANK(AQ259,AQ$11:AQ$343)+COUNTIF(AQ$11:AQ259,AQ259)-1)))</f>
        <v/>
      </c>
      <c r="AS259" s="3" t="str">
        <f t="shared" si="126"/>
        <v/>
      </c>
      <c r="AT259" s="40" t="str">
        <f t="shared" si="127"/>
        <v/>
      </c>
      <c r="AU259" s="43" t="str">
        <f t="shared" si="128"/>
        <v/>
      </c>
      <c r="AX259">
        <f>HLOOKUP($AX$9&amp;$AX$10,Data!$A$1:$ZZ$1980,(MATCH($C259,Data!$A$1:$A$1980,0)),FALSE)</f>
        <v>361.5</v>
      </c>
    </row>
    <row r="260" spans="1:50">
      <c r="A260" s="59" t="str">
        <f>$D$1&amp;250</f>
        <v>UA250</v>
      </c>
      <c r="B260" s="60">
        <f>IF(ISERROR(VLOOKUP(A266,classifications!A:C,3,FALSE)),0,VLOOKUP(A266,classifications!A:C,3,FALSE))</f>
        <v>0</v>
      </c>
      <c r="C260" t="s">
        <v>143</v>
      </c>
      <c r="D260" t="str">
        <f>VLOOKUP($C260,classifications!$C:$J,4,FALSE)</f>
        <v>SD</v>
      </c>
      <c r="E260" t="str">
        <f>VLOOKUP(C260,classifications!C:K,9,FALSE)</f>
        <v>Sparse</v>
      </c>
      <c r="F260">
        <f t="shared" si="106"/>
        <v>363.2</v>
      </c>
      <c r="G260" s="15"/>
      <c r="H260" s="42" t="str">
        <f t="shared" si="107"/>
        <v/>
      </c>
      <c r="I260" s="79" t="str">
        <f>IF(H260="","",IF($I$8="A",(RANK(H260,H$11:H$343,1)+COUNTIF(H$11:H260,H260)-1),(RANK(H260,H$11:H$343)+COUNTIF(H$11:H260,H260)-1)))</f>
        <v/>
      </c>
      <c r="J260" s="41"/>
      <c r="K260" s="36" t="str">
        <f t="shared" si="108"/>
        <v/>
      </c>
      <c r="L260" t="str">
        <f t="shared" si="109"/>
        <v/>
      </c>
      <c r="M260" s="117" t="str">
        <f t="shared" si="110"/>
        <v/>
      </c>
      <c r="N260" s="112" t="str">
        <f t="shared" si="111"/>
        <v/>
      </c>
      <c r="O260" s="96" t="str">
        <f t="shared" si="112"/>
        <v/>
      </c>
      <c r="P260" s="96" t="str">
        <f t="shared" si="113"/>
        <v/>
      </c>
      <c r="Q260" s="96" t="str">
        <f t="shared" si="114"/>
        <v/>
      </c>
      <c r="R260" s="92" t="str">
        <f t="shared" si="115"/>
        <v/>
      </c>
      <c r="S260" s="42" t="str">
        <f t="shared" si="116"/>
        <v/>
      </c>
      <c r="T260" s="167" t="str">
        <f>IF(L260="","",VLOOKUP(L260,classifications!C:K,9,FALSE))</f>
        <v/>
      </c>
      <c r="U260" s="168" t="str">
        <f t="shared" si="117"/>
        <v/>
      </c>
      <c r="V260" s="174" t="str">
        <f>IF(U260="","",IF($I$8="A",(RANK(U260,U$11:U$343)+COUNTIF(U$11:U260,U260)-1),(RANK(U260,U$11:U$343,1)+COUNTIF(U$11:U260,U260)-1)))</f>
        <v/>
      </c>
      <c r="W260" s="175"/>
      <c r="X260" s="5" t="str">
        <f>IF(L260="","",VLOOKUP($L260,classifications!$C:$J,6,FALSE))</f>
        <v/>
      </c>
      <c r="Y260" t="str">
        <f t="shared" si="118"/>
        <v/>
      </c>
      <c r="Z260" s="40" t="str">
        <f>IF(Y260="","",IF(I$8="A",(RANK(Y260,Y$11:Y$343,1)+COUNTIF(Y$11:Y260,Y260)-1),(RANK(Y260,Y$11:Y$343)+COUNTIF(Y$11:Y260,Y260)-1)))</f>
        <v/>
      </c>
      <c r="AA260" s="180" t="str">
        <f>IF(L260="","",VLOOKUP($L260,classifications!C:I,7,FALSE))</f>
        <v/>
      </c>
      <c r="AB260" s="174" t="str">
        <f t="shared" si="119"/>
        <v/>
      </c>
      <c r="AC260" s="174" t="str">
        <f>IF(AB260="","",IF($I$8="A",(RANK(AB260,AB$11:AB$343)+COUNTIF(AB$11:AB260,AB260)-1),(RANK(AB260,AB$11:AB$343,1)+COUNTIF(AB$11:AB260,AB260)-1)))</f>
        <v/>
      </c>
      <c r="AD260" s="174"/>
      <c r="AE260" s="36" t="str">
        <f t="shared" si="120"/>
        <v/>
      </c>
      <c r="AG260" s="15"/>
      <c r="AH260" s="3"/>
      <c r="AI260" s="5" t="str">
        <f>IF(L260="","",VLOOKUP($L260,classifications!$C:$J,8,FALSE))</f>
        <v/>
      </c>
      <c r="AJ260" s="43" t="str">
        <f t="shared" si="121"/>
        <v/>
      </c>
      <c r="AK260" s="40" t="str">
        <f>IF(AJ260="","",IF(I$8="A",(RANK(AJ260,AJ$11:AJ$343,1)+COUNTIF(AJ$11:AJ260,AJ260)-1),(RANK(AJ260,AJ$11:AJ$343)+COUNTIF(AJ$11:AJ260,AJ260)-1)))</f>
        <v/>
      </c>
      <c r="AL260" s="3" t="str">
        <f t="shared" si="122"/>
        <v/>
      </c>
      <c r="AM260" t="str">
        <f t="shared" si="123"/>
        <v/>
      </c>
      <c r="AN260" t="str">
        <f t="shared" si="124"/>
        <v/>
      </c>
      <c r="AP260" s="5" t="str">
        <f>IF(L260="","",VLOOKUP($L260,classifications!$C:$E,3,FALSE))</f>
        <v/>
      </c>
      <c r="AQ260" s="43" t="str">
        <f t="shared" si="125"/>
        <v/>
      </c>
      <c r="AR260" s="40" t="str">
        <f>IF(AQ260="","",IF(I$8="A",(RANK(AQ260,AQ$11:AQ$343,1)+COUNTIF(AQ$11:AQ260,AQ260)-1),(RANK(AQ260,AQ$11:AQ$343)+COUNTIF(AQ$11:AQ260,AQ260)-1)))</f>
        <v/>
      </c>
      <c r="AS260" s="3" t="str">
        <f t="shared" si="126"/>
        <v/>
      </c>
      <c r="AT260" s="40" t="str">
        <f t="shared" si="127"/>
        <v/>
      </c>
      <c r="AU260" s="43" t="str">
        <f t="shared" si="128"/>
        <v/>
      </c>
      <c r="AX260">
        <f>HLOOKUP($AX$9&amp;$AX$10,Data!$A$1:$ZZ$1980,(MATCH($C260,Data!$A$1:$A$1980,0)),FALSE)</f>
        <v>363.2</v>
      </c>
    </row>
    <row r="261" spans="1:50">
      <c r="A261" s="59" t="str">
        <f>$D$1&amp;251</f>
        <v>UA251</v>
      </c>
      <c r="B261" s="60">
        <f>IF(ISERROR(VLOOKUP(A267,classifications!A:C,3,FALSE)),0,VLOOKUP(A267,classifications!A:C,3,FALSE))</f>
        <v>0</v>
      </c>
      <c r="C261" t="s">
        <v>144</v>
      </c>
      <c r="D261" t="str">
        <f>VLOOKUP($C261,classifications!$C:$J,4,FALSE)</f>
        <v>SD</v>
      </c>
      <c r="E261" t="str">
        <f>VLOOKUP(C261,classifications!C:K,9,FALSE)</f>
        <v>Sparse</v>
      </c>
      <c r="F261">
        <f t="shared" si="106"/>
        <v>419</v>
      </c>
      <c r="G261" s="15"/>
      <c r="H261" s="42" t="str">
        <f t="shared" si="107"/>
        <v/>
      </c>
      <c r="I261" s="79" t="str">
        <f>IF(H261="","",IF($I$8="A",(RANK(H261,H$11:H$343,1)+COUNTIF(H$11:H261,H261)-1),(RANK(H261,H$11:H$343)+COUNTIF(H$11:H261,H261)-1)))</f>
        <v/>
      </c>
      <c r="J261" s="41"/>
      <c r="K261" s="36" t="str">
        <f t="shared" si="108"/>
        <v/>
      </c>
      <c r="L261" t="str">
        <f t="shared" si="109"/>
        <v/>
      </c>
      <c r="M261" s="117" t="str">
        <f t="shared" si="110"/>
        <v/>
      </c>
      <c r="N261" s="112" t="str">
        <f t="shared" si="111"/>
        <v/>
      </c>
      <c r="O261" s="96" t="str">
        <f t="shared" si="112"/>
        <v/>
      </c>
      <c r="P261" s="96" t="str">
        <f t="shared" si="113"/>
        <v/>
      </c>
      <c r="Q261" s="96" t="str">
        <f t="shared" si="114"/>
        <v/>
      </c>
      <c r="R261" s="92" t="str">
        <f t="shared" si="115"/>
        <v/>
      </c>
      <c r="S261" s="42" t="str">
        <f t="shared" si="116"/>
        <v/>
      </c>
      <c r="T261" s="167" t="str">
        <f>IF(L261="","",VLOOKUP(L261,classifications!C:K,9,FALSE))</f>
        <v/>
      </c>
      <c r="U261" s="168" t="str">
        <f t="shared" si="117"/>
        <v/>
      </c>
      <c r="V261" s="174" t="str">
        <f>IF(U261="","",IF($I$8="A",(RANK(U261,U$11:U$343)+COUNTIF(U$11:U261,U261)-1),(RANK(U261,U$11:U$343,1)+COUNTIF(U$11:U261,U261)-1)))</f>
        <v/>
      </c>
      <c r="W261" s="175"/>
      <c r="X261" s="5" t="str">
        <f>IF(L261="","",VLOOKUP($L261,classifications!$C:$J,6,FALSE))</f>
        <v/>
      </c>
      <c r="Y261" t="str">
        <f t="shared" si="118"/>
        <v/>
      </c>
      <c r="Z261" s="40" t="str">
        <f>IF(Y261="","",IF(I$8="A",(RANK(Y261,Y$11:Y$343,1)+COUNTIF(Y$11:Y261,Y261)-1),(RANK(Y261,Y$11:Y$343)+COUNTIF(Y$11:Y261,Y261)-1)))</f>
        <v/>
      </c>
      <c r="AA261" s="180" t="str">
        <f>IF(L261="","",VLOOKUP($L261,classifications!C:I,7,FALSE))</f>
        <v/>
      </c>
      <c r="AB261" s="174" t="str">
        <f t="shared" si="119"/>
        <v/>
      </c>
      <c r="AC261" s="174" t="str">
        <f>IF(AB261="","",IF($I$8="A",(RANK(AB261,AB$11:AB$343)+COUNTIF(AB$11:AB261,AB261)-1),(RANK(AB261,AB$11:AB$343,1)+COUNTIF(AB$11:AB261,AB261)-1)))</f>
        <v/>
      </c>
      <c r="AD261" s="174"/>
      <c r="AE261" s="36" t="str">
        <f t="shared" si="120"/>
        <v/>
      </c>
      <c r="AG261" s="15"/>
      <c r="AH261" s="3"/>
      <c r="AI261" s="5" t="str">
        <f>IF(L261="","",VLOOKUP($L261,classifications!$C:$J,8,FALSE))</f>
        <v/>
      </c>
      <c r="AJ261" s="43" t="str">
        <f t="shared" si="121"/>
        <v/>
      </c>
      <c r="AK261" s="40" t="str">
        <f>IF(AJ261="","",IF(I$8="A",(RANK(AJ261,AJ$11:AJ$343,1)+COUNTIF(AJ$11:AJ261,AJ261)-1),(RANK(AJ261,AJ$11:AJ$343)+COUNTIF(AJ$11:AJ261,AJ261)-1)))</f>
        <v/>
      </c>
      <c r="AL261" s="3" t="str">
        <f t="shared" si="122"/>
        <v/>
      </c>
      <c r="AM261" t="str">
        <f t="shared" si="123"/>
        <v/>
      </c>
      <c r="AN261" t="str">
        <f t="shared" si="124"/>
        <v/>
      </c>
      <c r="AP261" s="5" t="str">
        <f>IF(L261="","",VLOOKUP($L261,classifications!$C:$E,3,FALSE))</f>
        <v/>
      </c>
      <c r="AQ261" s="43" t="str">
        <f t="shared" si="125"/>
        <v/>
      </c>
      <c r="AR261" s="40" t="str">
        <f>IF(AQ261="","",IF(I$8="A",(RANK(AQ261,AQ$11:AQ$343,1)+COUNTIF(AQ$11:AQ261,AQ261)-1),(RANK(AQ261,AQ$11:AQ$343)+COUNTIF(AQ$11:AQ261,AQ261)-1)))</f>
        <v/>
      </c>
      <c r="AS261" s="3" t="str">
        <f t="shared" si="126"/>
        <v/>
      </c>
      <c r="AT261" s="40" t="str">
        <f t="shared" si="127"/>
        <v/>
      </c>
      <c r="AU261" s="43" t="str">
        <f t="shared" si="128"/>
        <v/>
      </c>
      <c r="AX261">
        <f>HLOOKUP($AX$9&amp;$AX$10,Data!$A$1:$ZZ$1980,(MATCH($C261,Data!$A$1:$A$1980,0)),FALSE)</f>
        <v>419</v>
      </c>
    </row>
    <row r="262" spans="1:50">
      <c r="A262" s="59" t="str">
        <f>$D$1&amp;252</f>
        <v>UA252</v>
      </c>
      <c r="B262" s="60">
        <f>IF(ISERROR(VLOOKUP(A268,classifications!A:C,3,FALSE)),0,VLOOKUP(A268,classifications!A:C,3,FALSE))</f>
        <v>0</v>
      </c>
      <c r="C262" t="s">
        <v>145</v>
      </c>
      <c r="D262" t="str">
        <f>VLOOKUP($C262,classifications!$C:$J,4,FALSE)</f>
        <v>SD</v>
      </c>
      <c r="E262" t="str">
        <f>VLOOKUP(C262,classifications!C:K,9,FALSE)</f>
        <v>Sparse</v>
      </c>
      <c r="F262">
        <f t="shared" si="106"/>
        <v>358.4</v>
      </c>
      <c r="G262" s="15"/>
      <c r="H262" s="42" t="str">
        <f t="shared" si="107"/>
        <v/>
      </c>
      <c r="I262" s="79" t="str">
        <f>IF(H262="","",IF($I$8="A",(RANK(H262,H$11:H$343,1)+COUNTIF(H$11:H262,H262)-1),(RANK(H262,H$11:H$343)+COUNTIF(H$11:H262,H262)-1)))</f>
        <v/>
      </c>
      <c r="J262" s="41"/>
      <c r="K262" s="36" t="str">
        <f t="shared" si="108"/>
        <v/>
      </c>
      <c r="L262" t="str">
        <f t="shared" si="109"/>
        <v/>
      </c>
      <c r="M262" s="117" t="str">
        <f t="shared" si="110"/>
        <v/>
      </c>
      <c r="N262" s="112" t="str">
        <f t="shared" si="111"/>
        <v/>
      </c>
      <c r="O262" s="96" t="str">
        <f t="shared" si="112"/>
        <v/>
      </c>
      <c r="P262" s="96" t="str">
        <f t="shared" si="113"/>
        <v/>
      </c>
      <c r="Q262" s="96" t="str">
        <f t="shared" si="114"/>
        <v/>
      </c>
      <c r="R262" s="92" t="str">
        <f t="shared" si="115"/>
        <v/>
      </c>
      <c r="S262" s="42" t="str">
        <f t="shared" si="116"/>
        <v/>
      </c>
      <c r="T262" s="167" t="str">
        <f>IF(L262="","",VLOOKUP(L262,classifications!C:K,9,FALSE))</f>
        <v/>
      </c>
      <c r="U262" s="168" t="str">
        <f t="shared" si="117"/>
        <v/>
      </c>
      <c r="V262" s="174" t="str">
        <f>IF(U262="","",IF($I$8="A",(RANK(U262,U$11:U$343)+COUNTIF(U$11:U262,U262)-1),(RANK(U262,U$11:U$343,1)+COUNTIF(U$11:U262,U262)-1)))</f>
        <v/>
      </c>
      <c r="W262" s="175"/>
      <c r="X262" s="5" t="str">
        <f>IF(L262="","",VLOOKUP($L262,classifications!$C:$J,6,FALSE))</f>
        <v/>
      </c>
      <c r="Y262" t="str">
        <f t="shared" si="118"/>
        <v/>
      </c>
      <c r="Z262" s="40" t="str">
        <f>IF(Y262="","",IF(I$8="A",(RANK(Y262,Y$11:Y$343,1)+COUNTIF(Y$11:Y262,Y262)-1),(RANK(Y262,Y$11:Y$343)+COUNTIF(Y$11:Y262,Y262)-1)))</f>
        <v/>
      </c>
      <c r="AA262" s="180" t="str">
        <f>IF(L262="","",VLOOKUP($L262,classifications!C:I,7,FALSE))</f>
        <v/>
      </c>
      <c r="AB262" s="174" t="str">
        <f t="shared" si="119"/>
        <v/>
      </c>
      <c r="AC262" s="174" t="str">
        <f>IF(AB262="","",IF($I$8="A",(RANK(AB262,AB$11:AB$343)+COUNTIF(AB$11:AB262,AB262)-1),(RANK(AB262,AB$11:AB$343,1)+COUNTIF(AB$11:AB262,AB262)-1)))</f>
        <v/>
      </c>
      <c r="AD262" s="174"/>
      <c r="AE262" s="36" t="str">
        <f t="shared" si="120"/>
        <v/>
      </c>
      <c r="AG262" s="15"/>
      <c r="AH262" s="3"/>
      <c r="AI262" s="5" t="str">
        <f>IF(L262="","",VLOOKUP($L262,classifications!$C:$J,8,FALSE))</f>
        <v/>
      </c>
      <c r="AJ262" s="43" t="str">
        <f t="shared" si="121"/>
        <v/>
      </c>
      <c r="AK262" s="40" t="str">
        <f>IF(AJ262="","",IF(I$8="A",(RANK(AJ262,AJ$11:AJ$343,1)+COUNTIF(AJ$11:AJ262,AJ262)-1),(RANK(AJ262,AJ$11:AJ$343)+COUNTIF(AJ$11:AJ262,AJ262)-1)))</f>
        <v/>
      </c>
      <c r="AL262" s="3" t="str">
        <f t="shared" si="122"/>
        <v/>
      </c>
      <c r="AM262" t="str">
        <f t="shared" si="123"/>
        <v/>
      </c>
      <c r="AN262" t="str">
        <f t="shared" si="124"/>
        <v/>
      </c>
      <c r="AP262" s="5" t="str">
        <f>IF(L262="","",VLOOKUP($L262,classifications!$C:$E,3,FALSE))</f>
        <v/>
      </c>
      <c r="AQ262" s="43" t="str">
        <f t="shared" si="125"/>
        <v/>
      </c>
      <c r="AR262" s="40" t="str">
        <f>IF(AQ262="","",IF(I$8="A",(RANK(AQ262,AQ$11:AQ$343,1)+COUNTIF(AQ$11:AQ262,AQ262)-1),(RANK(AQ262,AQ$11:AQ$343)+COUNTIF(AQ$11:AQ262,AQ262)-1)))</f>
        <v/>
      </c>
      <c r="AS262" s="3" t="str">
        <f t="shared" si="126"/>
        <v/>
      </c>
      <c r="AT262" s="40" t="str">
        <f t="shared" si="127"/>
        <v/>
      </c>
      <c r="AU262" s="43" t="str">
        <f t="shared" si="128"/>
        <v/>
      </c>
      <c r="AX262">
        <f>HLOOKUP($AX$9&amp;$AX$10,Data!$A$1:$ZZ$1980,(MATCH($C262,Data!$A$1:$A$1980,0)),FALSE)</f>
        <v>358.4</v>
      </c>
    </row>
    <row r="263" spans="1:50">
      <c r="A263" s="59" t="str">
        <f>$D$1&amp;253</f>
        <v>UA253</v>
      </c>
      <c r="B263" s="60">
        <f>IF(ISERROR(VLOOKUP(A270,classifications!A:C,3,FALSE)),0,VLOOKUP(A270,classifications!A:C,3,FALSE))</f>
        <v>0</v>
      </c>
      <c r="C263" t="s">
        <v>147</v>
      </c>
      <c r="D263" t="str">
        <f>VLOOKUP($C263,classifications!$C:$J,4,FALSE)</f>
        <v>SD</v>
      </c>
      <c r="E263" t="str">
        <f>VLOOKUP(C263,classifications!C:K,9,FALSE)</f>
        <v>Sparse</v>
      </c>
      <c r="F263">
        <f t="shared" si="106"/>
        <v>340.1</v>
      </c>
      <c r="G263" s="15"/>
      <c r="H263" s="42" t="str">
        <f t="shared" si="107"/>
        <v/>
      </c>
      <c r="I263" s="79" t="str">
        <f>IF(H263="","",IF($I$8="A",(RANK(H263,H$11:H$343,1)+COUNTIF(H$11:H263,H263)-1),(RANK(H263,H$11:H$343)+COUNTIF(H$11:H263,H263)-1)))</f>
        <v/>
      </c>
      <c r="J263" s="41"/>
      <c r="K263" s="36" t="str">
        <f t="shared" si="108"/>
        <v/>
      </c>
      <c r="L263" t="str">
        <f t="shared" si="109"/>
        <v/>
      </c>
      <c r="M263" s="117" t="str">
        <f t="shared" si="110"/>
        <v/>
      </c>
      <c r="N263" s="112" t="str">
        <f t="shared" si="111"/>
        <v/>
      </c>
      <c r="O263" s="96" t="str">
        <f t="shared" si="112"/>
        <v/>
      </c>
      <c r="P263" s="96" t="str">
        <f t="shared" si="113"/>
        <v/>
      </c>
      <c r="Q263" s="96" t="str">
        <f t="shared" si="114"/>
        <v/>
      </c>
      <c r="R263" s="92" t="str">
        <f t="shared" si="115"/>
        <v/>
      </c>
      <c r="S263" s="42" t="str">
        <f t="shared" si="116"/>
        <v/>
      </c>
      <c r="T263" s="167" t="str">
        <f>IF(L263="","",VLOOKUP(L263,classifications!C:K,9,FALSE))</f>
        <v/>
      </c>
      <c r="U263" s="168" t="str">
        <f t="shared" si="117"/>
        <v/>
      </c>
      <c r="V263" s="174" t="str">
        <f>IF(U263="","",IF($I$8="A",(RANK(U263,U$11:U$343)+COUNTIF(U$11:U263,U263)-1),(RANK(U263,U$11:U$343,1)+COUNTIF(U$11:U263,U263)-1)))</f>
        <v/>
      </c>
      <c r="W263" s="175"/>
      <c r="X263" s="5" t="str">
        <f>IF(L263="","",VLOOKUP($L263,classifications!$C:$J,6,FALSE))</f>
        <v/>
      </c>
      <c r="Y263" t="str">
        <f t="shared" si="118"/>
        <v/>
      </c>
      <c r="Z263" s="40" t="str">
        <f>IF(Y263="","",IF(I$8="A",(RANK(Y263,Y$11:Y$343,1)+COUNTIF(Y$11:Y263,Y263)-1),(RANK(Y263,Y$11:Y$343)+COUNTIF(Y$11:Y263,Y263)-1)))</f>
        <v/>
      </c>
      <c r="AA263" s="180" t="str">
        <f>IF(L263="","",VLOOKUP($L263,classifications!C:I,7,FALSE))</f>
        <v/>
      </c>
      <c r="AB263" s="174" t="str">
        <f t="shared" si="119"/>
        <v/>
      </c>
      <c r="AC263" s="174" t="str">
        <f>IF(AB263="","",IF($I$8="A",(RANK(AB263,AB$11:AB$343)+COUNTIF(AB$11:AB263,AB263)-1),(RANK(AB263,AB$11:AB$343,1)+COUNTIF(AB$11:AB263,AB263)-1)))</f>
        <v/>
      </c>
      <c r="AD263" s="174"/>
      <c r="AE263" s="36" t="str">
        <f t="shared" si="120"/>
        <v/>
      </c>
      <c r="AG263" s="15"/>
      <c r="AH263" s="3"/>
      <c r="AI263" s="5" t="str">
        <f>IF(L263="","",VLOOKUP($L263,classifications!$C:$J,8,FALSE))</f>
        <v/>
      </c>
      <c r="AJ263" s="43" t="str">
        <f t="shared" si="121"/>
        <v/>
      </c>
      <c r="AK263" s="40" t="str">
        <f>IF(AJ263="","",IF(I$8="A",(RANK(AJ263,AJ$11:AJ$343,1)+COUNTIF(AJ$11:AJ263,AJ263)-1),(RANK(AJ263,AJ$11:AJ$343)+COUNTIF(AJ$11:AJ263,AJ263)-1)))</f>
        <v/>
      </c>
      <c r="AL263" s="3" t="str">
        <f t="shared" si="122"/>
        <v/>
      </c>
      <c r="AM263" t="str">
        <f t="shared" si="123"/>
        <v/>
      </c>
      <c r="AN263" t="str">
        <f t="shared" si="124"/>
        <v/>
      </c>
      <c r="AP263" s="5" t="str">
        <f>IF(L263="","",VLOOKUP($L263,classifications!$C:$E,3,FALSE))</f>
        <v/>
      </c>
      <c r="AQ263" s="43" t="str">
        <f t="shared" si="125"/>
        <v/>
      </c>
      <c r="AR263" s="40" t="str">
        <f>IF(AQ263="","",IF(I$8="A",(RANK(AQ263,AQ$11:AQ$343,1)+COUNTIF(AQ$11:AQ263,AQ263)-1),(RANK(AQ263,AQ$11:AQ$343)+COUNTIF(AQ$11:AQ263,AQ263)-1)))</f>
        <v/>
      </c>
      <c r="AS263" s="3" t="str">
        <f t="shared" si="126"/>
        <v/>
      </c>
      <c r="AT263" s="40" t="str">
        <f t="shared" si="127"/>
        <v/>
      </c>
      <c r="AU263" s="43" t="str">
        <f t="shared" si="128"/>
        <v/>
      </c>
      <c r="AX263">
        <f>HLOOKUP($AX$9&amp;$AX$10,Data!$A$1:$ZZ$1980,(MATCH($C263,Data!$A$1:$A$1980,0)),FALSE)</f>
        <v>340.1</v>
      </c>
    </row>
    <row r="264" spans="1:50">
      <c r="A264" s="59" t="str">
        <f>$D$1&amp;254</f>
        <v>UA254</v>
      </c>
      <c r="B264" s="60">
        <f>IF(ISERROR(VLOOKUP(A271,classifications!A:C,3,FALSE)),0,VLOOKUP(A271,classifications!A:C,3,FALSE))</f>
        <v>0</v>
      </c>
      <c r="C264" t="s">
        <v>148</v>
      </c>
      <c r="D264" t="str">
        <f>VLOOKUP($C264,classifications!$C:$J,4,FALSE)</f>
        <v>SD</v>
      </c>
      <c r="E264">
        <f>VLOOKUP(C264,classifications!C:K,9,FALSE)</f>
        <v>0</v>
      </c>
      <c r="F264">
        <f t="shared" si="106"/>
        <v>363.2</v>
      </c>
      <c r="G264" s="15"/>
      <c r="H264" s="42" t="str">
        <f t="shared" si="107"/>
        <v/>
      </c>
      <c r="I264" s="79" t="str">
        <f>IF(H264="","",IF($I$8="A",(RANK(H264,H$11:H$343,1)+COUNTIF(H$11:H264,H264)-1),(RANK(H264,H$11:H$343)+COUNTIF(H$11:H264,H264)-1)))</f>
        <v/>
      </c>
      <c r="J264" s="41"/>
      <c r="K264" s="36" t="str">
        <f t="shared" si="108"/>
        <v/>
      </c>
      <c r="L264" t="str">
        <f t="shared" si="109"/>
        <v/>
      </c>
      <c r="M264" s="117" t="str">
        <f t="shared" si="110"/>
        <v/>
      </c>
      <c r="N264" s="112" t="str">
        <f t="shared" si="111"/>
        <v/>
      </c>
      <c r="O264" s="96" t="str">
        <f t="shared" si="112"/>
        <v/>
      </c>
      <c r="P264" s="96" t="str">
        <f t="shared" si="113"/>
        <v/>
      </c>
      <c r="Q264" s="96" t="str">
        <f t="shared" si="114"/>
        <v/>
      </c>
      <c r="R264" s="92" t="str">
        <f t="shared" si="115"/>
        <v/>
      </c>
      <c r="S264" s="42" t="str">
        <f t="shared" si="116"/>
        <v/>
      </c>
      <c r="T264" s="167" t="str">
        <f>IF(L264="","",VLOOKUP(L264,classifications!C:K,9,FALSE))</f>
        <v/>
      </c>
      <c r="U264" s="168" t="str">
        <f t="shared" si="117"/>
        <v/>
      </c>
      <c r="V264" s="174" t="str">
        <f>IF(U264="","",IF($I$8="A",(RANK(U264,U$11:U$343)+COUNTIF(U$11:U264,U264)-1),(RANK(U264,U$11:U$343,1)+COUNTIF(U$11:U264,U264)-1)))</f>
        <v/>
      </c>
      <c r="W264" s="175"/>
      <c r="X264" s="5" t="str">
        <f>IF(L264="","",VLOOKUP($L264,classifications!$C:$J,6,FALSE))</f>
        <v/>
      </c>
      <c r="Y264" t="str">
        <f t="shared" si="118"/>
        <v/>
      </c>
      <c r="Z264" s="40" t="str">
        <f>IF(Y264="","",IF(I$8="A",(RANK(Y264,Y$11:Y$343,1)+COUNTIF(Y$11:Y264,Y264)-1),(RANK(Y264,Y$11:Y$343)+COUNTIF(Y$11:Y264,Y264)-1)))</f>
        <v/>
      </c>
      <c r="AA264" s="180" t="str">
        <f>IF(L264="","",VLOOKUP($L264,classifications!C:I,7,FALSE))</f>
        <v/>
      </c>
      <c r="AB264" s="174" t="str">
        <f t="shared" si="119"/>
        <v/>
      </c>
      <c r="AC264" s="174" t="str">
        <f>IF(AB264="","",IF($I$8="A",(RANK(AB264,AB$11:AB$343)+COUNTIF(AB$11:AB264,AB264)-1),(RANK(AB264,AB$11:AB$343,1)+COUNTIF(AB$11:AB264,AB264)-1)))</f>
        <v/>
      </c>
      <c r="AD264" s="174"/>
      <c r="AE264" s="36" t="str">
        <f t="shared" si="120"/>
        <v/>
      </c>
      <c r="AG264" s="15"/>
      <c r="AH264" s="3"/>
      <c r="AI264" s="5" t="str">
        <f>IF(L264="","",VLOOKUP($L264,classifications!$C:$J,8,FALSE))</f>
        <v/>
      </c>
      <c r="AJ264" s="43" t="str">
        <f t="shared" si="121"/>
        <v/>
      </c>
      <c r="AK264" s="40" t="str">
        <f>IF(AJ264="","",IF(I$8="A",(RANK(AJ264,AJ$11:AJ$343,1)+COUNTIF(AJ$11:AJ264,AJ264)-1),(RANK(AJ264,AJ$11:AJ$343)+COUNTIF(AJ$11:AJ264,AJ264)-1)))</f>
        <v/>
      </c>
      <c r="AL264" s="3" t="str">
        <f t="shared" si="122"/>
        <v/>
      </c>
      <c r="AM264" t="str">
        <f t="shared" si="123"/>
        <v/>
      </c>
      <c r="AN264" t="str">
        <f t="shared" si="124"/>
        <v/>
      </c>
      <c r="AP264" s="5" t="str">
        <f>IF(L264="","",VLOOKUP($L264,classifications!$C:$E,3,FALSE))</f>
        <v/>
      </c>
      <c r="AQ264" s="43" t="str">
        <f t="shared" si="125"/>
        <v/>
      </c>
      <c r="AR264" s="40" t="str">
        <f>IF(AQ264="","",IF(I$8="A",(RANK(AQ264,AQ$11:AQ$343,1)+COUNTIF(AQ$11:AQ264,AQ264)-1),(RANK(AQ264,AQ$11:AQ$343)+COUNTIF(AQ$11:AQ264,AQ264)-1)))</f>
        <v/>
      </c>
      <c r="AS264" s="3" t="str">
        <f t="shared" si="126"/>
        <v/>
      </c>
      <c r="AT264" s="40" t="str">
        <f t="shared" si="127"/>
        <v/>
      </c>
      <c r="AU264" s="43" t="str">
        <f t="shared" si="128"/>
        <v/>
      </c>
      <c r="AX264">
        <f>HLOOKUP($AX$9&amp;$AX$10,Data!$A$1:$ZZ$1980,(MATCH($C264,Data!$A$1:$A$1980,0)),FALSE)</f>
        <v>363.2</v>
      </c>
    </row>
    <row r="265" spans="1:50">
      <c r="A265" s="59" t="str">
        <f>$D$1&amp;255</f>
        <v>UA255</v>
      </c>
      <c r="B265" s="60">
        <f>IF(ISERROR(VLOOKUP(A272,classifications!A:C,3,FALSE)),0,VLOOKUP(A272,classifications!A:C,3,FALSE))</f>
        <v>0</v>
      </c>
      <c r="C265" t="s">
        <v>149</v>
      </c>
      <c r="D265" t="str">
        <f>VLOOKUP($C265,classifications!$C:$J,4,FALSE)</f>
        <v>SD</v>
      </c>
      <c r="E265" t="str">
        <f>VLOOKUP(C265,classifications!C:K,9,FALSE)</f>
        <v>Sparse</v>
      </c>
      <c r="F265" t="str">
        <f t="shared" si="106"/>
        <v>..</v>
      </c>
      <c r="G265" s="15"/>
      <c r="H265" s="42" t="str">
        <f t="shared" si="107"/>
        <v/>
      </c>
      <c r="I265" s="79" t="str">
        <f>IF(H265="","",IF($I$8="A",(RANK(H265,H$11:H$343,1)+COUNTIF(H$11:H265,H265)-1),(RANK(H265,H$11:H$343)+COUNTIF(H$11:H265,H265)-1)))</f>
        <v/>
      </c>
      <c r="J265" s="41"/>
      <c r="K265" s="36" t="str">
        <f t="shared" si="108"/>
        <v/>
      </c>
      <c r="L265" t="str">
        <f t="shared" si="109"/>
        <v/>
      </c>
      <c r="M265" s="117" t="str">
        <f t="shared" si="110"/>
        <v/>
      </c>
      <c r="N265" s="112" t="str">
        <f t="shared" si="111"/>
        <v/>
      </c>
      <c r="O265" s="96" t="str">
        <f t="shared" si="112"/>
        <v/>
      </c>
      <c r="P265" s="96" t="str">
        <f t="shared" si="113"/>
        <v/>
      </c>
      <c r="Q265" s="96" t="str">
        <f t="shared" si="114"/>
        <v/>
      </c>
      <c r="R265" s="92" t="str">
        <f t="shared" si="115"/>
        <v/>
      </c>
      <c r="S265" s="42" t="str">
        <f t="shared" si="116"/>
        <v/>
      </c>
      <c r="T265" s="167" t="str">
        <f>IF(L265="","",VLOOKUP(L265,classifications!C:K,9,FALSE))</f>
        <v/>
      </c>
      <c r="U265" s="168" t="str">
        <f t="shared" si="117"/>
        <v/>
      </c>
      <c r="V265" s="174" t="str">
        <f>IF(U265="","",IF($I$8="A",(RANK(U265,U$11:U$343)+COUNTIF(U$11:U265,U265)-1),(RANK(U265,U$11:U$343,1)+COUNTIF(U$11:U265,U265)-1)))</f>
        <v/>
      </c>
      <c r="W265" s="175"/>
      <c r="X265" s="5" t="str">
        <f>IF(L265="","",VLOOKUP($L265,classifications!$C:$J,6,FALSE))</f>
        <v/>
      </c>
      <c r="Y265" t="str">
        <f t="shared" si="118"/>
        <v/>
      </c>
      <c r="Z265" s="40" t="str">
        <f>IF(Y265="","",IF(I$8="A",(RANK(Y265,Y$11:Y$343,1)+COUNTIF(Y$11:Y265,Y265)-1),(RANK(Y265,Y$11:Y$343)+COUNTIF(Y$11:Y265,Y265)-1)))</f>
        <v/>
      </c>
      <c r="AA265" s="180" t="str">
        <f>IF(L265="","",VLOOKUP($L265,classifications!C:I,7,FALSE))</f>
        <v/>
      </c>
      <c r="AB265" s="174" t="str">
        <f t="shared" si="119"/>
        <v/>
      </c>
      <c r="AC265" s="174" t="str">
        <f>IF(AB265="","",IF($I$8="A",(RANK(AB265,AB$11:AB$343)+COUNTIF(AB$11:AB265,AB265)-1),(RANK(AB265,AB$11:AB$343,1)+COUNTIF(AB$11:AB265,AB265)-1)))</f>
        <v/>
      </c>
      <c r="AD265" s="174"/>
      <c r="AE265" s="36" t="str">
        <f t="shared" si="120"/>
        <v/>
      </c>
      <c r="AG265" s="15"/>
      <c r="AH265" s="3"/>
      <c r="AI265" s="5" t="str">
        <f>IF(L265="","",VLOOKUP($L265,classifications!$C:$J,8,FALSE))</f>
        <v/>
      </c>
      <c r="AJ265" s="43" t="str">
        <f t="shared" si="121"/>
        <v/>
      </c>
      <c r="AK265" s="40" t="str">
        <f>IF(AJ265="","",IF(I$8="A",(RANK(AJ265,AJ$11:AJ$343,1)+COUNTIF(AJ$11:AJ265,AJ265)-1),(RANK(AJ265,AJ$11:AJ$343)+COUNTIF(AJ$11:AJ265,AJ265)-1)))</f>
        <v/>
      </c>
      <c r="AL265" s="3" t="str">
        <f t="shared" si="122"/>
        <v/>
      </c>
      <c r="AM265" t="str">
        <f t="shared" si="123"/>
        <v/>
      </c>
      <c r="AN265" t="str">
        <f t="shared" si="124"/>
        <v/>
      </c>
      <c r="AP265" s="5" t="str">
        <f>IF(L265="","",VLOOKUP($L265,classifications!$C:$E,3,FALSE))</f>
        <v/>
      </c>
      <c r="AQ265" s="43" t="str">
        <f t="shared" si="125"/>
        <v/>
      </c>
      <c r="AR265" s="40" t="str">
        <f>IF(AQ265="","",IF(I$8="A",(RANK(AQ265,AQ$11:AQ$343,1)+COUNTIF(AQ$11:AQ265,AQ265)-1),(RANK(AQ265,AQ$11:AQ$343)+COUNTIF(AQ$11:AQ265,AQ265)-1)))</f>
        <v/>
      </c>
      <c r="AS265" s="3" t="str">
        <f t="shared" si="126"/>
        <v/>
      </c>
      <c r="AT265" s="40" t="str">
        <f t="shared" si="127"/>
        <v/>
      </c>
      <c r="AU265" s="43" t="str">
        <f t="shared" si="128"/>
        <v/>
      </c>
      <c r="AX265" t="str">
        <f>HLOOKUP($AX$9&amp;$AX$10,Data!$A$1:$ZZ$1980,(MATCH($C265,Data!$A$1:$A$1980,0)),FALSE)</f>
        <v>..</v>
      </c>
    </row>
    <row r="266" spans="1:50">
      <c r="A266" s="59" t="str">
        <f>$D$1&amp;256</f>
        <v>UA256</v>
      </c>
      <c r="B266" s="60">
        <f>IF(ISERROR(VLOOKUP(A273,classifications!A:C,3,FALSE)),0,VLOOKUP(A273,classifications!A:C,3,FALSE))</f>
        <v>0</v>
      </c>
      <c r="C266" t="s">
        <v>150</v>
      </c>
      <c r="D266" t="str">
        <f>VLOOKUP($C266,classifications!$C:$J,4,FALSE)</f>
        <v>SD</v>
      </c>
      <c r="E266">
        <f>VLOOKUP(C266,classifications!C:K,9,FALSE)</f>
        <v>0</v>
      </c>
      <c r="F266">
        <f t="shared" si="106"/>
        <v>365.6</v>
      </c>
      <c r="G266" s="15"/>
      <c r="H266" s="42" t="str">
        <f t="shared" si="107"/>
        <v/>
      </c>
      <c r="I266" s="79" t="str">
        <f>IF(H266="","",IF($I$8="A",(RANK(H266,H$11:H$343,1)+COUNTIF(H$11:H266,H266)-1),(RANK(H266,H$11:H$343)+COUNTIF(H$11:H266,H266)-1)))</f>
        <v/>
      </c>
      <c r="J266" s="41"/>
      <c r="K266" s="36" t="str">
        <f t="shared" si="108"/>
        <v/>
      </c>
      <c r="L266" t="str">
        <f t="shared" si="109"/>
        <v/>
      </c>
      <c r="M266" s="117" t="str">
        <f t="shared" si="110"/>
        <v/>
      </c>
      <c r="N266" s="112" t="str">
        <f t="shared" si="111"/>
        <v/>
      </c>
      <c r="O266" s="96" t="str">
        <f t="shared" si="112"/>
        <v/>
      </c>
      <c r="P266" s="96" t="str">
        <f t="shared" si="113"/>
        <v/>
      </c>
      <c r="Q266" s="96" t="str">
        <f t="shared" si="114"/>
        <v/>
      </c>
      <c r="R266" s="92" t="str">
        <f t="shared" si="115"/>
        <v/>
      </c>
      <c r="S266" s="42" t="str">
        <f t="shared" si="116"/>
        <v/>
      </c>
      <c r="T266" s="167" t="str">
        <f>IF(L266="","",VLOOKUP(L266,classifications!C:K,9,FALSE))</f>
        <v/>
      </c>
      <c r="U266" s="168" t="str">
        <f t="shared" si="117"/>
        <v/>
      </c>
      <c r="V266" s="174" t="str">
        <f>IF(U266="","",IF($I$8="A",(RANK(U266,U$11:U$343)+COUNTIF(U$11:U266,U266)-1),(RANK(U266,U$11:U$343,1)+COUNTIF(U$11:U266,U266)-1)))</f>
        <v/>
      </c>
      <c r="W266" s="175"/>
      <c r="X266" s="5" t="str">
        <f>IF(L266="","",VLOOKUP($L266,classifications!$C:$J,6,FALSE))</f>
        <v/>
      </c>
      <c r="Y266" t="str">
        <f t="shared" si="118"/>
        <v/>
      </c>
      <c r="Z266" s="40" t="str">
        <f>IF(Y266="","",IF(I$8="A",(RANK(Y266,Y$11:Y$343,1)+COUNTIF(Y$11:Y266,Y266)-1),(RANK(Y266,Y$11:Y$343)+COUNTIF(Y$11:Y266,Y266)-1)))</f>
        <v/>
      </c>
      <c r="AA266" s="180" t="str">
        <f>IF(L266="","",VLOOKUP($L266,classifications!C:I,7,FALSE))</f>
        <v/>
      </c>
      <c r="AB266" s="174" t="str">
        <f t="shared" si="119"/>
        <v/>
      </c>
      <c r="AC266" s="174" t="str">
        <f>IF(AB266="","",IF($I$8="A",(RANK(AB266,AB$11:AB$343)+COUNTIF(AB$11:AB266,AB266)-1),(RANK(AB266,AB$11:AB$343,1)+COUNTIF(AB$11:AB266,AB266)-1)))</f>
        <v/>
      </c>
      <c r="AD266" s="174"/>
      <c r="AE266" s="36" t="str">
        <f t="shared" si="120"/>
        <v/>
      </c>
      <c r="AG266" s="15"/>
      <c r="AH266" s="3"/>
      <c r="AI266" s="5" t="str">
        <f>IF(L266="","",VLOOKUP($L266,classifications!$C:$J,8,FALSE))</f>
        <v/>
      </c>
      <c r="AJ266" s="43" t="str">
        <f t="shared" si="121"/>
        <v/>
      </c>
      <c r="AK266" s="40" t="str">
        <f>IF(AJ266="","",IF(I$8="A",(RANK(AJ266,AJ$11:AJ$343,1)+COUNTIF(AJ$11:AJ266,AJ266)-1),(RANK(AJ266,AJ$11:AJ$343)+COUNTIF(AJ$11:AJ266,AJ266)-1)))</f>
        <v/>
      </c>
      <c r="AL266" s="3" t="str">
        <f t="shared" si="122"/>
        <v/>
      </c>
      <c r="AM266" t="str">
        <f t="shared" si="123"/>
        <v/>
      </c>
      <c r="AN266" t="str">
        <f t="shared" si="124"/>
        <v/>
      </c>
      <c r="AP266" s="5" t="str">
        <f>IF(L266="","",VLOOKUP($L266,classifications!$C:$E,3,FALSE))</f>
        <v/>
      </c>
      <c r="AQ266" s="43" t="str">
        <f t="shared" si="125"/>
        <v/>
      </c>
      <c r="AR266" s="40" t="str">
        <f>IF(AQ266="","",IF(I$8="A",(RANK(AQ266,AQ$11:AQ$343,1)+COUNTIF(AQ$11:AQ266,AQ266)-1),(RANK(AQ266,AQ$11:AQ$343)+COUNTIF(AQ$11:AQ266,AQ266)-1)))</f>
        <v/>
      </c>
      <c r="AS266" s="3" t="str">
        <f t="shared" si="126"/>
        <v/>
      </c>
      <c r="AT266" s="40" t="str">
        <f t="shared" si="127"/>
        <v/>
      </c>
      <c r="AU266" s="43" t="str">
        <f t="shared" si="128"/>
        <v/>
      </c>
      <c r="AX266">
        <f>HLOOKUP($AX$9&amp;$AX$10,Data!$A$1:$ZZ$1980,(MATCH($C266,Data!$A$1:$A$1980,0)),FALSE)</f>
        <v>365.6</v>
      </c>
    </row>
    <row r="267" spans="1:50">
      <c r="A267" s="59" t="str">
        <f>$D$1&amp;257</f>
        <v>UA257</v>
      </c>
      <c r="B267" s="60">
        <f>IF(ISERROR(VLOOKUP(A274,classifications!A:C,3,FALSE)),0,VLOOKUP(A274,classifications!A:C,3,FALSE))</f>
        <v>0</v>
      </c>
      <c r="C267" t="s">
        <v>248</v>
      </c>
      <c r="D267" t="str">
        <f>VLOOKUP($C267,classifications!$C:$J,4,FALSE)</f>
        <v>MD</v>
      </c>
      <c r="E267">
        <f>VLOOKUP(C267,classifications!C:K,9,FALSE)</f>
        <v>0</v>
      </c>
      <c r="F267">
        <f t="shared" si="106"/>
        <v>418.3</v>
      </c>
      <c r="G267" s="15"/>
      <c r="H267" s="42" t="str">
        <f t="shared" si="107"/>
        <v/>
      </c>
      <c r="I267" s="79" t="str">
        <f>IF(H267="","",IF($I$8="A",(RANK(H267,H$11:H$343,1)+COUNTIF(H$11:H267,H267)-1),(RANK(H267,H$11:H$343)+COUNTIF(H$11:H267,H267)-1)))</f>
        <v/>
      </c>
      <c r="J267" s="41"/>
      <c r="K267" s="36" t="str">
        <f t="shared" si="108"/>
        <v/>
      </c>
      <c r="L267" t="str">
        <f t="shared" si="109"/>
        <v/>
      </c>
      <c r="M267" s="117" t="str">
        <f t="shared" si="110"/>
        <v/>
      </c>
      <c r="N267" s="112" t="str">
        <f t="shared" si="111"/>
        <v/>
      </c>
      <c r="O267" s="96" t="str">
        <f t="shared" si="112"/>
        <v/>
      </c>
      <c r="P267" s="96" t="str">
        <f t="shared" si="113"/>
        <v/>
      </c>
      <c r="Q267" s="96" t="str">
        <f t="shared" si="114"/>
        <v/>
      </c>
      <c r="R267" s="92" t="str">
        <f t="shared" si="115"/>
        <v/>
      </c>
      <c r="S267" s="42" t="str">
        <f t="shared" si="116"/>
        <v/>
      </c>
      <c r="T267" s="167" t="str">
        <f>IF(L267="","",VLOOKUP(L267,classifications!C:K,9,FALSE))</f>
        <v/>
      </c>
      <c r="U267" s="168" t="str">
        <f t="shared" si="117"/>
        <v/>
      </c>
      <c r="V267" s="174" t="str">
        <f>IF(U267="","",IF($I$8="A",(RANK(U267,U$11:U$343)+COUNTIF(U$11:U267,U267)-1),(RANK(U267,U$11:U$343,1)+COUNTIF(U$11:U267,U267)-1)))</f>
        <v/>
      </c>
      <c r="W267" s="175"/>
      <c r="X267" s="5" t="str">
        <f>IF(L267="","",VLOOKUP($L267,classifications!$C:$J,6,FALSE))</f>
        <v/>
      </c>
      <c r="Y267" t="str">
        <f t="shared" si="118"/>
        <v/>
      </c>
      <c r="Z267" s="40" t="str">
        <f>IF(Y267="","",IF(I$8="A",(RANK(Y267,Y$11:Y$343,1)+COUNTIF(Y$11:Y267,Y267)-1),(RANK(Y267,Y$11:Y$343)+COUNTIF(Y$11:Y267,Y267)-1)))</f>
        <v/>
      </c>
      <c r="AA267" s="180" t="str">
        <f>IF(L267="","",VLOOKUP($L267,classifications!C:I,7,FALSE))</f>
        <v/>
      </c>
      <c r="AB267" s="174" t="str">
        <f t="shared" si="119"/>
        <v/>
      </c>
      <c r="AC267" s="174" t="str">
        <f>IF(AB267="","",IF($I$8="A",(RANK(AB267,AB$11:AB$343)+COUNTIF(AB$11:AB267,AB267)-1),(RANK(AB267,AB$11:AB$343,1)+COUNTIF(AB$11:AB267,AB267)-1)))</f>
        <v/>
      </c>
      <c r="AD267" s="174"/>
      <c r="AE267" s="36" t="str">
        <f t="shared" si="120"/>
        <v/>
      </c>
      <c r="AG267" s="15"/>
      <c r="AH267" s="3"/>
      <c r="AI267" s="5" t="str">
        <f>IF(L267="","",VLOOKUP($L267,classifications!$C:$J,8,FALSE))</f>
        <v/>
      </c>
      <c r="AJ267" s="43" t="str">
        <f t="shared" si="121"/>
        <v/>
      </c>
      <c r="AK267" s="40" t="str">
        <f>IF(AJ267="","",IF(I$8="A",(RANK(AJ267,AJ$11:AJ$343,1)+COUNTIF(AJ$11:AJ267,AJ267)-1),(RANK(AJ267,AJ$11:AJ$343)+COUNTIF(AJ$11:AJ267,AJ267)-1)))</f>
        <v/>
      </c>
      <c r="AL267" s="3" t="str">
        <f t="shared" si="122"/>
        <v/>
      </c>
      <c r="AM267" t="str">
        <f t="shared" si="123"/>
        <v/>
      </c>
      <c r="AN267" t="str">
        <f t="shared" si="124"/>
        <v/>
      </c>
      <c r="AP267" s="5" t="str">
        <f>IF(L267="","",VLOOKUP($L267,classifications!$C:$E,3,FALSE))</f>
        <v/>
      </c>
      <c r="AQ267" s="43" t="str">
        <f t="shared" si="125"/>
        <v/>
      </c>
      <c r="AR267" s="40" t="str">
        <f>IF(AQ267="","",IF(I$8="A",(RANK(AQ267,AQ$11:AQ$343,1)+COUNTIF(AQ$11:AQ267,AQ267)-1),(RANK(AQ267,AQ$11:AQ$343)+COUNTIF(AQ$11:AQ267,AQ267)-1)))</f>
        <v/>
      </c>
      <c r="AS267" s="3" t="str">
        <f t="shared" si="126"/>
        <v/>
      </c>
      <c r="AT267" s="40" t="str">
        <f t="shared" si="127"/>
        <v/>
      </c>
      <c r="AU267" s="43" t="str">
        <f t="shared" si="128"/>
        <v/>
      </c>
      <c r="AX267">
        <f>HLOOKUP($AX$9&amp;$AX$10,Data!$A$1:$ZZ$1980,(MATCH($C267,Data!$A$1:$A$1980,0)),FALSE)</f>
        <v>418.3</v>
      </c>
    </row>
    <row r="268" spans="1:50">
      <c r="A268" s="59" t="str">
        <f>$D$1&amp;258</f>
        <v>UA258</v>
      </c>
      <c r="B268" s="60">
        <f>IF(ISERROR(VLOOKUP(A275,classifications!A:C,3,FALSE)),0,VLOOKUP(A275,classifications!A:C,3,FALSE))</f>
        <v>0</v>
      </c>
      <c r="C268" t="s">
        <v>289</v>
      </c>
      <c r="D268" t="str">
        <f>VLOOKUP($C268,classifications!$C:$J,4,FALSE)</f>
        <v>UA</v>
      </c>
      <c r="E268">
        <f>VLOOKUP(C268,classifications!C:K,9,FALSE)</f>
        <v>0</v>
      </c>
      <c r="F268">
        <f t="shared" si="106"/>
        <v>340.8</v>
      </c>
      <c r="G268" s="15"/>
      <c r="H268" s="42">
        <f t="shared" si="107"/>
        <v>340.8</v>
      </c>
      <c r="I268" s="79">
        <f>IF(H268="","",IF($I$8="A",(RANK(H268,H$11:H$343,1)+COUNTIF(H$11:H268,H268)-1),(RANK(H268,H$11:H$343)+COUNTIF(H$11:H268,H268)-1)))</f>
        <v>8</v>
      </c>
      <c r="J268" s="41"/>
      <c r="K268" s="36" t="str">
        <f t="shared" si="108"/>
        <v/>
      </c>
      <c r="L268" t="str">
        <f t="shared" si="109"/>
        <v/>
      </c>
      <c r="M268" s="117" t="str">
        <f t="shared" si="110"/>
        <v/>
      </c>
      <c r="N268" s="112" t="str">
        <f t="shared" si="111"/>
        <v/>
      </c>
      <c r="O268" s="96" t="str">
        <f t="shared" si="112"/>
        <v/>
      </c>
      <c r="P268" s="96" t="str">
        <f t="shared" si="113"/>
        <v/>
      </c>
      <c r="Q268" s="96" t="str">
        <f t="shared" si="114"/>
        <v/>
      </c>
      <c r="R268" s="92" t="str">
        <f t="shared" si="115"/>
        <v/>
      </c>
      <c r="S268" s="42" t="str">
        <f t="shared" si="116"/>
        <v/>
      </c>
      <c r="T268" s="167" t="str">
        <f>IF(L268="","",VLOOKUP(L268,classifications!C:K,9,FALSE))</f>
        <v/>
      </c>
      <c r="U268" s="168" t="str">
        <f t="shared" si="117"/>
        <v/>
      </c>
      <c r="V268" s="174" t="str">
        <f>IF(U268="","",IF($I$8="A",(RANK(U268,U$11:U$343)+COUNTIF(U$11:U268,U268)-1),(RANK(U268,U$11:U$343,1)+COUNTIF(U$11:U268,U268)-1)))</f>
        <v/>
      </c>
      <c r="W268" s="175"/>
      <c r="X268" s="5" t="str">
        <f>IF(L268="","",VLOOKUP($L268,classifications!$C:$J,6,FALSE))</f>
        <v/>
      </c>
      <c r="Y268" t="str">
        <f t="shared" si="118"/>
        <v/>
      </c>
      <c r="Z268" s="40" t="str">
        <f>IF(Y268="","",IF(I$8="A",(RANK(Y268,Y$11:Y$343,1)+COUNTIF(Y$11:Y268,Y268)-1),(RANK(Y268,Y$11:Y$343)+COUNTIF(Y$11:Y268,Y268)-1)))</f>
        <v/>
      </c>
      <c r="AA268" s="180" t="str">
        <f>IF(L268="","",VLOOKUP($L268,classifications!C:I,7,FALSE))</f>
        <v/>
      </c>
      <c r="AB268" s="174" t="str">
        <f t="shared" si="119"/>
        <v/>
      </c>
      <c r="AC268" s="174" t="str">
        <f>IF(AB268="","",IF($I$8="A",(RANK(AB268,AB$11:AB$343)+COUNTIF(AB$11:AB268,AB268)-1),(RANK(AB268,AB$11:AB$343,1)+COUNTIF(AB$11:AB268,AB268)-1)))</f>
        <v/>
      </c>
      <c r="AD268" s="174"/>
      <c r="AE268" s="36" t="str">
        <f t="shared" si="120"/>
        <v/>
      </c>
      <c r="AG268" s="15"/>
      <c r="AH268" s="3"/>
      <c r="AI268" s="5" t="str">
        <f>IF(L268="","",VLOOKUP($L268,classifications!$C:$J,8,FALSE))</f>
        <v/>
      </c>
      <c r="AJ268" s="43" t="str">
        <f t="shared" si="121"/>
        <v/>
      </c>
      <c r="AK268" s="40" t="str">
        <f>IF(AJ268="","",IF(I$8="A",(RANK(AJ268,AJ$11:AJ$343,1)+COUNTIF(AJ$11:AJ268,AJ268)-1),(RANK(AJ268,AJ$11:AJ$343)+COUNTIF(AJ$11:AJ268,AJ268)-1)))</f>
        <v/>
      </c>
      <c r="AL268" s="3" t="str">
        <f t="shared" si="122"/>
        <v/>
      </c>
      <c r="AM268" t="str">
        <f t="shared" si="123"/>
        <v/>
      </c>
      <c r="AN268" t="str">
        <f t="shared" si="124"/>
        <v/>
      </c>
      <c r="AP268" s="5" t="str">
        <f>IF(L268="","",VLOOKUP($L268,classifications!$C:$E,3,FALSE))</f>
        <v/>
      </c>
      <c r="AQ268" s="43" t="str">
        <f t="shared" si="125"/>
        <v/>
      </c>
      <c r="AR268" s="40" t="str">
        <f>IF(AQ268="","",IF(I$8="A",(RANK(AQ268,AQ$11:AQ$343,1)+COUNTIF(AQ$11:AQ268,AQ268)-1),(RANK(AQ268,AQ$11:AQ$343)+COUNTIF(AQ$11:AQ268,AQ268)-1)))</f>
        <v/>
      </c>
      <c r="AS268" s="3" t="str">
        <f t="shared" si="126"/>
        <v/>
      </c>
      <c r="AT268" s="40" t="str">
        <f t="shared" si="127"/>
        <v/>
      </c>
      <c r="AU268" s="43" t="str">
        <f t="shared" si="128"/>
        <v/>
      </c>
      <c r="AX268">
        <f>HLOOKUP($AX$9&amp;$AX$10,Data!$A$1:$ZZ$1980,(MATCH($C268,Data!$A$1:$A$1980,0)),FALSE)</f>
        <v>340.8</v>
      </c>
    </row>
    <row r="269" spans="1:50">
      <c r="A269" s="59" t="str">
        <f>$D$1&amp;259</f>
        <v>UA259</v>
      </c>
      <c r="B269" s="60">
        <f>IF(ISERROR(VLOOKUP(A276,classifications!A:C,3,FALSE)),0,VLOOKUP(A276,classifications!A:C,3,FALSE))</f>
        <v>0</v>
      </c>
      <c r="C269" t="s">
        <v>290</v>
      </c>
      <c r="D269" t="str">
        <f>VLOOKUP($C269,classifications!$C:$J,4,FALSE)</f>
        <v>UA</v>
      </c>
      <c r="E269">
        <f>VLOOKUP(C269,classifications!C:K,9,FALSE)</f>
        <v>0</v>
      </c>
      <c r="F269">
        <f t="shared" si="106"/>
        <v>396.8</v>
      </c>
      <c r="G269" s="15"/>
      <c r="H269" s="42">
        <f t="shared" si="107"/>
        <v>396.8</v>
      </c>
      <c r="I269" s="79">
        <f>IF(H269="","",IF($I$8="A",(RANK(H269,H$11:H$343,1)+COUNTIF(H$11:H269,H269)-1),(RANK(H269,H$11:H$343)+COUNTIF(H$11:H269,H269)-1)))</f>
        <v>33</v>
      </c>
      <c r="J269" s="41"/>
      <c r="K269" s="36" t="str">
        <f t="shared" si="108"/>
        <v/>
      </c>
      <c r="L269" t="str">
        <f t="shared" si="109"/>
        <v/>
      </c>
      <c r="M269" s="117" t="str">
        <f t="shared" si="110"/>
        <v/>
      </c>
      <c r="N269" s="112" t="str">
        <f t="shared" si="111"/>
        <v/>
      </c>
      <c r="O269" s="96" t="str">
        <f t="shared" si="112"/>
        <v/>
      </c>
      <c r="P269" s="96" t="str">
        <f t="shared" si="113"/>
        <v/>
      </c>
      <c r="Q269" s="96" t="str">
        <f t="shared" si="114"/>
        <v/>
      </c>
      <c r="R269" s="92" t="str">
        <f t="shared" si="115"/>
        <v/>
      </c>
      <c r="S269" s="42" t="str">
        <f t="shared" si="116"/>
        <v/>
      </c>
      <c r="T269" s="167" t="str">
        <f>IF(L269="","",VLOOKUP(L269,classifications!C:K,9,FALSE))</f>
        <v/>
      </c>
      <c r="U269" s="168" t="str">
        <f t="shared" si="117"/>
        <v/>
      </c>
      <c r="V269" s="174" t="str">
        <f>IF(U269="","",IF($I$8="A",(RANK(U269,U$11:U$343)+COUNTIF(U$11:U269,U269)-1),(RANK(U269,U$11:U$343,1)+COUNTIF(U$11:U269,U269)-1)))</f>
        <v/>
      </c>
      <c r="W269" s="175"/>
      <c r="X269" s="5" t="str">
        <f>IF(L269="","",VLOOKUP($L269,classifications!$C:$J,6,FALSE))</f>
        <v/>
      </c>
      <c r="Y269" t="str">
        <f t="shared" si="118"/>
        <v/>
      </c>
      <c r="Z269" s="40" t="str">
        <f>IF(Y269="","",IF(I$8="A",(RANK(Y269,Y$11:Y$343,1)+COUNTIF(Y$11:Y269,Y269)-1),(RANK(Y269,Y$11:Y$343)+COUNTIF(Y$11:Y269,Y269)-1)))</f>
        <v/>
      </c>
      <c r="AA269" s="180" t="str">
        <f>IF(L269="","",VLOOKUP($L269,classifications!C:I,7,FALSE))</f>
        <v/>
      </c>
      <c r="AB269" s="174" t="str">
        <f t="shared" si="119"/>
        <v/>
      </c>
      <c r="AC269" s="174" t="str">
        <f>IF(AB269="","",IF($I$8="A",(RANK(AB269,AB$11:AB$343)+COUNTIF(AB$11:AB269,AB269)-1),(RANK(AB269,AB$11:AB$343,1)+COUNTIF(AB$11:AB269,AB269)-1)))</f>
        <v/>
      </c>
      <c r="AD269" s="174"/>
      <c r="AE269" s="36" t="str">
        <f t="shared" si="120"/>
        <v/>
      </c>
      <c r="AG269" s="15"/>
      <c r="AH269" s="3"/>
      <c r="AI269" s="5" t="str">
        <f>IF(L269="","",VLOOKUP($L269,classifications!$C:$J,8,FALSE))</f>
        <v/>
      </c>
      <c r="AJ269" s="43" t="str">
        <f t="shared" si="121"/>
        <v/>
      </c>
      <c r="AK269" s="40" t="str">
        <f>IF(AJ269="","",IF(I$8="A",(RANK(AJ269,AJ$11:AJ$343,1)+COUNTIF(AJ$11:AJ269,AJ269)-1),(RANK(AJ269,AJ$11:AJ$343)+COUNTIF(AJ$11:AJ269,AJ269)-1)))</f>
        <v/>
      </c>
      <c r="AL269" s="3" t="str">
        <f t="shared" si="122"/>
        <v/>
      </c>
      <c r="AM269" t="str">
        <f t="shared" si="123"/>
        <v/>
      </c>
      <c r="AN269" t="str">
        <f t="shared" si="124"/>
        <v/>
      </c>
      <c r="AP269" s="5" t="str">
        <f>IF(L269="","",VLOOKUP($L269,classifications!$C:$E,3,FALSE))</f>
        <v/>
      </c>
      <c r="AQ269" s="43" t="str">
        <f t="shared" si="125"/>
        <v/>
      </c>
      <c r="AR269" s="40" t="str">
        <f>IF(AQ269="","",IF(I$8="A",(RANK(AQ269,AQ$11:AQ$343,1)+COUNTIF(AQ$11:AQ269,AQ269)-1),(RANK(AQ269,AQ$11:AQ$343)+COUNTIF(AQ$11:AQ269,AQ269)-1)))</f>
        <v/>
      </c>
      <c r="AS269" s="3" t="str">
        <f t="shared" si="126"/>
        <v/>
      </c>
      <c r="AT269" s="40" t="str">
        <f t="shared" si="127"/>
        <v/>
      </c>
      <c r="AU269" s="43" t="str">
        <f t="shared" si="128"/>
        <v/>
      </c>
      <c r="AX269">
        <f>HLOOKUP($AX$9&amp;$AX$10,Data!$A$1:$ZZ$1980,(MATCH($C269,Data!$A$1:$A$1980,0)),FALSE)</f>
        <v>396.8</v>
      </c>
    </row>
    <row r="270" spans="1:50">
      <c r="A270" s="59" t="str">
        <f>$D$1&amp;260</f>
        <v>UA260</v>
      </c>
      <c r="B270" s="60">
        <f>IF(ISERROR(VLOOKUP(A277,classifications!A:C,3,FALSE)),0,VLOOKUP(A277,classifications!A:C,3,FALSE))</f>
        <v>0</v>
      </c>
      <c r="C270" t="s">
        <v>218</v>
      </c>
      <c r="D270" t="str">
        <f>VLOOKUP($C270,classifications!$C:$J,4,FALSE)</f>
        <v>L</v>
      </c>
      <c r="E270">
        <f>VLOOKUP(C270,classifications!C:K,9,FALSE)</f>
        <v>0</v>
      </c>
      <c r="F270">
        <f t="shared" si="106"/>
        <v>339.7</v>
      </c>
      <c r="G270" s="15"/>
      <c r="H270" s="42" t="str">
        <f t="shared" si="107"/>
        <v/>
      </c>
      <c r="I270" s="79" t="str">
        <f>IF(H270="","",IF($I$8="A",(RANK(H270,H$11:H$343,1)+COUNTIF(H$11:H270,H270)-1),(RANK(H270,H$11:H$343)+COUNTIF(H$11:H270,H270)-1)))</f>
        <v/>
      </c>
      <c r="J270" s="41"/>
      <c r="K270" s="36" t="str">
        <f t="shared" si="108"/>
        <v/>
      </c>
      <c r="L270" t="str">
        <f t="shared" si="109"/>
        <v/>
      </c>
      <c r="M270" s="117" t="str">
        <f t="shared" si="110"/>
        <v/>
      </c>
      <c r="N270" s="112" t="str">
        <f t="shared" si="111"/>
        <v/>
      </c>
      <c r="O270" s="96" t="str">
        <f t="shared" si="112"/>
        <v/>
      </c>
      <c r="P270" s="96" t="str">
        <f t="shared" si="113"/>
        <v/>
      </c>
      <c r="Q270" s="96" t="str">
        <f t="shared" si="114"/>
        <v/>
      </c>
      <c r="R270" s="92" t="str">
        <f t="shared" si="115"/>
        <v/>
      </c>
      <c r="S270" s="42" t="str">
        <f t="shared" si="116"/>
        <v/>
      </c>
      <c r="T270" s="167" t="str">
        <f>IF(L270="","",VLOOKUP(L270,classifications!C:K,9,FALSE))</f>
        <v/>
      </c>
      <c r="U270" s="168" t="str">
        <f t="shared" si="117"/>
        <v/>
      </c>
      <c r="V270" s="174" t="str">
        <f>IF(U270="","",IF($I$8="A",(RANK(U270,U$11:U$343)+COUNTIF(U$11:U270,U270)-1),(RANK(U270,U$11:U$343,1)+COUNTIF(U$11:U270,U270)-1)))</f>
        <v/>
      </c>
      <c r="W270" s="175"/>
      <c r="X270" s="5" t="str">
        <f>IF(L270="","",VLOOKUP($L270,classifications!$C:$J,6,FALSE))</f>
        <v/>
      </c>
      <c r="Y270" t="str">
        <f t="shared" si="118"/>
        <v/>
      </c>
      <c r="Z270" s="40" t="str">
        <f>IF(Y270="","",IF(I$8="A",(RANK(Y270,Y$11:Y$343,1)+COUNTIF(Y$11:Y270,Y270)-1),(RANK(Y270,Y$11:Y$343)+COUNTIF(Y$11:Y270,Y270)-1)))</f>
        <v/>
      </c>
      <c r="AA270" s="180" t="str">
        <f>IF(L270="","",VLOOKUP($L270,classifications!C:I,7,FALSE))</f>
        <v/>
      </c>
      <c r="AB270" s="174" t="str">
        <f t="shared" si="119"/>
        <v/>
      </c>
      <c r="AC270" s="174" t="str">
        <f>IF(AB270="","",IF($I$8="A",(RANK(AB270,AB$11:AB$343)+COUNTIF(AB$11:AB270,AB270)-1),(RANK(AB270,AB$11:AB$343,1)+COUNTIF(AB$11:AB270,AB270)-1)))</f>
        <v/>
      </c>
      <c r="AD270" s="174"/>
      <c r="AE270" s="36" t="str">
        <f t="shared" si="120"/>
        <v/>
      </c>
      <c r="AG270" s="15"/>
      <c r="AH270" s="3"/>
      <c r="AI270" s="5" t="str">
        <f>IF(L270="","",VLOOKUP($L270,classifications!$C:$J,8,FALSE))</f>
        <v/>
      </c>
      <c r="AJ270" s="43" t="str">
        <f t="shared" si="121"/>
        <v/>
      </c>
      <c r="AK270" s="40" t="str">
        <f>IF(AJ270="","",IF(I$8="A",(RANK(AJ270,AJ$11:AJ$343,1)+COUNTIF(AJ$11:AJ270,AJ270)-1),(RANK(AJ270,AJ$11:AJ$343)+COUNTIF(AJ$11:AJ270,AJ270)-1)))</f>
        <v/>
      </c>
      <c r="AL270" s="3" t="str">
        <f t="shared" si="122"/>
        <v/>
      </c>
      <c r="AM270" t="str">
        <f t="shared" si="123"/>
        <v/>
      </c>
      <c r="AN270" t="str">
        <f t="shared" si="124"/>
        <v/>
      </c>
      <c r="AP270" s="5" t="str">
        <f>IF(L270="","",VLOOKUP($L270,classifications!$C:$E,3,FALSE))</f>
        <v/>
      </c>
      <c r="AQ270" s="43" t="str">
        <f t="shared" si="125"/>
        <v/>
      </c>
      <c r="AR270" s="40" t="str">
        <f>IF(AQ270="","",IF(I$8="A",(RANK(AQ270,AQ$11:AQ$343,1)+COUNTIF(AQ$11:AQ270,AQ270)-1),(RANK(AQ270,AQ$11:AQ$343)+COUNTIF(AQ$11:AQ270,AQ270)-1)))</f>
        <v/>
      </c>
      <c r="AS270" s="3" t="str">
        <f t="shared" si="126"/>
        <v/>
      </c>
      <c r="AT270" s="40" t="str">
        <f t="shared" si="127"/>
        <v/>
      </c>
      <c r="AU270" s="43" t="str">
        <f t="shared" si="128"/>
        <v/>
      </c>
      <c r="AX270">
        <f>HLOOKUP($AX$9&amp;$AX$10,Data!$A$1:$ZZ$1980,(MATCH($C270,Data!$A$1:$A$1980,0)),FALSE)</f>
        <v>339.7</v>
      </c>
    </row>
    <row r="271" spans="1:50">
      <c r="A271" s="59" t="str">
        <f>$D$1&amp;261</f>
        <v>UA261</v>
      </c>
      <c r="B271" s="60">
        <f>IF(ISERROR(VLOOKUP(A278,classifications!A:C,3,FALSE)),0,VLOOKUP(A278,classifications!A:C,3,FALSE))</f>
        <v>0</v>
      </c>
      <c r="C271" t="s">
        <v>151</v>
      </c>
      <c r="D271" t="str">
        <f>VLOOKUP($C271,classifications!$C:$J,4,FALSE)</f>
        <v>SD</v>
      </c>
      <c r="E271">
        <f>VLOOKUP(C271,classifications!C:K,9,FALSE)</f>
        <v>0</v>
      </c>
      <c r="F271">
        <f t="shared" si="106"/>
        <v>326.8</v>
      </c>
      <c r="G271" s="15"/>
      <c r="H271" s="42" t="str">
        <f t="shared" si="107"/>
        <v/>
      </c>
      <c r="I271" s="79" t="str">
        <f>IF(H271="","",IF($I$8="A",(RANK(H271,H$11:H$343,1)+COUNTIF(H$11:H271,H271)-1),(RANK(H271,H$11:H$343)+COUNTIF(H$11:H271,H271)-1)))</f>
        <v/>
      </c>
      <c r="J271" s="41"/>
      <c r="K271" s="36" t="str">
        <f t="shared" si="108"/>
        <v/>
      </c>
      <c r="L271" t="str">
        <f t="shared" si="109"/>
        <v/>
      </c>
      <c r="M271" s="117" t="str">
        <f t="shared" si="110"/>
        <v/>
      </c>
      <c r="N271" s="112" t="str">
        <f t="shared" si="111"/>
        <v/>
      </c>
      <c r="O271" s="96" t="str">
        <f t="shared" si="112"/>
        <v/>
      </c>
      <c r="P271" s="96" t="str">
        <f t="shared" si="113"/>
        <v/>
      </c>
      <c r="Q271" s="96" t="str">
        <f t="shared" si="114"/>
        <v/>
      </c>
      <c r="R271" s="92" t="str">
        <f t="shared" si="115"/>
        <v/>
      </c>
      <c r="S271" s="42" t="str">
        <f t="shared" si="116"/>
        <v/>
      </c>
      <c r="T271" s="167" t="str">
        <f>IF(L271="","",VLOOKUP(L271,classifications!C:K,9,FALSE))</f>
        <v/>
      </c>
      <c r="U271" s="168" t="str">
        <f t="shared" si="117"/>
        <v/>
      </c>
      <c r="V271" s="174" t="str">
        <f>IF(U271="","",IF($I$8="A",(RANK(U271,U$11:U$343)+COUNTIF(U$11:U271,U271)-1),(RANK(U271,U$11:U$343,1)+COUNTIF(U$11:U271,U271)-1)))</f>
        <v/>
      </c>
      <c r="W271" s="175"/>
      <c r="X271" s="5" t="str">
        <f>IF(L271="","",VLOOKUP($L271,classifications!$C:$J,6,FALSE))</f>
        <v/>
      </c>
      <c r="Y271" t="str">
        <f t="shared" si="118"/>
        <v/>
      </c>
      <c r="Z271" s="40" t="str">
        <f>IF(Y271="","",IF(I$8="A",(RANK(Y271,Y$11:Y$343,1)+COUNTIF(Y$11:Y271,Y271)-1),(RANK(Y271,Y$11:Y$343)+COUNTIF(Y$11:Y271,Y271)-1)))</f>
        <v/>
      </c>
      <c r="AA271" s="180" t="str">
        <f>IF(L271="","",VLOOKUP($L271,classifications!C:I,7,FALSE))</f>
        <v/>
      </c>
      <c r="AB271" s="174" t="str">
        <f t="shared" si="119"/>
        <v/>
      </c>
      <c r="AC271" s="174" t="str">
        <f>IF(AB271="","",IF($I$8="A",(RANK(AB271,AB$11:AB$343)+COUNTIF(AB$11:AB271,AB271)-1),(RANK(AB271,AB$11:AB$343,1)+COUNTIF(AB$11:AB271,AB271)-1)))</f>
        <v/>
      </c>
      <c r="AD271" s="174"/>
      <c r="AE271" s="36" t="str">
        <f t="shared" si="120"/>
        <v/>
      </c>
      <c r="AG271" s="15"/>
      <c r="AH271" s="3"/>
      <c r="AI271" s="5" t="str">
        <f>IF(L271="","",VLOOKUP($L271,classifications!$C:$J,8,FALSE))</f>
        <v/>
      </c>
      <c r="AJ271" s="43" t="str">
        <f t="shared" si="121"/>
        <v/>
      </c>
      <c r="AK271" s="40" t="str">
        <f>IF(AJ271="","",IF(I$8="A",(RANK(AJ271,AJ$11:AJ$343,1)+COUNTIF(AJ$11:AJ271,AJ271)-1),(RANK(AJ271,AJ$11:AJ$343)+COUNTIF(AJ$11:AJ271,AJ271)-1)))</f>
        <v/>
      </c>
      <c r="AL271" s="3" t="str">
        <f t="shared" si="122"/>
        <v/>
      </c>
      <c r="AM271" t="str">
        <f t="shared" si="123"/>
        <v/>
      </c>
      <c r="AN271" t="str">
        <f t="shared" si="124"/>
        <v/>
      </c>
      <c r="AP271" s="5" t="str">
        <f>IF(L271="","",VLOOKUP($L271,classifications!$C:$E,3,FALSE))</f>
        <v/>
      </c>
      <c r="AQ271" s="43" t="str">
        <f t="shared" si="125"/>
        <v/>
      </c>
      <c r="AR271" s="40" t="str">
        <f>IF(AQ271="","",IF(I$8="A",(RANK(AQ271,AQ$11:AQ$343,1)+COUNTIF(AQ$11:AQ271,AQ271)-1),(RANK(AQ271,AQ$11:AQ$343)+COUNTIF(AQ$11:AQ271,AQ271)-1)))</f>
        <v/>
      </c>
      <c r="AS271" s="3" t="str">
        <f t="shared" si="126"/>
        <v/>
      </c>
      <c r="AT271" s="40" t="str">
        <f t="shared" si="127"/>
        <v/>
      </c>
      <c r="AU271" s="43" t="str">
        <f t="shared" si="128"/>
        <v/>
      </c>
      <c r="AX271">
        <f>HLOOKUP($AX$9&amp;$AX$10,Data!$A$1:$ZZ$1980,(MATCH($C271,Data!$A$1:$A$1980,0)),FALSE)</f>
        <v>326.8</v>
      </c>
    </row>
    <row r="272" spans="1:50">
      <c r="A272" s="59" t="str">
        <f>$D$1&amp;262</f>
        <v>UA262</v>
      </c>
      <c r="B272" s="60">
        <f>IF(ISERROR(VLOOKUP(A279,classifications!A:C,3,FALSE)),0,VLOOKUP(A279,classifications!A:C,3,FALSE))</f>
        <v>0</v>
      </c>
      <c r="C272" t="s">
        <v>152</v>
      </c>
      <c r="D272" t="str">
        <f>VLOOKUP($C272,classifications!$C:$J,4,FALSE)</f>
        <v>SD</v>
      </c>
      <c r="E272">
        <f>VLOOKUP(C272,classifications!C:K,9,FALSE)</f>
        <v>0</v>
      </c>
      <c r="F272">
        <f t="shared" si="106"/>
        <v>335.3</v>
      </c>
      <c r="G272" s="15"/>
      <c r="H272" s="42" t="str">
        <f t="shared" si="107"/>
        <v/>
      </c>
      <c r="I272" s="79" t="str">
        <f>IF(H272="","",IF($I$8="A",(RANK(H272,H$11:H$343,1)+COUNTIF(H$11:H272,H272)-1),(RANK(H272,H$11:H$343)+COUNTIF(H$11:H272,H272)-1)))</f>
        <v/>
      </c>
      <c r="J272" s="41"/>
      <c r="K272" s="36" t="str">
        <f t="shared" si="108"/>
        <v/>
      </c>
      <c r="L272" t="str">
        <f t="shared" si="109"/>
        <v/>
      </c>
      <c r="M272" s="117" t="str">
        <f t="shared" si="110"/>
        <v/>
      </c>
      <c r="N272" s="112" t="str">
        <f t="shared" si="111"/>
        <v/>
      </c>
      <c r="O272" s="96" t="str">
        <f t="shared" si="112"/>
        <v/>
      </c>
      <c r="P272" s="96" t="str">
        <f t="shared" si="113"/>
        <v/>
      </c>
      <c r="Q272" s="96" t="str">
        <f t="shared" si="114"/>
        <v/>
      </c>
      <c r="R272" s="92" t="str">
        <f t="shared" si="115"/>
        <v/>
      </c>
      <c r="S272" s="42" t="str">
        <f t="shared" si="116"/>
        <v/>
      </c>
      <c r="T272" s="167" t="str">
        <f>IF(L272="","",VLOOKUP(L272,classifications!C:K,9,FALSE))</f>
        <v/>
      </c>
      <c r="U272" s="168" t="str">
        <f t="shared" si="117"/>
        <v/>
      </c>
      <c r="V272" s="174" t="str">
        <f>IF(U272="","",IF($I$8="A",(RANK(U272,U$11:U$343)+COUNTIF(U$11:U272,U272)-1),(RANK(U272,U$11:U$343,1)+COUNTIF(U$11:U272,U272)-1)))</f>
        <v/>
      </c>
      <c r="W272" s="175"/>
      <c r="X272" s="5" t="str">
        <f>IF(L272="","",VLOOKUP($L272,classifications!$C:$J,6,FALSE))</f>
        <v/>
      </c>
      <c r="Y272" t="str">
        <f t="shared" si="118"/>
        <v/>
      </c>
      <c r="Z272" s="40" t="str">
        <f>IF(Y272="","",IF(I$8="A",(RANK(Y272,Y$11:Y$343,1)+COUNTIF(Y$11:Y272,Y272)-1),(RANK(Y272,Y$11:Y$343)+COUNTIF(Y$11:Y272,Y272)-1)))</f>
        <v/>
      </c>
      <c r="AA272" s="180" t="str">
        <f>IF(L272="","",VLOOKUP($L272,classifications!C:I,7,FALSE))</f>
        <v/>
      </c>
      <c r="AB272" s="174" t="str">
        <f t="shared" si="119"/>
        <v/>
      </c>
      <c r="AC272" s="174" t="str">
        <f>IF(AB272="","",IF($I$8="A",(RANK(AB272,AB$11:AB$343)+COUNTIF(AB$11:AB272,AB272)-1),(RANK(AB272,AB$11:AB$343,1)+COUNTIF(AB$11:AB272,AB272)-1)))</f>
        <v/>
      </c>
      <c r="AD272" s="174"/>
      <c r="AE272" s="36" t="str">
        <f t="shared" si="120"/>
        <v/>
      </c>
      <c r="AG272" s="15"/>
      <c r="AH272" s="3"/>
      <c r="AI272" s="5" t="str">
        <f>IF(L272="","",VLOOKUP($L272,classifications!$C:$J,8,FALSE))</f>
        <v/>
      </c>
      <c r="AJ272" s="43" t="str">
        <f t="shared" si="121"/>
        <v/>
      </c>
      <c r="AK272" s="40" t="str">
        <f>IF(AJ272="","",IF(I$8="A",(RANK(AJ272,AJ$11:AJ$343,1)+COUNTIF(AJ$11:AJ272,AJ272)-1),(RANK(AJ272,AJ$11:AJ$343)+COUNTIF(AJ$11:AJ272,AJ272)-1)))</f>
        <v/>
      </c>
      <c r="AL272" s="3" t="str">
        <f t="shared" si="122"/>
        <v/>
      </c>
      <c r="AM272" t="str">
        <f t="shared" si="123"/>
        <v/>
      </c>
      <c r="AN272" t="str">
        <f t="shared" si="124"/>
        <v/>
      </c>
      <c r="AP272" s="5" t="str">
        <f>IF(L272="","",VLOOKUP($L272,classifications!$C:$E,3,FALSE))</f>
        <v/>
      </c>
      <c r="AQ272" s="43" t="str">
        <f t="shared" si="125"/>
        <v/>
      </c>
      <c r="AR272" s="40" t="str">
        <f>IF(AQ272="","",IF(I$8="A",(RANK(AQ272,AQ$11:AQ$343,1)+COUNTIF(AQ$11:AQ272,AQ272)-1),(RANK(AQ272,AQ$11:AQ$343)+COUNTIF(AQ$11:AQ272,AQ272)-1)))</f>
        <v/>
      </c>
      <c r="AS272" s="3" t="str">
        <f t="shared" si="126"/>
        <v/>
      </c>
      <c r="AT272" s="40" t="str">
        <f t="shared" si="127"/>
        <v/>
      </c>
      <c r="AU272" s="43" t="str">
        <f t="shared" si="128"/>
        <v/>
      </c>
      <c r="AX272">
        <f>HLOOKUP($AX$9&amp;$AX$10,Data!$A$1:$ZZ$1980,(MATCH($C272,Data!$A$1:$A$1980,0)),FALSE)</f>
        <v>335.3</v>
      </c>
    </row>
    <row r="273" spans="1:50">
      <c r="A273" s="59" t="str">
        <f>$D$1&amp;263</f>
        <v>UA263</v>
      </c>
      <c r="B273" s="60">
        <f>IF(ISERROR(VLOOKUP(A280,classifications!A:C,3,FALSE)),0,VLOOKUP(A280,classifications!A:C,3,FALSE))</f>
        <v>0</v>
      </c>
      <c r="C273" t="s">
        <v>900</v>
      </c>
      <c r="D273" t="str">
        <f>VLOOKUP($C273,classifications!$C:$J,4,FALSE)</f>
        <v>SD</v>
      </c>
      <c r="E273" t="str">
        <f>VLOOKUP(C273,classifications!C:K,9,FALSE)</f>
        <v>Sparse</v>
      </c>
      <c r="F273">
        <f t="shared" si="106"/>
        <v>358.7</v>
      </c>
      <c r="G273" s="15"/>
      <c r="H273" s="42" t="str">
        <f t="shared" si="107"/>
        <v/>
      </c>
      <c r="I273" s="79" t="str">
        <f>IF(H273="","",IF($I$8="A",(RANK(H273,H$11:H$343,1)+COUNTIF(H$11:H273,H273)-1),(RANK(H273,H$11:H$343)+COUNTIF(H$11:H273,H273)-1)))</f>
        <v/>
      </c>
      <c r="J273" s="41"/>
      <c r="K273" s="36" t="str">
        <f t="shared" si="108"/>
        <v/>
      </c>
      <c r="L273" t="str">
        <f t="shared" si="109"/>
        <v/>
      </c>
      <c r="M273" s="117" t="str">
        <f t="shared" si="110"/>
        <v/>
      </c>
      <c r="N273" s="112" t="str">
        <f t="shared" si="111"/>
        <v/>
      </c>
      <c r="O273" s="96" t="str">
        <f t="shared" si="112"/>
        <v/>
      </c>
      <c r="P273" s="96" t="str">
        <f t="shared" si="113"/>
        <v/>
      </c>
      <c r="Q273" s="96" t="str">
        <f t="shared" si="114"/>
        <v/>
      </c>
      <c r="R273" s="92" t="str">
        <f t="shared" si="115"/>
        <v/>
      </c>
      <c r="S273" s="42" t="str">
        <f t="shared" si="116"/>
        <v/>
      </c>
      <c r="T273" s="167" t="str">
        <f>IF(L273="","",VLOOKUP(L273,classifications!C:K,9,FALSE))</f>
        <v/>
      </c>
      <c r="U273" s="168" t="str">
        <f t="shared" si="117"/>
        <v/>
      </c>
      <c r="V273" s="174" t="str">
        <f>IF(U273="","",IF($I$8="A",(RANK(U273,U$11:U$343)+COUNTIF(U$11:U273,U273)-1),(RANK(U273,U$11:U$343,1)+COUNTIF(U$11:U273,U273)-1)))</f>
        <v/>
      </c>
      <c r="W273" s="175"/>
      <c r="X273" s="5" t="str">
        <f>IF(L273="","",VLOOKUP($L273,classifications!$C:$J,6,FALSE))</f>
        <v/>
      </c>
      <c r="Y273" t="str">
        <f t="shared" si="118"/>
        <v/>
      </c>
      <c r="Z273" s="40" t="str">
        <f>IF(Y273="","",IF(I$8="A",(RANK(Y273,Y$11:Y$343,1)+COUNTIF(Y$11:Y273,Y273)-1),(RANK(Y273,Y$11:Y$343)+COUNTIF(Y$11:Y273,Y273)-1)))</f>
        <v/>
      </c>
      <c r="AA273" s="180" t="str">
        <f>IF(L273="","",VLOOKUP($L273,classifications!C:I,7,FALSE))</f>
        <v/>
      </c>
      <c r="AB273" s="174" t="str">
        <f t="shared" si="119"/>
        <v/>
      </c>
      <c r="AC273" s="174" t="str">
        <f>IF(AB273="","",IF($I$8="A",(RANK(AB273,AB$11:AB$343)+COUNTIF(AB$11:AB273,AB273)-1),(RANK(AB273,AB$11:AB$343,1)+COUNTIF(AB$11:AB273,AB273)-1)))</f>
        <v/>
      </c>
      <c r="AD273" s="174"/>
      <c r="AE273" s="36" t="str">
        <f t="shared" si="120"/>
        <v/>
      </c>
      <c r="AG273" s="15"/>
      <c r="AH273" s="3"/>
      <c r="AI273" s="5" t="str">
        <f>IF(L273="","",VLOOKUP($L273,classifications!$C:$J,8,FALSE))</f>
        <v/>
      </c>
      <c r="AJ273" s="43" t="str">
        <f t="shared" si="121"/>
        <v/>
      </c>
      <c r="AK273" s="40" t="str">
        <f>IF(AJ273="","",IF(I$8="A",(RANK(AJ273,AJ$11:AJ$343,1)+COUNTIF(AJ$11:AJ273,AJ273)-1),(RANK(AJ273,AJ$11:AJ$343)+COUNTIF(AJ$11:AJ273,AJ273)-1)))</f>
        <v/>
      </c>
      <c r="AL273" s="3" t="str">
        <f t="shared" si="122"/>
        <v/>
      </c>
      <c r="AM273" t="str">
        <f t="shared" si="123"/>
        <v/>
      </c>
      <c r="AN273" t="str">
        <f t="shared" si="124"/>
        <v/>
      </c>
      <c r="AP273" s="5" t="str">
        <f>IF(L273="","",VLOOKUP($L273,classifications!$C:$E,3,FALSE))</f>
        <v/>
      </c>
      <c r="AQ273" s="43" t="str">
        <f t="shared" si="125"/>
        <v/>
      </c>
      <c r="AR273" s="40" t="str">
        <f>IF(AQ273="","",IF(I$8="A",(RANK(AQ273,AQ$11:AQ$343,1)+COUNTIF(AQ$11:AQ273,AQ273)-1),(RANK(AQ273,AQ$11:AQ$343)+COUNTIF(AQ$11:AQ273,AQ273)-1)))</f>
        <v/>
      </c>
      <c r="AS273" s="3" t="str">
        <f t="shared" si="126"/>
        <v/>
      </c>
      <c r="AT273" s="40" t="str">
        <f t="shared" si="127"/>
        <v/>
      </c>
      <c r="AU273" s="43" t="str">
        <f t="shared" si="128"/>
        <v/>
      </c>
      <c r="AX273">
        <f>HLOOKUP($AX$9&amp;$AX$10,Data!$A$1:$ZZ$1980,(MATCH($C273,Data!$A$1:$A$1980,0)),FALSE)</f>
        <v>358.7</v>
      </c>
    </row>
    <row r="274" spans="1:50">
      <c r="A274" s="59" t="str">
        <f>$D$1&amp;264</f>
        <v>UA264</v>
      </c>
      <c r="B274" s="60">
        <f>IF(ISERROR(VLOOKUP(A281,classifications!A:C,3,FALSE)),0,VLOOKUP(A281,classifications!A:C,3,FALSE))</f>
        <v>0</v>
      </c>
      <c r="C274" t="s">
        <v>249</v>
      </c>
      <c r="D274" t="str">
        <f>VLOOKUP($C274,classifications!$C:$J,4,FALSE)</f>
        <v>MD</v>
      </c>
      <c r="E274">
        <f>VLOOKUP(C274,classifications!C:K,9,FALSE)</f>
        <v>0</v>
      </c>
      <c r="F274">
        <f t="shared" si="106"/>
        <v>340.6</v>
      </c>
      <c r="G274" s="15"/>
      <c r="H274" s="42" t="str">
        <f t="shared" si="107"/>
        <v/>
      </c>
      <c r="I274" s="79" t="str">
        <f>IF(H274="","",IF($I$8="A",(RANK(H274,H$11:H$343,1)+COUNTIF(H$11:H274,H274)-1),(RANK(H274,H$11:H$343)+COUNTIF(H$11:H274,H274)-1)))</f>
        <v/>
      </c>
      <c r="J274" s="41"/>
      <c r="K274" s="36" t="str">
        <f t="shared" si="108"/>
        <v/>
      </c>
      <c r="L274" t="str">
        <f t="shared" si="109"/>
        <v/>
      </c>
      <c r="M274" s="117" t="str">
        <f t="shared" si="110"/>
        <v/>
      </c>
      <c r="N274" s="112" t="str">
        <f t="shared" si="111"/>
        <v/>
      </c>
      <c r="O274" s="96" t="str">
        <f t="shared" si="112"/>
        <v/>
      </c>
      <c r="P274" s="96" t="str">
        <f t="shared" si="113"/>
        <v/>
      </c>
      <c r="Q274" s="96" t="str">
        <f t="shared" si="114"/>
        <v/>
      </c>
      <c r="R274" s="92" t="str">
        <f t="shared" si="115"/>
        <v/>
      </c>
      <c r="S274" s="42" t="str">
        <f t="shared" si="116"/>
        <v/>
      </c>
      <c r="T274" s="167" t="str">
        <f>IF(L274="","",VLOOKUP(L274,classifications!C:K,9,FALSE))</f>
        <v/>
      </c>
      <c r="U274" s="168" t="str">
        <f t="shared" si="117"/>
        <v/>
      </c>
      <c r="V274" s="174" t="str">
        <f>IF(U274="","",IF($I$8="A",(RANK(U274,U$11:U$343)+COUNTIF(U$11:U274,U274)-1),(RANK(U274,U$11:U$343,1)+COUNTIF(U$11:U274,U274)-1)))</f>
        <v/>
      </c>
      <c r="W274" s="175"/>
      <c r="X274" s="5" t="str">
        <f>IF(L274="","",VLOOKUP($L274,classifications!$C:$J,6,FALSE))</f>
        <v/>
      </c>
      <c r="Y274" t="str">
        <f t="shared" si="118"/>
        <v/>
      </c>
      <c r="Z274" s="40" t="str">
        <f>IF(Y274="","",IF(I$8="A",(RANK(Y274,Y$11:Y$343,1)+COUNTIF(Y$11:Y274,Y274)-1),(RANK(Y274,Y$11:Y$343)+COUNTIF(Y$11:Y274,Y274)-1)))</f>
        <v/>
      </c>
      <c r="AA274" s="180" t="str">
        <f>IF(L274="","",VLOOKUP($L274,classifications!C:I,7,FALSE))</f>
        <v/>
      </c>
      <c r="AB274" s="174" t="str">
        <f t="shared" si="119"/>
        <v/>
      </c>
      <c r="AC274" s="174" t="str">
        <f>IF(AB274="","",IF($I$8="A",(RANK(AB274,AB$11:AB$343)+COUNTIF(AB$11:AB274,AB274)-1),(RANK(AB274,AB$11:AB$343,1)+COUNTIF(AB$11:AB274,AB274)-1)))</f>
        <v/>
      </c>
      <c r="AD274" s="174"/>
      <c r="AE274" s="36" t="str">
        <f t="shared" si="120"/>
        <v/>
      </c>
      <c r="AG274" s="15"/>
      <c r="AH274" s="3"/>
      <c r="AI274" s="5" t="str">
        <f>IF(L274="","",VLOOKUP($L274,classifications!$C:$J,8,FALSE))</f>
        <v/>
      </c>
      <c r="AJ274" s="43" t="str">
        <f t="shared" si="121"/>
        <v/>
      </c>
      <c r="AK274" s="40" t="str">
        <f>IF(AJ274="","",IF(I$8="A",(RANK(AJ274,AJ$11:AJ$343,1)+COUNTIF(AJ$11:AJ274,AJ274)-1),(RANK(AJ274,AJ$11:AJ$343)+COUNTIF(AJ$11:AJ274,AJ274)-1)))</f>
        <v/>
      </c>
      <c r="AL274" s="3" t="str">
        <f t="shared" si="122"/>
        <v/>
      </c>
      <c r="AM274" t="str">
        <f t="shared" si="123"/>
        <v/>
      </c>
      <c r="AN274" t="str">
        <f t="shared" si="124"/>
        <v/>
      </c>
      <c r="AP274" s="5" t="str">
        <f>IF(L274="","",VLOOKUP($L274,classifications!$C:$E,3,FALSE))</f>
        <v/>
      </c>
      <c r="AQ274" s="43" t="str">
        <f t="shared" si="125"/>
        <v/>
      </c>
      <c r="AR274" s="40" t="str">
        <f>IF(AQ274="","",IF(I$8="A",(RANK(AQ274,AQ$11:AQ$343,1)+COUNTIF(AQ$11:AQ274,AQ274)-1),(RANK(AQ274,AQ$11:AQ$343)+COUNTIF(AQ$11:AQ274,AQ274)-1)))</f>
        <v/>
      </c>
      <c r="AS274" s="3" t="str">
        <f t="shared" si="126"/>
        <v/>
      </c>
      <c r="AT274" s="40" t="str">
        <f t="shared" si="127"/>
        <v/>
      </c>
      <c r="AU274" s="43" t="str">
        <f t="shared" si="128"/>
        <v/>
      </c>
      <c r="AX274">
        <f>HLOOKUP($AX$9&amp;$AX$10,Data!$A$1:$ZZ$1980,(MATCH($C274,Data!$A$1:$A$1980,0)),FALSE)</f>
        <v>340.6</v>
      </c>
    </row>
    <row r="275" spans="1:50">
      <c r="A275" s="59" t="str">
        <f>$D$1&amp;265</f>
        <v>UA265</v>
      </c>
      <c r="B275" s="60">
        <f>IF(ISERROR(VLOOKUP(A282,classifications!A:C,3,FALSE)),0,VLOOKUP(A282,classifications!A:C,3,FALSE))</f>
        <v>0</v>
      </c>
      <c r="C275" t="s">
        <v>154</v>
      </c>
      <c r="D275" t="str">
        <f>VLOOKUP($C275,classifications!$C:$J,4,FALSE)</f>
        <v>SD</v>
      </c>
      <c r="E275" t="str">
        <f>VLOOKUP(C275,classifications!C:K,9,FALSE)</f>
        <v>Sparse</v>
      </c>
      <c r="F275">
        <f t="shared" si="106"/>
        <v>369.7</v>
      </c>
      <c r="G275" s="15"/>
      <c r="H275" s="42" t="str">
        <f t="shared" si="107"/>
        <v/>
      </c>
      <c r="I275" s="79" t="str">
        <f>IF(H275="","",IF($I$8="A",(RANK(H275,H$11:H$343,1)+COUNTIF(H$11:H275,H275)-1),(RANK(H275,H$11:H$343)+COUNTIF(H$11:H275,H275)-1)))</f>
        <v/>
      </c>
      <c r="J275" s="41"/>
      <c r="K275" s="36" t="str">
        <f t="shared" si="108"/>
        <v/>
      </c>
      <c r="L275" t="str">
        <f t="shared" si="109"/>
        <v/>
      </c>
      <c r="M275" s="117" t="str">
        <f t="shared" si="110"/>
        <v/>
      </c>
      <c r="N275" s="112" t="str">
        <f t="shared" si="111"/>
        <v/>
      </c>
      <c r="O275" s="96" t="str">
        <f t="shared" si="112"/>
        <v/>
      </c>
      <c r="P275" s="96" t="str">
        <f t="shared" si="113"/>
        <v/>
      </c>
      <c r="Q275" s="96" t="str">
        <f t="shared" si="114"/>
        <v/>
      </c>
      <c r="R275" s="92" t="str">
        <f t="shared" si="115"/>
        <v/>
      </c>
      <c r="S275" s="42" t="str">
        <f t="shared" si="116"/>
        <v/>
      </c>
      <c r="T275" s="167" t="str">
        <f>IF(L275="","",VLOOKUP(L275,classifications!C:K,9,FALSE))</f>
        <v/>
      </c>
      <c r="U275" s="168" t="str">
        <f t="shared" si="117"/>
        <v/>
      </c>
      <c r="V275" s="174" t="str">
        <f>IF(U275="","",IF($I$8="A",(RANK(U275,U$11:U$343)+COUNTIF(U$11:U275,U275)-1),(RANK(U275,U$11:U$343,1)+COUNTIF(U$11:U275,U275)-1)))</f>
        <v/>
      </c>
      <c r="W275" s="175"/>
      <c r="X275" s="5" t="str">
        <f>IF(L275="","",VLOOKUP($L275,classifications!$C:$J,6,FALSE))</f>
        <v/>
      </c>
      <c r="Y275" t="str">
        <f t="shared" si="118"/>
        <v/>
      </c>
      <c r="Z275" s="40" t="str">
        <f>IF(Y275="","",IF(I$8="A",(RANK(Y275,Y$11:Y$343,1)+COUNTIF(Y$11:Y275,Y275)-1),(RANK(Y275,Y$11:Y$343)+COUNTIF(Y$11:Y275,Y275)-1)))</f>
        <v/>
      </c>
      <c r="AA275" s="180" t="str">
        <f>IF(L275="","",VLOOKUP($L275,classifications!C:I,7,FALSE))</f>
        <v/>
      </c>
      <c r="AB275" s="174" t="str">
        <f t="shared" si="119"/>
        <v/>
      </c>
      <c r="AC275" s="174" t="str">
        <f>IF(AB275="","",IF($I$8="A",(RANK(AB275,AB$11:AB$343)+COUNTIF(AB$11:AB275,AB275)-1),(RANK(AB275,AB$11:AB$343,1)+COUNTIF(AB$11:AB275,AB275)-1)))</f>
        <v/>
      </c>
      <c r="AD275" s="174"/>
      <c r="AE275" s="36" t="str">
        <f t="shared" si="120"/>
        <v/>
      </c>
      <c r="AG275" s="15"/>
      <c r="AH275" s="3"/>
      <c r="AI275" s="5" t="str">
        <f>IF(L275="","",VLOOKUP($L275,classifications!$C:$J,8,FALSE))</f>
        <v/>
      </c>
      <c r="AJ275" s="43" t="str">
        <f t="shared" si="121"/>
        <v/>
      </c>
      <c r="AK275" s="40" t="str">
        <f>IF(AJ275="","",IF(I$8="A",(RANK(AJ275,AJ$11:AJ$343,1)+COUNTIF(AJ$11:AJ275,AJ275)-1),(RANK(AJ275,AJ$11:AJ$343)+COUNTIF(AJ$11:AJ275,AJ275)-1)))</f>
        <v/>
      </c>
      <c r="AL275" s="3" t="str">
        <f t="shared" si="122"/>
        <v/>
      </c>
      <c r="AM275" t="str">
        <f t="shared" si="123"/>
        <v/>
      </c>
      <c r="AN275" t="str">
        <f t="shared" si="124"/>
        <v/>
      </c>
      <c r="AP275" s="5" t="str">
        <f>IF(L275="","",VLOOKUP($L275,classifications!$C:$E,3,FALSE))</f>
        <v/>
      </c>
      <c r="AQ275" s="43" t="str">
        <f t="shared" si="125"/>
        <v/>
      </c>
      <c r="AR275" s="40" t="str">
        <f>IF(AQ275="","",IF(I$8="A",(RANK(AQ275,AQ$11:AQ$343,1)+COUNTIF(AQ$11:AQ275,AQ275)-1),(RANK(AQ275,AQ$11:AQ$343)+COUNTIF(AQ$11:AQ275,AQ275)-1)))</f>
        <v/>
      </c>
      <c r="AS275" s="3" t="str">
        <f t="shared" si="126"/>
        <v/>
      </c>
      <c r="AT275" s="40" t="str">
        <f t="shared" si="127"/>
        <v/>
      </c>
      <c r="AU275" s="43" t="str">
        <f t="shared" si="128"/>
        <v/>
      </c>
      <c r="AX275">
        <f>HLOOKUP($AX$9&amp;$AX$10,Data!$A$1:$ZZ$1980,(MATCH($C275,Data!$A$1:$A$1980,0)),FALSE)</f>
        <v>369.7</v>
      </c>
    </row>
    <row r="276" spans="1:50">
      <c r="A276" s="59" t="str">
        <f>$D$1&amp;266</f>
        <v>UA266</v>
      </c>
      <c r="B276" s="60">
        <f>IF(ISERROR(VLOOKUP(A283,classifications!A:C,3,FALSE)),0,VLOOKUP(A283,classifications!A:C,3,FALSE))</f>
        <v>0</v>
      </c>
      <c r="C276" t="s">
        <v>328</v>
      </c>
      <c r="D276" t="str">
        <f>VLOOKUP($C276,classifications!$C:$J,4,FALSE)</f>
        <v>SC</v>
      </c>
      <c r="E276" t="str">
        <f>VLOOKUP(C276,classifications!C:K,9,FALSE)</f>
        <v>Sparse</v>
      </c>
      <c r="F276">
        <f t="shared" si="106"/>
        <v>438.8</v>
      </c>
      <c r="G276" s="15"/>
      <c r="H276" s="42" t="str">
        <f t="shared" si="107"/>
        <v/>
      </c>
      <c r="I276" s="79" t="str">
        <f>IF(H276="","",IF($I$8="A",(RANK(H276,H$11:H$343,1)+COUNTIF(H$11:H276,H276)-1),(RANK(H276,H$11:H$343)+COUNTIF(H$11:H276,H276)-1)))</f>
        <v/>
      </c>
      <c r="J276" s="41"/>
      <c r="K276" s="36" t="str">
        <f t="shared" si="108"/>
        <v/>
      </c>
      <c r="L276" t="str">
        <f t="shared" si="109"/>
        <v/>
      </c>
      <c r="M276" s="117" t="str">
        <f t="shared" si="110"/>
        <v/>
      </c>
      <c r="N276" s="112" t="str">
        <f t="shared" si="111"/>
        <v/>
      </c>
      <c r="O276" s="96" t="str">
        <f t="shared" si="112"/>
        <v/>
      </c>
      <c r="P276" s="96" t="str">
        <f t="shared" si="113"/>
        <v/>
      </c>
      <c r="Q276" s="96" t="str">
        <f t="shared" si="114"/>
        <v/>
      </c>
      <c r="R276" s="92" t="str">
        <f t="shared" si="115"/>
        <v/>
      </c>
      <c r="S276" s="42" t="str">
        <f t="shared" si="116"/>
        <v/>
      </c>
      <c r="T276" s="167" t="str">
        <f>IF(L276="","",VLOOKUP(L276,classifications!C:K,9,FALSE))</f>
        <v/>
      </c>
      <c r="U276" s="168" t="str">
        <f t="shared" si="117"/>
        <v/>
      </c>
      <c r="V276" s="174" t="str">
        <f>IF(U276="","",IF($I$8="A",(RANK(U276,U$11:U$343)+COUNTIF(U$11:U276,U276)-1),(RANK(U276,U$11:U$343,1)+COUNTIF(U$11:U276,U276)-1)))</f>
        <v/>
      </c>
      <c r="W276" s="175"/>
      <c r="X276" s="5" t="str">
        <f>IF(L276="","",VLOOKUP($L276,classifications!$C:$J,6,FALSE))</f>
        <v/>
      </c>
      <c r="Y276" t="str">
        <f t="shared" si="118"/>
        <v/>
      </c>
      <c r="Z276" s="40" t="str">
        <f>IF(Y276="","",IF(I$8="A",(RANK(Y276,Y$11:Y$343,1)+COUNTIF(Y$11:Y276,Y276)-1),(RANK(Y276,Y$11:Y$343)+COUNTIF(Y$11:Y276,Y276)-1)))</f>
        <v/>
      </c>
      <c r="AA276" s="180" t="str">
        <f>IF(L276="","",VLOOKUP($L276,classifications!C:I,7,FALSE))</f>
        <v/>
      </c>
      <c r="AB276" s="174" t="str">
        <f t="shared" si="119"/>
        <v/>
      </c>
      <c r="AC276" s="174" t="str">
        <f>IF(AB276="","",IF($I$8="A",(RANK(AB276,AB$11:AB$343)+COUNTIF(AB$11:AB276,AB276)-1),(RANK(AB276,AB$11:AB$343,1)+COUNTIF(AB$11:AB276,AB276)-1)))</f>
        <v/>
      </c>
      <c r="AD276" s="174"/>
      <c r="AE276" s="36" t="str">
        <f t="shared" si="120"/>
        <v/>
      </c>
      <c r="AG276" s="15"/>
      <c r="AH276" s="3"/>
      <c r="AI276" s="5" t="str">
        <f>IF(L276="","",VLOOKUP($L276,classifications!$C:$J,8,FALSE))</f>
        <v/>
      </c>
      <c r="AJ276" s="43" t="str">
        <f t="shared" si="121"/>
        <v/>
      </c>
      <c r="AK276" s="40" t="str">
        <f>IF(AJ276="","",IF(I$8="A",(RANK(AJ276,AJ$11:AJ$343,1)+COUNTIF(AJ$11:AJ276,AJ276)-1),(RANK(AJ276,AJ$11:AJ$343)+COUNTIF(AJ$11:AJ276,AJ276)-1)))</f>
        <v/>
      </c>
      <c r="AL276" s="3" t="str">
        <f t="shared" si="122"/>
        <v/>
      </c>
      <c r="AM276" t="str">
        <f t="shared" si="123"/>
        <v/>
      </c>
      <c r="AN276" t="str">
        <f t="shared" si="124"/>
        <v/>
      </c>
      <c r="AP276" s="5" t="str">
        <f>IF(L276="","",VLOOKUP($L276,classifications!$C:$E,3,FALSE))</f>
        <v/>
      </c>
      <c r="AQ276" s="43" t="str">
        <f t="shared" si="125"/>
        <v/>
      </c>
      <c r="AR276" s="40" t="str">
        <f>IF(AQ276="","",IF(I$8="A",(RANK(AQ276,AQ$11:AQ$343,1)+COUNTIF(AQ$11:AQ276,AQ276)-1),(RANK(AQ276,AQ$11:AQ$343)+COUNTIF(AQ$11:AQ276,AQ276)-1)))</f>
        <v/>
      </c>
      <c r="AS276" s="3" t="str">
        <f t="shared" si="126"/>
        <v/>
      </c>
      <c r="AT276" s="40" t="str">
        <f t="shared" si="127"/>
        <v/>
      </c>
      <c r="AU276" s="43" t="str">
        <f t="shared" si="128"/>
        <v/>
      </c>
      <c r="AX276">
        <f>HLOOKUP($AX$9&amp;$AX$10,Data!$A$1:$ZZ$1980,(MATCH($C276,Data!$A$1:$A$1980,0)),FALSE)</f>
        <v>438.8</v>
      </c>
    </row>
    <row r="277" spans="1:50">
      <c r="A277" s="59" t="str">
        <f>$D$1&amp;267</f>
        <v>UA267</v>
      </c>
      <c r="B277" s="60">
        <f>IF(ISERROR(VLOOKUP(A284,classifications!A:C,3,FALSE)),0,VLOOKUP(A284,classifications!A:C,3,FALSE))</f>
        <v>0</v>
      </c>
      <c r="C277" t="s">
        <v>155</v>
      </c>
      <c r="D277" t="str">
        <f>VLOOKUP($C277,classifications!$C:$J,4,FALSE)</f>
        <v>SD</v>
      </c>
      <c r="E277">
        <f>VLOOKUP(C277,classifications!C:K,9,FALSE)</f>
        <v>0</v>
      </c>
      <c r="F277">
        <f t="shared" si="106"/>
        <v>383.1</v>
      </c>
      <c r="G277" s="15"/>
      <c r="H277" s="42" t="str">
        <f t="shared" si="107"/>
        <v/>
      </c>
      <c r="I277" s="79" t="str">
        <f>IF(H277="","",IF($I$8="A",(RANK(H277,H$11:H$343,1)+COUNTIF(H$11:H277,H277)-1),(RANK(H277,H$11:H$343)+COUNTIF(H$11:H277,H277)-1)))</f>
        <v/>
      </c>
      <c r="J277" s="41"/>
      <c r="K277" s="36" t="str">
        <f t="shared" si="108"/>
        <v/>
      </c>
      <c r="L277" t="str">
        <f t="shared" si="109"/>
        <v/>
      </c>
      <c r="M277" s="117" t="str">
        <f t="shared" si="110"/>
        <v/>
      </c>
      <c r="N277" s="112" t="str">
        <f t="shared" si="111"/>
        <v/>
      </c>
      <c r="O277" s="96" t="str">
        <f t="shared" si="112"/>
        <v/>
      </c>
      <c r="P277" s="96" t="str">
        <f t="shared" si="113"/>
        <v/>
      </c>
      <c r="Q277" s="96" t="str">
        <f t="shared" si="114"/>
        <v/>
      </c>
      <c r="R277" s="92" t="str">
        <f t="shared" si="115"/>
        <v/>
      </c>
      <c r="S277" s="42" t="str">
        <f t="shared" si="116"/>
        <v/>
      </c>
      <c r="T277" s="167" t="str">
        <f>IF(L277="","",VLOOKUP(L277,classifications!C:K,9,FALSE))</f>
        <v/>
      </c>
      <c r="U277" s="168" t="str">
        <f t="shared" si="117"/>
        <v/>
      </c>
      <c r="V277" s="174" t="str">
        <f>IF(U277="","",IF($I$8="A",(RANK(U277,U$11:U$343)+COUNTIF(U$11:U277,U277)-1),(RANK(U277,U$11:U$343,1)+COUNTIF(U$11:U277,U277)-1)))</f>
        <v/>
      </c>
      <c r="W277" s="175"/>
      <c r="X277" s="5" t="str">
        <f>IF(L277="","",VLOOKUP($L277,classifications!$C:$J,6,FALSE))</f>
        <v/>
      </c>
      <c r="Y277" t="str">
        <f t="shared" si="118"/>
        <v/>
      </c>
      <c r="Z277" s="40" t="str">
        <f>IF(Y277="","",IF(I$8="A",(RANK(Y277,Y$11:Y$343,1)+COUNTIF(Y$11:Y277,Y277)-1),(RANK(Y277,Y$11:Y$343)+COUNTIF(Y$11:Y277,Y277)-1)))</f>
        <v/>
      </c>
      <c r="AA277" s="180" t="str">
        <f>IF(L277="","",VLOOKUP($L277,classifications!C:I,7,FALSE))</f>
        <v/>
      </c>
      <c r="AB277" s="174" t="str">
        <f t="shared" si="119"/>
        <v/>
      </c>
      <c r="AC277" s="174" t="str">
        <f>IF(AB277="","",IF($I$8="A",(RANK(AB277,AB$11:AB$343)+COUNTIF(AB$11:AB277,AB277)-1),(RANK(AB277,AB$11:AB$343,1)+COUNTIF(AB$11:AB277,AB277)-1)))</f>
        <v/>
      </c>
      <c r="AD277" s="174"/>
      <c r="AE277" s="36" t="str">
        <f t="shared" si="120"/>
        <v/>
      </c>
      <c r="AG277" s="15"/>
      <c r="AH277" s="3"/>
      <c r="AI277" s="5" t="str">
        <f>IF(L277="","",VLOOKUP($L277,classifications!$C:$J,8,FALSE))</f>
        <v/>
      </c>
      <c r="AJ277" s="43" t="str">
        <f t="shared" si="121"/>
        <v/>
      </c>
      <c r="AK277" s="40" t="str">
        <f>IF(AJ277="","",IF(I$8="A",(RANK(AJ277,AJ$11:AJ$343,1)+COUNTIF(AJ$11:AJ277,AJ277)-1),(RANK(AJ277,AJ$11:AJ$343)+COUNTIF(AJ$11:AJ277,AJ277)-1)))</f>
        <v/>
      </c>
      <c r="AL277" s="3" t="str">
        <f t="shared" si="122"/>
        <v/>
      </c>
      <c r="AM277" t="str">
        <f t="shared" si="123"/>
        <v/>
      </c>
      <c r="AN277" t="str">
        <f t="shared" si="124"/>
        <v/>
      </c>
      <c r="AP277" s="5" t="str">
        <f>IF(L277="","",VLOOKUP($L277,classifications!$C:$E,3,FALSE))</f>
        <v/>
      </c>
      <c r="AQ277" s="43" t="str">
        <f t="shared" si="125"/>
        <v/>
      </c>
      <c r="AR277" s="40" t="str">
        <f>IF(AQ277="","",IF(I$8="A",(RANK(AQ277,AQ$11:AQ$343,1)+COUNTIF(AQ$11:AQ277,AQ277)-1),(RANK(AQ277,AQ$11:AQ$343)+COUNTIF(AQ$11:AQ277,AQ277)-1)))</f>
        <v/>
      </c>
      <c r="AS277" s="3" t="str">
        <f t="shared" si="126"/>
        <v/>
      </c>
      <c r="AT277" s="40" t="str">
        <f t="shared" si="127"/>
        <v/>
      </c>
      <c r="AU277" s="43" t="str">
        <f t="shared" si="128"/>
        <v/>
      </c>
      <c r="AX277">
        <f>HLOOKUP($AX$9&amp;$AX$10,Data!$A$1:$ZZ$1980,(MATCH($C277,Data!$A$1:$A$1980,0)),FALSE)</f>
        <v>383.1</v>
      </c>
    </row>
    <row r="278" spans="1:50">
      <c r="A278" s="59" t="str">
        <f>$D$1&amp;268</f>
        <v>UA268</v>
      </c>
      <c r="B278" s="60">
        <f>IF(ISERROR(VLOOKUP(A285,classifications!A:C,3,FALSE)),0,VLOOKUP(A285,classifications!A:C,3,FALSE))</f>
        <v>0</v>
      </c>
      <c r="C278" t="s">
        <v>156</v>
      </c>
      <c r="D278" t="str">
        <f>VLOOKUP($C278,classifications!$C:$J,4,FALSE)</f>
        <v>SD</v>
      </c>
      <c r="E278">
        <f>VLOOKUP(C278,classifications!C:K,9,FALSE)</f>
        <v>0</v>
      </c>
      <c r="F278">
        <f t="shared" ref="F278:F341" si="129">HLOOKUP($D$6,AX$10:ZX$355,ROW()-9,FALSE)</f>
        <v>333.2</v>
      </c>
      <c r="G278" s="15"/>
      <c r="H278" s="42" t="str">
        <f t="shared" ref="H278:H341" si="130">IF(D278=$D$1,HLOOKUP($D$6,$AX$10:$ZZ$355,ROW()-9,FALSE),"")</f>
        <v/>
      </c>
      <c r="I278" s="79" t="str">
        <f>IF(H278="","",IF($I$8="A",(RANK(H278,H$11:H$343,1)+COUNTIF(H$11:H278,H278)-1),(RANK(H278,H$11:H$343)+COUNTIF(H$11:H278,H278)-1)))</f>
        <v/>
      </c>
      <c r="J278" s="41"/>
      <c r="K278" s="36" t="str">
        <f t="shared" ref="K278:K341" si="131">IF(K277="","",IF(K277+1&gt;(COUNT(H$11:H$343)),"",K277+1))</f>
        <v/>
      </c>
      <c r="L278" t="str">
        <f t="shared" ref="L278:L341" si="132">IF(K278="","",INDEX(C$11:C$343,MATCH(K278,I$11:I$343,0)))</f>
        <v/>
      </c>
      <c r="M278" s="117" t="str">
        <f t="shared" ref="M278:M341" si="133">IF(L278="","",IF(VLOOKUP(L278,C:D,2,FALSE)=$F$3,VLOOKUP(L278,C:H,6,FALSE),""))</f>
        <v/>
      </c>
      <c r="N278" s="112" t="str">
        <f t="shared" ref="N278:N341" si="134">IF(L278="","",IF($H$8="%%",M278*100,M278))</f>
        <v/>
      </c>
      <c r="O278" s="96" t="str">
        <f t="shared" ref="O278:O341" si="135">IF(I$8="A",IF(N278&gt;=$P$7,IF(N278&lt;=$O$10,N278,""),""),IF(N278&lt;=$P$7,IF(N278&gt;=$O$10,N278,""),""))</f>
        <v/>
      </c>
      <c r="P278" s="96" t="str">
        <f t="shared" ref="P278:P341" si="136">IF(I$8="A",IF(N278&gt;$O$10,IF(N278&lt;=$P$10,N278,""),""),IF(N278&lt;$O$10,IF(N278&gt;=$P$10,N278,""),""))</f>
        <v/>
      </c>
      <c r="Q278" s="96" t="str">
        <f t="shared" ref="Q278:Q341" si="137">IF(I$8="A",IF(N278&gt;$P$10,IF(N278&lt;=$Q$10,N278,""),""),IF(N278&lt;$P$10,IF(N278&gt;=$Q$10,N278,""),""))</f>
        <v/>
      </c>
      <c r="R278" s="92" t="str">
        <f t="shared" ref="R278:R341" si="138">IF(I$8="A",IF(N278&gt;$Q$10,N278,""),IF(N278&lt;$Q$10,N278,""))</f>
        <v/>
      </c>
      <c r="S278" s="42" t="str">
        <f t="shared" ref="S278:S341" si="139">IF(L278=D$3,"u","")</f>
        <v/>
      </c>
      <c r="T278" s="167" t="str">
        <f>IF(L278="","",VLOOKUP(L278,classifications!C:K,9,FALSE))</f>
        <v/>
      </c>
      <c r="U278" s="168" t="str">
        <f t="shared" ref="U278:U341" si="140">IF(T278="Sparse",M278,"")</f>
        <v/>
      </c>
      <c r="V278" s="174" t="str">
        <f>IF(U278="","",IF($I$8="A",(RANK(U278,U$11:U$343)+COUNTIF(U$11:U278,U278)-1),(RANK(U278,U$11:U$343,1)+COUNTIF(U$11:U278,U278)-1)))</f>
        <v/>
      </c>
      <c r="W278" s="175"/>
      <c r="X278" s="5" t="str">
        <f>IF(L278="","",VLOOKUP($L278,classifications!$C:$J,6,FALSE))</f>
        <v/>
      </c>
      <c r="Y278" t="str">
        <f t="shared" ref="Y278:Y341" si="141">IF($D$1="UA",IF(X278="Largely Rural (rural including hub towns 50-79%) ",M278,IF(X278="Mainly Rural (rural including hub towns &gt;=80%) ",M278,IF(X278="Urban with Significant Rural (rural including hub towns 26-49%)",M278,""))),IF($D$1="SD",IF(X278=$H$3,M278,"")))</f>
        <v/>
      </c>
      <c r="Z278" s="40" t="str">
        <f>IF(Y278="","",IF(I$8="A",(RANK(Y278,Y$11:Y$343,1)+COUNTIF(Y$11:Y278,Y278)-1),(RANK(Y278,Y$11:Y$343)+COUNTIF(Y$11:Y278,Y278)-1)))</f>
        <v/>
      </c>
      <c r="AA278" s="180" t="str">
        <f>IF(L278="","",VLOOKUP($L278,classifications!C:I,7,FALSE))</f>
        <v/>
      </c>
      <c r="AB278" s="174" t="str">
        <f t="shared" ref="AB278:AB341" si="142">IF(AA278=$J$3,M278,"")</f>
        <v/>
      </c>
      <c r="AC278" s="174" t="str">
        <f>IF(AB278="","",IF($I$8="A",(RANK(AB278,AB$11:AB$343)+COUNTIF(AB$11:AB278,AB278)-1),(RANK(AB278,AB$11:AB$343,1)+COUNTIF(AB$11:AB278,AB278)-1)))</f>
        <v/>
      </c>
      <c r="AD278" s="174"/>
      <c r="AE278" s="36" t="str">
        <f t="shared" ref="AE278:AE341" si="143">IF(AE277="","",IF(AE277+1&gt;(COUNT(AG:AG)),"",AE277+1))</f>
        <v/>
      </c>
      <c r="AG278" s="15"/>
      <c r="AH278" s="3"/>
      <c r="AI278" s="5" t="str">
        <f>IF(L278="","",VLOOKUP($L278,classifications!$C:$J,8,FALSE))</f>
        <v/>
      </c>
      <c r="AJ278" s="43" t="str">
        <f t="shared" ref="AJ278:AJ341" si="144">IF(AI278=$I$3,M278,"")</f>
        <v/>
      </c>
      <c r="AK278" s="40" t="str">
        <f>IF(AJ278="","",IF(I$8="A",(RANK(AJ278,AJ$11:AJ$343,1)+COUNTIF(AJ$11:AJ278,AJ278)-1),(RANK(AJ278,AJ$11:AJ$343)+COUNTIF(AJ$11:AJ278,AJ278)-1)))</f>
        <v/>
      </c>
      <c r="AL278" s="3" t="str">
        <f t="shared" ref="AL278:AL341" si="145">IF(AL277="","",IF(AL277+1&gt;(COUNT(AJ$11:AJ$343)),"",AL277+1))</f>
        <v/>
      </c>
      <c r="AM278" t="str">
        <f t="shared" ref="AM278:AM341" si="146">IF(ISNA(IF(AL278="","",INDEX(L$11:L$343,MATCH(AL278,AK$11:AK$343,0)))),"",(IF(AL278="","",INDEX(L$11:L$343,MATCH(AL278,AK$11:AK$343,0)))))</f>
        <v/>
      </c>
      <c r="AN278" t="str">
        <f t="shared" ref="AN278:AN341" si="147">(VLOOKUP(AM278,L:M,2,FALSE))</f>
        <v/>
      </c>
      <c r="AP278" s="5" t="str">
        <f>IF(L278="","",VLOOKUP($L278,classifications!$C:$E,3,FALSE))</f>
        <v/>
      </c>
      <c r="AQ278" s="43" t="str">
        <f t="shared" ref="AQ278:AQ341" si="148">IF(AP278=$G$3,$M278,"")</f>
        <v/>
      </c>
      <c r="AR278" s="40" t="str">
        <f>IF(AQ278="","",IF(I$8="A",(RANK(AQ278,AQ$11:AQ$343,1)+COUNTIF(AQ$11:AQ278,AQ278)-1),(RANK(AQ278,AQ$11:AQ$343)+COUNTIF(AQ$11:AQ278,AQ278)-1)))</f>
        <v/>
      </c>
      <c r="AS278" s="3" t="str">
        <f t="shared" ref="AS278:AS341" si="149">IF(AS277="","",IF(AS277+1&gt;(COUNT(AQ$11:AQ$343)),"",AS277+1))</f>
        <v/>
      </c>
      <c r="AT278" s="40" t="str">
        <f t="shared" ref="AT278:AT341" si="150">IF(AS278="","",INDEX(L$11:L$343,MATCH(AS278,AR$11:AR$343,0)))</f>
        <v/>
      </c>
      <c r="AU278" s="43" t="str">
        <f t="shared" ref="AU278:AU341" si="151">IF(AT278="","",VLOOKUP(AT278,L:M,2,FALSE))</f>
        <v/>
      </c>
      <c r="AX278">
        <f>HLOOKUP($AX$9&amp;$AX$10,Data!$A$1:$ZZ$1980,(MATCH($C278,Data!$A$1:$A$1980,0)),FALSE)</f>
        <v>333.2</v>
      </c>
    </row>
    <row r="279" spans="1:50">
      <c r="A279" s="59" t="str">
        <f>$D$1&amp;269</f>
        <v>UA269</v>
      </c>
      <c r="B279" s="60">
        <f>IF(ISERROR(VLOOKUP(A286,classifications!A:C,3,FALSE)),0,VLOOKUP(A286,classifications!A:C,3,FALSE))</f>
        <v>0</v>
      </c>
      <c r="C279" t="s">
        <v>250</v>
      </c>
      <c r="D279" t="str">
        <f>VLOOKUP($C279,classifications!$C:$J,4,FALSE)</f>
        <v>MD</v>
      </c>
      <c r="E279">
        <f>VLOOKUP(C279,classifications!C:K,9,FALSE)</f>
        <v>0</v>
      </c>
      <c r="F279">
        <f t="shared" si="129"/>
        <v>328.7</v>
      </c>
      <c r="G279" s="15"/>
      <c r="H279" s="42" t="str">
        <f t="shared" si="130"/>
        <v/>
      </c>
      <c r="I279" s="79" t="str">
        <f>IF(H279="","",IF($I$8="A",(RANK(H279,H$11:H$343,1)+COUNTIF(H$11:H279,H279)-1),(RANK(H279,H$11:H$343)+COUNTIF(H$11:H279,H279)-1)))</f>
        <v/>
      </c>
      <c r="J279" s="41"/>
      <c r="K279" s="36" t="str">
        <f t="shared" si="131"/>
        <v/>
      </c>
      <c r="L279" t="str">
        <f t="shared" si="132"/>
        <v/>
      </c>
      <c r="M279" s="117" t="str">
        <f t="shared" si="133"/>
        <v/>
      </c>
      <c r="N279" s="112" t="str">
        <f t="shared" si="134"/>
        <v/>
      </c>
      <c r="O279" s="96" t="str">
        <f t="shared" si="135"/>
        <v/>
      </c>
      <c r="P279" s="96" t="str">
        <f t="shared" si="136"/>
        <v/>
      </c>
      <c r="Q279" s="96" t="str">
        <f t="shared" si="137"/>
        <v/>
      </c>
      <c r="R279" s="92" t="str">
        <f t="shared" si="138"/>
        <v/>
      </c>
      <c r="S279" s="42" t="str">
        <f t="shared" si="139"/>
        <v/>
      </c>
      <c r="T279" s="167" t="str">
        <f>IF(L279="","",VLOOKUP(L279,classifications!C:K,9,FALSE))</f>
        <v/>
      </c>
      <c r="U279" s="168" t="str">
        <f t="shared" si="140"/>
        <v/>
      </c>
      <c r="V279" s="174" t="str">
        <f>IF(U279="","",IF($I$8="A",(RANK(U279,U$11:U$343)+COUNTIF(U$11:U279,U279)-1),(RANK(U279,U$11:U$343,1)+COUNTIF(U$11:U279,U279)-1)))</f>
        <v/>
      </c>
      <c r="W279" s="175"/>
      <c r="X279" s="5" t="str">
        <f>IF(L279="","",VLOOKUP($L279,classifications!$C:$J,6,FALSE))</f>
        <v/>
      </c>
      <c r="Y279" t="str">
        <f t="shared" si="141"/>
        <v/>
      </c>
      <c r="Z279" s="40" t="str">
        <f>IF(Y279="","",IF(I$8="A",(RANK(Y279,Y$11:Y$343,1)+COUNTIF(Y$11:Y279,Y279)-1),(RANK(Y279,Y$11:Y$343)+COUNTIF(Y$11:Y279,Y279)-1)))</f>
        <v/>
      </c>
      <c r="AA279" s="180" t="str">
        <f>IF(L279="","",VLOOKUP($L279,classifications!C:I,7,FALSE))</f>
        <v/>
      </c>
      <c r="AB279" s="174" t="str">
        <f t="shared" si="142"/>
        <v/>
      </c>
      <c r="AC279" s="174" t="str">
        <f>IF(AB279="","",IF($I$8="A",(RANK(AB279,AB$11:AB$343)+COUNTIF(AB$11:AB279,AB279)-1),(RANK(AB279,AB$11:AB$343,1)+COUNTIF(AB$11:AB279,AB279)-1)))</f>
        <v/>
      </c>
      <c r="AD279" s="174"/>
      <c r="AE279" s="36" t="str">
        <f t="shared" si="143"/>
        <v/>
      </c>
      <c r="AG279" s="15"/>
      <c r="AH279" s="3"/>
      <c r="AI279" s="5" t="str">
        <f>IF(L279="","",VLOOKUP($L279,classifications!$C:$J,8,FALSE))</f>
        <v/>
      </c>
      <c r="AJ279" s="43" t="str">
        <f t="shared" si="144"/>
        <v/>
      </c>
      <c r="AK279" s="40" t="str">
        <f>IF(AJ279="","",IF(I$8="A",(RANK(AJ279,AJ$11:AJ$343,1)+COUNTIF(AJ$11:AJ279,AJ279)-1),(RANK(AJ279,AJ$11:AJ$343)+COUNTIF(AJ$11:AJ279,AJ279)-1)))</f>
        <v/>
      </c>
      <c r="AL279" s="3" t="str">
        <f t="shared" si="145"/>
        <v/>
      </c>
      <c r="AM279" t="str">
        <f t="shared" si="146"/>
        <v/>
      </c>
      <c r="AN279" t="str">
        <f t="shared" si="147"/>
        <v/>
      </c>
      <c r="AP279" s="5" t="str">
        <f>IF(L279="","",VLOOKUP($L279,classifications!$C:$E,3,FALSE))</f>
        <v/>
      </c>
      <c r="AQ279" s="43" t="str">
        <f t="shared" si="148"/>
        <v/>
      </c>
      <c r="AR279" s="40" t="str">
        <f>IF(AQ279="","",IF(I$8="A",(RANK(AQ279,AQ$11:AQ$343,1)+COUNTIF(AQ$11:AQ279,AQ279)-1),(RANK(AQ279,AQ$11:AQ$343)+COUNTIF(AQ$11:AQ279,AQ279)-1)))</f>
        <v/>
      </c>
      <c r="AS279" s="3" t="str">
        <f t="shared" si="149"/>
        <v/>
      </c>
      <c r="AT279" s="40" t="str">
        <f t="shared" si="150"/>
        <v/>
      </c>
      <c r="AU279" s="43" t="str">
        <f t="shared" si="151"/>
        <v/>
      </c>
      <c r="AX279">
        <f>HLOOKUP($AX$9&amp;$AX$10,Data!$A$1:$ZZ$1980,(MATCH($C279,Data!$A$1:$A$1980,0)),FALSE)</f>
        <v>328.7</v>
      </c>
    </row>
    <row r="280" spans="1:50">
      <c r="A280" s="59" t="str">
        <f>$D$1&amp;270</f>
        <v>UA270</v>
      </c>
      <c r="B280" s="60">
        <f>IF(ISERROR(VLOOKUP(A287,classifications!A:C,3,FALSE)),0,VLOOKUP(A287,classifications!A:C,3,FALSE))</f>
        <v>0</v>
      </c>
      <c r="C280" t="s">
        <v>291</v>
      </c>
      <c r="D280" t="str">
        <f>VLOOKUP($C280,classifications!$C:$J,4,FALSE)</f>
        <v>UA</v>
      </c>
      <c r="E280">
        <f>VLOOKUP(C280,classifications!C:K,9,FALSE)</f>
        <v>0</v>
      </c>
      <c r="F280">
        <f t="shared" si="129"/>
        <v>415.3</v>
      </c>
      <c r="G280" s="15"/>
      <c r="H280" s="42">
        <f t="shared" si="130"/>
        <v>415.3</v>
      </c>
      <c r="I280" s="79">
        <f>IF(H280="","",IF($I$8="A",(RANK(H280,H$11:H$343,1)+COUNTIF(H$11:H280,H280)-1),(RANK(H280,H$11:H$343)+COUNTIF(H$11:H280,H280)-1)))</f>
        <v>41</v>
      </c>
      <c r="J280" s="41"/>
      <c r="K280" s="36" t="str">
        <f t="shared" si="131"/>
        <v/>
      </c>
      <c r="L280" t="str">
        <f t="shared" si="132"/>
        <v/>
      </c>
      <c r="M280" s="117" t="str">
        <f t="shared" si="133"/>
        <v/>
      </c>
      <c r="N280" s="112" t="str">
        <f t="shared" si="134"/>
        <v/>
      </c>
      <c r="O280" s="96" t="str">
        <f t="shared" si="135"/>
        <v/>
      </c>
      <c r="P280" s="96" t="str">
        <f t="shared" si="136"/>
        <v/>
      </c>
      <c r="Q280" s="96" t="str">
        <f t="shared" si="137"/>
        <v/>
      </c>
      <c r="R280" s="92" t="str">
        <f t="shared" si="138"/>
        <v/>
      </c>
      <c r="S280" s="42" t="str">
        <f t="shared" si="139"/>
        <v/>
      </c>
      <c r="T280" s="167" t="str">
        <f>IF(L280="","",VLOOKUP(L280,classifications!C:K,9,FALSE))</f>
        <v/>
      </c>
      <c r="U280" s="168" t="str">
        <f t="shared" si="140"/>
        <v/>
      </c>
      <c r="V280" s="174" t="str">
        <f>IF(U280="","",IF($I$8="A",(RANK(U280,U$11:U$343)+COUNTIF(U$11:U280,U280)-1),(RANK(U280,U$11:U$343,1)+COUNTIF(U$11:U280,U280)-1)))</f>
        <v/>
      </c>
      <c r="W280" s="175"/>
      <c r="X280" s="5" t="str">
        <f>IF(L280="","",VLOOKUP($L280,classifications!$C:$J,6,FALSE))</f>
        <v/>
      </c>
      <c r="Y280" t="str">
        <f t="shared" si="141"/>
        <v/>
      </c>
      <c r="Z280" s="40" t="str">
        <f>IF(Y280="","",IF(I$8="A",(RANK(Y280,Y$11:Y$343,1)+COUNTIF(Y$11:Y280,Y280)-1),(RANK(Y280,Y$11:Y$343)+COUNTIF(Y$11:Y280,Y280)-1)))</f>
        <v/>
      </c>
      <c r="AA280" s="180" t="str">
        <f>IF(L280="","",VLOOKUP($L280,classifications!C:I,7,FALSE))</f>
        <v/>
      </c>
      <c r="AB280" s="174" t="str">
        <f t="shared" si="142"/>
        <v/>
      </c>
      <c r="AC280" s="174" t="str">
        <f>IF(AB280="","",IF($I$8="A",(RANK(AB280,AB$11:AB$343)+COUNTIF(AB$11:AB280,AB280)-1),(RANK(AB280,AB$11:AB$343,1)+COUNTIF(AB$11:AB280,AB280)-1)))</f>
        <v/>
      </c>
      <c r="AD280" s="174"/>
      <c r="AE280" s="36" t="str">
        <f t="shared" si="143"/>
        <v/>
      </c>
      <c r="AG280" s="15"/>
      <c r="AH280" s="3"/>
      <c r="AI280" s="5" t="str">
        <f>IF(L280="","",VLOOKUP($L280,classifications!$C:$J,8,FALSE))</f>
        <v/>
      </c>
      <c r="AJ280" s="43" t="str">
        <f t="shared" si="144"/>
        <v/>
      </c>
      <c r="AK280" s="40" t="str">
        <f>IF(AJ280="","",IF(I$8="A",(RANK(AJ280,AJ$11:AJ$343,1)+COUNTIF(AJ$11:AJ280,AJ280)-1),(RANK(AJ280,AJ$11:AJ$343)+COUNTIF(AJ$11:AJ280,AJ280)-1)))</f>
        <v/>
      </c>
      <c r="AL280" s="3" t="str">
        <f t="shared" si="145"/>
        <v/>
      </c>
      <c r="AM280" t="str">
        <f t="shared" si="146"/>
        <v/>
      </c>
      <c r="AN280" t="str">
        <f t="shared" si="147"/>
        <v/>
      </c>
      <c r="AP280" s="5" t="str">
        <f>IF(L280="","",VLOOKUP($L280,classifications!$C:$E,3,FALSE))</f>
        <v/>
      </c>
      <c r="AQ280" s="43" t="str">
        <f t="shared" si="148"/>
        <v/>
      </c>
      <c r="AR280" s="40" t="str">
        <f>IF(AQ280="","",IF(I$8="A",(RANK(AQ280,AQ$11:AQ$343,1)+COUNTIF(AQ$11:AQ280,AQ280)-1),(RANK(AQ280,AQ$11:AQ$343)+COUNTIF(AQ$11:AQ280,AQ280)-1)))</f>
        <v/>
      </c>
      <c r="AS280" s="3" t="str">
        <f t="shared" si="149"/>
        <v/>
      </c>
      <c r="AT280" s="40" t="str">
        <f t="shared" si="150"/>
        <v/>
      </c>
      <c r="AU280" s="43" t="str">
        <f t="shared" si="151"/>
        <v/>
      </c>
      <c r="AX280">
        <f>HLOOKUP($AX$9&amp;$AX$10,Data!$A$1:$ZZ$1980,(MATCH($C280,Data!$A$1:$A$1980,0)),FALSE)</f>
        <v>415.3</v>
      </c>
    </row>
    <row r="281" spans="1:50">
      <c r="A281" s="59" t="str">
        <f>$D$1&amp;271</f>
        <v>UA271</v>
      </c>
      <c r="B281" s="60">
        <f>IF(ISERROR(VLOOKUP(A288,classifications!A:C,3,FALSE)),0,VLOOKUP(A288,classifications!A:C,3,FALSE))</f>
        <v>0</v>
      </c>
      <c r="C281" t="s">
        <v>292</v>
      </c>
      <c r="D281" t="str">
        <f>VLOOKUP($C281,classifications!$C:$J,4,FALSE)</f>
        <v>UA</v>
      </c>
      <c r="E281">
        <f>VLOOKUP(C281,classifications!C:K,9,FALSE)</f>
        <v>0</v>
      </c>
      <c r="F281">
        <f t="shared" si="129"/>
        <v>384.5</v>
      </c>
      <c r="G281" s="15"/>
      <c r="H281" s="42">
        <f t="shared" si="130"/>
        <v>384.5</v>
      </c>
      <c r="I281" s="79">
        <f>IF(H281="","",IF($I$8="A",(RANK(H281,H$11:H$343,1)+COUNTIF(H$11:H281,H281)-1),(RANK(H281,H$11:H$343)+COUNTIF(H$11:H281,H281)-1)))</f>
        <v>23</v>
      </c>
      <c r="J281" s="41"/>
      <c r="K281" s="36" t="str">
        <f t="shared" si="131"/>
        <v/>
      </c>
      <c r="L281" t="str">
        <f t="shared" si="132"/>
        <v/>
      </c>
      <c r="M281" s="117" t="str">
        <f t="shared" si="133"/>
        <v/>
      </c>
      <c r="N281" s="112" t="str">
        <f t="shared" si="134"/>
        <v/>
      </c>
      <c r="O281" s="96" t="str">
        <f t="shared" si="135"/>
        <v/>
      </c>
      <c r="P281" s="96" t="str">
        <f t="shared" si="136"/>
        <v/>
      </c>
      <c r="Q281" s="96" t="str">
        <f t="shared" si="137"/>
        <v/>
      </c>
      <c r="R281" s="92" t="str">
        <f t="shared" si="138"/>
        <v/>
      </c>
      <c r="S281" s="42" t="str">
        <f t="shared" si="139"/>
        <v/>
      </c>
      <c r="T281" s="167" t="str">
        <f>IF(L281="","",VLOOKUP(L281,classifications!C:K,9,FALSE))</f>
        <v/>
      </c>
      <c r="U281" s="168" t="str">
        <f t="shared" si="140"/>
        <v/>
      </c>
      <c r="V281" s="174" t="str">
        <f>IF(U281="","",IF($I$8="A",(RANK(U281,U$11:U$343)+COUNTIF(U$11:U281,U281)-1),(RANK(U281,U$11:U$343,1)+COUNTIF(U$11:U281,U281)-1)))</f>
        <v/>
      </c>
      <c r="W281" s="175"/>
      <c r="X281" s="5" t="str">
        <f>IF(L281="","",VLOOKUP($L281,classifications!$C:$J,6,FALSE))</f>
        <v/>
      </c>
      <c r="Y281" t="str">
        <f t="shared" si="141"/>
        <v/>
      </c>
      <c r="Z281" s="40" t="str">
        <f>IF(Y281="","",IF(I$8="A",(RANK(Y281,Y$11:Y$343,1)+COUNTIF(Y$11:Y281,Y281)-1),(RANK(Y281,Y$11:Y$343)+COUNTIF(Y$11:Y281,Y281)-1)))</f>
        <v/>
      </c>
      <c r="AA281" s="180" t="str">
        <f>IF(L281="","",VLOOKUP($L281,classifications!C:I,7,FALSE))</f>
        <v/>
      </c>
      <c r="AB281" s="174" t="str">
        <f t="shared" si="142"/>
        <v/>
      </c>
      <c r="AC281" s="174" t="str">
        <f>IF(AB281="","",IF($I$8="A",(RANK(AB281,AB$11:AB$343)+COUNTIF(AB$11:AB281,AB281)-1),(RANK(AB281,AB$11:AB$343,1)+COUNTIF(AB$11:AB281,AB281)-1)))</f>
        <v/>
      </c>
      <c r="AD281" s="174"/>
      <c r="AE281" s="36" t="str">
        <f t="shared" si="143"/>
        <v/>
      </c>
      <c r="AG281" s="15"/>
      <c r="AH281" s="3"/>
      <c r="AI281" s="5" t="str">
        <f>IF(L281="","",VLOOKUP($L281,classifications!$C:$J,8,FALSE))</f>
        <v/>
      </c>
      <c r="AJ281" s="43" t="str">
        <f t="shared" si="144"/>
        <v/>
      </c>
      <c r="AK281" s="40" t="str">
        <f>IF(AJ281="","",IF(I$8="A",(RANK(AJ281,AJ$11:AJ$343,1)+COUNTIF(AJ$11:AJ281,AJ281)-1),(RANK(AJ281,AJ$11:AJ$343)+COUNTIF(AJ$11:AJ281,AJ281)-1)))</f>
        <v/>
      </c>
      <c r="AL281" s="3" t="str">
        <f t="shared" si="145"/>
        <v/>
      </c>
      <c r="AM281" t="str">
        <f t="shared" si="146"/>
        <v/>
      </c>
      <c r="AN281" t="str">
        <f t="shared" si="147"/>
        <v/>
      </c>
      <c r="AP281" s="5" t="str">
        <f>IF(L281="","",VLOOKUP($L281,classifications!$C:$E,3,FALSE))</f>
        <v/>
      </c>
      <c r="AQ281" s="43" t="str">
        <f t="shared" si="148"/>
        <v/>
      </c>
      <c r="AR281" s="40" t="str">
        <f>IF(AQ281="","",IF(I$8="A",(RANK(AQ281,AQ$11:AQ$343,1)+COUNTIF(AQ$11:AQ281,AQ281)-1),(RANK(AQ281,AQ$11:AQ$343)+COUNTIF(AQ$11:AQ281,AQ281)-1)))</f>
        <v/>
      </c>
      <c r="AS281" s="3" t="str">
        <f t="shared" si="149"/>
        <v/>
      </c>
      <c r="AT281" s="40" t="str">
        <f t="shared" si="150"/>
        <v/>
      </c>
      <c r="AU281" s="43" t="str">
        <f t="shared" si="151"/>
        <v/>
      </c>
      <c r="AX281">
        <f>HLOOKUP($AX$9&amp;$AX$10,Data!$A$1:$ZZ$1980,(MATCH($C281,Data!$A$1:$A$1980,0)),FALSE)</f>
        <v>384.5</v>
      </c>
    </row>
    <row r="282" spans="1:50">
      <c r="A282" s="59" t="str">
        <f>$D$1&amp;272</f>
        <v>UA272</v>
      </c>
      <c r="B282" s="60">
        <f>IF(ISERROR(VLOOKUP(A289,classifications!A:C,3,FALSE)),0,VLOOKUP(A289,classifications!A:C,3,FALSE))</f>
        <v>0</v>
      </c>
      <c r="C282" t="s">
        <v>157</v>
      </c>
      <c r="D282" t="str">
        <f>VLOOKUP($C282,classifications!$C:$J,4,FALSE)</f>
        <v>SD</v>
      </c>
      <c r="E282" t="str">
        <f>VLOOKUP(C282,classifications!C:K,9,FALSE)</f>
        <v>Sparse</v>
      </c>
      <c r="F282">
        <f t="shared" si="129"/>
        <v>376.7</v>
      </c>
      <c r="G282" s="15"/>
      <c r="H282" s="42" t="str">
        <f t="shared" si="130"/>
        <v/>
      </c>
      <c r="I282" s="79" t="str">
        <f>IF(H282="","",IF($I$8="A",(RANK(H282,H$11:H$343,1)+COUNTIF(H$11:H282,H282)-1),(RANK(H282,H$11:H$343)+COUNTIF(H$11:H282,H282)-1)))</f>
        <v/>
      </c>
      <c r="J282" s="41"/>
      <c r="K282" s="36" t="str">
        <f t="shared" si="131"/>
        <v/>
      </c>
      <c r="L282" t="str">
        <f t="shared" si="132"/>
        <v/>
      </c>
      <c r="M282" s="117" t="str">
        <f t="shared" si="133"/>
        <v/>
      </c>
      <c r="N282" s="112" t="str">
        <f t="shared" si="134"/>
        <v/>
      </c>
      <c r="O282" s="96" t="str">
        <f t="shared" si="135"/>
        <v/>
      </c>
      <c r="P282" s="96" t="str">
        <f t="shared" si="136"/>
        <v/>
      </c>
      <c r="Q282" s="96" t="str">
        <f t="shared" si="137"/>
        <v/>
      </c>
      <c r="R282" s="92" t="str">
        <f t="shared" si="138"/>
        <v/>
      </c>
      <c r="S282" s="42" t="str">
        <f t="shared" si="139"/>
        <v/>
      </c>
      <c r="T282" s="167" t="str">
        <f>IF(L282="","",VLOOKUP(L282,classifications!C:K,9,FALSE))</f>
        <v/>
      </c>
      <c r="U282" s="168" t="str">
        <f t="shared" si="140"/>
        <v/>
      </c>
      <c r="V282" s="174" t="str">
        <f>IF(U282="","",IF($I$8="A",(RANK(U282,U$11:U$343)+COUNTIF(U$11:U282,U282)-1),(RANK(U282,U$11:U$343,1)+COUNTIF(U$11:U282,U282)-1)))</f>
        <v/>
      </c>
      <c r="W282" s="175"/>
      <c r="X282" s="5" t="str">
        <f>IF(L282="","",VLOOKUP($L282,classifications!$C:$J,6,FALSE))</f>
        <v/>
      </c>
      <c r="Y282" t="str">
        <f t="shared" si="141"/>
        <v/>
      </c>
      <c r="Z282" s="40" t="str">
        <f>IF(Y282="","",IF(I$8="A",(RANK(Y282,Y$11:Y$343,1)+COUNTIF(Y$11:Y282,Y282)-1),(RANK(Y282,Y$11:Y$343)+COUNTIF(Y$11:Y282,Y282)-1)))</f>
        <v/>
      </c>
      <c r="AA282" s="180" t="str">
        <f>IF(L282="","",VLOOKUP($L282,classifications!C:I,7,FALSE))</f>
        <v/>
      </c>
      <c r="AB282" s="174" t="str">
        <f t="shared" si="142"/>
        <v/>
      </c>
      <c r="AC282" s="174" t="str">
        <f>IF(AB282="","",IF($I$8="A",(RANK(AB282,AB$11:AB$343)+COUNTIF(AB$11:AB282,AB282)-1),(RANK(AB282,AB$11:AB$343,1)+COUNTIF(AB$11:AB282,AB282)-1)))</f>
        <v/>
      </c>
      <c r="AD282" s="174"/>
      <c r="AE282" s="36" t="str">
        <f t="shared" si="143"/>
        <v/>
      </c>
      <c r="AG282" s="15"/>
      <c r="AH282" s="3"/>
      <c r="AI282" s="5" t="str">
        <f>IF(L282="","",VLOOKUP($L282,classifications!$C:$J,8,FALSE))</f>
        <v/>
      </c>
      <c r="AJ282" s="43" t="str">
        <f t="shared" si="144"/>
        <v/>
      </c>
      <c r="AK282" s="40" t="str">
        <f>IF(AJ282="","",IF(I$8="A",(RANK(AJ282,AJ$11:AJ$343,1)+COUNTIF(AJ$11:AJ282,AJ282)-1),(RANK(AJ282,AJ$11:AJ$343)+COUNTIF(AJ$11:AJ282,AJ282)-1)))</f>
        <v/>
      </c>
      <c r="AL282" s="3" t="str">
        <f t="shared" si="145"/>
        <v/>
      </c>
      <c r="AM282" t="str">
        <f t="shared" si="146"/>
        <v/>
      </c>
      <c r="AN282" t="str">
        <f t="shared" si="147"/>
        <v/>
      </c>
      <c r="AP282" s="5" t="str">
        <f>IF(L282="","",VLOOKUP($L282,classifications!$C:$E,3,FALSE))</f>
        <v/>
      </c>
      <c r="AQ282" s="43" t="str">
        <f t="shared" si="148"/>
        <v/>
      </c>
      <c r="AR282" s="40" t="str">
        <f>IF(AQ282="","",IF(I$8="A",(RANK(AQ282,AQ$11:AQ$343,1)+COUNTIF(AQ$11:AQ282,AQ282)-1),(RANK(AQ282,AQ$11:AQ$343)+COUNTIF(AQ$11:AQ282,AQ282)-1)))</f>
        <v/>
      </c>
      <c r="AS282" s="3" t="str">
        <f t="shared" si="149"/>
        <v/>
      </c>
      <c r="AT282" s="40" t="str">
        <f t="shared" si="150"/>
        <v/>
      </c>
      <c r="AU282" s="43" t="str">
        <f t="shared" si="151"/>
        <v/>
      </c>
      <c r="AX282">
        <f>HLOOKUP($AX$9&amp;$AX$10,Data!$A$1:$ZZ$1980,(MATCH($C282,Data!$A$1:$A$1980,0)),FALSE)</f>
        <v>376.7</v>
      </c>
    </row>
    <row r="283" spans="1:50">
      <c r="A283" s="59" t="str">
        <f>$D$1&amp;273</f>
        <v>UA273</v>
      </c>
      <c r="B283" s="60">
        <f>IF(ISERROR(VLOOKUP(A290,classifications!A:C,3,FALSE)),0,VLOOKUP(A290,classifications!A:C,3,FALSE))</f>
        <v>0</v>
      </c>
      <c r="C283" t="s">
        <v>158</v>
      </c>
      <c r="D283" t="str">
        <f>VLOOKUP($C283,classifications!$C:$J,4,FALSE)</f>
        <v>SD</v>
      </c>
      <c r="E283" t="str">
        <f>VLOOKUP(C283,classifications!C:K,9,FALSE)</f>
        <v>Sparse</v>
      </c>
      <c r="F283">
        <f t="shared" si="129"/>
        <v>302.60000000000002</v>
      </c>
      <c r="G283" s="15"/>
      <c r="H283" s="42" t="str">
        <f t="shared" si="130"/>
        <v/>
      </c>
      <c r="I283" s="79" t="str">
        <f>IF(H283="","",IF($I$8="A",(RANK(H283,H$11:H$343,1)+COUNTIF(H$11:H283,H283)-1),(RANK(H283,H$11:H$343)+COUNTIF(H$11:H283,H283)-1)))</f>
        <v/>
      </c>
      <c r="J283" s="41"/>
      <c r="K283" s="36" t="str">
        <f t="shared" si="131"/>
        <v/>
      </c>
      <c r="L283" t="str">
        <f t="shared" si="132"/>
        <v/>
      </c>
      <c r="M283" s="117" t="str">
        <f t="shared" si="133"/>
        <v/>
      </c>
      <c r="N283" s="112" t="str">
        <f t="shared" si="134"/>
        <v/>
      </c>
      <c r="O283" s="96" t="str">
        <f t="shared" si="135"/>
        <v/>
      </c>
      <c r="P283" s="96" t="str">
        <f t="shared" si="136"/>
        <v/>
      </c>
      <c r="Q283" s="96" t="str">
        <f t="shared" si="137"/>
        <v/>
      </c>
      <c r="R283" s="92" t="str">
        <f t="shared" si="138"/>
        <v/>
      </c>
      <c r="S283" s="42" t="str">
        <f t="shared" si="139"/>
        <v/>
      </c>
      <c r="T283" s="167" t="str">
        <f>IF(L283="","",VLOOKUP(L283,classifications!C:K,9,FALSE))</f>
        <v/>
      </c>
      <c r="U283" s="168" t="str">
        <f t="shared" si="140"/>
        <v/>
      </c>
      <c r="V283" s="174" t="str">
        <f>IF(U283="","",IF($I$8="A",(RANK(U283,U$11:U$343)+COUNTIF(U$11:U283,U283)-1),(RANK(U283,U$11:U$343,1)+COUNTIF(U$11:U283,U283)-1)))</f>
        <v/>
      </c>
      <c r="W283" s="175"/>
      <c r="X283" s="5" t="str">
        <f>IF(L283="","",VLOOKUP($L283,classifications!$C:$J,6,FALSE))</f>
        <v/>
      </c>
      <c r="Y283" t="str">
        <f t="shared" si="141"/>
        <v/>
      </c>
      <c r="Z283" s="40" t="str">
        <f>IF(Y283="","",IF(I$8="A",(RANK(Y283,Y$11:Y$343,1)+COUNTIF(Y$11:Y283,Y283)-1),(RANK(Y283,Y$11:Y$343)+COUNTIF(Y$11:Y283,Y283)-1)))</f>
        <v/>
      </c>
      <c r="AA283" s="180" t="str">
        <f>IF(L283="","",VLOOKUP($L283,classifications!C:I,7,FALSE))</f>
        <v/>
      </c>
      <c r="AB283" s="174" t="str">
        <f t="shared" si="142"/>
        <v/>
      </c>
      <c r="AC283" s="174" t="str">
        <f>IF(AB283="","",IF($I$8="A",(RANK(AB283,AB$11:AB$343)+COUNTIF(AB$11:AB283,AB283)-1),(RANK(AB283,AB$11:AB$343,1)+COUNTIF(AB$11:AB283,AB283)-1)))</f>
        <v/>
      </c>
      <c r="AD283" s="174"/>
      <c r="AE283" s="36" t="str">
        <f t="shared" si="143"/>
        <v/>
      </c>
      <c r="AG283" s="15"/>
      <c r="AH283" s="3"/>
      <c r="AI283" s="5" t="str">
        <f>IF(L283="","",VLOOKUP($L283,classifications!$C:$J,8,FALSE))</f>
        <v/>
      </c>
      <c r="AJ283" s="43" t="str">
        <f t="shared" si="144"/>
        <v/>
      </c>
      <c r="AK283" s="40" t="str">
        <f>IF(AJ283="","",IF(I$8="A",(RANK(AJ283,AJ$11:AJ$343,1)+COUNTIF(AJ$11:AJ283,AJ283)-1),(RANK(AJ283,AJ$11:AJ$343)+COUNTIF(AJ$11:AJ283,AJ283)-1)))</f>
        <v/>
      </c>
      <c r="AL283" s="3" t="str">
        <f t="shared" si="145"/>
        <v/>
      </c>
      <c r="AM283" t="str">
        <f t="shared" si="146"/>
        <v/>
      </c>
      <c r="AN283" t="str">
        <f t="shared" si="147"/>
        <v/>
      </c>
      <c r="AP283" s="5" t="str">
        <f>IF(L283="","",VLOOKUP($L283,classifications!$C:$E,3,FALSE))</f>
        <v/>
      </c>
      <c r="AQ283" s="43" t="str">
        <f t="shared" si="148"/>
        <v/>
      </c>
      <c r="AR283" s="40" t="str">
        <f>IF(AQ283="","",IF(I$8="A",(RANK(AQ283,AQ$11:AQ$343,1)+COUNTIF(AQ$11:AQ283,AQ283)-1),(RANK(AQ283,AQ$11:AQ$343)+COUNTIF(AQ$11:AQ283,AQ283)-1)))</f>
        <v/>
      </c>
      <c r="AS283" s="3" t="str">
        <f t="shared" si="149"/>
        <v/>
      </c>
      <c r="AT283" s="40" t="str">
        <f t="shared" si="150"/>
        <v/>
      </c>
      <c r="AU283" s="43" t="str">
        <f t="shared" si="151"/>
        <v/>
      </c>
      <c r="AX283">
        <f>HLOOKUP($AX$9&amp;$AX$10,Data!$A$1:$ZZ$1980,(MATCH($C283,Data!$A$1:$A$1980,0)),FALSE)</f>
        <v>302.60000000000002</v>
      </c>
    </row>
    <row r="284" spans="1:50">
      <c r="A284" s="59" t="str">
        <f>$D$1&amp;274</f>
        <v>UA274</v>
      </c>
      <c r="B284" s="60">
        <f>IF(ISERROR(VLOOKUP(A291,classifications!A:C,3,FALSE)),0,VLOOKUP(A291,classifications!A:C,3,FALSE))</f>
        <v>0</v>
      </c>
      <c r="C284" t="s">
        <v>329</v>
      </c>
      <c r="D284" t="str">
        <f>VLOOKUP($C284,classifications!$C:$J,4,FALSE)</f>
        <v>SC</v>
      </c>
      <c r="E284" t="str">
        <f>VLOOKUP(C284,classifications!C:K,9,FALSE)</f>
        <v>Sparse</v>
      </c>
      <c r="F284">
        <f t="shared" si="129"/>
        <v>418.1</v>
      </c>
      <c r="G284" s="15"/>
      <c r="H284" s="42" t="str">
        <f t="shared" si="130"/>
        <v/>
      </c>
      <c r="I284" s="79" t="str">
        <f>IF(H284="","",IF($I$8="A",(RANK(H284,H$11:H$343,1)+COUNTIF(H$11:H284,H284)-1),(RANK(H284,H$11:H$343)+COUNTIF(H$11:H284,H284)-1)))</f>
        <v/>
      </c>
      <c r="J284" s="41"/>
      <c r="K284" s="36" t="str">
        <f t="shared" si="131"/>
        <v/>
      </c>
      <c r="L284" t="str">
        <f t="shared" si="132"/>
        <v/>
      </c>
      <c r="M284" s="117" t="str">
        <f t="shared" si="133"/>
        <v/>
      </c>
      <c r="N284" s="112" t="str">
        <f t="shared" si="134"/>
        <v/>
      </c>
      <c r="O284" s="96" t="str">
        <f t="shared" si="135"/>
        <v/>
      </c>
      <c r="P284" s="96" t="str">
        <f t="shared" si="136"/>
        <v/>
      </c>
      <c r="Q284" s="96" t="str">
        <f t="shared" si="137"/>
        <v/>
      </c>
      <c r="R284" s="92" t="str">
        <f t="shared" si="138"/>
        <v/>
      </c>
      <c r="S284" s="42" t="str">
        <f t="shared" si="139"/>
        <v/>
      </c>
      <c r="T284" s="167" t="str">
        <f>IF(L284="","",VLOOKUP(L284,classifications!C:K,9,FALSE))</f>
        <v/>
      </c>
      <c r="U284" s="168" t="str">
        <f t="shared" si="140"/>
        <v/>
      </c>
      <c r="V284" s="174" t="str">
        <f>IF(U284="","",IF($I$8="A",(RANK(U284,U$11:U$343)+COUNTIF(U$11:U284,U284)-1),(RANK(U284,U$11:U$343,1)+COUNTIF(U$11:U284,U284)-1)))</f>
        <v/>
      </c>
      <c r="W284" s="175"/>
      <c r="X284" s="5" t="str">
        <f>IF(L284="","",VLOOKUP($L284,classifications!$C:$J,6,FALSE))</f>
        <v/>
      </c>
      <c r="Y284" t="str">
        <f t="shared" si="141"/>
        <v/>
      </c>
      <c r="Z284" s="40" t="str">
        <f>IF(Y284="","",IF(I$8="A",(RANK(Y284,Y$11:Y$343,1)+COUNTIF(Y$11:Y284,Y284)-1),(RANK(Y284,Y$11:Y$343)+COUNTIF(Y$11:Y284,Y284)-1)))</f>
        <v/>
      </c>
      <c r="AA284" s="180" t="str">
        <f>IF(L284="","",VLOOKUP($L284,classifications!C:I,7,FALSE))</f>
        <v/>
      </c>
      <c r="AB284" s="174" t="str">
        <f t="shared" si="142"/>
        <v/>
      </c>
      <c r="AC284" s="174" t="str">
        <f>IF(AB284="","",IF($I$8="A",(RANK(AB284,AB$11:AB$343)+COUNTIF(AB$11:AB284,AB284)-1),(RANK(AB284,AB$11:AB$343,1)+COUNTIF(AB$11:AB284,AB284)-1)))</f>
        <v/>
      </c>
      <c r="AD284" s="174"/>
      <c r="AE284" s="36" t="str">
        <f t="shared" si="143"/>
        <v/>
      </c>
      <c r="AG284" s="15"/>
      <c r="AH284" s="3"/>
      <c r="AI284" s="5" t="str">
        <f>IF(L284="","",VLOOKUP($L284,classifications!$C:$J,8,FALSE))</f>
        <v/>
      </c>
      <c r="AJ284" s="43" t="str">
        <f t="shared" si="144"/>
        <v/>
      </c>
      <c r="AK284" s="40" t="str">
        <f>IF(AJ284="","",IF(I$8="A",(RANK(AJ284,AJ$11:AJ$343,1)+COUNTIF(AJ$11:AJ284,AJ284)-1),(RANK(AJ284,AJ$11:AJ$343)+COUNTIF(AJ$11:AJ284,AJ284)-1)))</f>
        <v/>
      </c>
      <c r="AL284" s="3" t="str">
        <f t="shared" si="145"/>
        <v/>
      </c>
      <c r="AM284" t="str">
        <f t="shared" si="146"/>
        <v/>
      </c>
      <c r="AN284" t="str">
        <f t="shared" si="147"/>
        <v/>
      </c>
      <c r="AP284" s="5" t="str">
        <f>IF(L284="","",VLOOKUP($L284,classifications!$C:$E,3,FALSE))</f>
        <v/>
      </c>
      <c r="AQ284" s="43" t="str">
        <f t="shared" si="148"/>
        <v/>
      </c>
      <c r="AR284" s="40" t="str">
        <f>IF(AQ284="","",IF(I$8="A",(RANK(AQ284,AQ$11:AQ$343,1)+COUNTIF(AQ$11:AQ284,AQ284)-1),(RANK(AQ284,AQ$11:AQ$343)+COUNTIF(AQ$11:AQ284,AQ284)-1)))</f>
        <v/>
      </c>
      <c r="AS284" s="3" t="str">
        <f t="shared" si="149"/>
        <v/>
      </c>
      <c r="AT284" s="40" t="str">
        <f t="shared" si="150"/>
        <v/>
      </c>
      <c r="AU284" s="43" t="str">
        <f t="shared" si="151"/>
        <v/>
      </c>
      <c r="AX284">
        <f>HLOOKUP($AX$9&amp;$AX$10,Data!$A$1:$ZZ$1980,(MATCH($C284,Data!$A$1:$A$1980,0)),FALSE)</f>
        <v>418.1</v>
      </c>
    </row>
    <row r="285" spans="1:50">
      <c r="A285" s="59" t="str">
        <f>$D$1&amp;275</f>
        <v>UA275</v>
      </c>
      <c r="B285" s="60">
        <f>IF(ISERROR(VLOOKUP(A292,classifications!A:C,3,FALSE)),0,VLOOKUP(A292,classifications!A:C,3,FALSE))</f>
        <v>0</v>
      </c>
      <c r="C285" t="s">
        <v>899</v>
      </c>
      <c r="D285" t="str">
        <f>VLOOKUP($C285,classifications!$C:$J,4,FALSE)</f>
        <v>SD</v>
      </c>
      <c r="E285" t="str">
        <f>VLOOKUP(C285,classifications!C:K,9,FALSE)</f>
        <v>Sparse</v>
      </c>
      <c r="F285">
        <f t="shared" si="129"/>
        <v>375.5</v>
      </c>
      <c r="G285" s="15"/>
      <c r="H285" s="42" t="str">
        <f t="shared" si="130"/>
        <v/>
      </c>
      <c r="I285" s="79" t="str">
        <f>IF(H285="","",IF($I$8="A",(RANK(H285,H$11:H$343,1)+COUNTIF(H$11:H285,H285)-1),(RANK(H285,H$11:H$343)+COUNTIF(H$11:H285,H285)-1)))</f>
        <v/>
      </c>
      <c r="J285" s="41"/>
      <c r="K285" s="36" t="str">
        <f t="shared" si="131"/>
        <v/>
      </c>
      <c r="L285" t="str">
        <f t="shared" si="132"/>
        <v/>
      </c>
      <c r="M285" s="117" t="str">
        <f t="shared" si="133"/>
        <v/>
      </c>
      <c r="N285" s="112" t="str">
        <f t="shared" si="134"/>
        <v/>
      </c>
      <c r="O285" s="96" t="str">
        <f t="shared" si="135"/>
        <v/>
      </c>
      <c r="P285" s="96" t="str">
        <f t="shared" si="136"/>
        <v/>
      </c>
      <c r="Q285" s="96" t="str">
        <f t="shared" si="137"/>
        <v/>
      </c>
      <c r="R285" s="92" t="str">
        <f t="shared" si="138"/>
        <v/>
      </c>
      <c r="S285" s="42" t="str">
        <f t="shared" si="139"/>
        <v/>
      </c>
      <c r="T285" s="167" t="str">
        <f>IF(L285="","",VLOOKUP(L285,classifications!C:K,9,FALSE))</f>
        <v/>
      </c>
      <c r="U285" s="168" t="str">
        <f t="shared" si="140"/>
        <v/>
      </c>
      <c r="V285" s="174" t="str">
        <f>IF(U285="","",IF($I$8="A",(RANK(U285,U$11:U$343)+COUNTIF(U$11:U285,U285)-1),(RANK(U285,U$11:U$343,1)+COUNTIF(U$11:U285,U285)-1)))</f>
        <v/>
      </c>
      <c r="W285" s="175"/>
      <c r="X285" s="5" t="str">
        <f>IF(L285="","",VLOOKUP($L285,classifications!$C:$J,6,FALSE))</f>
        <v/>
      </c>
      <c r="Y285" t="str">
        <f t="shared" si="141"/>
        <v/>
      </c>
      <c r="Z285" s="40" t="str">
        <f>IF(Y285="","",IF(I$8="A",(RANK(Y285,Y$11:Y$343,1)+COUNTIF(Y$11:Y285,Y285)-1),(RANK(Y285,Y$11:Y$343)+COUNTIF(Y$11:Y285,Y285)-1)))</f>
        <v/>
      </c>
      <c r="AA285" s="180" t="str">
        <f>IF(L285="","",VLOOKUP($L285,classifications!C:I,7,FALSE))</f>
        <v/>
      </c>
      <c r="AB285" s="174" t="str">
        <f t="shared" si="142"/>
        <v/>
      </c>
      <c r="AC285" s="174" t="str">
        <f>IF(AB285="","",IF($I$8="A",(RANK(AB285,AB$11:AB$343)+COUNTIF(AB$11:AB285,AB285)-1),(RANK(AB285,AB$11:AB$343,1)+COUNTIF(AB$11:AB285,AB285)-1)))</f>
        <v/>
      </c>
      <c r="AD285" s="174"/>
      <c r="AE285" s="36" t="str">
        <f t="shared" si="143"/>
        <v/>
      </c>
      <c r="AG285" s="15"/>
      <c r="AH285" s="3"/>
      <c r="AI285" s="5" t="str">
        <f>IF(L285="","",VLOOKUP($L285,classifications!$C:$J,8,FALSE))</f>
        <v/>
      </c>
      <c r="AJ285" s="43" t="str">
        <f t="shared" si="144"/>
        <v/>
      </c>
      <c r="AK285" s="40" t="str">
        <f>IF(AJ285="","",IF(I$8="A",(RANK(AJ285,AJ$11:AJ$343,1)+COUNTIF(AJ$11:AJ285,AJ285)-1),(RANK(AJ285,AJ$11:AJ$343)+COUNTIF(AJ$11:AJ285,AJ285)-1)))</f>
        <v/>
      </c>
      <c r="AL285" s="3" t="str">
        <f t="shared" si="145"/>
        <v/>
      </c>
      <c r="AM285" t="str">
        <f t="shared" si="146"/>
        <v/>
      </c>
      <c r="AN285" t="str">
        <f t="shared" si="147"/>
        <v/>
      </c>
      <c r="AP285" s="5" t="str">
        <f>IF(L285="","",VLOOKUP($L285,classifications!$C:$E,3,FALSE))</f>
        <v/>
      </c>
      <c r="AQ285" s="43" t="str">
        <f t="shared" si="148"/>
        <v/>
      </c>
      <c r="AR285" s="40" t="str">
        <f>IF(AQ285="","",IF(I$8="A",(RANK(AQ285,AQ$11:AQ$343,1)+COUNTIF(AQ$11:AQ285,AQ285)-1),(RANK(AQ285,AQ$11:AQ$343)+COUNTIF(AQ$11:AQ285,AQ285)-1)))</f>
        <v/>
      </c>
      <c r="AS285" s="3" t="str">
        <f t="shared" si="149"/>
        <v/>
      </c>
      <c r="AT285" s="40" t="str">
        <f t="shared" si="150"/>
        <v/>
      </c>
      <c r="AU285" s="43" t="str">
        <f t="shared" si="151"/>
        <v/>
      </c>
      <c r="AX285">
        <f>HLOOKUP($AX$9&amp;$AX$10,Data!$A$1:$ZZ$1980,(MATCH($C285,Data!$A$1:$A$1980,0)),FALSE)</f>
        <v>375.5</v>
      </c>
    </row>
    <row r="286" spans="1:50">
      <c r="A286" s="59" t="str">
        <f>$D$1&amp;276</f>
        <v>UA276</v>
      </c>
      <c r="B286" s="60">
        <f>IF(ISERROR(VLOOKUP(A293,classifications!A:C,3,FALSE)),0,VLOOKUP(A293,classifications!A:C,3,FALSE))</f>
        <v>0</v>
      </c>
      <c r="C286" t="s">
        <v>251</v>
      </c>
      <c r="D286" t="str">
        <f>VLOOKUP($C286,classifications!$C:$J,4,FALSE)</f>
        <v>MD</v>
      </c>
      <c r="E286">
        <f>VLOOKUP(C286,classifications!C:K,9,FALSE)</f>
        <v>0</v>
      </c>
      <c r="F286">
        <f t="shared" si="129"/>
        <v>399.6</v>
      </c>
      <c r="G286" s="15"/>
      <c r="H286" s="42" t="str">
        <f t="shared" si="130"/>
        <v/>
      </c>
      <c r="I286" s="79" t="str">
        <f>IF(H286="","",IF($I$8="A",(RANK(H286,H$11:H$343,1)+COUNTIF(H$11:H286,H286)-1),(RANK(H286,H$11:H$343)+COUNTIF(H$11:H286,H286)-1)))</f>
        <v/>
      </c>
      <c r="J286" s="41"/>
      <c r="K286" s="36" t="str">
        <f t="shared" si="131"/>
        <v/>
      </c>
      <c r="L286" t="str">
        <f t="shared" si="132"/>
        <v/>
      </c>
      <c r="M286" s="117" t="str">
        <f t="shared" si="133"/>
        <v/>
      </c>
      <c r="N286" s="112" t="str">
        <f t="shared" si="134"/>
        <v/>
      </c>
      <c r="O286" s="96" t="str">
        <f t="shared" si="135"/>
        <v/>
      </c>
      <c r="P286" s="96" t="str">
        <f t="shared" si="136"/>
        <v/>
      </c>
      <c r="Q286" s="96" t="str">
        <f t="shared" si="137"/>
        <v/>
      </c>
      <c r="R286" s="92" t="str">
        <f t="shared" si="138"/>
        <v/>
      </c>
      <c r="S286" s="42" t="str">
        <f t="shared" si="139"/>
        <v/>
      </c>
      <c r="T286" s="167" t="str">
        <f>IF(L286="","",VLOOKUP(L286,classifications!C:K,9,FALSE))</f>
        <v/>
      </c>
      <c r="U286" s="168" t="str">
        <f t="shared" si="140"/>
        <v/>
      </c>
      <c r="V286" s="174" t="str">
        <f>IF(U286="","",IF($I$8="A",(RANK(U286,U$11:U$343)+COUNTIF(U$11:U286,U286)-1),(RANK(U286,U$11:U$343,1)+COUNTIF(U$11:U286,U286)-1)))</f>
        <v/>
      </c>
      <c r="W286" s="175"/>
      <c r="X286" s="5" t="str">
        <f>IF(L286="","",VLOOKUP($L286,classifications!$C:$J,6,FALSE))</f>
        <v/>
      </c>
      <c r="Y286" t="str">
        <f t="shared" si="141"/>
        <v/>
      </c>
      <c r="Z286" s="40" t="str">
        <f>IF(Y286="","",IF(I$8="A",(RANK(Y286,Y$11:Y$343,1)+COUNTIF(Y$11:Y286,Y286)-1),(RANK(Y286,Y$11:Y$343)+COUNTIF(Y$11:Y286,Y286)-1)))</f>
        <v/>
      </c>
      <c r="AA286" s="180" t="str">
        <f>IF(L286="","",VLOOKUP($L286,classifications!C:I,7,FALSE))</f>
        <v/>
      </c>
      <c r="AB286" s="174" t="str">
        <f t="shared" si="142"/>
        <v/>
      </c>
      <c r="AC286" s="174" t="str">
        <f>IF(AB286="","",IF($I$8="A",(RANK(AB286,AB$11:AB$343)+COUNTIF(AB$11:AB286,AB286)-1),(RANK(AB286,AB$11:AB$343,1)+COUNTIF(AB$11:AB286,AB286)-1)))</f>
        <v/>
      </c>
      <c r="AD286" s="174"/>
      <c r="AE286" s="36" t="str">
        <f t="shared" si="143"/>
        <v/>
      </c>
      <c r="AG286" s="15"/>
      <c r="AH286" s="3"/>
      <c r="AI286" s="5" t="str">
        <f>IF(L286="","",VLOOKUP($L286,classifications!$C:$J,8,FALSE))</f>
        <v/>
      </c>
      <c r="AJ286" s="43" t="str">
        <f t="shared" si="144"/>
        <v/>
      </c>
      <c r="AK286" s="40" t="str">
        <f>IF(AJ286="","",IF(I$8="A",(RANK(AJ286,AJ$11:AJ$343,1)+COUNTIF(AJ$11:AJ286,AJ286)-1),(RANK(AJ286,AJ$11:AJ$343)+COUNTIF(AJ$11:AJ286,AJ286)-1)))</f>
        <v/>
      </c>
      <c r="AL286" s="3" t="str">
        <f t="shared" si="145"/>
        <v/>
      </c>
      <c r="AM286" t="str">
        <f t="shared" si="146"/>
        <v/>
      </c>
      <c r="AN286" t="str">
        <f t="shared" si="147"/>
        <v/>
      </c>
      <c r="AP286" s="5" t="str">
        <f>IF(L286="","",VLOOKUP($L286,classifications!$C:$E,3,FALSE))</f>
        <v/>
      </c>
      <c r="AQ286" s="43" t="str">
        <f t="shared" si="148"/>
        <v/>
      </c>
      <c r="AR286" s="40" t="str">
        <f>IF(AQ286="","",IF(I$8="A",(RANK(AQ286,AQ$11:AQ$343,1)+COUNTIF(AQ$11:AQ286,AQ286)-1),(RANK(AQ286,AQ$11:AQ$343)+COUNTIF(AQ$11:AQ286,AQ286)-1)))</f>
        <v/>
      </c>
      <c r="AS286" s="3" t="str">
        <f t="shared" si="149"/>
        <v/>
      </c>
      <c r="AT286" s="40" t="str">
        <f t="shared" si="150"/>
        <v/>
      </c>
      <c r="AU286" s="43" t="str">
        <f t="shared" si="151"/>
        <v/>
      </c>
      <c r="AX286">
        <f>HLOOKUP($AX$9&amp;$AX$10,Data!$A$1:$ZZ$1980,(MATCH($C286,Data!$A$1:$A$1980,0)),FALSE)</f>
        <v>399.6</v>
      </c>
    </row>
    <row r="287" spans="1:50">
      <c r="A287" s="59" t="str">
        <f>$D$1&amp;277</f>
        <v>UA277</v>
      </c>
      <c r="B287" s="60">
        <f>IF(ISERROR(VLOOKUP(A294,classifications!A:C,3,FALSE)),0,VLOOKUP(A294,classifications!A:C,3,FALSE))</f>
        <v>0</v>
      </c>
      <c r="C287" t="s">
        <v>330</v>
      </c>
      <c r="D287" t="str">
        <f>VLOOKUP($C287,classifications!$C:$J,4,FALSE)</f>
        <v>SC</v>
      </c>
      <c r="E287">
        <f>VLOOKUP(C287,classifications!C:K,9,FALSE)</f>
        <v>0</v>
      </c>
      <c r="F287">
        <f t="shared" si="129"/>
        <v>406.3</v>
      </c>
      <c r="G287" s="15"/>
      <c r="H287" s="42" t="str">
        <f t="shared" si="130"/>
        <v/>
      </c>
      <c r="I287" s="79" t="str">
        <f>IF(H287="","",IF($I$8="A",(RANK(H287,H$11:H$343,1)+COUNTIF(H$11:H287,H287)-1),(RANK(H287,H$11:H$343)+COUNTIF(H$11:H287,H287)-1)))</f>
        <v/>
      </c>
      <c r="J287" s="41"/>
      <c r="K287" s="36" t="str">
        <f t="shared" si="131"/>
        <v/>
      </c>
      <c r="L287" t="str">
        <f t="shared" si="132"/>
        <v/>
      </c>
      <c r="M287" s="117" t="str">
        <f t="shared" si="133"/>
        <v/>
      </c>
      <c r="N287" s="112" t="str">
        <f t="shared" si="134"/>
        <v/>
      </c>
      <c r="O287" s="96" t="str">
        <f t="shared" si="135"/>
        <v/>
      </c>
      <c r="P287" s="96" t="str">
        <f t="shared" si="136"/>
        <v/>
      </c>
      <c r="Q287" s="96" t="str">
        <f t="shared" si="137"/>
        <v/>
      </c>
      <c r="R287" s="92" t="str">
        <f t="shared" si="138"/>
        <v/>
      </c>
      <c r="S287" s="42" t="str">
        <f t="shared" si="139"/>
        <v/>
      </c>
      <c r="T287" s="167" t="str">
        <f>IF(L287="","",VLOOKUP(L287,classifications!C:K,9,FALSE))</f>
        <v/>
      </c>
      <c r="U287" s="168" t="str">
        <f t="shared" si="140"/>
        <v/>
      </c>
      <c r="V287" s="174" t="str">
        <f>IF(U287="","",IF($I$8="A",(RANK(U287,U$11:U$343)+COUNTIF(U$11:U287,U287)-1),(RANK(U287,U$11:U$343,1)+COUNTIF(U$11:U287,U287)-1)))</f>
        <v/>
      </c>
      <c r="W287" s="175"/>
      <c r="X287" s="5" t="str">
        <f>IF(L287="","",VLOOKUP($L287,classifications!$C:$J,6,FALSE))</f>
        <v/>
      </c>
      <c r="Y287" t="str">
        <f t="shared" si="141"/>
        <v/>
      </c>
      <c r="Z287" s="40" t="str">
        <f>IF(Y287="","",IF(I$8="A",(RANK(Y287,Y$11:Y$343,1)+COUNTIF(Y$11:Y287,Y287)-1),(RANK(Y287,Y$11:Y$343)+COUNTIF(Y$11:Y287,Y287)-1)))</f>
        <v/>
      </c>
      <c r="AA287" s="180" t="str">
        <f>IF(L287="","",VLOOKUP($L287,classifications!C:I,7,FALSE))</f>
        <v/>
      </c>
      <c r="AB287" s="174" t="str">
        <f t="shared" si="142"/>
        <v/>
      </c>
      <c r="AC287" s="174" t="str">
        <f>IF(AB287="","",IF($I$8="A",(RANK(AB287,AB$11:AB$343)+COUNTIF(AB$11:AB287,AB287)-1),(RANK(AB287,AB$11:AB$343,1)+COUNTIF(AB$11:AB287,AB287)-1)))</f>
        <v/>
      </c>
      <c r="AD287" s="174"/>
      <c r="AE287" s="36" t="str">
        <f t="shared" si="143"/>
        <v/>
      </c>
      <c r="AG287" s="15"/>
      <c r="AH287" s="3"/>
      <c r="AI287" s="5" t="str">
        <f>IF(L287="","",VLOOKUP($L287,classifications!$C:$J,8,FALSE))</f>
        <v/>
      </c>
      <c r="AJ287" s="43" t="str">
        <f t="shared" si="144"/>
        <v/>
      </c>
      <c r="AK287" s="40" t="str">
        <f>IF(AJ287="","",IF(I$8="A",(RANK(AJ287,AJ$11:AJ$343,1)+COUNTIF(AJ$11:AJ287,AJ287)-1),(RANK(AJ287,AJ$11:AJ$343)+COUNTIF(AJ$11:AJ287,AJ287)-1)))</f>
        <v/>
      </c>
      <c r="AL287" s="3" t="str">
        <f t="shared" si="145"/>
        <v/>
      </c>
      <c r="AM287" t="str">
        <f t="shared" si="146"/>
        <v/>
      </c>
      <c r="AN287" t="str">
        <f t="shared" si="147"/>
        <v/>
      </c>
      <c r="AP287" s="5" t="str">
        <f>IF(L287="","",VLOOKUP($L287,classifications!$C:$E,3,FALSE))</f>
        <v/>
      </c>
      <c r="AQ287" s="43" t="str">
        <f t="shared" si="148"/>
        <v/>
      </c>
      <c r="AR287" s="40" t="str">
        <f>IF(AQ287="","",IF(I$8="A",(RANK(AQ287,AQ$11:AQ$343,1)+COUNTIF(AQ$11:AQ287,AQ287)-1),(RANK(AQ287,AQ$11:AQ$343)+COUNTIF(AQ$11:AQ287,AQ287)-1)))</f>
        <v/>
      </c>
      <c r="AS287" s="3" t="str">
        <f t="shared" si="149"/>
        <v/>
      </c>
      <c r="AT287" s="40" t="str">
        <f t="shared" si="150"/>
        <v/>
      </c>
      <c r="AU287" s="43" t="str">
        <f t="shared" si="151"/>
        <v/>
      </c>
      <c r="AX287">
        <f>HLOOKUP($AX$9&amp;$AX$10,Data!$A$1:$ZZ$1980,(MATCH($C287,Data!$A$1:$A$1980,0)),FALSE)</f>
        <v>406.3</v>
      </c>
    </row>
    <row r="288" spans="1:50">
      <c r="A288" s="59" t="str">
        <f>$D$1&amp;278</f>
        <v>UA278</v>
      </c>
      <c r="B288" s="60">
        <f>IF(ISERROR(VLOOKUP(A295,classifications!A:C,3,FALSE)),0,VLOOKUP(A295,classifications!A:C,3,FALSE))</f>
        <v>0</v>
      </c>
      <c r="C288" t="s">
        <v>160</v>
      </c>
      <c r="D288" t="str">
        <f>VLOOKUP($C288,classifications!$C:$J,4,FALSE)</f>
        <v>SD</v>
      </c>
      <c r="E288">
        <f>VLOOKUP(C288,classifications!C:K,9,FALSE)</f>
        <v>0</v>
      </c>
      <c r="F288">
        <f t="shared" si="129"/>
        <v>343.7</v>
      </c>
      <c r="G288" s="15"/>
      <c r="H288" s="42" t="str">
        <f t="shared" si="130"/>
        <v/>
      </c>
      <c r="I288" s="79" t="str">
        <f>IF(H288="","",IF($I$8="A",(RANK(H288,H$11:H$343,1)+COUNTIF(H$11:H288,H288)-1),(RANK(H288,H$11:H$343)+COUNTIF(H$11:H288,H288)-1)))</f>
        <v/>
      </c>
      <c r="J288" s="41"/>
      <c r="K288" s="36" t="str">
        <f t="shared" si="131"/>
        <v/>
      </c>
      <c r="L288" t="str">
        <f t="shared" si="132"/>
        <v/>
      </c>
      <c r="M288" s="117" t="str">
        <f t="shared" si="133"/>
        <v/>
      </c>
      <c r="N288" s="112" t="str">
        <f t="shared" si="134"/>
        <v/>
      </c>
      <c r="O288" s="96" t="str">
        <f t="shared" si="135"/>
        <v/>
      </c>
      <c r="P288" s="96" t="str">
        <f t="shared" si="136"/>
        <v/>
      </c>
      <c r="Q288" s="96" t="str">
        <f t="shared" si="137"/>
        <v/>
      </c>
      <c r="R288" s="92" t="str">
        <f t="shared" si="138"/>
        <v/>
      </c>
      <c r="S288" s="42" t="str">
        <f t="shared" si="139"/>
        <v/>
      </c>
      <c r="T288" s="167" t="str">
        <f>IF(L288="","",VLOOKUP(L288,classifications!C:K,9,FALSE))</f>
        <v/>
      </c>
      <c r="U288" s="168" t="str">
        <f t="shared" si="140"/>
        <v/>
      </c>
      <c r="V288" s="174" t="str">
        <f>IF(U288="","",IF($I$8="A",(RANK(U288,U$11:U$343)+COUNTIF(U$11:U288,U288)-1),(RANK(U288,U$11:U$343,1)+COUNTIF(U$11:U288,U288)-1)))</f>
        <v/>
      </c>
      <c r="W288" s="175"/>
      <c r="X288" s="5" t="str">
        <f>IF(L288="","",VLOOKUP($L288,classifications!$C:$J,6,FALSE))</f>
        <v/>
      </c>
      <c r="Y288" t="str">
        <f t="shared" si="141"/>
        <v/>
      </c>
      <c r="Z288" s="40" t="str">
        <f>IF(Y288="","",IF(I$8="A",(RANK(Y288,Y$11:Y$343,1)+COUNTIF(Y$11:Y288,Y288)-1),(RANK(Y288,Y$11:Y$343)+COUNTIF(Y$11:Y288,Y288)-1)))</f>
        <v/>
      </c>
      <c r="AA288" s="180" t="str">
        <f>IF(L288="","",VLOOKUP($L288,classifications!C:I,7,FALSE))</f>
        <v/>
      </c>
      <c r="AB288" s="174" t="str">
        <f t="shared" si="142"/>
        <v/>
      </c>
      <c r="AC288" s="174" t="str">
        <f>IF(AB288="","",IF($I$8="A",(RANK(AB288,AB$11:AB$343)+COUNTIF(AB$11:AB288,AB288)-1),(RANK(AB288,AB$11:AB$343,1)+COUNTIF(AB$11:AB288,AB288)-1)))</f>
        <v/>
      </c>
      <c r="AD288" s="174"/>
      <c r="AE288" s="36" t="str">
        <f t="shared" si="143"/>
        <v/>
      </c>
      <c r="AG288" s="15"/>
      <c r="AH288" s="3"/>
      <c r="AI288" s="5" t="str">
        <f>IF(L288="","",VLOOKUP($L288,classifications!$C:$J,8,FALSE))</f>
        <v/>
      </c>
      <c r="AJ288" s="43" t="str">
        <f t="shared" si="144"/>
        <v/>
      </c>
      <c r="AK288" s="40" t="str">
        <f>IF(AJ288="","",IF(I$8="A",(RANK(AJ288,AJ$11:AJ$343,1)+COUNTIF(AJ$11:AJ288,AJ288)-1),(RANK(AJ288,AJ$11:AJ$343)+COUNTIF(AJ$11:AJ288,AJ288)-1)))</f>
        <v/>
      </c>
      <c r="AL288" s="3" t="str">
        <f t="shared" si="145"/>
        <v/>
      </c>
      <c r="AM288" t="str">
        <f t="shared" si="146"/>
        <v/>
      </c>
      <c r="AN288" t="str">
        <f t="shared" si="147"/>
        <v/>
      </c>
      <c r="AP288" s="5" t="str">
        <f>IF(L288="","",VLOOKUP($L288,classifications!$C:$E,3,FALSE))</f>
        <v/>
      </c>
      <c r="AQ288" s="43" t="str">
        <f t="shared" si="148"/>
        <v/>
      </c>
      <c r="AR288" s="40" t="str">
        <f>IF(AQ288="","",IF(I$8="A",(RANK(AQ288,AQ$11:AQ$343,1)+COUNTIF(AQ$11:AQ288,AQ288)-1),(RANK(AQ288,AQ$11:AQ$343)+COUNTIF(AQ$11:AQ288,AQ288)-1)))</f>
        <v/>
      </c>
      <c r="AS288" s="3" t="str">
        <f t="shared" si="149"/>
        <v/>
      </c>
      <c r="AT288" s="40" t="str">
        <f t="shared" si="150"/>
        <v/>
      </c>
      <c r="AU288" s="43" t="str">
        <f t="shared" si="151"/>
        <v/>
      </c>
      <c r="AX288">
        <f>HLOOKUP($AX$9&amp;$AX$10,Data!$A$1:$ZZ$1980,(MATCH($C288,Data!$A$1:$A$1980,0)),FALSE)</f>
        <v>343.7</v>
      </c>
    </row>
    <row r="289" spans="1:50">
      <c r="A289" s="59" t="str">
        <f>$D$1&amp;279</f>
        <v>UA279</v>
      </c>
      <c r="B289" s="60">
        <f>IF(ISERROR(VLOOKUP(A296,classifications!A:C,3,FALSE)),0,VLOOKUP(A296,classifications!A:C,3,FALSE))</f>
        <v>0</v>
      </c>
      <c r="C289" t="s">
        <v>219</v>
      </c>
      <c r="D289" t="str">
        <f>VLOOKUP($C289,classifications!$C:$J,4,FALSE)</f>
        <v>L</v>
      </c>
      <c r="E289">
        <f>VLOOKUP(C289,classifications!C:K,9,FALSE)</f>
        <v>0</v>
      </c>
      <c r="F289">
        <f t="shared" si="129"/>
        <v>315.3</v>
      </c>
      <c r="G289" s="15"/>
      <c r="H289" s="42" t="str">
        <f t="shared" si="130"/>
        <v/>
      </c>
      <c r="I289" s="79" t="str">
        <f>IF(H289="","",IF($I$8="A",(RANK(H289,H$11:H$343,1)+COUNTIF(H$11:H289,H289)-1),(RANK(H289,H$11:H$343)+COUNTIF(H$11:H289,H289)-1)))</f>
        <v/>
      </c>
      <c r="J289" s="41"/>
      <c r="K289" s="36" t="str">
        <f t="shared" si="131"/>
        <v/>
      </c>
      <c r="L289" t="str">
        <f t="shared" si="132"/>
        <v/>
      </c>
      <c r="M289" s="117" t="str">
        <f t="shared" si="133"/>
        <v/>
      </c>
      <c r="N289" s="112" t="str">
        <f t="shared" si="134"/>
        <v/>
      </c>
      <c r="O289" s="96" t="str">
        <f t="shared" si="135"/>
        <v/>
      </c>
      <c r="P289" s="96" t="str">
        <f t="shared" si="136"/>
        <v/>
      </c>
      <c r="Q289" s="96" t="str">
        <f t="shared" si="137"/>
        <v/>
      </c>
      <c r="R289" s="92" t="str">
        <f t="shared" si="138"/>
        <v/>
      </c>
      <c r="S289" s="42" t="str">
        <f t="shared" si="139"/>
        <v/>
      </c>
      <c r="T289" s="167" t="str">
        <f>IF(L289="","",VLOOKUP(L289,classifications!C:K,9,FALSE))</f>
        <v/>
      </c>
      <c r="U289" s="168" t="str">
        <f t="shared" si="140"/>
        <v/>
      </c>
      <c r="V289" s="174" t="str">
        <f>IF(U289="","",IF($I$8="A",(RANK(U289,U$11:U$343)+COUNTIF(U$11:U289,U289)-1),(RANK(U289,U$11:U$343,1)+COUNTIF(U$11:U289,U289)-1)))</f>
        <v/>
      </c>
      <c r="W289" s="175"/>
      <c r="X289" s="5" t="str">
        <f>IF(L289="","",VLOOKUP($L289,classifications!$C:$J,6,FALSE))</f>
        <v/>
      </c>
      <c r="Y289" t="str">
        <f t="shared" si="141"/>
        <v/>
      </c>
      <c r="Z289" s="40" t="str">
        <f>IF(Y289="","",IF(I$8="A",(RANK(Y289,Y$11:Y$343,1)+COUNTIF(Y$11:Y289,Y289)-1),(RANK(Y289,Y$11:Y$343)+COUNTIF(Y$11:Y289,Y289)-1)))</f>
        <v/>
      </c>
      <c r="AA289" s="180" t="str">
        <f>IF(L289="","",VLOOKUP($L289,classifications!C:I,7,FALSE))</f>
        <v/>
      </c>
      <c r="AB289" s="174" t="str">
        <f t="shared" si="142"/>
        <v/>
      </c>
      <c r="AC289" s="174" t="str">
        <f>IF(AB289="","",IF($I$8="A",(RANK(AB289,AB$11:AB$343)+COUNTIF(AB$11:AB289,AB289)-1),(RANK(AB289,AB$11:AB$343,1)+COUNTIF(AB$11:AB289,AB289)-1)))</f>
        <v/>
      </c>
      <c r="AD289" s="174"/>
      <c r="AE289" s="36" t="str">
        <f t="shared" si="143"/>
        <v/>
      </c>
      <c r="AG289" s="15"/>
      <c r="AH289" s="3"/>
      <c r="AI289" s="5" t="str">
        <f>IF(L289="","",VLOOKUP($L289,classifications!$C:$J,8,FALSE))</f>
        <v/>
      </c>
      <c r="AJ289" s="43" t="str">
        <f t="shared" si="144"/>
        <v/>
      </c>
      <c r="AK289" s="40" t="str">
        <f>IF(AJ289="","",IF(I$8="A",(RANK(AJ289,AJ$11:AJ$343,1)+COUNTIF(AJ$11:AJ289,AJ289)-1),(RANK(AJ289,AJ$11:AJ$343)+COUNTIF(AJ$11:AJ289,AJ289)-1)))</f>
        <v/>
      </c>
      <c r="AL289" s="3" t="str">
        <f t="shared" si="145"/>
        <v/>
      </c>
      <c r="AM289" t="str">
        <f t="shared" si="146"/>
        <v/>
      </c>
      <c r="AN289" t="str">
        <f t="shared" si="147"/>
        <v/>
      </c>
      <c r="AP289" s="5" t="str">
        <f>IF(L289="","",VLOOKUP($L289,classifications!$C:$E,3,FALSE))</f>
        <v/>
      </c>
      <c r="AQ289" s="43" t="str">
        <f t="shared" si="148"/>
        <v/>
      </c>
      <c r="AR289" s="40" t="str">
        <f>IF(AQ289="","",IF(I$8="A",(RANK(AQ289,AQ$11:AQ$343,1)+COUNTIF(AQ$11:AQ289,AQ289)-1),(RANK(AQ289,AQ$11:AQ$343)+COUNTIF(AQ$11:AQ289,AQ289)-1)))</f>
        <v/>
      </c>
      <c r="AS289" s="3" t="str">
        <f t="shared" si="149"/>
        <v/>
      </c>
      <c r="AT289" s="40" t="str">
        <f t="shared" si="150"/>
        <v/>
      </c>
      <c r="AU289" s="43" t="str">
        <f t="shared" si="151"/>
        <v/>
      </c>
      <c r="AX289">
        <f>HLOOKUP($AX$9&amp;$AX$10,Data!$A$1:$ZZ$1980,(MATCH($C289,Data!$A$1:$A$1980,0)),FALSE)</f>
        <v>315.3</v>
      </c>
    </row>
    <row r="290" spans="1:50">
      <c r="A290" s="59" t="str">
        <f>$D$1&amp;280</f>
        <v>UA280</v>
      </c>
      <c r="B290" s="60">
        <f>IF(ISERROR(VLOOKUP(A297,classifications!A:C,3,FALSE)),0,VLOOKUP(A297,classifications!A:C,3,FALSE))</f>
        <v>0</v>
      </c>
      <c r="C290" t="s">
        <v>161</v>
      </c>
      <c r="D290" t="str">
        <f>VLOOKUP($C290,classifications!$C:$J,4,FALSE)</f>
        <v>SD</v>
      </c>
      <c r="E290">
        <f>VLOOKUP(C290,classifications!C:K,9,FALSE)</f>
        <v>0</v>
      </c>
      <c r="F290">
        <f t="shared" si="129"/>
        <v>343.8</v>
      </c>
      <c r="G290" s="15"/>
      <c r="H290" s="42" t="str">
        <f t="shared" si="130"/>
        <v/>
      </c>
      <c r="I290" s="79" t="str">
        <f>IF(H290="","",IF($I$8="A",(RANK(H290,H$11:H$343,1)+COUNTIF(H$11:H290,H290)-1),(RANK(H290,H$11:H$343)+COUNTIF(H$11:H290,H290)-1)))</f>
        <v/>
      </c>
      <c r="J290" s="41"/>
      <c r="K290" s="36" t="str">
        <f t="shared" si="131"/>
        <v/>
      </c>
      <c r="L290" t="str">
        <f t="shared" si="132"/>
        <v/>
      </c>
      <c r="M290" s="117" t="str">
        <f t="shared" si="133"/>
        <v/>
      </c>
      <c r="N290" s="112" t="str">
        <f t="shared" si="134"/>
        <v/>
      </c>
      <c r="O290" s="96" t="str">
        <f t="shared" si="135"/>
        <v/>
      </c>
      <c r="P290" s="96" t="str">
        <f t="shared" si="136"/>
        <v/>
      </c>
      <c r="Q290" s="96" t="str">
        <f t="shared" si="137"/>
        <v/>
      </c>
      <c r="R290" s="92" t="str">
        <f t="shared" si="138"/>
        <v/>
      </c>
      <c r="S290" s="42" t="str">
        <f t="shared" si="139"/>
        <v/>
      </c>
      <c r="T290" s="167" t="str">
        <f>IF(L290="","",VLOOKUP(L290,classifications!C:K,9,FALSE))</f>
        <v/>
      </c>
      <c r="U290" s="168" t="str">
        <f t="shared" si="140"/>
        <v/>
      </c>
      <c r="V290" s="174" t="str">
        <f>IF(U290="","",IF($I$8="A",(RANK(U290,U$11:U$343)+COUNTIF(U$11:U290,U290)-1),(RANK(U290,U$11:U$343,1)+COUNTIF(U$11:U290,U290)-1)))</f>
        <v/>
      </c>
      <c r="W290" s="175"/>
      <c r="X290" s="5" t="str">
        <f>IF(L290="","",VLOOKUP($L290,classifications!$C:$J,6,FALSE))</f>
        <v/>
      </c>
      <c r="Y290" t="str">
        <f t="shared" si="141"/>
        <v/>
      </c>
      <c r="Z290" s="40" t="str">
        <f>IF(Y290="","",IF(I$8="A",(RANK(Y290,Y$11:Y$343,1)+COUNTIF(Y$11:Y290,Y290)-1),(RANK(Y290,Y$11:Y$343)+COUNTIF(Y$11:Y290,Y290)-1)))</f>
        <v/>
      </c>
      <c r="AA290" s="180" t="str">
        <f>IF(L290="","",VLOOKUP($L290,classifications!C:I,7,FALSE))</f>
        <v/>
      </c>
      <c r="AB290" s="174" t="str">
        <f t="shared" si="142"/>
        <v/>
      </c>
      <c r="AC290" s="174" t="str">
        <f>IF(AB290="","",IF($I$8="A",(RANK(AB290,AB$11:AB$343)+COUNTIF(AB$11:AB290,AB290)-1),(RANK(AB290,AB$11:AB$343,1)+COUNTIF(AB$11:AB290,AB290)-1)))</f>
        <v/>
      </c>
      <c r="AD290" s="174"/>
      <c r="AE290" s="36" t="str">
        <f t="shared" si="143"/>
        <v/>
      </c>
      <c r="AG290" s="15"/>
      <c r="AH290" s="3"/>
      <c r="AI290" s="5" t="str">
        <f>IF(L290="","",VLOOKUP($L290,classifications!$C:$J,8,FALSE))</f>
        <v/>
      </c>
      <c r="AJ290" s="43" t="str">
        <f t="shared" si="144"/>
        <v/>
      </c>
      <c r="AK290" s="40" t="str">
        <f>IF(AJ290="","",IF(I$8="A",(RANK(AJ290,AJ$11:AJ$343,1)+COUNTIF(AJ$11:AJ290,AJ290)-1),(RANK(AJ290,AJ$11:AJ$343)+COUNTIF(AJ$11:AJ290,AJ290)-1)))</f>
        <v/>
      </c>
      <c r="AL290" s="3" t="str">
        <f t="shared" si="145"/>
        <v/>
      </c>
      <c r="AM290" t="str">
        <f t="shared" si="146"/>
        <v/>
      </c>
      <c r="AN290" t="str">
        <f t="shared" si="147"/>
        <v/>
      </c>
      <c r="AP290" s="5" t="str">
        <f>IF(L290="","",VLOOKUP($L290,classifications!$C:$E,3,FALSE))</f>
        <v/>
      </c>
      <c r="AQ290" s="43" t="str">
        <f t="shared" si="148"/>
        <v/>
      </c>
      <c r="AR290" s="40" t="str">
        <f>IF(AQ290="","",IF(I$8="A",(RANK(AQ290,AQ$11:AQ$343,1)+COUNTIF(AQ$11:AQ290,AQ290)-1),(RANK(AQ290,AQ$11:AQ$343)+COUNTIF(AQ$11:AQ290,AQ290)-1)))</f>
        <v/>
      </c>
      <c r="AS290" s="3" t="str">
        <f t="shared" si="149"/>
        <v/>
      </c>
      <c r="AT290" s="40" t="str">
        <f t="shared" si="150"/>
        <v/>
      </c>
      <c r="AU290" s="43" t="str">
        <f t="shared" si="151"/>
        <v/>
      </c>
      <c r="AX290">
        <f>HLOOKUP($AX$9&amp;$AX$10,Data!$A$1:$ZZ$1980,(MATCH($C290,Data!$A$1:$A$1980,0)),FALSE)</f>
        <v>343.8</v>
      </c>
    </row>
    <row r="291" spans="1:50">
      <c r="A291" s="59" t="str">
        <f>$D$1&amp;281</f>
        <v>UA281</v>
      </c>
      <c r="B291" s="60">
        <f>IF(ISERROR(VLOOKUP(A298,classifications!A:C,3,FALSE)),0,VLOOKUP(A298,classifications!A:C,3,FALSE))</f>
        <v>0</v>
      </c>
      <c r="C291" t="s">
        <v>293</v>
      </c>
      <c r="D291" t="str">
        <f>VLOOKUP($C291,classifications!$C:$J,4,FALSE)</f>
        <v>UA</v>
      </c>
      <c r="E291">
        <f>VLOOKUP(C291,classifications!C:K,9,FALSE)</f>
        <v>0</v>
      </c>
      <c r="F291">
        <f t="shared" si="129"/>
        <v>362.9</v>
      </c>
      <c r="G291" s="15"/>
      <c r="H291" s="42">
        <f t="shared" si="130"/>
        <v>362.9</v>
      </c>
      <c r="I291" s="79">
        <f>IF(H291="","",IF($I$8="A",(RANK(H291,H$11:H$343,1)+COUNTIF(H$11:H291,H291)-1),(RANK(H291,H$11:H$343)+COUNTIF(H$11:H291,H291)-1)))</f>
        <v>13</v>
      </c>
      <c r="J291" s="41"/>
      <c r="K291" s="36" t="str">
        <f t="shared" si="131"/>
        <v/>
      </c>
      <c r="L291" t="str">
        <f t="shared" si="132"/>
        <v/>
      </c>
      <c r="M291" s="117" t="str">
        <f t="shared" si="133"/>
        <v/>
      </c>
      <c r="N291" s="112" t="str">
        <f t="shared" si="134"/>
        <v/>
      </c>
      <c r="O291" s="96" t="str">
        <f t="shared" si="135"/>
        <v/>
      </c>
      <c r="P291" s="96" t="str">
        <f t="shared" si="136"/>
        <v/>
      </c>
      <c r="Q291" s="96" t="str">
        <f t="shared" si="137"/>
        <v/>
      </c>
      <c r="R291" s="92" t="str">
        <f t="shared" si="138"/>
        <v/>
      </c>
      <c r="S291" s="42" t="str">
        <f t="shared" si="139"/>
        <v/>
      </c>
      <c r="T291" s="167" t="str">
        <f>IF(L291="","",VLOOKUP(L291,classifications!C:K,9,FALSE))</f>
        <v/>
      </c>
      <c r="U291" s="168" t="str">
        <f t="shared" si="140"/>
        <v/>
      </c>
      <c r="V291" s="174" t="str">
        <f>IF(U291="","",IF($I$8="A",(RANK(U291,U$11:U$343)+COUNTIF(U$11:U291,U291)-1),(RANK(U291,U$11:U$343,1)+COUNTIF(U$11:U291,U291)-1)))</f>
        <v/>
      </c>
      <c r="W291" s="175"/>
      <c r="X291" s="5" t="str">
        <f>IF(L291="","",VLOOKUP($L291,classifications!$C:$J,6,FALSE))</f>
        <v/>
      </c>
      <c r="Y291" t="str">
        <f t="shared" si="141"/>
        <v/>
      </c>
      <c r="Z291" s="40" t="str">
        <f>IF(Y291="","",IF(I$8="A",(RANK(Y291,Y$11:Y$343,1)+COUNTIF(Y$11:Y291,Y291)-1),(RANK(Y291,Y$11:Y$343)+COUNTIF(Y$11:Y291,Y291)-1)))</f>
        <v/>
      </c>
      <c r="AA291" s="180" t="str">
        <f>IF(L291="","",VLOOKUP($L291,classifications!C:I,7,FALSE))</f>
        <v/>
      </c>
      <c r="AB291" s="174" t="str">
        <f t="shared" si="142"/>
        <v/>
      </c>
      <c r="AC291" s="174" t="str">
        <f>IF(AB291="","",IF($I$8="A",(RANK(AB291,AB$11:AB$343)+COUNTIF(AB$11:AB291,AB291)-1),(RANK(AB291,AB$11:AB$343,1)+COUNTIF(AB$11:AB291,AB291)-1)))</f>
        <v/>
      </c>
      <c r="AD291" s="174"/>
      <c r="AE291" s="36" t="str">
        <f t="shared" si="143"/>
        <v/>
      </c>
      <c r="AG291" s="15"/>
      <c r="AH291" s="3"/>
      <c r="AI291" s="5" t="str">
        <f>IF(L291="","",VLOOKUP($L291,classifications!$C:$J,8,FALSE))</f>
        <v/>
      </c>
      <c r="AJ291" s="43" t="str">
        <f t="shared" si="144"/>
        <v/>
      </c>
      <c r="AK291" s="40" t="str">
        <f>IF(AJ291="","",IF(I$8="A",(RANK(AJ291,AJ$11:AJ$343,1)+COUNTIF(AJ$11:AJ291,AJ291)-1),(RANK(AJ291,AJ$11:AJ$343)+COUNTIF(AJ$11:AJ291,AJ291)-1)))</f>
        <v/>
      </c>
      <c r="AL291" s="3" t="str">
        <f t="shared" si="145"/>
        <v/>
      </c>
      <c r="AM291" t="str">
        <f t="shared" si="146"/>
        <v/>
      </c>
      <c r="AN291" t="str">
        <f t="shared" si="147"/>
        <v/>
      </c>
      <c r="AP291" s="5" t="str">
        <f>IF(L291="","",VLOOKUP($L291,classifications!$C:$E,3,FALSE))</f>
        <v/>
      </c>
      <c r="AQ291" s="43" t="str">
        <f t="shared" si="148"/>
        <v/>
      </c>
      <c r="AR291" s="40" t="str">
        <f>IF(AQ291="","",IF(I$8="A",(RANK(AQ291,AQ$11:AQ$343,1)+COUNTIF(AQ$11:AQ291,AQ291)-1),(RANK(AQ291,AQ$11:AQ$343)+COUNTIF(AQ$11:AQ291,AQ291)-1)))</f>
        <v/>
      </c>
      <c r="AS291" s="3" t="str">
        <f t="shared" si="149"/>
        <v/>
      </c>
      <c r="AT291" s="40" t="str">
        <f t="shared" si="150"/>
        <v/>
      </c>
      <c r="AU291" s="43" t="str">
        <f t="shared" si="151"/>
        <v/>
      </c>
      <c r="AX291">
        <f>HLOOKUP($AX$9&amp;$AX$10,Data!$A$1:$ZZ$1980,(MATCH($C291,Data!$A$1:$A$1980,0)),FALSE)</f>
        <v>362.9</v>
      </c>
    </row>
    <row r="292" spans="1:50">
      <c r="A292" s="59" t="str">
        <f>$D$1&amp;282</f>
        <v>UA282</v>
      </c>
      <c r="B292" s="60">
        <f>IF(ISERROR(VLOOKUP(A299,classifications!A:C,3,FALSE)),0,VLOOKUP(A299,classifications!A:C,3,FALSE))</f>
        <v>0</v>
      </c>
      <c r="C292" t="s">
        <v>252</v>
      </c>
      <c r="D292" t="str">
        <f>VLOOKUP($C292,classifications!$C:$J,4,FALSE)</f>
        <v>MD</v>
      </c>
      <c r="E292">
        <f>VLOOKUP(C292,classifications!C:K,9,FALSE)</f>
        <v>0</v>
      </c>
      <c r="F292">
        <f t="shared" si="129"/>
        <v>302.60000000000002</v>
      </c>
      <c r="G292" s="15"/>
      <c r="H292" s="42" t="str">
        <f t="shared" si="130"/>
        <v/>
      </c>
      <c r="I292" s="79" t="str">
        <f>IF(H292="","",IF($I$8="A",(RANK(H292,H$11:H$343,1)+COUNTIF(H$11:H292,H292)-1),(RANK(H292,H$11:H$343)+COUNTIF(H$11:H292,H292)-1)))</f>
        <v/>
      </c>
      <c r="J292" s="41"/>
      <c r="K292" s="36" t="str">
        <f t="shared" si="131"/>
        <v/>
      </c>
      <c r="L292" t="str">
        <f t="shared" si="132"/>
        <v/>
      </c>
      <c r="M292" s="117" t="str">
        <f t="shared" si="133"/>
        <v/>
      </c>
      <c r="N292" s="112" t="str">
        <f t="shared" si="134"/>
        <v/>
      </c>
      <c r="O292" s="96" t="str">
        <f t="shared" si="135"/>
        <v/>
      </c>
      <c r="P292" s="96" t="str">
        <f t="shared" si="136"/>
        <v/>
      </c>
      <c r="Q292" s="96" t="str">
        <f t="shared" si="137"/>
        <v/>
      </c>
      <c r="R292" s="92" t="str">
        <f t="shared" si="138"/>
        <v/>
      </c>
      <c r="S292" s="42" t="str">
        <f t="shared" si="139"/>
        <v/>
      </c>
      <c r="T292" s="167" t="str">
        <f>IF(L292="","",VLOOKUP(L292,classifications!C:K,9,FALSE))</f>
        <v/>
      </c>
      <c r="U292" s="168" t="str">
        <f t="shared" si="140"/>
        <v/>
      </c>
      <c r="V292" s="174" t="str">
        <f>IF(U292="","",IF($I$8="A",(RANK(U292,U$11:U$343)+COUNTIF(U$11:U292,U292)-1),(RANK(U292,U$11:U$343,1)+COUNTIF(U$11:U292,U292)-1)))</f>
        <v/>
      </c>
      <c r="W292" s="175"/>
      <c r="X292" s="5" t="str">
        <f>IF(L292="","",VLOOKUP($L292,classifications!$C:$J,6,FALSE))</f>
        <v/>
      </c>
      <c r="Y292" t="str">
        <f t="shared" si="141"/>
        <v/>
      </c>
      <c r="Z292" s="40" t="str">
        <f>IF(Y292="","",IF(I$8="A",(RANK(Y292,Y$11:Y$343,1)+COUNTIF(Y$11:Y292,Y292)-1),(RANK(Y292,Y$11:Y$343)+COUNTIF(Y$11:Y292,Y292)-1)))</f>
        <v/>
      </c>
      <c r="AA292" s="180" t="str">
        <f>IF(L292="","",VLOOKUP($L292,classifications!C:I,7,FALSE))</f>
        <v/>
      </c>
      <c r="AB292" s="174" t="str">
        <f t="shared" si="142"/>
        <v/>
      </c>
      <c r="AC292" s="174" t="str">
        <f>IF(AB292="","",IF($I$8="A",(RANK(AB292,AB$11:AB$343)+COUNTIF(AB$11:AB292,AB292)-1),(RANK(AB292,AB$11:AB$343,1)+COUNTIF(AB$11:AB292,AB292)-1)))</f>
        <v/>
      </c>
      <c r="AD292" s="174"/>
      <c r="AE292" s="36" t="str">
        <f t="shared" si="143"/>
        <v/>
      </c>
      <c r="AG292" s="15"/>
      <c r="AH292" s="3"/>
      <c r="AI292" s="5" t="str">
        <f>IF(L292="","",VLOOKUP($L292,classifications!$C:$J,8,FALSE))</f>
        <v/>
      </c>
      <c r="AJ292" s="43" t="str">
        <f t="shared" si="144"/>
        <v/>
      </c>
      <c r="AK292" s="40" t="str">
        <f>IF(AJ292="","",IF(I$8="A",(RANK(AJ292,AJ$11:AJ$343,1)+COUNTIF(AJ$11:AJ292,AJ292)-1),(RANK(AJ292,AJ$11:AJ$343)+COUNTIF(AJ$11:AJ292,AJ292)-1)))</f>
        <v/>
      </c>
      <c r="AL292" s="3" t="str">
        <f t="shared" si="145"/>
        <v/>
      </c>
      <c r="AM292" t="str">
        <f t="shared" si="146"/>
        <v/>
      </c>
      <c r="AN292" t="str">
        <f t="shared" si="147"/>
        <v/>
      </c>
      <c r="AP292" s="5" t="str">
        <f>IF(L292="","",VLOOKUP($L292,classifications!$C:$E,3,FALSE))</f>
        <v/>
      </c>
      <c r="AQ292" s="43" t="str">
        <f t="shared" si="148"/>
        <v/>
      </c>
      <c r="AR292" s="40" t="str">
        <f>IF(AQ292="","",IF(I$8="A",(RANK(AQ292,AQ$11:AQ$343,1)+COUNTIF(AQ$11:AQ292,AQ292)-1),(RANK(AQ292,AQ$11:AQ$343)+COUNTIF(AQ$11:AQ292,AQ292)-1)))</f>
        <v/>
      </c>
      <c r="AS292" s="3" t="str">
        <f t="shared" si="149"/>
        <v/>
      </c>
      <c r="AT292" s="40" t="str">
        <f t="shared" si="150"/>
        <v/>
      </c>
      <c r="AU292" s="43" t="str">
        <f t="shared" si="151"/>
        <v/>
      </c>
      <c r="AX292">
        <f>HLOOKUP($AX$9&amp;$AX$10,Data!$A$1:$ZZ$1980,(MATCH($C292,Data!$A$1:$A$1980,0)),FALSE)</f>
        <v>302.60000000000002</v>
      </c>
    </row>
    <row r="293" spans="1:50">
      <c r="A293" s="59" t="str">
        <f>$D$1&amp;283</f>
        <v>UA283</v>
      </c>
      <c r="B293" s="60">
        <f>IF(ISERROR(VLOOKUP(A300,classifications!A:C,3,FALSE)),0,VLOOKUP(A300,classifications!A:C,3,FALSE))</f>
        <v>0</v>
      </c>
      <c r="C293" t="s">
        <v>162</v>
      </c>
      <c r="D293" t="str">
        <f>VLOOKUP($C293,classifications!$C:$J,4,FALSE)</f>
        <v>SD</v>
      </c>
      <c r="E293">
        <f>VLOOKUP(C293,classifications!C:K,9,FALSE)</f>
        <v>0</v>
      </c>
      <c r="F293">
        <f t="shared" si="129"/>
        <v>347.5</v>
      </c>
      <c r="G293" s="15"/>
      <c r="H293" s="42" t="str">
        <f t="shared" si="130"/>
        <v/>
      </c>
      <c r="I293" s="79" t="str">
        <f>IF(H293="","",IF($I$8="A",(RANK(H293,H$11:H$343,1)+COUNTIF(H$11:H293,H293)-1),(RANK(H293,H$11:H$343)+COUNTIF(H$11:H293,H293)-1)))</f>
        <v/>
      </c>
      <c r="J293" s="41"/>
      <c r="K293" s="36" t="str">
        <f t="shared" si="131"/>
        <v/>
      </c>
      <c r="L293" t="str">
        <f t="shared" si="132"/>
        <v/>
      </c>
      <c r="M293" s="117" t="str">
        <f t="shared" si="133"/>
        <v/>
      </c>
      <c r="N293" s="112" t="str">
        <f t="shared" si="134"/>
        <v/>
      </c>
      <c r="O293" s="96" t="str">
        <f t="shared" si="135"/>
        <v/>
      </c>
      <c r="P293" s="96" t="str">
        <f t="shared" si="136"/>
        <v/>
      </c>
      <c r="Q293" s="96" t="str">
        <f t="shared" si="137"/>
        <v/>
      </c>
      <c r="R293" s="92" t="str">
        <f t="shared" si="138"/>
        <v/>
      </c>
      <c r="S293" s="42" t="str">
        <f t="shared" si="139"/>
        <v/>
      </c>
      <c r="T293" s="167" t="str">
        <f>IF(L293="","",VLOOKUP(L293,classifications!C:K,9,FALSE))</f>
        <v/>
      </c>
      <c r="U293" s="168" t="str">
        <f t="shared" si="140"/>
        <v/>
      </c>
      <c r="V293" s="174" t="str">
        <f>IF(U293="","",IF($I$8="A",(RANK(U293,U$11:U$343)+COUNTIF(U$11:U293,U293)-1),(RANK(U293,U$11:U$343,1)+COUNTIF(U$11:U293,U293)-1)))</f>
        <v/>
      </c>
      <c r="W293" s="175"/>
      <c r="X293" s="5" t="str">
        <f>IF(L293="","",VLOOKUP($L293,classifications!$C:$J,6,FALSE))</f>
        <v/>
      </c>
      <c r="Y293" t="str">
        <f t="shared" si="141"/>
        <v/>
      </c>
      <c r="Z293" s="40" t="str">
        <f>IF(Y293="","",IF(I$8="A",(RANK(Y293,Y$11:Y$343,1)+COUNTIF(Y$11:Y293,Y293)-1),(RANK(Y293,Y$11:Y$343)+COUNTIF(Y$11:Y293,Y293)-1)))</f>
        <v/>
      </c>
      <c r="AA293" s="180" t="str">
        <f>IF(L293="","",VLOOKUP($L293,classifications!C:I,7,FALSE))</f>
        <v/>
      </c>
      <c r="AB293" s="174" t="str">
        <f t="shared" si="142"/>
        <v/>
      </c>
      <c r="AC293" s="174" t="str">
        <f>IF(AB293="","",IF($I$8="A",(RANK(AB293,AB$11:AB$343)+COUNTIF(AB$11:AB293,AB293)-1),(RANK(AB293,AB$11:AB$343,1)+COUNTIF(AB$11:AB293,AB293)-1)))</f>
        <v/>
      </c>
      <c r="AD293" s="174"/>
      <c r="AE293" s="36" t="str">
        <f t="shared" si="143"/>
        <v/>
      </c>
      <c r="AG293" s="15"/>
      <c r="AH293" s="3"/>
      <c r="AI293" s="5" t="str">
        <f>IF(L293="","",VLOOKUP($L293,classifications!$C:$J,8,FALSE))</f>
        <v/>
      </c>
      <c r="AJ293" s="43" t="str">
        <f t="shared" si="144"/>
        <v/>
      </c>
      <c r="AK293" s="40" t="str">
        <f>IF(AJ293="","",IF(I$8="A",(RANK(AJ293,AJ$11:AJ$343,1)+COUNTIF(AJ$11:AJ293,AJ293)-1),(RANK(AJ293,AJ$11:AJ$343)+COUNTIF(AJ$11:AJ293,AJ293)-1)))</f>
        <v/>
      </c>
      <c r="AL293" s="3" t="str">
        <f t="shared" si="145"/>
        <v/>
      </c>
      <c r="AM293" t="str">
        <f t="shared" si="146"/>
        <v/>
      </c>
      <c r="AN293" t="str">
        <f t="shared" si="147"/>
        <v/>
      </c>
      <c r="AP293" s="5" t="str">
        <f>IF(L293="","",VLOOKUP($L293,classifications!$C:$E,3,FALSE))</f>
        <v/>
      </c>
      <c r="AQ293" s="43" t="str">
        <f t="shared" si="148"/>
        <v/>
      </c>
      <c r="AR293" s="40" t="str">
        <f>IF(AQ293="","",IF(I$8="A",(RANK(AQ293,AQ$11:AQ$343,1)+COUNTIF(AQ$11:AQ293,AQ293)-1),(RANK(AQ293,AQ$11:AQ$343)+COUNTIF(AQ$11:AQ293,AQ293)-1)))</f>
        <v/>
      </c>
      <c r="AS293" s="3" t="str">
        <f t="shared" si="149"/>
        <v/>
      </c>
      <c r="AT293" s="40" t="str">
        <f t="shared" si="150"/>
        <v/>
      </c>
      <c r="AU293" s="43" t="str">
        <f t="shared" si="151"/>
        <v/>
      </c>
      <c r="AX293">
        <f>HLOOKUP($AX$9&amp;$AX$10,Data!$A$1:$ZZ$1980,(MATCH($C293,Data!$A$1:$A$1980,0)),FALSE)</f>
        <v>347.5</v>
      </c>
    </row>
    <row r="294" spans="1:50">
      <c r="A294" s="59" t="str">
        <f>$D$1&amp;284</f>
        <v>UA284</v>
      </c>
      <c r="B294" s="60">
        <f>IF(ISERROR(VLOOKUP(A301,classifications!A:C,3,FALSE)),0,VLOOKUP(A301,classifications!A:C,3,FALSE))</f>
        <v>0</v>
      </c>
      <c r="C294" t="s">
        <v>163</v>
      </c>
      <c r="D294" t="str">
        <f>VLOOKUP($C294,classifications!$C:$J,4,FALSE)</f>
        <v>SD</v>
      </c>
      <c r="E294">
        <f>VLOOKUP(C294,classifications!C:K,9,FALSE)</f>
        <v>0</v>
      </c>
      <c r="F294">
        <f t="shared" si="129"/>
        <v>356.4</v>
      </c>
      <c r="G294" s="15"/>
      <c r="H294" s="42" t="str">
        <f t="shared" si="130"/>
        <v/>
      </c>
      <c r="I294" s="79" t="str">
        <f>IF(H294="","",IF($I$8="A",(RANK(H294,H$11:H$343,1)+COUNTIF(H$11:H294,H294)-1),(RANK(H294,H$11:H$343)+COUNTIF(H$11:H294,H294)-1)))</f>
        <v/>
      </c>
      <c r="J294" s="41"/>
      <c r="K294" s="36" t="str">
        <f t="shared" si="131"/>
        <v/>
      </c>
      <c r="L294" t="str">
        <f t="shared" si="132"/>
        <v/>
      </c>
      <c r="M294" s="117" t="str">
        <f t="shared" si="133"/>
        <v/>
      </c>
      <c r="N294" s="112" t="str">
        <f t="shared" si="134"/>
        <v/>
      </c>
      <c r="O294" s="96" t="str">
        <f t="shared" si="135"/>
        <v/>
      </c>
      <c r="P294" s="96" t="str">
        <f t="shared" si="136"/>
        <v/>
      </c>
      <c r="Q294" s="96" t="str">
        <f t="shared" si="137"/>
        <v/>
      </c>
      <c r="R294" s="92" t="str">
        <f t="shared" si="138"/>
        <v/>
      </c>
      <c r="S294" s="42" t="str">
        <f t="shared" si="139"/>
        <v/>
      </c>
      <c r="T294" s="167" t="str">
        <f>IF(L294="","",VLOOKUP(L294,classifications!C:K,9,FALSE))</f>
        <v/>
      </c>
      <c r="U294" s="168" t="str">
        <f t="shared" si="140"/>
        <v/>
      </c>
      <c r="V294" s="174" t="str">
        <f>IF(U294="","",IF($I$8="A",(RANK(U294,U$11:U$343)+COUNTIF(U$11:U294,U294)-1),(RANK(U294,U$11:U$343,1)+COUNTIF(U$11:U294,U294)-1)))</f>
        <v/>
      </c>
      <c r="W294" s="175"/>
      <c r="X294" s="5" t="str">
        <f>IF(L294="","",VLOOKUP($L294,classifications!$C:$J,6,FALSE))</f>
        <v/>
      </c>
      <c r="Y294" t="str">
        <f t="shared" si="141"/>
        <v/>
      </c>
      <c r="Z294" s="40" t="str">
        <f>IF(Y294="","",IF(I$8="A",(RANK(Y294,Y$11:Y$343,1)+COUNTIF(Y$11:Y294,Y294)-1),(RANK(Y294,Y$11:Y$343)+COUNTIF(Y$11:Y294,Y294)-1)))</f>
        <v/>
      </c>
      <c r="AA294" s="180" t="str">
        <f>IF(L294="","",VLOOKUP($L294,classifications!C:I,7,FALSE))</f>
        <v/>
      </c>
      <c r="AB294" s="174" t="str">
        <f t="shared" si="142"/>
        <v/>
      </c>
      <c r="AC294" s="174" t="str">
        <f>IF(AB294="","",IF($I$8="A",(RANK(AB294,AB$11:AB$343)+COUNTIF(AB$11:AB294,AB294)-1),(RANK(AB294,AB$11:AB$343,1)+COUNTIF(AB$11:AB294,AB294)-1)))</f>
        <v/>
      </c>
      <c r="AD294" s="174"/>
      <c r="AE294" s="36" t="str">
        <f t="shared" si="143"/>
        <v/>
      </c>
      <c r="AG294" s="15"/>
      <c r="AH294" s="3"/>
      <c r="AI294" s="5" t="str">
        <f>IF(L294="","",VLOOKUP($L294,classifications!$C:$J,8,FALSE))</f>
        <v/>
      </c>
      <c r="AJ294" s="43" t="str">
        <f t="shared" si="144"/>
        <v/>
      </c>
      <c r="AK294" s="40" t="str">
        <f>IF(AJ294="","",IF(I$8="A",(RANK(AJ294,AJ$11:AJ$343,1)+COUNTIF(AJ$11:AJ294,AJ294)-1),(RANK(AJ294,AJ$11:AJ$343)+COUNTIF(AJ$11:AJ294,AJ294)-1)))</f>
        <v/>
      </c>
      <c r="AL294" s="3" t="str">
        <f t="shared" si="145"/>
        <v/>
      </c>
      <c r="AM294" t="str">
        <f t="shared" si="146"/>
        <v/>
      </c>
      <c r="AN294" t="str">
        <f t="shared" si="147"/>
        <v/>
      </c>
      <c r="AP294" s="5" t="str">
        <f>IF(L294="","",VLOOKUP($L294,classifications!$C:$E,3,FALSE))</f>
        <v/>
      </c>
      <c r="AQ294" s="43" t="str">
        <f t="shared" si="148"/>
        <v/>
      </c>
      <c r="AR294" s="40" t="str">
        <f>IF(AQ294="","",IF(I$8="A",(RANK(AQ294,AQ$11:AQ$343,1)+COUNTIF(AQ$11:AQ294,AQ294)-1),(RANK(AQ294,AQ$11:AQ$343)+COUNTIF(AQ$11:AQ294,AQ294)-1)))</f>
        <v/>
      </c>
      <c r="AS294" s="3" t="str">
        <f t="shared" si="149"/>
        <v/>
      </c>
      <c r="AT294" s="40" t="str">
        <f t="shared" si="150"/>
        <v/>
      </c>
      <c r="AU294" s="43" t="str">
        <f t="shared" si="151"/>
        <v/>
      </c>
      <c r="AX294">
        <f>HLOOKUP($AX$9&amp;$AX$10,Data!$A$1:$ZZ$1980,(MATCH($C294,Data!$A$1:$A$1980,0)),FALSE)</f>
        <v>356.4</v>
      </c>
    </row>
    <row r="295" spans="1:50">
      <c r="A295" s="59" t="str">
        <f>$D$1&amp;285</f>
        <v>UA285</v>
      </c>
      <c r="B295" s="60">
        <f>IF(ISERROR(VLOOKUP(A303,classifications!A:C,3,FALSE)),0,VLOOKUP(A303,classifications!A:C,3,FALSE))</f>
        <v>0</v>
      </c>
      <c r="C295" t="s">
        <v>165</v>
      </c>
      <c r="D295" t="str">
        <f>VLOOKUP($C295,classifications!$C:$J,4,FALSE)</f>
        <v>SD</v>
      </c>
      <c r="E295" t="str">
        <f>VLOOKUP(C295,classifications!C:K,9,FALSE)</f>
        <v>Sparse</v>
      </c>
      <c r="F295">
        <f t="shared" si="129"/>
        <v>353.2</v>
      </c>
      <c r="G295" s="15"/>
      <c r="H295" s="42" t="str">
        <f t="shared" si="130"/>
        <v/>
      </c>
      <c r="I295" s="79" t="str">
        <f>IF(H295="","",IF($I$8="A",(RANK(H295,H$11:H$343,1)+COUNTIF(H$11:H295,H295)-1),(RANK(H295,H$11:H$343)+COUNTIF(H$11:H295,H295)-1)))</f>
        <v/>
      </c>
      <c r="J295" s="41"/>
      <c r="K295" s="36" t="str">
        <f t="shared" si="131"/>
        <v/>
      </c>
      <c r="L295" t="str">
        <f t="shared" si="132"/>
        <v/>
      </c>
      <c r="M295" s="117" t="str">
        <f t="shared" si="133"/>
        <v/>
      </c>
      <c r="N295" s="112" t="str">
        <f t="shared" si="134"/>
        <v/>
      </c>
      <c r="O295" s="96" t="str">
        <f t="shared" si="135"/>
        <v/>
      </c>
      <c r="P295" s="96" t="str">
        <f t="shared" si="136"/>
        <v/>
      </c>
      <c r="Q295" s="96" t="str">
        <f t="shared" si="137"/>
        <v/>
      </c>
      <c r="R295" s="92" t="str">
        <f t="shared" si="138"/>
        <v/>
      </c>
      <c r="S295" s="42" t="str">
        <f t="shared" si="139"/>
        <v/>
      </c>
      <c r="T295" s="167" t="str">
        <f>IF(L295="","",VLOOKUP(L295,classifications!C:K,9,FALSE))</f>
        <v/>
      </c>
      <c r="U295" s="168" t="str">
        <f t="shared" si="140"/>
        <v/>
      </c>
      <c r="V295" s="174" t="str">
        <f>IF(U295="","",IF($I$8="A",(RANK(U295,U$11:U$343)+COUNTIF(U$11:U295,U295)-1),(RANK(U295,U$11:U$343,1)+COUNTIF(U$11:U295,U295)-1)))</f>
        <v/>
      </c>
      <c r="W295" s="175"/>
      <c r="X295" s="5" t="str">
        <f>IF(L295="","",VLOOKUP($L295,classifications!$C:$J,6,FALSE))</f>
        <v/>
      </c>
      <c r="Y295" t="str">
        <f t="shared" si="141"/>
        <v/>
      </c>
      <c r="Z295" s="40" t="str">
        <f>IF(Y295="","",IF(I$8="A",(RANK(Y295,Y$11:Y$343,1)+COUNTIF(Y$11:Y295,Y295)-1),(RANK(Y295,Y$11:Y$343)+COUNTIF(Y$11:Y295,Y295)-1)))</f>
        <v/>
      </c>
      <c r="AA295" s="180" t="str">
        <f>IF(L295="","",VLOOKUP($L295,classifications!C:I,7,FALSE))</f>
        <v/>
      </c>
      <c r="AB295" s="174" t="str">
        <f t="shared" si="142"/>
        <v/>
      </c>
      <c r="AC295" s="174" t="str">
        <f>IF(AB295="","",IF($I$8="A",(RANK(AB295,AB$11:AB$343)+COUNTIF(AB$11:AB295,AB295)-1),(RANK(AB295,AB$11:AB$343,1)+COUNTIF(AB$11:AB295,AB295)-1)))</f>
        <v/>
      </c>
      <c r="AD295" s="174"/>
      <c r="AE295" s="36" t="str">
        <f t="shared" si="143"/>
        <v/>
      </c>
      <c r="AG295" s="15"/>
      <c r="AH295" s="3"/>
      <c r="AI295" s="5" t="str">
        <f>IF(L295="","",VLOOKUP($L295,classifications!$C:$J,8,FALSE))</f>
        <v/>
      </c>
      <c r="AJ295" s="43" t="str">
        <f t="shared" si="144"/>
        <v/>
      </c>
      <c r="AK295" s="40" t="str">
        <f>IF(AJ295="","",IF(I$8="A",(RANK(AJ295,AJ$11:AJ$343,1)+COUNTIF(AJ$11:AJ295,AJ295)-1),(RANK(AJ295,AJ$11:AJ$343)+COUNTIF(AJ$11:AJ295,AJ295)-1)))</f>
        <v/>
      </c>
      <c r="AL295" s="3" t="str">
        <f t="shared" si="145"/>
        <v/>
      </c>
      <c r="AM295" t="str">
        <f t="shared" si="146"/>
        <v/>
      </c>
      <c r="AN295" t="str">
        <f t="shared" si="147"/>
        <v/>
      </c>
      <c r="AP295" s="5" t="str">
        <f>IF(L295="","",VLOOKUP($L295,classifications!$C:$E,3,FALSE))</f>
        <v/>
      </c>
      <c r="AQ295" s="43" t="str">
        <f t="shared" si="148"/>
        <v/>
      </c>
      <c r="AR295" s="40" t="str">
        <f>IF(AQ295="","",IF(I$8="A",(RANK(AQ295,AQ$11:AQ$343,1)+COUNTIF(AQ$11:AQ295,AQ295)-1),(RANK(AQ295,AQ$11:AQ$343)+COUNTIF(AQ$11:AQ295,AQ295)-1)))</f>
        <v/>
      </c>
      <c r="AS295" s="3" t="str">
        <f t="shared" si="149"/>
        <v/>
      </c>
      <c r="AT295" s="40" t="str">
        <f t="shared" si="150"/>
        <v/>
      </c>
      <c r="AU295" s="43" t="str">
        <f t="shared" si="151"/>
        <v/>
      </c>
      <c r="AX295">
        <f>HLOOKUP($AX$9&amp;$AX$10,Data!$A$1:$ZZ$1980,(MATCH($C295,Data!$A$1:$A$1980,0)),FALSE)</f>
        <v>353.2</v>
      </c>
    </row>
    <row r="296" spans="1:50">
      <c r="A296" s="59" t="str">
        <f>$D$1&amp;286</f>
        <v>UA286</v>
      </c>
      <c r="B296" s="60">
        <f>IF(ISERROR(VLOOKUP(A304,classifications!A:C,3,FALSE)),0,VLOOKUP(A304,classifications!A:C,3,FALSE))</f>
        <v>0</v>
      </c>
      <c r="C296" t="s">
        <v>815</v>
      </c>
      <c r="D296" t="str">
        <f>VLOOKUP($C296,classifications!$C:$J,4,FALSE)</f>
        <v>UA</v>
      </c>
      <c r="E296">
        <f>VLOOKUP(C296,classifications!C:K,9,FALSE)</f>
        <v>0</v>
      </c>
      <c r="F296">
        <f t="shared" si="129"/>
        <v>442.3</v>
      </c>
      <c r="G296" s="15"/>
      <c r="H296" s="42">
        <f t="shared" si="130"/>
        <v>442.3</v>
      </c>
      <c r="I296" s="79">
        <f>IF(H296="","",IF($I$8="A",(RANK(H296,H$11:H$343,1)+COUNTIF(H$11:H296,H296)-1),(RANK(H296,H$11:H$343)+COUNTIF(H$11:H296,H296)-1)))</f>
        <v>51</v>
      </c>
      <c r="J296" s="41"/>
      <c r="K296" s="36" t="str">
        <f t="shared" si="131"/>
        <v/>
      </c>
      <c r="L296" t="str">
        <f t="shared" si="132"/>
        <v/>
      </c>
      <c r="M296" s="117" t="str">
        <f t="shared" si="133"/>
        <v/>
      </c>
      <c r="N296" s="112" t="str">
        <f t="shared" si="134"/>
        <v/>
      </c>
      <c r="O296" s="96" t="str">
        <f t="shared" si="135"/>
        <v/>
      </c>
      <c r="P296" s="96" t="str">
        <f t="shared" si="136"/>
        <v/>
      </c>
      <c r="Q296" s="96" t="str">
        <f t="shared" si="137"/>
        <v/>
      </c>
      <c r="R296" s="92" t="str">
        <f t="shared" si="138"/>
        <v/>
      </c>
      <c r="S296" s="42" t="str">
        <f t="shared" si="139"/>
        <v/>
      </c>
      <c r="T296" s="167" t="str">
        <f>IF(L296="","",VLOOKUP(L296,classifications!C:K,9,FALSE))</f>
        <v/>
      </c>
      <c r="U296" s="168" t="str">
        <f t="shared" si="140"/>
        <v/>
      </c>
      <c r="V296" s="174" t="str">
        <f>IF(U296="","",IF($I$8="A",(RANK(U296,U$11:U$343)+COUNTIF(U$11:U296,U296)-1),(RANK(U296,U$11:U$343,1)+COUNTIF(U$11:U296,U296)-1)))</f>
        <v/>
      </c>
      <c r="W296" s="175"/>
      <c r="X296" s="5" t="str">
        <f>IF(L296="","",VLOOKUP($L296,classifications!$C:$J,6,FALSE))</f>
        <v/>
      </c>
      <c r="Y296" t="str">
        <f t="shared" si="141"/>
        <v/>
      </c>
      <c r="Z296" s="40" t="str">
        <f>IF(Y296="","",IF(I$8="A",(RANK(Y296,Y$11:Y$343,1)+COUNTIF(Y$11:Y296,Y296)-1),(RANK(Y296,Y$11:Y$343)+COUNTIF(Y$11:Y296,Y296)-1)))</f>
        <v/>
      </c>
      <c r="AA296" s="180" t="str">
        <f>IF(L296="","",VLOOKUP($L296,classifications!C:I,7,FALSE))</f>
        <v/>
      </c>
      <c r="AB296" s="174" t="str">
        <f t="shared" si="142"/>
        <v/>
      </c>
      <c r="AC296" s="174" t="str">
        <f>IF(AB296="","",IF($I$8="A",(RANK(AB296,AB$11:AB$343)+COUNTIF(AB$11:AB296,AB296)-1),(RANK(AB296,AB$11:AB$343,1)+COUNTIF(AB$11:AB296,AB296)-1)))</f>
        <v/>
      </c>
      <c r="AD296" s="174"/>
      <c r="AE296" s="36" t="str">
        <f t="shared" si="143"/>
        <v/>
      </c>
      <c r="AG296" s="15"/>
      <c r="AH296" s="3"/>
      <c r="AI296" s="5" t="str">
        <f>IF(L296="","",VLOOKUP($L296,classifications!$C:$J,8,FALSE))</f>
        <v/>
      </c>
      <c r="AJ296" s="43" t="str">
        <f t="shared" si="144"/>
        <v/>
      </c>
      <c r="AK296" s="40" t="str">
        <f>IF(AJ296="","",IF(I$8="A",(RANK(AJ296,AJ$11:AJ$343,1)+COUNTIF(AJ$11:AJ296,AJ296)-1),(RANK(AJ296,AJ$11:AJ$343)+COUNTIF(AJ$11:AJ296,AJ296)-1)))</f>
        <v/>
      </c>
      <c r="AL296" s="3" t="str">
        <f t="shared" si="145"/>
        <v/>
      </c>
      <c r="AM296" t="str">
        <f t="shared" si="146"/>
        <v/>
      </c>
      <c r="AN296" t="str">
        <f t="shared" si="147"/>
        <v/>
      </c>
      <c r="AP296" s="5" t="str">
        <f>IF(L296="","",VLOOKUP($L296,classifications!$C:$E,3,FALSE))</f>
        <v/>
      </c>
      <c r="AQ296" s="43" t="str">
        <f t="shared" si="148"/>
        <v/>
      </c>
      <c r="AR296" s="40" t="str">
        <f>IF(AQ296="","",IF(I$8="A",(RANK(AQ296,AQ$11:AQ$343,1)+COUNTIF(AQ$11:AQ296,AQ296)-1),(RANK(AQ296,AQ$11:AQ$343)+COUNTIF(AQ$11:AQ296,AQ296)-1)))</f>
        <v/>
      </c>
      <c r="AS296" s="3" t="str">
        <f t="shared" si="149"/>
        <v/>
      </c>
      <c r="AT296" s="40" t="str">
        <f t="shared" si="150"/>
        <v/>
      </c>
      <c r="AU296" s="43" t="str">
        <f t="shared" si="151"/>
        <v/>
      </c>
      <c r="AX296">
        <f>HLOOKUP($AX$9&amp;$AX$10,Data!$A$1:$ZZ$1980,(MATCH($C296,Data!$A$1:$A$1980,0)),FALSE)</f>
        <v>442.3</v>
      </c>
    </row>
    <row r="297" spans="1:50">
      <c r="A297" s="59" t="str">
        <f>$D$1&amp;287</f>
        <v>UA287</v>
      </c>
      <c r="B297" s="60">
        <f>IF(ISERROR(VLOOKUP(A305,classifications!A:C,3,FALSE)),0,VLOOKUP(A305,classifications!A:C,3,FALSE))</f>
        <v>0</v>
      </c>
      <c r="C297" t="s">
        <v>166</v>
      </c>
      <c r="D297" t="str">
        <f>VLOOKUP($C297,classifications!$C:$J,4,FALSE)</f>
        <v>SD</v>
      </c>
      <c r="E297">
        <f>VLOOKUP(C297,classifications!C:K,9,FALSE)</f>
        <v>0</v>
      </c>
      <c r="F297">
        <f t="shared" si="129"/>
        <v>333.5</v>
      </c>
      <c r="G297" s="15"/>
      <c r="H297" s="42" t="str">
        <f t="shared" si="130"/>
        <v/>
      </c>
      <c r="I297" s="79" t="str">
        <f>IF(H297="","",IF($I$8="A",(RANK(H297,H$11:H$343,1)+COUNTIF(H$11:H297,H297)-1),(RANK(H297,H$11:H$343)+COUNTIF(H$11:H297,H297)-1)))</f>
        <v/>
      </c>
      <c r="J297" s="41"/>
      <c r="K297" s="36" t="str">
        <f t="shared" si="131"/>
        <v/>
      </c>
      <c r="L297" t="str">
        <f t="shared" si="132"/>
        <v/>
      </c>
      <c r="M297" s="117" t="str">
        <f t="shared" si="133"/>
        <v/>
      </c>
      <c r="N297" s="112" t="str">
        <f t="shared" si="134"/>
        <v/>
      </c>
      <c r="O297" s="96" t="str">
        <f t="shared" si="135"/>
        <v/>
      </c>
      <c r="P297" s="96" t="str">
        <f t="shared" si="136"/>
        <v/>
      </c>
      <c r="Q297" s="96" t="str">
        <f t="shared" si="137"/>
        <v/>
      </c>
      <c r="R297" s="92" t="str">
        <f t="shared" si="138"/>
        <v/>
      </c>
      <c r="S297" s="42" t="str">
        <f t="shared" si="139"/>
        <v/>
      </c>
      <c r="T297" s="167" t="str">
        <f>IF(L297="","",VLOOKUP(L297,classifications!C:K,9,FALSE))</f>
        <v/>
      </c>
      <c r="U297" s="168" t="str">
        <f t="shared" si="140"/>
        <v/>
      </c>
      <c r="V297" s="174" t="str">
        <f>IF(U297="","",IF($I$8="A",(RANK(U297,U$11:U$343)+COUNTIF(U$11:U297,U297)-1),(RANK(U297,U$11:U$343,1)+COUNTIF(U$11:U297,U297)-1)))</f>
        <v/>
      </c>
      <c r="W297" s="175"/>
      <c r="X297" s="5" t="str">
        <f>IF(L297="","",VLOOKUP($L297,classifications!$C:$J,6,FALSE))</f>
        <v/>
      </c>
      <c r="Y297" t="str">
        <f t="shared" si="141"/>
        <v/>
      </c>
      <c r="Z297" s="40" t="str">
        <f>IF(Y297="","",IF(I$8="A",(RANK(Y297,Y$11:Y$343,1)+COUNTIF(Y$11:Y297,Y297)-1),(RANK(Y297,Y$11:Y$343)+COUNTIF(Y$11:Y297,Y297)-1)))</f>
        <v/>
      </c>
      <c r="AA297" s="180" t="str">
        <f>IF(L297="","",VLOOKUP($L297,classifications!C:I,7,FALSE))</f>
        <v/>
      </c>
      <c r="AB297" s="174" t="str">
        <f t="shared" si="142"/>
        <v/>
      </c>
      <c r="AC297" s="174" t="str">
        <f>IF(AB297="","",IF($I$8="A",(RANK(AB297,AB$11:AB$343)+COUNTIF(AB$11:AB297,AB297)-1),(RANK(AB297,AB$11:AB$343,1)+COUNTIF(AB$11:AB297,AB297)-1)))</f>
        <v/>
      </c>
      <c r="AD297" s="174"/>
      <c r="AE297" s="36" t="str">
        <f t="shared" si="143"/>
        <v/>
      </c>
      <c r="AG297" s="15"/>
      <c r="AH297" s="3"/>
      <c r="AI297" s="5" t="str">
        <f>IF(L297="","",VLOOKUP($L297,classifications!$C:$J,8,FALSE))</f>
        <v/>
      </c>
      <c r="AJ297" s="43" t="str">
        <f t="shared" si="144"/>
        <v/>
      </c>
      <c r="AK297" s="40" t="str">
        <f>IF(AJ297="","",IF(I$8="A",(RANK(AJ297,AJ$11:AJ$343,1)+COUNTIF(AJ$11:AJ297,AJ297)-1),(RANK(AJ297,AJ$11:AJ$343)+COUNTIF(AJ$11:AJ297,AJ297)-1)))</f>
        <v/>
      </c>
      <c r="AL297" s="3" t="str">
        <f t="shared" si="145"/>
        <v/>
      </c>
      <c r="AM297" t="str">
        <f t="shared" si="146"/>
        <v/>
      </c>
      <c r="AN297" t="str">
        <f t="shared" si="147"/>
        <v/>
      </c>
      <c r="AP297" s="5" t="str">
        <f>IF(L297="","",VLOOKUP($L297,classifications!$C:$E,3,FALSE))</f>
        <v/>
      </c>
      <c r="AQ297" s="43" t="str">
        <f t="shared" si="148"/>
        <v/>
      </c>
      <c r="AR297" s="40" t="str">
        <f>IF(AQ297="","",IF(I$8="A",(RANK(AQ297,AQ$11:AQ$343,1)+COUNTIF(AQ$11:AQ297,AQ297)-1),(RANK(AQ297,AQ$11:AQ$343)+COUNTIF(AQ$11:AQ297,AQ297)-1)))</f>
        <v/>
      </c>
      <c r="AS297" s="3" t="str">
        <f t="shared" si="149"/>
        <v/>
      </c>
      <c r="AT297" s="40" t="str">
        <f t="shared" si="150"/>
        <v/>
      </c>
      <c r="AU297" s="43" t="str">
        <f t="shared" si="151"/>
        <v/>
      </c>
      <c r="AX297">
        <f>HLOOKUP($AX$9&amp;$AX$10,Data!$A$1:$ZZ$1980,(MATCH($C297,Data!$A$1:$A$1980,0)),FALSE)</f>
        <v>333.5</v>
      </c>
    </row>
    <row r="298" spans="1:50">
      <c r="A298" s="59" t="str">
        <f>$D$1&amp;288</f>
        <v>UA288</v>
      </c>
      <c r="B298" s="60">
        <f>IF(ISERROR(VLOOKUP(A306,classifications!A:C,3,FALSE)),0,VLOOKUP(A306,classifications!A:C,3,FALSE))</f>
        <v>0</v>
      </c>
      <c r="C298" t="s">
        <v>167</v>
      </c>
      <c r="D298" t="str">
        <f>VLOOKUP($C298,classifications!$C:$J,4,FALSE)</f>
        <v>SD</v>
      </c>
      <c r="E298">
        <f>VLOOKUP(C298,classifications!C:K,9,FALSE)</f>
        <v>0</v>
      </c>
      <c r="F298">
        <f t="shared" si="129"/>
        <v>331.1</v>
      </c>
      <c r="G298" s="15"/>
      <c r="H298" s="42" t="str">
        <f t="shared" si="130"/>
        <v/>
      </c>
      <c r="I298" s="79" t="str">
        <f>IF(H298="","",IF($I$8="A",(RANK(H298,H$11:H$343,1)+COUNTIF(H$11:H298,H298)-1),(RANK(H298,H$11:H$343)+COUNTIF(H$11:H298,H298)-1)))</f>
        <v/>
      </c>
      <c r="J298" s="41"/>
      <c r="K298" s="36" t="str">
        <f t="shared" si="131"/>
        <v/>
      </c>
      <c r="L298" t="str">
        <f t="shared" si="132"/>
        <v/>
      </c>
      <c r="M298" s="117" t="str">
        <f t="shared" si="133"/>
        <v/>
      </c>
      <c r="N298" s="112" t="str">
        <f t="shared" si="134"/>
        <v/>
      </c>
      <c r="O298" s="96" t="str">
        <f t="shared" si="135"/>
        <v/>
      </c>
      <c r="P298" s="96" t="str">
        <f t="shared" si="136"/>
        <v/>
      </c>
      <c r="Q298" s="96" t="str">
        <f t="shared" si="137"/>
        <v/>
      </c>
      <c r="R298" s="92" t="str">
        <f t="shared" si="138"/>
        <v/>
      </c>
      <c r="S298" s="42" t="str">
        <f t="shared" si="139"/>
        <v/>
      </c>
      <c r="T298" s="167" t="str">
        <f>IF(L298="","",VLOOKUP(L298,classifications!C:K,9,FALSE))</f>
        <v/>
      </c>
      <c r="U298" s="168" t="str">
        <f t="shared" si="140"/>
        <v/>
      </c>
      <c r="V298" s="174" t="str">
        <f>IF(U298="","",IF($I$8="A",(RANK(U298,U$11:U$343)+COUNTIF(U$11:U298,U298)-1),(RANK(U298,U$11:U$343,1)+COUNTIF(U$11:U298,U298)-1)))</f>
        <v/>
      </c>
      <c r="W298" s="175"/>
      <c r="X298" s="5" t="str">
        <f>IF(L298="","",VLOOKUP($L298,classifications!$C:$J,6,FALSE))</f>
        <v/>
      </c>
      <c r="Y298" t="str">
        <f t="shared" si="141"/>
        <v/>
      </c>
      <c r="Z298" s="40" t="str">
        <f>IF(Y298="","",IF(I$8="A",(RANK(Y298,Y$11:Y$343,1)+COUNTIF(Y$11:Y298,Y298)-1),(RANK(Y298,Y$11:Y$343)+COUNTIF(Y$11:Y298,Y298)-1)))</f>
        <v/>
      </c>
      <c r="AA298" s="180" t="str">
        <f>IF(L298="","",VLOOKUP($L298,classifications!C:I,7,FALSE))</f>
        <v/>
      </c>
      <c r="AB298" s="174" t="str">
        <f t="shared" si="142"/>
        <v/>
      </c>
      <c r="AC298" s="174" t="str">
        <f>IF(AB298="","",IF($I$8="A",(RANK(AB298,AB$11:AB$343)+COUNTIF(AB$11:AB298,AB298)-1),(RANK(AB298,AB$11:AB$343,1)+COUNTIF(AB$11:AB298,AB298)-1)))</f>
        <v/>
      </c>
      <c r="AD298" s="174"/>
      <c r="AE298" s="36" t="str">
        <f t="shared" si="143"/>
        <v/>
      </c>
      <c r="AG298" s="15"/>
      <c r="AH298" s="3"/>
      <c r="AI298" s="5" t="str">
        <f>IF(L298="","",VLOOKUP($L298,classifications!$C:$J,8,FALSE))</f>
        <v/>
      </c>
      <c r="AJ298" s="43" t="str">
        <f t="shared" si="144"/>
        <v/>
      </c>
      <c r="AK298" s="40" t="str">
        <f>IF(AJ298="","",IF(I$8="A",(RANK(AJ298,AJ$11:AJ$343,1)+COUNTIF(AJ$11:AJ298,AJ298)-1),(RANK(AJ298,AJ$11:AJ$343)+COUNTIF(AJ$11:AJ298,AJ298)-1)))</f>
        <v/>
      </c>
      <c r="AL298" s="3" t="str">
        <f t="shared" si="145"/>
        <v/>
      </c>
      <c r="AM298" t="str">
        <f t="shared" si="146"/>
        <v/>
      </c>
      <c r="AN298" t="str">
        <f t="shared" si="147"/>
        <v/>
      </c>
      <c r="AP298" s="5" t="str">
        <f>IF(L298="","",VLOOKUP($L298,classifications!$C:$E,3,FALSE))</f>
        <v/>
      </c>
      <c r="AQ298" s="43" t="str">
        <f t="shared" si="148"/>
        <v/>
      </c>
      <c r="AR298" s="40" t="str">
        <f>IF(AQ298="","",IF(I$8="A",(RANK(AQ298,AQ$11:AQ$343,1)+COUNTIF(AQ$11:AQ298,AQ298)-1),(RANK(AQ298,AQ$11:AQ$343)+COUNTIF(AQ$11:AQ298,AQ298)-1)))</f>
        <v/>
      </c>
      <c r="AS298" s="3" t="str">
        <f t="shared" si="149"/>
        <v/>
      </c>
      <c r="AT298" s="40" t="str">
        <f t="shared" si="150"/>
        <v/>
      </c>
      <c r="AU298" s="43" t="str">
        <f t="shared" si="151"/>
        <v/>
      </c>
      <c r="AX298">
        <f>HLOOKUP($AX$9&amp;$AX$10,Data!$A$1:$ZZ$1980,(MATCH($C298,Data!$A$1:$A$1980,0)),FALSE)</f>
        <v>331.1</v>
      </c>
    </row>
    <row r="299" spans="1:50">
      <c r="A299" s="59" t="str">
        <f>$D$1&amp;289</f>
        <v>UA289</v>
      </c>
      <c r="B299" s="60">
        <f>IF(ISERROR(VLOOKUP(A307,classifications!A:C,3,FALSE)),0,VLOOKUP(A307,classifications!A:C,3,FALSE))</f>
        <v>0</v>
      </c>
      <c r="C299" t="s">
        <v>168</v>
      </c>
      <c r="D299" t="str">
        <f>VLOOKUP($C299,classifications!$C:$J,4,FALSE)</f>
        <v>SD</v>
      </c>
      <c r="E299" t="str">
        <f>VLOOKUP(C299,classifications!C:K,9,FALSE)</f>
        <v>Sparse</v>
      </c>
      <c r="F299">
        <f t="shared" si="129"/>
        <v>366.7</v>
      </c>
      <c r="G299" s="15"/>
      <c r="H299" s="42" t="str">
        <f t="shared" si="130"/>
        <v/>
      </c>
      <c r="I299" s="79" t="str">
        <f>IF(H299="","",IF($I$8="A",(RANK(H299,H$11:H$343,1)+COUNTIF(H$11:H299,H299)-1),(RANK(H299,H$11:H$343)+COUNTIF(H$11:H299,H299)-1)))</f>
        <v/>
      </c>
      <c r="J299" s="41"/>
      <c r="K299" s="36" t="str">
        <f t="shared" si="131"/>
        <v/>
      </c>
      <c r="L299" t="str">
        <f t="shared" si="132"/>
        <v/>
      </c>
      <c r="M299" s="117" t="str">
        <f t="shared" si="133"/>
        <v/>
      </c>
      <c r="N299" s="112" t="str">
        <f t="shared" si="134"/>
        <v/>
      </c>
      <c r="O299" s="96" t="str">
        <f t="shared" si="135"/>
        <v/>
      </c>
      <c r="P299" s="96" t="str">
        <f t="shared" si="136"/>
        <v/>
      </c>
      <c r="Q299" s="96" t="str">
        <f t="shared" si="137"/>
        <v/>
      </c>
      <c r="R299" s="92" t="str">
        <f t="shared" si="138"/>
        <v/>
      </c>
      <c r="S299" s="42" t="str">
        <f t="shared" si="139"/>
        <v/>
      </c>
      <c r="T299" s="167" t="str">
        <f>IF(L299="","",VLOOKUP(L299,classifications!C:K,9,FALSE))</f>
        <v/>
      </c>
      <c r="U299" s="168" t="str">
        <f t="shared" si="140"/>
        <v/>
      </c>
      <c r="V299" s="174" t="str">
        <f>IF(U299="","",IF($I$8="A",(RANK(U299,U$11:U$343)+COUNTIF(U$11:U299,U299)-1),(RANK(U299,U$11:U$343,1)+COUNTIF(U$11:U299,U299)-1)))</f>
        <v/>
      </c>
      <c r="W299" s="175"/>
      <c r="X299" s="5" t="str">
        <f>IF(L299="","",VLOOKUP($L299,classifications!$C:$J,6,FALSE))</f>
        <v/>
      </c>
      <c r="Y299" t="str">
        <f t="shared" si="141"/>
        <v/>
      </c>
      <c r="Z299" s="40" t="str">
        <f>IF(Y299="","",IF(I$8="A",(RANK(Y299,Y$11:Y$343,1)+COUNTIF(Y$11:Y299,Y299)-1),(RANK(Y299,Y$11:Y$343)+COUNTIF(Y$11:Y299,Y299)-1)))</f>
        <v/>
      </c>
      <c r="AA299" s="180" t="str">
        <f>IF(L299="","",VLOOKUP($L299,classifications!C:I,7,FALSE))</f>
        <v/>
      </c>
      <c r="AB299" s="174" t="str">
        <f t="shared" si="142"/>
        <v/>
      </c>
      <c r="AC299" s="174" t="str">
        <f>IF(AB299="","",IF($I$8="A",(RANK(AB299,AB$11:AB$343)+COUNTIF(AB$11:AB299,AB299)-1),(RANK(AB299,AB$11:AB$343,1)+COUNTIF(AB$11:AB299,AB299)-1)))</f>
        <v/>
      </c>
      <c r="AD299" s="174"/>
      <c r="AE299" s="36" t="str">
        <f t="shared" si="143"/>
        <v/>
      </c>
      <c r="AG299" s="15"/>
      <c r="AH299" s="3"/>
      <c r="AI299" s="5" t="str">
        <f>IF(L299="","",VLOOKUP($L299,classifications!$C:$J,8,FALSE))</f>
        <v/>
      </c>
      <c r="AJ299" s="43" t="str">
        <f t="shared" si="144"/>
        <v/>
      </c>
      <c r="AK299" s="40" t="str">
        <f>IF(AJ299="","",IF(I$8="A",(RANK(AJ299,AJ$11:AJ$343,1)+COUNTIF(AJ$11:AJ299,AJ299)-1),(RANK(AJ299,AJ$11:AJ$343)+COUNTIF(AJ$11:AJ299,AJ299)-1)))</f>
        <v/>
      </c>
      <c r="AL299" s="3" t="str">
        <f t="shared" si="145"/>
        <v/>
      </c>
      <c r="AM299" t="str">
        <f t="shared" si="146"/>
        <v/>
      </c>
      <c r="AN299" t="str">
        <f t="shared" si="147"/>
        <v/>
      </c>
      <c r="AP299" s="5" t="str">
        <f>IF(L299="","",VLOOKUP($L299,classifications!$C:$E,3,FALSE))</f>
        <v/>
      </c>
      <c r="AQ299" s="43" t="str">
        <f t="shared" si="148"/>
        <v/>
      </c>
      <c r="AR299" s="40" t="str">
        <f>IF(AQ299="","",IF(I$8="A",(RANK(AQ299,AQ$11:AQ$343,1)+COUNTIF(AQ$11:AQ299,AQ299)-1),(RANK(AQ299,AQ$11:AQ$343)+COUNTIF(AQ$11:AQ299,AQ299)-1)))</f>
        <v/>
      </c>
      <c r="AS299" s="3" t="str">
        <f t="shared" si="149"/>
        <v/>
      </c>
      <c r="AT299" s="40" t="str">
        <f t="shared" si="150"/>
        <v/>
      </c>
      <c r="AU299" s="43" t="str">
        <f t="shared" si="151"/>
        <v/>
      </c>
      <c r="AX299">
        <f>HLOOKUP($AX$9&amp;$AX$10,Data!$A$1:$ZZ$1980,(MATCH($C299,Data!$A$1:$A$1980,0)),FALSE)</f>
        <v>366.7</v>
      </c>
    </row>
    <row r="300" spans="1:50">
      <c r="A300" s="59" t="str">
        <f>$D$1&amp;290</f>
        <v>UA290</v>
      </c>
      <c r="B300" s="60">
        <f>IF(ISERROR(VLOOKUP(A308,classifications!A:C,3,FALSE)),0,VLOOKUP(A308,classifications!A:C,3,FALSE))</f>
        <v>0</v>
      </c>
      <c r="C300" t="s">
        <v>169</v>
      </c>
      <c r="D300" t="str">
        <f>VLOOKUP($C300,classifications!$C:$J,4,FALSE)</f>
        <v>SD</v>
      </c>
      <c r="E300">
        <f>VLOOKUP(C300,classifications!C:K,9,FALSE)</f>
        <v>0</v>
      </c>
      <c r="F300">
        <f t="shared" si="129"/>
        <v>349.1</v>
      </c>
      <c r="G300" s="15"/>
      <c r="H300" s="42" t="str">
        <f t="shared" si="130"/>
        <v/>
      </c>
      <c r="I300" s="79" t="str">
        <f>IF(H300="","",IF($I$8="A",(RANK(H300,H$11:H$343,1)+COUNTIF(H$11:H300,H300)-1),(RANK(H300,H$11:H$343)+COUNTIF(H$11:H300,H300)-1)))</f>
        <v/>
      </c>
      <c r="J300" s="41"/>
      <c r="K300" s="36" t="str">
        <f t="shared" si="131"/>
        <v/>
      </c>
      <c r="L300" t="str">
        <f t="shared" si="132"/>
        <v/>
      </c>
      <c r="M300" s="117" t="str">
        <f t="shared" si="133"/>
        <v/>
      </c>
      <c r="N300" s="112" t="str">
        <f t="shared" si="134"/>
        <v/>
      </c>
      <c r="O300" s="96" t="str">
        <f t="shared" si="135"/>
        <v/>
      </c>
      <c r="P300" s="96" t="str">
        <f t="shared" si="136"/>
        <v/>
      </c>
      <c r="Q300" s="96" t="str">
        <f t="shared" si="137"/>
        <v/>
      </c>
      <c r="R300" s="92" t="str">
        <f t="shared" si="138"/>
        <v/>
      </c>
      <c r="S300" s="42" t="str">
        <f t="shared" si="139"/>
        <v/>
      </c>
      <c r="T300" s="167" t="str">
        <f>IF(L300="","",VLOOKUP(L300,classifications!C:K,9,FALSE))</f>
        <v/>
      </c>
      <c r="U300" s="168" t="str">
        <f t="shared" si="140"/>
        <v/>
      </c>
      <c r="V300" s="174" t="str">
        <f>IF(U300="","",IF($I$8="A",(RANK(U300,U$11:U$343)+COUNTIF(U$11:U300,U300)-1),(RANK(U300,U$11:U$343,1)+COUNTIF(U$11:U300,U300)-1)))</f>
        <v/>
      </c>
      <c r="W300" s="175"/>
      <c r="X300" s="5" t="str">
        <f>IF(L300="","",VLOOKUP($L300,classifications!$C:$J,6,FALSE))</f>
        <v/>
      </c>
      <c r="Y300" t="str">
        <f t="shared" si="141"/>
        <v/>
      </c>
      <c r="Z300" s="40" t="str">
        <f>IF(Y300="","",IF(I$8="A",(RANK(Y300,Y$11:Y$343,1)+COUNTIF(Y$11:Y300,Y300)-1),(RANK(Y300,Y$11:Y$343)+COUNTIF(Y$11:Y300,Y300)-1)))</f>
        <v/>
      </c>
      <c r="AA300" s="180" t="str">
        <f>IF(L300="","",VLOOKUP($L300,classifications!C:I,7,FALSE))</f>
        <v/>
      </c>
      <c r="AB300" s="174" t="str">
        <f t="shared" si="142"/>
        <v/>
      </c>
      <c r="AC300" s="174" t="str">
        <f>IF(AB300="","",IF($I$8="A",(RANK(AB300,AB$11:AB$343)+COUNTIF(AB$11:AB300,AB300)-1),(RANK(AB300,AB$11:AB$343,1)+COUNTIF(AB$11:AB300,AB300)-1)))</f>
        <v/>
      </c>
      <c r="AD300" s="174"/>
      <c r="AE300" s="36" t="str">
        <f t="shared" si="143"/>
        <v/>
      </c>
      <c r="AG300" s="15"/>
      <c r="AH300" s="3"/>
      <c r="AI300" s="5" t="str">
        <f>IF(L300="","",VLOOKUP($L300,classifications!$C:$J,8,FALSE))</f>
        <v/>
      </c>
      <c r="AJ300" s="43" t="str">
        <f t="shared" si="144"/>
        <v/>
      </c>
      <c r="AK300" s="40" t="str">
        <f>IF(AJ300="","",IF(I$8="A",(RANK(AJ300,AJ$11:AJ$343,1)+COUNTIF(AJ$11:AJ300,AJ300)-1),(RANK(AJ300,AJ$11:AJ$343)+COUNTIF(AJ$11:AJ300,AJ300)-1)))</f>
        <v/>
      </c>
      <c r="AL300" s="3" t="str">
        <f t="shared" si="145"/>
        <v/>
      </c>
      <c r="AM300" t="str">
        <f t="shared" si="146"/>
        <v/>
      </c>
      <c r="AN300" t="str">
        <f t="shared" si="147"/>
        <v/>
      </c>
      <c r="AP300" s="5" t="str">
        <f>IF(L300="","",VLOOKUP($L300,classifications!$C:$E,3,FALSE))</f>
        <v/>
      </c>
      <c r="AQ300" s="43" t="str">
        <f t="shared" si="148"/>
        <v/>
      </c>
      <c r="AR300" s="40" t="str">
        <f>IF(AQ300="","",IF(I$8="A",(RANK(AQ300,AQ$11:AQ$343,1)+COUNTIF(AQ$11:AQ300,AQ300)-1),(RANK(AQ300,AQ$11:AQ$343)+COUNTIF(AQ$11:AQ300,AQ300)-1)))</f>
        <v/>
      </c>
      <c r="AS300" s="3" t="str">
        <f t="shared" si="149"/>
        <v/>
      </c>
      <c r="AT300" s="40" t="str">
        <f t="shared" si="150"/>
        <v/>
      </c>
      <c r="AU300" s="43" t="str">
        <f t="shared" si="151"/>
        <v/>
      </c>
      <c r="AX300">
        <f>HLOOKUP($AX$9&amp;$AX$10,Data!$A$1:$ZZ$1980,(MATCH($C300,Data!$A$1:$A$1980,0)),FALSE)</f>
        <v>349.1</v>
      </c>
    </row>
    <row r="301" spans="1:50">
      <c r="A301" s="59" t="str">
        <f>$D$1&amp;291</f>
        <v>UA291</v>
      </c>
      <c r="B301" s="60">
        <f>IF(ISERROR(VLOOKUP(A309,classifications!A:C,3,FALSE)),0,VLOOKUP(A309,classifications!A:C,3,FALSE))</f>
        <v>0</v>
      </c>
      <c r="C301" t="s">
        <v>170</v>
      </c>
      <c r="D301" t="str">
        <f>VLOOKUP($C301,classifications!$C:$J,4,FALSE)</f>
        <v>SD</v>
      </c>
      <c r="E301">
        <f>VLOOKUP(C301,classifications!C:K,9,FALSE)</f>
        <v>0</v>
      </c>
      <c r="F301">
        <f t="shared" si="129"/>
        <v>339.4</v>
      </c>
      <c r="G301" s="15"/>
      <c r="H301" s="42" t="str">
        <f t="shared" si="130"/>
        <v/>
      </c>
      <c r="I301" s="79" t="str">
        <f>IF(H301="","",IF($I$8="A",(RANK(H301,H$11:H$343,1)+COUNTIF(H$11:H301,H301)-1),(RANK(H301,H$11:H$343)+COUNTIF(H$11:H301,H301)-1)))</f>
        <v/>
      </c>
      <c r="J301" s="41"/>
      <c r="K301" s="36" t="str">
        <f t="shared" si="131"/>
        <v/>
      </c>
      <c r="L301" t="str">
        <f t="shared" si="132"/>
        <v/>
      </c>
      <c r="M301" s="117" t="str">
        <f t="shared" si="133"/>
        <v/>
      </c>
      <c r="N301" s="112" t="str">
        <f t="shared" si="134"/>
        <v/>
      </c>
      <c r="O301" s="96" t="str">
        <f t="shared" si="135"/>
        <v/>
      </c>
      <c r="P301" s="96" t="str">
        <f t="shared" si="136"/>
        <v/>
      </c>
      <c r="Q301" s="96" t="str">
        <f t="shared" si="137"/>
        <v/>
      </c>
      <c r="R301" s="92" t="str">
        <f t="shared" si="138"/>
        <v/>
      </c>
      <c r="S301" s="42" t="str">
        <f t="shared" si="139"/>
        <v/>
      </c>
      <c r="T301" s="167" t="str">
        <f>IF(L301="","",VLOOKUP(L301,classifications!C:K,9,FALSE))</f>
        <v/>
      </c>
      <c r="U301" s="168" t="str">
        <f t="shared" si="140"/>
        <v/>
      </c>
      <c r="V301" s="174" t="str">
        <f>IF(U301="","",IF($I$8="A",(RANK(U301,U$11:U$343)+COUNTIF(U$11:U301,U301)-1),(RANK(U301,U$11:U$343,1)+COUNTIF(U$11:U301,U301)-1)))</f>
        <v/>
      </c>
      <c r="W301" s="175"/>
      <c r="X301" s="5" t="str">
        <f>IF(L301="","",VLOOKUP($L301,classifications!$C:$J,6,FALSE))</f>
        <v/>
      </c>
      <c r="Y301" t="str">
        <f t="shared" si="141"/>
        <v/>
      </c>
      <c r="Z301" s="40" t="str">
        <f>IF(Y301="","",IF(I$8="A",(RANK(Y301,Y$11:Y$343,1)+COUNTIF(Y$11:Y301,Y301)-1),(RANK(Y301,Y$11:Y$343)+COUNTIF(Y$11:Y301,Y301)-1)))</f>
        <v/>
      </c>
      <c r="AA301" s="180" t="str">
        <f>IF(L301="","",VLOOKUP($L301,classifications!C:I,7,FALSE))</f>
        <v/>
      </c>
      <c r="AB301" s="174" t="str">
        <f t="shared" si="142"/>
        <v/>
      </c>
      <c r="AC301" s="174" t="str">
        <f>IF(AB301="","",IF($I$8="A",(RANK(AB301,AB$11:AB$343)+COUNTIF(AB$11:AB301,AB301)-1),(RANK(AB301,AB$11:AB$343,1)+COUNTIF(AB$11:AB301,AB301)-1)))</f>
        <v/>
      </c>
      <c r="AD301" s="174"/>
      <c r="AE301" s="36" t="str">
        <f t="shared" si="143"/>
        <v/>
      </c>
      <c r="AG301" s="15"/>
      <c r="AH301" s="3"/>
      <c r="AI301" s="5" t="str">
        <f>IF(L301="","",VLOOKUP($L301,classifications!$C:$J,8,FALSE))</f>
        <v/>
      </c>
      <c r="AJ301" s="43" t="str">
        <f t="shared" si="144"/>
        <v/>
      </c>
      <c r="AK301" s="40" t="str">
        <f>IF(AJ301="","",IF(I$8="A",(RANK(AJ301,AJ$11:AJ$343,1)+COUNTIF(AJ$11:AJ301,AJ301)-1),(RANK(AJ301,AJ$11:AJ$343)+COUNTIF(AJ$11:AJ301,AJ301)-1)))</f>
        <v/>
      </c>
      <c r="AL301" s="3" t="str">
        <f t="shared" si="145"/>
        <v/>
      </c>
      <c r="AM301" t="str">
        <f t="shared" si="146"/>
        <v/>
      </c>
      <c r="AN301" t="str">
        <f t="shared" si="147"/>
        <v/>
      </c>
      <c r="AP301" s="5" t="str">
        <f>IF(L301="","",VLOOKUP($L301,classifications!$C:$E,3,FALSE))</f>
        <v/>
      </c>
      <c r="AQ301" s="43" t="str">
        <f t="shared" si="148"/>
        <v/>
      </c>
      <c r="AR301" s="40" t="str">
        <f>IF(AQ301="","",IF(I$8="A",(RANK(AQ301,AQ$11:AQ$343,1)+COUNTIF(AQ$11:AQ301,AQ301)-1),(RANK(AQ301,AQ$11:AQ$343)+COUNTIF(AQ$11:AQ301,AQ301)-1)))</f>
        <v/>
      </c>
      <c r="AS301" s="3" t="str">
        <f t="shared" si="149"/>
        <v/>
      </c>
      <c r="AT301" s="40" t="str">
        <f t="shared" si="150"/>
        <v/>
      </c>
      <c r="AU301" s="43" t="str">
        <f t="shared" si="151"/>
        <v/>
      </c>
      <c r="AX301">
        <f>HLOOKUP($AX$9&amp;$AX$10,Data!$A$1:$ZZ$1980,(MATCH($C301,Data!$A$1:$A$1980,0)),FALSE)</f>
        <v>339.4</v>
      </c>
    </row>
    <row r="302" spans="1:50">
      <c r="A302" s="59" t="str">
        <f>$D$1&amp;292</f>
        <v>UA292</v>
      </c>
      <c r="B302" s="60">
        <f>IF(ISERROR(VLOOKUP(A310,classifications!A:C,3,FALSE)),0,VLOOKUP(A310,classifications!A:C,3,FALSE))</f>
        <v>0</v>
      </c>
      <c r="C302" t="s">
        <v>294</v>
      </c>
      <c r="D302" t="str">
        <f>VLOOKUP($C302,classifications!$C:$J,4,FALSE)</f>
        <v>UA</v>
      </c>
      <c r="E302">
        <f>VLOOKUP(C302,classifications!C:K,9,FALSE)</f>
        <v>0</v>
      </c>
      <c r="F302">
        <f t="shared" si="129"/>
        <v>382.9</v>
      </c>
      <c r="G302" s="15"/>
      <c r="H302" s="42">
        <f t="shared" si="130"/>
        <v>382.9</v>
      </c>
      <c r="I302" s="79">
        <f>IF(H302="","",IF($I$8="A",(RANK(H302,H$11:H$343,1)+COUNTIF(H$11:H302,H302)-1),(RANK(H302,H$11:H$343)+COUNTIF(H$11:H302,H302)-1)))</f>
        <v>21</v>
      </c>
      <c r="J302" s="41"/>
      <c r="K302" s="36" t="str">
        <f t="shared" si="131"/>
        <v/>
      </c>
      <c r="L302" t="str">
        <f t="shared" si="132"/>
        <v/>
      </c>
      <c r="M302" s="117" t="str">
        <f t="shared" si="133"/>
        <v/>
      </c>
      <c r="N302" s="112" t="str">
        <f t="shared" si="134"/>
        <v/>
      </c>
      <c r="O302" s="96" t="str">
        <f t="shared" si="135"/>
        <v/>
      </c>
      <c r="P302" s="96" t="str">
        <f t="shared" si="136"/>
        <v/>
      </c>
      <c r="Q302" s="96" t="str">
        <f t="shared" si="137"/>
        <v/>
      </c>
      <c r="R302" s="92" t="str">
        <f t="shared" si="138"/>
        <v/>
      </c>
      <c r="S302" s="42" t="str">
        <f t="shared" si="139"/>
        <v/>
      </c>
      <c r="T302" s="167" t="str">
        <f>IF(L302="","",VLOOKUP(L302,classifications!C:K,9,FALSE))</f>
        <v/>
      </c>
      <c r="U302" s="168" t="str">
        <f t="shared" si="140"/>
        <v/>
      </c>
      <c r="V302" s="174" t="str">
        <f>IF(U302="","",IF($I$8="A",(RANK(U302,U$11:U$343)+COUNTIF(U$11:U302,U302)-1),(RANK(U302,U$11:U$343,1)+COUNTIF(U$11:U302,U302)-1)))</f>
        <v/>
      </c>
      <c r="W302" s="175"/>
      <c r="X302" s="5" t="str">
        <f>IF(L302="","",VLOOKUP($L302,classifications!$C:$J,6,FALSE))</f>
        <v/>
      </c>
      <c r="Y302" t="str">
        <f t="shared" si="141"/>
        <v/>
      </c>
      <c r="Z302" s="40" t="str">
        <f>IF(Y302="","",IF(I$8="A",(RANK(Y302,Y$11:Y$343,1)+COUNTIF(Y$11:Y302,Y302)-1),(RANK(Y302,Y$11:Y$343)+COUNTIF(Y$11:Y302,Y302)-1)))</f>
        <v/>
      </c>
      <c r="AA302" s="180" t="str">
        <f>IF(L302="","",VLOOKUP($L302,classifications!C:I,7,FALSE))</f>
        <v/>
      </c>
      <c r="AB302" s="174" t="str">
        <f t="shared" si="142"/>
        <v/>
      </c>
      <c r="AC302" s="174" t="str">
        <f>IF(AB302="","",IF($I$8="A",(RANK(AB302,AB$11:AB$343)+COUNTIF(AB$11:AB302,AB302)-1),(RANK(AB302,AB$11:AB$343,1)+COUNTIF(AB$11:AB302,AB302)-1)))</f>
        <v/>
      </c>
      <c r="AD302" s="174"/>
      <c r="AE302" s="36" t="str">
        <f t="shared" si="143"/>
        <v/>
      </c>
      <c r="AG302" s="15"/>
      <c r="AH302" s="3"/>
      <c r="AI302" s="5" t="str">
        <f>IF(L302="","",VLOOKUP($L302,classifications!$C:$J,8,FALSE))</f>
        <v/>
      </c>
      <c r="AJ302" s="43" t="str">
        <f t="shared" si="144"/>
        <v/>
      </c>
      <c r="AK302" s="40" t="str">
        <f>IF(AJ302="","",IF(I$8="A",(RANK(AJ302,AJ$11:AJ$343,1)+COUNTIF(AJ$11:AJ302,AJ302)-1),(RANK(AJ302,AJ$11:AJ$343)+COUNTIF(AJ$11:AJ302,AJ302)-1)))</f>
        <v/>
      </c>
      <c r="AL302" s="3" t="str">
        <f t="shared" si="145"/>
        <v/>
      </c>
      <c r="AM302" t="str">
        <f t="shared" si="146"/>
        <v/>
      </c>
      <c r="AN302" t="str">
        <f t="shared" si="147"/>
        <v/>
      </c>
      <c r="AP302" s="5" t="str">
        <f>IF(L302="","",VLOOKUP($L302,classifications!$C:$E,3,FALSE))</f>
        <v/>
      </c>
      <c r="AQ302" s="43" t="str">
        <f t="shared" si="148"/>
        <v/>
      </c>
      <c r="AR302" s="40" t="str">
        <f>IF(AQ302="","",IF(I$8="A",(RANK(AQ302,AQ$11:AQ$343,1)+COUNTIF(AQ$11:AQ302,AQ302)-1),(RANK(AQ302,AQ$11:AQ$343)+COUNTIF(AQ$11:AQ302,AQ302)-1)))</f>
        <v/>
      </c>
      <c r="AS302" s="3" t="str">
        <f t="shared" si="149"/>
        <v/>
      </c>
      <c r="AT302" s="40" t="str">
        <f t="shared" si="150"/>
        <v/>
      </c>
      <c r="AU302" s="43" t="str">
        <f t="shared" si="151"/>
        <v/>
      </c>
      <c r="AX302">
        <f>HLOOKUP($AX$9&amp;$AX$10,Data!$A$1:$ZZ$1980,(MATCH($C302,Data!$A$1:$A$1980,0)),FALSE)</f>
        <v>382.9</v>
      </c>
    </row>
    <row r="303" spans="1:50">
      <c r="A303" s="59" t="str">
        <f>$D$1&amp;293</f>
        <v>UA293</v>
      </c>
      <c r="B303" s="60">
        <f>IF(ISERROR(VLOOKUP(A311,classifications!A:C,3,FALSE)),0,VLOOKUP(A311,classifications!A:C,3,FALSE))</f>
        <v>0</v>
      </c>
      <c r="C303" t="s">
        <v>351</v>
      </c>
      <c r="D303" t="str">
        <f>VLOOKUP($C303,classifications!$C:$J,4,FALSE)</f>
        <v>SD</v>
      </c>
      <c r="E303">
        <f>VLOOKUP(C303,classifications!C:K,9,FALSE)</f>
        <v>0</v>
      </c>
      <c r="F303">
        <f t="shared" si="129"/>
        <v>369.1</v>
      </c>
      <c r="G303" s="15"/>
      <c r="H303" s="42" t="str">
        <f t="shared" si="130"/>
        <v/>
      </c>
      <c r="I303" s="79" t="str">
        <f>IF(H303="","",IF($I$8="A",(RANK(H303,H$11:H$343,1)+COUNTIF(H$11:H303,H303)-1),(RANK(H303,H$11:H$343)+COUNTIF(H$11:H303,H303)-1)))</f>
        <v/>
      </c>
      <c r="J303" s="41"/>
      <c r="K303" s="36" t="str">
        <f t="shared" si="131"/>
        <v/>
      </c>
      <c r="L303" t="str">
        <f t="shared" si="132"/>
        <v/>
      </c>
      <c r="M303" s="117" t="str">
        <f t="shared" si="133"/>
        <v/>
      </c>
      <c r="N303" s="112" t="str">
        <f t="shared" si="134"/>
        <v/>
      </c>
      <c r="O303" s="96" t="str">
        <f t="shared" si="135"/>
        <v/>
      </c>
      <c r="P303" s="96" t="str">
        <f t="shared" si="136"/>
        <v/>
      </c>
      <c r="Q303" s="96" t="str">
        <f t="shared" si="137"/>
        <v/>
      </c>
      <c r="R303" s="92" t="str">
        <f t="shared" si="138"/>
        <v/>
      </c>
      <c r="S303" s="42" t="str">
        <f t="shared" si="139"/>
        <v/>
      </c>
      <c r="T303" s="167" t="str">
        <f>IF(L303="","",VLOOKUP(L303,classifications!C:K,9,FALSE))</f>
        <v/>
      </c>
      <c r="U303" s="168" t="str">
        <f t="shared" si="140"/>
        <v/>
      </c>
      <c r="V303" s="174" t="str">
        <f>IF(U303="","",IF($I$8="A",(RANK(U303,U$11:U$343)+COUNTIF(U$11:U303,U303)-1),(RANK(U303,U$11:U$343,1)+COUNTIF(U$11:U303,U303)-1)))</f>
        <v/>
      </c>
      <c r="W303" s="175"/>
      <c r="X303" s="5" t="str">
        <f>IF(L303="","",VLOOKUP($L303,classifications!$C:$J,6,FALSE))</f>
        <v/>
      </c>
      <c r="Y303" t="str">
        <f t="shared" si="141"/>
        <v/>
      </c>
      <c r="Z303" s="40" t="str">
        <f>IF(Y303="","",IF(I$8="A",(RANK(Y303,Y$11:Y$343,1)+COUNTIF(Y$11:Y303,Y303)-1),(RANK(Y303,Y$11:Y$343)+COUNTIF(Y$11:Y303,Y303)-1)))</f>
        <v/>
      </c>
      <c r="AA303" s="180" t="str">
        <f>IF(L303="","",VLOOKUP($L303,classifications!C:I,7,FALSE))</f>
        <v/>
      </c>
      <c r="AB303" s="174" t="str">
        <f t="shared" si="142"/>
        <v/>
      </c>
      <c r="AC303" s="174" t="str">
        <f>IF(AB303="","",IF($I$8="A",(RANK(AB303,AB$11:AB$343)+COUNTIF(AB$11:AB303,AB303)-1),(RANK(AB303,AB$11:AB$343,1)+COUNTIF(AB$11:AB303,AB303)-1)))</f>
        <v/>
      </c>
      <c r="AD303" s="174"/>
      <c r="AE303" s="36" t="str">
        <f t="shared" si="143"/>
        <v/>
      </c>
      <c r="AG303" s="15"/>
      <c r="AH303" s="3"/>
      <c r="AI303" s="5" t="str">
        <f>IF(L303="","",VLOOKUP($L303,classifications!$C:$J,8,FALSE))</f>
        <v/>
      </c>
      <c r="AJ303" s="43" t="str">
        <f t="shared" si="144"/>
        <v/>
      </c>
      <c r="AK303" s="40" t="str">
        <f>IF(AJ303="","",IF(I$8="A",(RANK(AJ303,AJ$11:AJ$343,1)+COUNTIF(AJ$11:AJ303,AJ303)-1),(RANK(AJ303,AJ$11:AJ$343)+COUNTIF(AJ$11:AJ303,AJ303)-1)))</f>
        <v/>
      </c>
      <c r="AL303" s="3" t="str">
        <f t="shared" si="145"/>
        <v/>
      </c>
      <c r="AM303" t="str">
        <f t="shared" si="146"/>
        <v/>
      </c>
      <c r="AN303" t="str">
        <f t="shared" si="147"/>
        <v/>
      </c>
      <c r="AP303" s="5" t="str">
        <f>IF(L303="","",VLOOKUP($L303,classifications!$C:$E,3,FALSE))</f>
        <v/>
      </c>
      <c r="AQ303" s="43" t="str">
        <f t="shared" si="148"/>
        <v/>
      </c>
      <c r="AR303" s="40" t="str">
        <f>IF(AQ303="","",IF(I$8="A",(RANK(AQ303,AQ$11:AQ$343,1)+COUNTIF(AQ$11:AQ303,AQ303)-1),(RANK(AQ303,AQ$11:AQ$343)+COUNTIF(AQ$11:AQ303,AQ303)-1)))</f>
        <v/>
      </c>
      <c r="AS303" s="3" t="str">
        <f t="shared" si="149"/>
        <v/>
      </c>
      <c r="AT303" s="40" t="str">
        <f t="shared" si="150"/>
        <v/>
      </c>
      <c r="AU303" s="43" t="str">
        <f t="shared" si="151"/>
        <v/>
      </c>
      <c r="AX303">
        <f>HLOOKUP($AX$9&amp;$AX$10,Data!$A$1:$ZZ$1980,(MATCH($C303,Data!$A$1:$A$1980,0)),FALSE)</f>
        <v>369.1</v>
      </c>
    </row>
    <row r="304" spans="1:50">
      <c r="A304" s="59" t="str">
        <f>$D$1&amp;294</f>
        <v>UA294</v>
      </c>
      <c r="B304" s="60">
        <f>IF(ISERROR(VLOOKUP(A312,classifications!A:C,3,FALSE)),0,VLOOKUP(A312,classifications!A:C,3,FALSE))</f>
        <v>0</v>
      </c>
      <c r="C304" t="s">
        <v>295</v>
      </c>
      <c r="D304" t="str">
        <f>VLOOKUP($C304,classifications!$C:$J,4,FALSE)</f>
        <v>UA</v>
      </c>
      <c r="E304">
        <f>VLOOKUP(C304,classifications!C:K,9,FALSE)</f>
        <v>0</v>
      </c>
      <c r="F304">
        <f t="shared" si="129"/>
        <v>393.1</v>
      </c>
      <c r="G304" s="15"/>
      <c r="H304" s="42">
        <f t="shared" si="130"/>
        <v>393.1</v>
      </c>
      <c r="I304" s="79">
        <f>IF(H304="","",IF($I$8="A",(RANK(H304,H$11:H$343,1)+COUNTIF(H$11:H304,H304)-1),(RANK(H304,H$11:H$343)+COUNTIF(H$11:H304,H304)-1)))</f>
        <v>29</v>
      </c>
      <c r="J304" s="41"/>
      <c r="K304" s="36" t="str">
        <f t="shared" si="131"/>
        <v/>
      </c>
      <c r="L304" t="str">
        <f t="shared" si="132"/>
        <v/>
      </c>
      <c r="M304" s="117" t="str">
        <f t="shared" si="133"/>
        <v/>
      </c>
      <c r="N304" s="112" t="str">
        <f t="shared" si="134"/>
        <v/>
      </c>
      <c r="O304" s="96" t="str">
        <f t="shared" si="135"/>
        <v/>
      </c>
      <c r="P304" s="96" t="str">
        <f t="shared" si="136"/>
        <v/>
      </c>
      <c r="Q304" s="96" t="str">
        <f t="shared" si="137"/>
        <v/>
      </c>
      <c r="R304" s="92" t="str">
        <f t="shared" si="138"/>
        <v/>
      </c>
      <c r="S304" s="42" t="str">
        <f t="shared" si="139"/>
        <v/>
      </c>
      <c r="T304" s="167" t="str">
        <f>IF(L304="","",VLOOKUP(L304,classifications!C:K,9,FALSE))</f>
        <v/>
      </c>
      <c r="U304" s="168" t="str">
        <f t="shared" si="140"/>
        <v/>
      </c>
      <c r="V304" s="174" t="str">
        <f>IF(U304="","",IF($I$8="A",(RANK(U304,U$11:U$343)+COUNTIF(U$11:U304,U304)-1),(RANK(U304,U$11:U$343,1)+COUNTIF(U$11:U304,U304)-1)))</f>
        <v/>
      </c>
      <c r="W304" s="175"/>
      <c r="X304" s="5" t="str">
        <f>IF(L304="","",VLOOKUP($L304,classifications!$C:$J,6,FALSE))</f>
        <v/>
      </c>
      <c r="Y304" t="str">
        <f t="shared" si="141"/>
        <v/>
      </c>
      <c r="Z304" s="40" t="str">
        <f>IF(Y304="","",IF(I$8="A",(RANK(Y304,Y$11:Y$343,1)+COUNTIF(Y$11:Y304,Y304)-1),(RANK(Y304,Y$11:Y$343)+COUNTIF(Y$11:Y304,Y304)-1)))</f>
        <v/>
      </c>
      <c r="AA304" s="180" t="str">
        <f>IF(L304="","",VLOOKUP($L304,classifications!C:I,7,FALSE))</f>
        <v/>
      </c>
      <c r="AB304" s="174" t="str">
        <f t="shared" si="142"/>
        <v/>
      </c>
      <c r="AC304" s="174" t="str">
        <f>IF(AB304="","",IF($I$8="A",(RANK(AB304,AB$11:AB$343)+COUNTIF(AB$11:AB304,AB304)-1),(RANK(AB304,AB$11:AB$343,1)+COUNTIF(AB$11:AB304,AB304)-1)))</f>
        <v/>
      </c>
      <c r="AD304" s="174"/>
      <c r="AE304" s="36" t="str">
        <f t="shared" si="143"/>
        <v/>
      </c>
      <c r="AG304" s="15"/>
      <c r="AH304" s="3"/>
      <c r="AI304" s="5" t="str">
        <f>IF(L304="","",VLOOKUP($L304,classifications!$C:$J,8,FALSE))</f>
        <v/>
      </c>
      <c r="AJ304" s="43" t="str">
        <f t="shared" si="144"/>
        <v/>
      </c>
      <c r="AK304" s="40" t="str">
        <f>IF(AJ304="","",IF(I$8="A",(RANK(AJ304,AJ$11:AJ$343,1)+COUNTIF(AJ$11:AJ304,AJ304)-1),(RANK(AJ304,AJ$11:AJ$343)+COUNTIF(AJ$11:AJ304,AJ304)-1)))</f>
        <v/>
      </c>
      <c r="AL304" s="3" t="str">
        <f t="shared" si="145"/>
        <v/>
      </c>
      <c r="AM304" t="str">
        <f t="shared" si="146"/>
        <v/>
      </c>
      <c r="AN304" t="str">
        <f t="shared" si="147"/>
        <v/>
      </c>
      <c r="AP304" s="5" t="str">
        <f>IF(L304="","",VLOOKUP($L304,classifications!$C:$E,3,FALSE))</f>
        <v/>
      </c>
      <c r="AQ304" s="43" t="str">
        <f t="shared" si="148"/>
        <v/>
      </c>
      <c r="AR304" s="40" t="str">
        <f>IF(AQ304="","",IF(I$8="A",(RANK(AQ304,AQ$11:AQ$343,1)+COUNTIF(AQ$11:AQ304,AQ304)-1),(RANK(AQ304,AQ$11:AQ$343)+COUNTIF(AQ$11:AQ304,AQ304)-1)))</f>
        <v/>
      </c>
      <c r="AS304" s="3" t="str">
        <f t="shared" si="149"/>
        <v/>
      </c>
      <c r="AT304" s="40" t="str">
        <f t="shared" si="150"/>
        <v/>
      </c>
      <c r="AU304" s="43" t="str">
        <f t="shared" si="151"/>
        <v/>
      </c>
      <c r="AX304">
        <f>HLOOKUP($AX$9&amp;$AX$10,Data!$A$1:$ZZ$1980,(MATCH($C304,Data!$A$1:$A$1980,0)),FALSE)</f>
        <v>393.1</v>
      </c>
    </row>
    <row r="305" spans="1:50">
      <c r="A305" s="59" t="str">
        <f>$D$1&amp;295</f>
        <v>UA295</v>
      </c>
      <c r="B305" s="60">
        <f>IF(ISERROR(VLOOKUP(A313,classifications!A:C,3,FALSE)),0,VLOOKUP(A313,classifications!A:C,3,FALSE))</f>
        <v>0</v>
      </c>
      <c r="C305" t="s">
        <v>171</v>
      </c>
      <c r="D305" t="str">
        <f>VLOOKUP($C305,classifications!$C:$J,4,FALSE)</f>
        <v>SD</v>
      </c>
      <c r="E305" t="str">
        <f>VLOOKUP(C305,classifications!C:K,9,FALSE)</f>
        <v>Sparse</v>
      </c>
      <c r="F305">
        <f t="shared" si="129"/>
        <v>338.9</v>
      </c>
      <c r="G305" s="15"/>
      <c r="H305" s="42" t="str">
        <f t="shared" si="130"/>
        <v/>
      </c>
      <c r="I305" s="79" t="str">
        <f>IF(H305="","",IF($I$8="A",(RANK(H305,H$11:H$343,1)+COUNTIF(H$11:H305,H305)-1),(RANK(H305,H$11:H$343)+COUNTIF(H$11:H305,H305)-1)))</f>
        <v/>
      </c>
      <c r="J305" s="41"/>
      <c r="K305" s="36" t="str">
        <f t="shared" si="131"/>
        <v/>
      </c>
      <c r="L305" t="str">
        <f t="shared" si="132"/>
        <v/>
      </c>
      <c r="M305" s="117" t="str">
        <f t="shared" si="133"/>
        <v/>
      </c>
      <c r="N305" s="112" t="str">
        <f t="shared" si="134"/>
        <v/>
      </c>
      <c r="O305" s="96" t="str">
        <f t="shared" si="135"/>
        <v/>
      </c>
      <c r="P305" s="96" t="str">
        <f t="shared" si="136"/>
        <v/>
      </c>
      <c r="Q305" s="96" t="str">
        <f t="shared" si="137"/>
        <v/>
      </c>
      <c r="R305" s="92" t="str">
        <f t="shared" si="138"/>
        <v/>
      </c>
      <c r="S305" s="42" t="str">
        <f t="shared" si="139"/>
        <v/>
      </c>
      <c r="T305" s="167" t="str">
        <f>IF(L305="","",VLOOKUP(L305,classifications!C:K,9,FALSE))</f>
        <v/>
      </c>
      <c r="U305" s="168" t="str">
        <f t="shared" si="140"/>
        <v/>
      </c>
      <c r="V305" s="174" t="str">
        <f>IF(U305="","",IF($I$8="A",(RANK(U305,U$11:U$343)+COUNTIF(U$11:U305,U305)-1),(RANK(U305,U$11:U$343,1)+COUNTIF(U$11:U305,U305)-1)))</f>
        <v/>
      </c>
      <c r="W305" s="175"/>
      <c r="X305" s="5" t="str">
        <f>IF(L305="","",VLOOKUP($L305,classifications!$C:$J,6,FALSE))</f>
        <v/>
      </c>
      <c r="Y305" t="str">
        <f t="shared" si="141"/>
        <v/>
      </c>
      <c r="Z305" s="40" t="str">
        <f>IF(Y305="","",IF(I$8="A",(RANK(Y305,Y$11:Y$343,1)+COUNTIF(Y$11:Y305,Y305)-1),(RANK(Y305,Y$11:Y$343)+COUNTIF(Y$11:Y305,Y305)-1)))</f>
        <v/>
      </c>
      <c r="AA305" s="180" t="str">
        <f>IF(L305="","",VLOOKUP($L305,classifications!C:I,7,FALSE))</f>
        <v/>
      </c>
      <c r="AB305" s="174" t="str">
        <f t="shared" si="142"/>
        <v/>
      </c>
      <c r="AC305" s="174" t="str">
        <f>IF(AB305="","",IF($I$8="A",(RANK(AB305,AB$11:AB$343)+COUNTIF(AB$11:AB305,AB305)-1),(RANK(AB305,AB$11:AB$343,1)+COUNTIF(AB$11:AB305,AB305)-1)))</f>
        <v/>
      </c>
      <c r="AD305" s="174"/>
      <c r="AE305" s="36" t="str">
        <f t="shared" si="143"/>
        <v/>
      </c>
      <c r="AG305" s="15"/>
      <c r="AH305" s="3"/>
      <c r="AI305" s="5" t="str">
        <f>IF(L305="","",VLOOKUP($L305,classifications!$C:$J,8,FALSE))</f>
        <v/>
      </c>
      <c r="AJ305" s="43" t="str">
        <f t="shared" si="144"/>
        <v/>
      </c>
      <c r="AK305" s="40" t="str">
        <f>IF(AJ305="","",IF(I$8="A",(RANK(AJ305,AJ$11:AJ$343,1)+COUNTIF(AJ$11:AJ305,AJ305)-1),(RANK(AJ305,AJ$11:AJ$343)+COUNTIF(AJ$11:AJ305,AJ305)-1)))</f>
        <v/>
      </c>
      <c r="AL305" s="3" t="str">
        <f t="shared" si="145"/>
        <v/>
      </c>
      <c r="AM305" t="str">
        <f t="shared" si="146"/>
        <v/>
      </c>
      <c r="AN305" t="str">
        <f t="shared" si="147"/>
        <v/>
      </c>
      <c r="AP305" s="5" t="str">
        <f>IF(L305="","",VLOOKUP($L305,classifications!$C:$E,3,FALSE))</f>
        <v/>
      </c>
      <c r="AQ305" s="43" t="str">
        <f t="shared" si="148"/>
        <v/>
      </c>
      <c r="AR305" s="40" t="str">
        <f>IF(AQ305="","",IF(I$8="A",(RANK(AQ305,AQ$11:AQ$343,1)+COUNTIF(AQ$11:AQ305,AQ305)-1),(RANK(AQ305,AQ$11:AQ$343)+COUNTIF(AQ$11:AQ305,AQ305)-1)))</f>
        <v/>
      </c>
      <c r="AS305" s="3" t="str">
        <f t="shared" si="149"/>
        <v/>
      </c>
      <c r="AT305" s="40" t="str">
        <f t="shared" si="150"/>
        <v/>
      </c>
      <c r="AU305" s="43" t="str">
        <f t="shared" si="151"/>
        <v/>
      </c>
      <c r="AX305">
        <f>HLOOKUP($AX$9&amp;$AX$10,Data!$A$1:$ZZ$1980,(MATCH($C305,Data!$A$1:$A$1980,0)),FALSE)</f>
        <v>338.9</v>
      </c>
    </row>
    <row r="306" spans="1:50">
      <c r="A306" s="59" t="str">
        <f>$D$1&amp;296</f>
        <v>UA296</v>
      </c>
      <c r="B306" s="60">
        <f>IF(ISERROR(VLOOKUP(A314,classifications!A:C,3,FALSE)),0,VLOOKUP(A314,classifications!A:C,3,FALSE))</f>
        <v>0</v>
      </c>
      <c r="C306" t="s">
        <v>220</v>
      </c>
      <c r="D306" t="str">
        <f>VLOOKUP($C306,classifications!$C:$J,4,FALSE)</f>
        <v>L</v>
      </c>
      <c r="E306">
        <f>VLOOKUP(C306,classifications!C:K,9,FALSE)</f>
        <v>0</v>
      </c>
      <c r="F306">
        <f t="shared" si="129"/>
        <v>284.10000000000002</v>
      </c>
      <c r="G306" s="15"/>
      <c r="H306" s="42" t="str">
        <f t="shared" si="130"/>
        <v/>
      </c>
      <c r="I306" s="79" t="str">
        <f>IF(H306="","",IF($I$8="A",(RANK(H306,H$11:H$343,1)+COUNTIF(H$11:H306,H306)-1),(RANK(H306,H$11:H$343)+COUNTIF(H$11:H306,H306)-1)))</f>
        <v/>
      </c>
      <c r="J306" s="41"/>
      <c r="K306" s="36" t="str">
        <f t="shared" si="131"/>
        <v/>
      </c>
      <c r="L306" t="str">
        <f t="shared" si="132"/>
        <v/>
      </c>
      <c r="M306" s="117" t="str">
        <f t="shared" si="133"/>
        <v/>
      </c>
      <c r="N306" s="112" t="str">
        <f t="shared" si="134"/>
        <v/>
      </c>
      <c r="O306" s="96" t="str">
        <f t="shared" si="135"/>
        <v/>
      </c>
      <c r="P306" s="96" t="str">
        <f t="shared" si="136"/>
        <v/>
      </c>
      <c r="Q306" s="96" t="str">
        <f t="shared" si="137"/>
        <v/>
      </c>
      <c r="R306" s="92" t="str">
        <f t="shared" si="138"/>
        <v/>
      </c>
      <c r="S306" s="42" t="str">
        <f t="shared" si="139"/>
        <v/>
      </c>
      <c r="T306" s="167" t="str">
        <f>IF(L306="","",VLOOKUP(L306,classifications!C:K,9,FALSE))</f>
        <v/>
      </c>
      <c r="U306" s="168" t="str">
        <f t="shared" si="140"/>
        <v/>
      </c>
      <c r="V306" s="174" t="str">
        <f>IF(U306="","",IF($I$8="A",(RANK(U306,U$11:U$343)+COUNTIF(U$11:U306,U306)-1),(RANK(U306,U$11:U$343,1)+COUNTIF(U$11:U306,U306)-1)))</f>
        <v/>
      </c>
      <c r="W306" s="175"/>
      <c r="X306" s="5" t="str">
        <f>IF(L306="","",VLOOKUP($L306,classifications!$C:$J,6,FALSE))</f>
        <v/>
      </c>
      <c r="Y306" t="str">
        <f t="shared" si="141"/>
        <v/>
      </c>
      <c r="Z306" s="40" t="str">
        <f>IF(Y306="","",IF(I$8="A",(RANK(Y306,Y$11:Y$343,1)+COUNTIF(Y$11:Y306,Y306)-1),(RANK(Y306,Y$11:Y$343)+COUNTIF(Y$11:Y306,Y306)-1)))</f>
        <v/>
      </c>
      <c r="AA306" s="180" t="str">
        <f>IF(L306="","",VLOOKUP($L306,classifications!C:I,7,FALSE))</f>
        <v/>
      </c>
      <c r="AB306" s="174" t="str">
        <f t="shared" si="142"/>
        <v/>
      </c>
      <c r="AC306" s="174" t="str">
        <f>IF(AB306="","",IF($I$8="A",(RANK(AB306,AB$11:AB$343)+COUNTIF(AB$11:AB306,AB306)-1),(RANK(AB306,AB$11:AB$343,1)+COUNTIF(AB$11:AB306,AB306)-1)))</f>
        <v/>
      </c>
      <c r="AD306" s="174"/>
      <c r="AE306" s="36" t="str">
        <f t="shared" si="143"/>
        <v/>
      </c>
      <c r="AG306" s="15"/>
      <c r="AH306" s="3"/>
      <c r="AI306" s="5" t="str">
        <f>IF(L306="","",VLOOKUP($L306,classifications!$C:$J,8,FALSE))</f>
        <v/>
      </c>
      <c r="AJ306" s="43" t="str">
        <f t="shared" si="144"/>
        <v/>
      </c>
      <c r="AK306" s="40" t="str">
        <f>IF(AJ306="","",IF(I$8="A",(RANK(AJ306,AJ$11:AJ$343,1)+COUNTIF(AJ$11:AJ306,AJ306)-1),(RANK(AJ306,AJ$11:AJ$343)+COUNTIF(AJ$11:AJ306,AJ306)-1)))</f>
        <v/>
      </c>
      <c r="AL306" s="3" t="str">
        <f t="shared" si="145"/>
        <v/>
      </c>
      <c r="AM306" t="str">
        <f t="shared" si="146"/>
        <v/>
      </c>
      <c r="AN306" t="str">
        <f t="shared" si="147"/>
        <v/>
      </c>
      <c r="AP306" s="5" t="str">
        <f>IF(L306="","",VLOOKUP($L306,classifications!$C:$E,3,FALSE))</f>
        <v/>
      </c>
      <c r="AQ306" s="43" t="str">
        <f t="shared" si="148"/>
        <v/>
      </c>
      <c r="AR306" s="40" t="str">
        <f>IF(AQ306="","",IF(I$8="A",(RANK(AQ306,AQ$11:AQ$343,1)+COUNTIF(AQ$11:AQ306,AQ306)-1),(RANK(AQ306,AQ$11:AQ$343)+COUNTIF(AQ$11:AQ306,AQ306)-1)))</f>
        <v/>
      </c>
      <c r="AS306" s="3" t="str">
        <f t="shared" si="149"/>
        <v/>
      </c>
      <c r="AT306" s="40" t="str">
        <f t="shared" si="150"/>
        <v/>
      </c>
      <c r="AU306" s="43" t="str">
        <f t="shared" si="151"/>
        <v/>
      </c>
      <c r="AX306">
        <f>HLOOKUP($AX$9&amp;$AX$10,Data!$A$1:$ZZ$1980,(MATCH($C306,Data!$A$1:$A$1980,0)),FALSE)</f>
        <v>284.10000000000002</v>
      </c>
    </row>
    <row r="307" spans="1:50">
      <c r="A307" s="59" t="str">
        <f>$D$1&amp;297</f>
        <v>UA297</v>
      </c>
      <c r="B307" s="60">
        <f>IF(ISERROR(VLOOKUP(A315,classifications!A:C,3,FALSE)),0,VLOOKUP(A315,classifications!A:C,3,FALSE))</f>
        <v>0</v>
      </c>
      <c r="C307" t="s">
        <v>253</v>
      </c>
      <c r="D307" t="str">
        <f>VLOOKUP($C307,classifications!$C:$J,4,FALSE)</f>
        <v>MD</v>
      </c>
      <c r="E307">
        <f>VLOOKUP(C307,classifications!C:K,9,FALSE)</f>
        <v>0</v>
      </c>
      <c r="F307">
        <f t="shared" si="129"/>
        <v>320.5</v>
      </c>
      <c r="G307" s="15"/>
      <c r="H307" s="42" t="str">
        <f t="shared" si="130"/>
        <v/>
      </c>
      <c r="I307" s="79" t="str">
        <f>IF(H307="","",IF($I$8="A",(RANK(H307,H$11:H$343,1)+COUNTIF(H$11:H307,H307)-1),(RANK(H307,H$11:H$343)+COUNTIF(H$11:H307,H307)-1)))</f>
        <v/>
      </c>
      <c r="J307" s="41"/>
      <c r="K307" s="36" t="str">
        <f t="shared" si="131"/>
        <v/>
      </c>
      <c r="L307" t="str">
        <f t="shared" si="132"/>
        <v/>
      </c>
      <c r="M307" s="117" t="str">
        <f t="shared" si="133"/>
        <v/>
      </c>
      <c r="N307" s="112" t="str">
        <f t="shared" si="134"/>
        <v/>
      </c>
      <c r="O307" s="96" t="str">
        <f t="shared" si="135"/>
        <v/>
      </c>
      <c r="P307" s="96" t="str">
        <f t="shared" si="136"/>
        <v/>
      </c>
      <c r="Q307" s="96" t="str">
        <f t="shared" si="137"/>
        <v/>
      </c>
      <c r="R307" s="92" t="str">
        <f t="shared" si="138"/>
        <v/>
      </c>
      <c r="S307" s="42" t="str">
        <f t="shared" si="139"/>
        <v/>
      </c>
      <c r="T307" s="167" t="str">
        <f>IF(L307="","",VLOOKUP(L307,classifications!C:K,9,FALSE))</f>
        <v/>
      </c>
      <c r="U307" s="168" t="str">
        <f t="shared" si="140"/>
        <v/>
      </c>
      <c r="V307" s="174" t="str">
        <f>IF(U307="","",IF($I$8="A",(RANK(U307,U$11:U$343)+COUNTIF(U$11:U307,U307)-1),(RANK(U307,U$11:U$343,1)+COUNTIF(U$11:U307,U307)-1)))</f>
        <v/>
      </c>
      <c r="W307" s="175"/>
      <c r="X307" s="5" t="str">
        <f>IF(L307="","",VLOOKUP($L307,classifications!$C:$J,6,FALSE))</f>
        <v/>
      </c>
      <c r="Y307" t="str">
        <f t="shared" si="141"/>
        <v/>
      </c>
      <c r="Z307" s="40" t="str">
        <f>IF(Y307="","",IF(I$8="A",(RANK(Y307,Y$11:Y$343,1)+COUNTIF(Y$11:Y307,Y307)-1),(RANK(Y307,Y$11:Y$343)+COUNTIF(Y$11:Y307,Y307)-1)))</f>
        <v/>
      </c>
      <c r="AA307" s="180" t="str">
        <f>IF(L307="","",VLOOKUP($L307,classifications!C:I,7,FALSE))</f>
        <v/>
      </c>
      <c r="AB307" s="174" t="str">
        <f t="shared" si="142"/>
        <v/>
      </c>
      <c r="AC307" s="174" t="str">
        <f>IF(AB307="","",IF($I$8="A",(RANK(AB307,AB$11:AB$343)+COUNTIF(AB$11:AB307,AB307)-1),(RANK(AB307,AB$11:AB$343,1)+COUNTIF(AB$11:AB307,AB307)-1)))</f>
        <v/>
      </c>
      <c r="AD307" s="174"/>
      <c r="AE307" s="36" t="str">
        <f t="shared" si="143"/>
        <v/>
      </c>
      <c r="AG307" s="15"/>
      <c r="AH307" s="3"/>
      <c r="AI307" s="5" t="str">
        <f>IF(L307="","",VLOOKUP($L307,classifications!$C:$J,8,FALSE))</f>
        <v/>
      </c>
      <c r="AJ307" s="43" t="str">
        <f t="shared" si="144"/>
        <v/>
      </c>
      <c r="AK307" s="40" t="str">
        <f>IF(AJ307="","",IF(I$8="A",(RANK(AJ307,AJ$11:AJ$343,1)+COUNTIF(AJ$11:AJ307,AJ307)-1),(RANK(AJ307,AJ$11:AJ$343)+COUNTIF(AJ$11:AJ307,AJ307)-1)))</f>
        <v/>
      </c>
      <c r="AL307" s="3" t="str">
        <f t="shared" si="145"/>
        <v/>
      </c>
      <c r="AM307" t="str">
        <f t="shared" si="146"/>
        <v/>
      </c>
      <c r="AN307" t="str">
        <f t="shared" si="147"/>
        <v/>
      </c>
      <c r="AP307" s="5" t="str">
        <f>IF(L307="","",VLOOKUP($L307,classifications!$C:$E,3,FALSE))</f>
        <v/>
      </c>
      <c r="AQ307" s="43" t="str">
        <f t="shared" si="148"/>
        <v/>
      </c>
      <c r="AR307" s="40" t="str">
        <f>IF(AQ307="","",IF(I$8="A",(RANK(AQ307,AQ$11:AQ$343,1)+COUNTIF(AQ$11:AQ307,AQ307)-1),(RANK(AQ307,AQ$11:AQ$343)+COUNTIF(AQ$11:AQ307,AQ307)-1)))</f>
        <v/>
      </c>
      <c r="AS307" s="3" t="str">
        <f t="shared" si="149"/>
        <v/>
      </c>
      <c r="AT307" s="40" t="str">
        <f t="shared" si="150"/>
        <v/>
      </c>
      <c r="AU307" s="43" t="str">
        <f t="shared" si="151"/>
        <v/>
      </c>
      <c r="AX307">
        <f>HLOOKUP($AX$9&amp;$AX$10,Data!$A$1:$ZZ$1980,(MATCH($C307,Data!$A$1:$A$1980,0)),FALSE)</f>
        <v>320.5</v>
      </c>
    </row>
    <row r="308" spans="1:50">
      <c r="A308" s="59" t="str">
        <f>$D$1&amp;298</f>
        <v>UA298</v>
      </c>
      <c r="B308" s="60">
        <f>IF(ISERROR(VLOOKUP(A316,classifications!A:C,3,FALSE)),0,VLOOKUP(A316,classifications!A:C,3,FALSE))</f>
        <v>0</v>
      </c>
      <c r="C308" t="s">
        <v>172</v>
      </c>
      <c r="D308" t="str">
        <f>VLOOKUP($C308,classifications!$C:$J,4,FALSE)</f>
        <v>SD</v>
      </c>
      <c r="E308">
        <f>VLOOKUP(C308,classifications!C:K,9,FALSE)</f>
        <v>0</v>
      </c>
      <c r="F308">
        <f t="shared" si="129"/>
        <v>349.3</v>
      </c>
      <c r="G308" s="15"/>
      <c r="H308" s="42" t="str">
        <f t="shared" si="130"/>
        <v/>
      </c>
      <c r="I308" s="79" t="str">
        <f>IF(H308="","",IF($I$8="A",(RANK(H308,H$11:H$343,1)+COUNTIF(H$11:H308,H308)-1),(RANK(H308,H$11:H$343)+COUNTIF(H$11:H308,H308)-1)))</f>
        <v/>
      </c>
      <c r="J308" s="41"/>
      <c r="K308" s="36" t="str">
        <f t="shared" si="131"/>
        <v/>
      </c>
      <c r="L308" t="str">
        <f t="shared" si="132"/>
        <v/>
      </c>
      <c r="M308" s="117" t="str">
        <f t="shared" si="133"/>
        <v/>
      </c>
      <c r="N308" s="112" t="str">
        <f t="shared" si="134"/>
        <v/>
      </c>
      <c r="O308" s="96" t="str">
        <f t="shared" si="135"/>
        <v/>
      </c>
      <c r="P308" s="96" t="str">
        <f t="shared" si="136"/>
        <v/>
      </c>
      <c r="Q308" s="96" t="str">
        <f t="shared" si="137"/>
        <v/>
      </c>
      <c r="R308" s="92" t="str">
        <f t="shared" si="138"/>
        <v/>
      </c>
      <c r="S308" s="42" t="str">
        <f t="shared" si="139"/>
        <v/>
      </c>
      <c r="T308" s="167" t="str">
        <f>IF(L308="","",VLOOKUP(L308,classifications!C:K,9,FALSE))</f>
        <v/>
      </c>
      <c r="U308" s="168" t="str">
        <f t="shared" si="140"/>
        <v/>
      </c>
      <c r="V308" s="174" t="str">
        <f>IF(U308="","",IF($I$8="A",(RANK(U308,U$11:U$343)+COUNTIF(U$11:U308,U308)-1),(RANK(U308,U$11:U$343,1)+COUNTIF(U$11:U308,U308)-1)))</f>
        <v/>
      </c>
      <c r="W308" s="175"/>
      <c r="X308" s="5" t="str">
        <f>IF(L308="","",VLOOKUP($L308,classifications!$C:$J,6,FALSE))</f>
        <v/>
      </c>
      <c r="Y308" t="str">
        <f t="shared" si="141"/>
        <v/>
      </c>
      <c r="Z308" s="40" t="str">
        <f>IF(Y308="","",IF(I$8="A",(RANK(Y308,Y$11:Y$343,1)+COUNTIF(Y$11:Y308,Y308)-1),(RANK(Y308,Y$11:Y$343)+COUNTIF(Y$11:Y308,Y308)-1)))</f>
        <v/>
      </c>
      <c r="AA308" s="180" t="str">
        <f>IF(L308="","",VLOOKUP($L308,classifications!C:I,7,FALSE))</f>
        <v/>
      </c>
      <c r="AB308" s="174" t="str">
        <f t="shared" si="142"/>
        <v/>
      </c>
      <c r="AC308" s="174" t="str">
        <f>IF(AB308="","",IF($I$8="A",(RANK(AB308,AB$11:AB$343)+COUNTIF(AB$11:AB308,AB308)-1),(RANK(AB308,AB$11:AB$343,1)+COUNTIF(AB$11:AB308,AB308)-1)))</f>
        <v/>
      </c>
      <c r="AD308" s="174"/>
      <c r="AE308" s="36" t="str">
        <f t="shared" si="143"/>
        <v/>
      </c>
      <c r="AG308" s="15"/>
      <c r="AH308" s="3"/>
      <c r="AI308" s="5" t="str">
        <f>IF(L308="","",VLOOKUP($L308,classifications!$C:$J,8,FALSE))</f>
        <v/>
      </c>
      <c r="AJ308" s="43" t="str">
        <f t="shared" si="144"/>
        <v/>
      </c>
      <c r="AK308" s="40" t="str">
        <f>IF(AJ308="","",IF(I$8="A",(RANK(AJ308,AJ$11:AJ$343,1)+COUNTIF(AJ$11:AJ308,AJ308)-1),(RANK(AJ308,AJ$11:AJ$343)+COUNTIF(AJ$11:AJ308,AJ308)-1)))</f>
        <v/>
      </c>
      <c r="AL308" s="3" t="str">
        <f t="shared" si="145"/>
        <v/>
      </c>
      <c r="AM308" t="str">
        <f t="shared" si="146"/>
        <v/>
      </c>
      <c r="AN308" t="str">
        <f t="shared" si="147"/>
        <v/>
      </c>
      <c r="AP308" s="5" t="str">
        <f>IF(L308="","",VLOOKUP($L308,classifications!$C:$E,3,FALSE))</f>
        <v/>
      </c>
      <c r="AQ308" s="43" t="str">
        <f t="shared" si="148"/>
        <v/>
      </c>
      <c r="AR308" s="40" t="str">
        <f>IF(AQ308="","",IF(I$8="A",(RANK(AQ308,AQ$11:AQ$343,1)+COUNTIF(AQ$11:AQ308,AQ308)-1),(RANK(AQ308,AQ$11:AQ$343)+COUNTIF(AQ$11:AQ308,AQ308)-1)))</f>
        <v/>
      </c>
      <c r="AS308" s="3" t="str">
        <f t="shared" si="149"/>
        <v/>
      </c>
      <c r="AT308" s="40" t="str">
        <f t="shared" si="150"/>
        <v/>
      </c>
      <c r="AU308" s="43" t="str">
        <f t="shared" si="151"/>
        <v/>
      </c>
      <c r="AX308">
        <f>HLOOKUP($AX$9&amp;$AX$10,Data!$A$1:$ZZ$1980,(MATCH($C308,Data!$A$1:$A$1980,0)),FALSE)</f>
        <v>349.3</v>
      </c>
    </row>
    <row r="309" spans="1:50">
      <c r="A309" s="59" t="str">
        <f>$D$1&amp;299</f>
        <v>UA299</v>
      </c>
      <c r="B309" s="60">
        <f>IF(ISERROR(VLOOKUP(A317,classifications!A:C,3,FALSE)),0,VLOOKUP(A317,classifications!A:C,3,FALSE))</f>
        <v>0</v>
      </c>
      <c r="C309" t="s">
        <v>173</v>
      </c>
      <c r="D309" t="str">
        <f>VLOOKUP($C309,classifications!$C:$J,4,FALSE)</f>
        <v>SD</v>
      </c>
      <c r="E309" t="str">
        <f>VLOOKUP(C309,classifications!C:K,9,FALSE)</f>
        <v>Sparse</v>
      </c>
      <c r="F309">
        <f t="shared" si="129"/>
        <v>349.4</v>
      </c>
      <c r="G309" s="15"/>
      <c r="H309" s="42" t="str">
        <f t="shared" si="130"/>
        <v/>
      </c>
      <c r="I309" s="79" t="str">
        <f>IF(H309="","",IF($I$8="A",(RANK(H309,H$11:H$343,1)+COUNTIF(H$11:H309,H309)-1),(RANK(H309,H$11:H$343)+COUNTIF(H$11:H309,H309)-1)))</f>
        <v/>
      </c>
      <c r="J309" s="41"/>
      <c r="K309" s="36" t="str">
        <f t="shared" si="131"/>
        <v/>
      </c>
      <c r="L309" t="str">
        <f t="shared" si="132"/>
        <v/>
      </c>
      <c r="M309" s="117" t="str">
        <f t="shared" si="133"/>
        <v/>
      </c>
      <c r="N309" s="112" t="str">
        <f t="shared" si="134"/>
        <v/>
      </c>
      <c r="O309" s="96" t="str">
        <f t="shared" si="135"/>
        <v/>
      </c>
      <c r="P309" s="96" t="str">
        <f t="shared" si="136"/>
        <v/>
      </c>
      <c r="Q309" s="96" t="str">
        <f t="shared" si="137"/>
        <v/>
      </c>
      <c r="R309" s="92" t="str">
        <f t="shared" si="138"/>
        <v/>
      </c>
      <c r="S309" s="42" t="str">
        <f t="shared" si="139"/>
        <v/>
      </c>
      <c r="T309" s="167" t="str">
        <f>IF(L309="","",VLOOKUP(L309,classifications!C:K,9,FALSE))</f>
        <v/>
      </c>
      <c r="U309" s="168" t="str">
        <f t="shared" si="140"/>
        <v/>
      </c>
      <c r="V309" s="174" t="str">
        <f>IF(U309="","",IF($I$8="A",(RANK(U309,U$11:U$343)+COUNTIF(U$11:U309,U309)-1),(RANK(U309,U$11:U$343,1)+COUNTIF(U$11:U309,U309)-1)))</f>
        <v/>
      </c>
      <c r="W309" s="175"/>
      <c r="X309" s="5" t="str">
        <f>IF(L309="","",VLOOKUP($L309,classifications!$C:$J,6,FALSE))</f>
        <v/>
      </c>
      <c r="Y309" t="str">
        <f t="shared" si="141"/>
        <v/>
      </c>
      <c r="Z309" s="40" t="str">
        <f>IF(Y309="","",IF(I$8="A",(RANK(Y309,Y$11:Y$343,1)+COUNTIF(Y$11:Y309,Y309)-1),(RANK(Y309,Y$11:Y$343)+COUNTIF(Y$11:Y309,Y309)-1)))</f>
        <v/>
      </c>
      <c r="AA309" s="180" t="str">
        <f>IF(L309="","",VLOOKUP($L309,classifications!C:I,7,FALSE))</f>
        <v/>
      </c>
      <c r="AB309" s="174" t="str">
        <f t="shared" si="142"/>
        <v/>
      </c>
      <c r="AC309" s="174" t="str">
        <f>IF(AB309="","",IF($I$8="A",(RANK(AB309,AB$11:AB$343)+COUNTIF(AB$11:AB309,AB309)-1),(RANK(AB309,AB$11:AB$343,1)+COUNTIF(AB$11:AB309,AB309)-1)))</f>
        <v/>
      </c>
      <c r="AD309" s="174"/>
      <c r="AE309" s="36" t="str">
        <f t="shared" si="143"/>
        <v/>
      </c>
      <c r="AG309" s="15"/>
      <c r="AH309" s="3"/>
      <c r="AI309" s="5" t="str">
        <f>IF(L309="","",VLOOKUP($L309,classifications!$C:$J,8,FALSE))</f>
        <v/>
      </c>
      <c r="AJ309" s="43" t="str">
        <f t="shared" si="144"/>
        <v/>
      </c>
      <c r="AK309" s="40" t="str">
        <f>IF(AJ309="","",IF(I$8="A",(RANK(AJ309,AJ$11:AJ$343,1)+COUNTIF(AJ$11:AJ309,AJ309)-1),(RANK(AJ309,AJ$11:AJ$343)+COUNTIF(AJ$11:AJ309,AJ309)-1)))</f>
        <v/>
      </c>
      <c r="AL309" s="3" t="str">
        <f t="shared" si="145"/>
        <v/>
      </c>
      <c r="AM309" t="str">
        <f t="shared" si="146"/>
        <v/>
      </c>
      <c r="AN309" t="str">
        <f t="shared" si="147"/>
        <v/>
      </c>
      <c r="AP309" s="5" t="str">
        <f>IF(L309="","",VLOOKUP($L309,classifications!$C:$E,3,FALSE))</f>
        <v/>
      </c>
      <c r="AQ309" s="43" t="str">
        <f t="shared" si="148"/>
        <v/>
      </c>
      <c r="AR309" s="40" t="str">
        <f>IF(AQ309="","",IF(I$8="A",(RANK(AQ309,AQ$11:AQ$343,1)+COUNTIF(AQ$11:AQ309,AQ309)-1),(RANK(AQ309,AQ$11:AQ$343)+COUNTIF(AQ$11:AQ309,AQ309)-1)))</f>
        <v/>
      </c>
      <c r="AS309" s="3" t="str">
        <f t="shared" si="149"/>
        <v/>
      </c>
      <c r="AT309" s="40" t="str">
        <f t="shared" si="150"/>
        <v/>
      </c>
      <c r="AU309" s="43" t="str">
        <f t="shared" si="151"/>
        <v/>
      </c>
      <c r="AX309">
        <f>HLOOKUP($AX$9&amp;$AX$10,Data!$A$1:$ZZ$1980,(MATCH($C309,Data!$A$1:$A$1980,0)),FALSE)</f>
        <v>349.4</v>
      </c>
    </row>
    <row r="310" spans="1:50">
      <c r="A310" s="59" t="str">
        <f>$D$1&amp;300</f>
        <v>UA300</v>
      </c>
      <c r="B310" s="60">
        <f>IF(ISERROR(VLOOKUP(A318,classifications!A:C,3,FALSE)),0,VLOOKUP(A318,classifications!A:C,3,FALSE))</f>
        <v>0</v>
      </c>
      <c r="C310" t="s">
        <v>174</v>
      </c>
      <c r="D310" t="str">
        <f>VLOOKUP($C310,classifications!$C:$J,4,FALSE)</f>
        <v>SD</v>
      </c>
      <c r="E310" t="str">
        <f>VLOOKUP(C310,classifications!C:K,9,FALSE)</f>
        <v>Sparse</v>
      </c>
      <c r="F310">
        <f t="shared" si="129"/>
        <v>328.7</v>
      </c>
      <c r="G310" s="15"/>
      <c r="H310" s="42" t="str">
        <f t="shared" si="130"/>
        <v/>
      </c>
      <c r="I310" s="79" t="str">
        <f>IF(H310="","",IF($I$8="A",(RANK(H310,H$11:H$343,1)+COUNTIF(H$11:H310,H310)-1),(RANK(H310,H$11:H$343)+COUNTIF(H$11:H310,H310)-1)))</f>
        <v/>
      </c>
      <c r="J310" s="41"/>
      <c r="K310" s="36" t="str">
        <f t="shared" si="131"/>
        <v/>
      </c>
      <c r="L310" t="str">
        <f t="shared" si="132"/>
        <v/>
      </c>
      <c r="M310" s="117" t="str">
        <f t="shared" si="133"/>
        <v/>
      </c>
      <c r="N310" s="112" t="str">
        <f t="shared" si="134"/>
        <v/>
      </c>
      <c r="O310" s="96" t="str">
        <f t="shared" si="135"/>
        <v/>
      </c>
      <c r="P310" s="96" t="str">
        <f t="shared" si="136"/>
        <v/>
      </c>
      <c r="Q310" s="96" t="str">
        <f t="shared" si="137"/>
        <v/>
      </c>
      <c r="R310" s="92" t="str">
        <f t="shared" si="138"/>
        <v/>
      </c>
      <c r="S310" s="42" t="str">
        <f t="shared" si="139"/>
        <v/>
      </c>
      <c r="T310" s="167" t="str">
        <f>IF(L310="","",VLOOKUP(L310,classifications!C:K,9,FALSE))</f>
        <v/>
      </c>
      <c r="U310" s="168" t="str">
        <f t="shared" si="140"/>
        <v/>
      </c>
      <c r="V310" s="174" t="str">
        <f>IF(U310="","",IF($I$8="A",(RANK(U310,U$11:U$343)+COUNTIF(U$11:U310,U310)-1),(RANK(U310,U$11:U$343,1)+COUNTIF(U$11:U310,U310)-1)))</f>
        <v/>
      </c>
      <c r="W310" s="175"/>
      <c r="X310" s="5" t="str">
        <f>IF(L310="","",VLOOKUP($L310,classifications!$C:$J,6,FALSE))</f>
        <v/>
      </c>
      <c r="Y310" t="str">
        <f t="shared" si="141"/>
        <v/>
      </c>
      <c r="Z310" s="40" t="str">
        <f>IF(Y310="","",IF(I$8="A",(RANK(Y310,Y$11:Y$343,1)+COUNTIF(Y$11:Y310,Y310)-1),(RANK(Y310,Y$11:Y$343)+COUNTIF(Y$11:Y310,Y310)-1)))</f>
        <v/>
      </c>
      <c r="AA310" s="180" t="str">
        <f>IF(L310="","",VLOOKUP($L310,classifications!C:I,7,FALSE))</f>
        <v/>
      </c>
      <c r="AB310" s="174" t="str">
        <f t="shared" si="142"/>
        <v/>
      </c>
      <c r="AC310" s="174" t="str">
        <f>IF(AB310="","",IF($I$8="A",(RANK(AB310,AB$11:AB$343)+COUNTIF(AB$11:AB310,AB310)-1),(RANK(AB310,AB$11:AB$343,1)+COUNTIF(AB$11:AB310,AB310)-1)))</f>
        <v/>
      </c>
      <c r="AD310" s="174"/>
      <c r="AE310" s="36" t="str">
        <f t="shared" si="143"/>
        <v/>
      </c>
      <c r="AG310" s="15"/>
      <c r="AH310" s="3"/>
      <c r="AI310" s="5" t="str">
        <f>IF(L310="","",VLOOKUP($L310,classifications!$C:$J,8,FALSE))</f>
        <v/>
      </c>
      <c r="AJ310" s="43" t="str">
        <f t="shared" si="144"/>
        <v/>
      </c>
      <c r="AK310" s="40" t="str">
        <f>IF(AJ310="","",IF(I$8="A",(RANK(AJ310,AJ$11:AJ$343,1)+COUNTIF(AJ$11:AJ310,AJ310)-1),(RANK(AJ310,AJ$11:AJ$343)+COUNTIF(AJ$11:AJ310,AJ310)-1)))</f>
        <v/>
      </c>
      <c r="AL310" s="3" t="str">
        <f t="shared" si="145"/>
        <v/>
      </c>
      <c r="AM310" t="str">
        <f t="shared" si="146"/>
        <v/>
      </c>
      <c r="AN310" t="str">
        <f t="shared" si="147"/>
        <v/>
      </c>
      <c r="AP310" s="5" t="str">
        <f>IF(L310="","",VLOOKUP($L310,classifications!$C:$E,3,FALSE))</f>
        <v/>
      </c>
      <c r="AQ310" s="43" t="str">
        <f t="shared" si="148"/>
        <v/>
      </c>
      <c r="AR310" s="40" t="str">
        <f>IF(AQ310="","",IF(I$8="A",(RANK(AQ310,AQ$11:AQ$343,1)+COUNTIF(AQ$11:AQ310,AQ310)-1),(RANK(AQ310,AQ$11:AQ$343)+COUNTIF(AQ$11:AQ310,AQ310)-1)))</f>
        <v/>
      </c>
      <c r="AS310" s="3" t="str">
        <f t="shared" si="149"/>
        <v/>
      </c>
      <c r="AT310" s="40" t="str">
        <f t="shared" si="150"/>
        <v/>
      </c>
      <c r="AU310" s="43" t="str">
        <f t="shared" si="151"/>
        <v/>
      </c>
      <c r="AX310">
        <f>HLOOKUP($AX$9&amp;$AX$10,Data!$A$1:$ZZ$1980,(MATCH($C310,Data!$A$1:$A$1980,0)),FALSE)</f>
        <v>328.7</v>
      </c>
    </row>
    <row r="311" spans="1:50">
      <c r="A311" s="59" t="str">
        <f>$D$1&amp;301</f>
        <v>UA301</v>
      </c>
      <c r="B311" s="60">
        <f>IF(ISERROR(VLOOKUP(A319,classifications!A:C,3,FALSE)),0,VLOOKUP(A319,classifications!A:C,3,FALSE))</f>
        <v>0</v>
      </c>
      <c r="C311" t="s">
        <v>254</v>
      </c>
      <c r="D311" t="str">
        <f>VLOOKUP($C311,classifications!$C:$J,4,FALSE)</f>
        <v>MD</v>
      </c>
      <c r="E311">
        <f>VLOOKUP(C311,classifications!C:K,9,FALSE)</f>
        <v>0</v>
      </c>
      <c r="F311">
        <f t="shared" si="129"/>
        <v>419.6</v>
      </c>
      <c r="G311" s="15"/>
      <c r="H311" s="42" t="str">
        <f t="shared" si="130"/>
        <v/>
      </c>
      <c r="I311" s="79" t="str">
        <f>IF(H311="","",IF($I$8="A",(RANK(H311,H$11:H$343,1)+COUNTIF(H$11:H311,H311)-1),(RANK(H311,H$11:H$343)+COUNTIF(H$11:H311,H311)-1)))</f>
        <v/>
      </c>
      <c r="J311" s="41"/>
      <c r="K311" s="36" t="str">
        <f t="shared" si="131"/>
        <v/>
      </c>
      <c r="L311" t="str">
        <f t="shared" si="132"/>
        <v/>
      </c>
      <c r="M311" s="117" t="str">
        <f t="shared" si="133"/>
        <v/>
      </c>
      <c r="N311" s="112" t="str">
        <f t="shared" si="134"/>
        <v/>
      </c>
      <c r="O311" s="96" t="str">
        <f t="shared" si="135"/>
        <v/>
      </c>
      <c r="P311" s="96" t="str">
        <f t="shared" si="136"/>
        <v/>
      </c>
      <c r="Q311" s="96" t="str">
        <f t="shared" si="137"/>
        <v/>
      </c>
      <c r="R311" s="92" t="str">
        <f t="shared" si="138"/>
        <v/>
      </c>
      <c r="S311" s="42" t="str">
        <f t="shared" si="139"/>
        <v/>
      </c>
      <c r="T311" s="167" t="str">
        <f>IF(L311="","",VLOOKUP(L311,classifications!C:K,9,FALSE))</f>
        <v/>
      </c>
      <c r="U311" s="168" t="str">
        <f t="shared" si="140"/>
        <v/>
      </c>
      <c r="V311" s="174" t="str">
        <f>IF(U311="","",IF($I$8="A",(RANK(U311,U$11:U$343)+COUNTIF(U$11:U311,U311)-1),(RANK(U311,U$11:U$343,1)+COUNTIF(U$11:U311,U311)-1)))</f>
        <v/>
      </c>
      <c r="W311" s="175"/>
      <c r="X311" s="5" t="str">
        <f>IF(L311="","",VLOOKUP($L311,classifications!$C:$J,6,FALSE))</f>
        <v/>
      </c>
      <c r="Y311" t="str">
        <f t="shared" si="141"/>
        <v/>
      </c>
      <c r="Z311" s="40" t="str">
        <f>IF(Y311="","",IF(I$8="A",(RANK(Y311,Y$11:Y$343,1)+COUNTIF(Y$11:Y311,Y311)-1),(RANK(Y311,Y$11:Y$343)+COUNTIF(Y$11:Y311,Y311)-1)))</f>
        <v/>
      </c>
      <c r="AA311" s="180" t="str">
        <f>IF(L311="","",VLOOKUP($L311,classifications!C:I,7,FALSE))</f>
        <v/>
      </c>
      <c r="AB311" s="174" t="str">
        <f t="shared" si="142"/>
        <v/>
      </c>
      <c r="AC311" s="174" t="str">
        <f>IF(AB311="","",IF($I$8="A",(RANK(AB311,AB$11:AB$343)+COUNTIF(AB$11:AB311,AB311)-1),(RANK(AB311,AB$11:AB$343,1)+COUNTIF(AB$11:AB311,AB311)-1)))</f>
        <v/>
      </c>
      <c r="AD311" s="174"/>
      <c r="AE311" s="36" t="str">
        <f t="shared" si="143"/>
        <v/>
      </c>
      <c r="AG311" s="15"/>
      <c r="AH311" s="3"/>
      <c r="AI311" s="5" t="str">
        <f>IF(L311="","",VLOOKUP($L311,classifications!$C:$J,8,FALSE))</f>
        <v/>
      </c>
      <c r="AJ311" s="43" t="str">
        <f t="shared" si="144"/>
        <v/>
      </c>
      <c r="AK311" s="40" t="str">
        <f>IF(AJ311="","",IF(I$8="A",(RANK(AJ311,AJ$11:AJ$343,1)+COUNTIF(AJ$11:AJ311,AJ311)-1),(RANK(AJ311,AJ$11:AJ$343)+COUNTIF(AJ$11:AJ311,AJ311)-1)))</f>
        <v/>
      </c>
      <c r="AL311" s="3" t="str">
        <f t="shared" si="145"/>
        <v/>
      </c>
      <c r="AM311" t="str">
        <f t="shared" si="146"/>
        <v/>
      </c>
      <c r="AN311" t="str">
        <f t="shared" si="147"/>
        <v/>
      </c>
      <c r="AP311" s="5" t="str">
        <f>IF(L311="","",VLOOKUP($L311,classifications!$C:$E,3,FALSE))</f>
        <v/>
      </c>
      <c r="AQ311" s="43" t="str">
        <f t="shared" si="148"/>
        <v/>
      </c>
      <c r="AR311" s="40" t="str">
        <f>IF(AQ311="","",IF(I$8="A",(RANK(AQ311,AQ$11:AQ$343,1)+COUNTIF(AQ$11:AQ311,AQ311)-1),(RANK(AQ311,AQ$11:AQ$343)+COUNTIF(AQ$11:AQ311,AQ311)-1)))</f>
        <v/>
      </c>
      <c r="AS311" s="3" t="str">
        <f t="shared" si="149"/>
        <v/>
      </c>
      <c r="AT311" s="40" t="str">
        <f t="shared" si="150"/>
        <v/>
      </c>
      <c r="AU311" s="43" t="str">
        <f t="shared" si="151"/>
        <v/>
      </c>
      <c r="AX311">
        <f>HLOOKUP($AX$9&amp;$AX$10,Data!$A$1:$ZZ$1980,(MATCH($C311,Data!$A$1:$A$1980,0)),FALSE)</f>
        <v>419.6</v>
      </c>
    </row>
    <row r="312" spans="1:50">
      <c r="A312" s="59" t="str">
        <f>$D$1&amp;302</f>
        <v>UA302</v>
      </c>
      <c r="B312" s="60">
        <f>IF(ISERROR(VLOOKUP(A320,classifications!A:C,3,FALSE)),0,VLOOKUP(A320,classifications!A:C,3,FALSE))</f>
        <v>0</v>
      </c>
      <c r="C312" t="s">
        <v>255</v>
      </c>
      <c r="D312" t="str">
        <f>VLOOKUP($C312,classifications!$C:$J,4,FALSE)</f>
        <v>MD</v>
      </c>
      <c r="E312">
        <f>VLOOKUP(C312,classifications!C:K,9,FALSE)</f>
        <v>0</v>
      </c>
      <c r="F312">
        <f t="shared" si="129"/>
        <v>379</v>
      </c>
      <c r="G312" s="15"/>
      <c r="H312" s="42" t="str">
        <f t="shared" si="130"/>
        <v/>
      </c>
      <c r="I312" s="79" t="str">
        <f>IF(H312="","",IF($I$8="A",(RANK(H312,H$11:H$343,1)+COUNTIF(H$11:H312,H312)-1),(RANK(H312,H$11:H$343)+COUNTIF(H$11:H312,H312)-1)))</f>
        <v/>
      </c>
      <c r="J312" s="41"/>
      <c r="K312" s="36" t="str">
        <f t="shared" si="131"/>
        <v/>
      </c>
      <c r="L312" t="str">
        <f t="shared" si="132"/>
        <v/>
      </c>
      <c r="M312" s="117" t="str">
        <f t="shared" si="133"/>
        <v/>
      </c>
      <c r="N312" s="112" t="str">
        <f t="shared" si="134"/>
        <v/>
      </c>
      <c r="O312" s="96" t="str">
        <f t="shared" si="135"/>
        <v/>
      </c>
      <c r="P312" s="96" t="str">
        <f t="shared" si="136"/>
        <v/>
      </c>
      <c r="Q312" s="96" t="str">
        <f t="shared" si="137"/>
        <v/>
      </c>
      <c r="R312" s="92" t="str">
        <f t="shared" si="138"/>
        <v/>
      </c>
      <c r="S312" s="42" t="str">
        <f t="shared" si="139"/>
        <v/>
      </c>
      <c r="T312" s="167" t="str">
        <f>IF(L312="","",VLOOKUP(L312,classifications!C:K,9,FALSE))</f>
        <v/>
      </c>
      <c r="U312" s="168" t="str">
        <f t="shared" si="140"/>
        <v/>
      </c>
      <c r="V312" s="174" t="str">
        <f>IF(U312="","",IF($I$8="A",(RANK(U312,U$11:U$343)+COUNTIF(U$11:U312,U312)-1),(RANK(U312,U$11:U$343,1)+COUNTIF(U$11:U312,U312)-1)))</f>
        <v/>
      </c>
      <c r="W312" s="175"/>
      <c r="X312" s="5" t="str">
        <f>IF(L312="","",VLOOKUP($L312,classifications!$C:$J,6,FALSE))</f>
        <v/>
      </c>
      <c r="Y312" t="str">
        <f t="shared" si="141"/>
        <v/>
      </c>
      <c r="Z312" s="40" t="str">
        <f>IF(Y312="","",IF(I$8="A",(RANK(Y312,Y$11:Y$343,1)+COUNTIF(Y$11:Y312,Y312)-1),(RANK(Y312,Y$11:Y$343)+COUNTIF(Y$11:Y312,Y312)-1)))</f>
        <v/>
      </c>
      <c r="AA312" s="180" t="str">
        <f>IF(L312="","",VLOOKUP($L312,classifications!C:I,7,FALSE))</f>
        <v/>
      </c>
      <c r="AB312" s="174" t="str">
        <f t="shared" si="142"/>
        <v/>
      </c>
      <c r="AC312" s="174" t="str">
        <f>IF(AB312="","",IF($I$8="A",(RANK(AB312,AB$11:AB$343)+COUNTIF(AB$11:AB312,AB312)-1),(RANK(AB312,AB$11:AB$343,1)+COUNTIF(AB$11:AB312,AB312)-1)))</f>
        <v/>
      </c>
      <c r="AD312" s="174"/>
      <c r="AE312" s="36" t="str">
        <f t="shared" si="143"/>
        <v/>
      </c>
      <c r="AG312" s="15"/>
      <c r="AH312" s="3"/>
      <c r="AI312" s="5" t="str">
        <f>IF(L312="","",VLOOKUP($L312,classifications!$C:$J,8,FALSE))</f>
        <v/>
      </c>
      <c r="AJ312" s="43" t="str">
        <f t="shared" si="144"/>
        <v/>
      </c>
      <c r="AK312" s="40" t="str">
        <f>IF(AJ312="","",IF(I$8="A",(RANK(AJ312,AJ$11:AJ$343,1)+COUNTIF(AJ$11:AJ312,AJ312)-1),(RANK(AJ312,AJ$11:AJ$343)+COUNTIF(AJ$11:AJ312,AJ312)-1)))</f>
        <v/>
      </c>
      <c r="AL312" s="3" t="str">
        <f t="shared" si="145"/>
        <v/>
      </c>
      <c r="AM312" t="str">
        <f t="shared" si="146"/>
        <v/>
      </c>
      <c r="AN312" t="str">
        <f t="shared" si="147"/>
        <v/>
      </c>
      <c r="AP312" s="5" t="str">
        <f>IF(L312="","",VLOOKUP($L312,classifications!$C:$E,3,FALSE))</f>
        <v/>
      </c>
      <c r="AQ312" s="43" t="str">
        <f t="shared" si="148"/>
        <v/>
      </c>
      <c r="AR312" s="40" t="str">
        <f>IF(AQ312="","",IF(I$8="A",(RANK(AQ312,AQ$11:AQ$343,1)+COUNTIF(AQ$11:AQ312,AQ312)-1),(RANK(AQ312,AQ$11:AQ$343)+COUNTIF(AQ$11:AQ312,AQ312)-1)))</f>
        <v/>
      </c>
      <c r="AS312" s="3" t="str">
        <f t="shared" si="149"/>
        <v/>
      </c>
      <c r="AT312" s="40" t="str">
        <f t="shared" si="150"/>
        <v/>
      </c>
      <c r="AU312" s="43" t="str">
        <f t="shared" si="151"/>
        <v/>
      </c>
      <c r="AX312">
        <f>HLOOKUP($AX$9&amp;$AX$10,Data!$A$1:$ZZ$1980,(MATCH($C312,Data!$A$1:$A$1980,0)),FALSE)</f>
        <v>379</v>
      </c>
    </row>
    <row r="313" spans="1:50">
      <c r="A313" s="59" t="str">
        <f>$D$1&amp;303</f>
        <v>UA303</v>
      </c>
      <c r="B313" s="60">
        <f>IF(ISERROR(VLOOKUP(A321,classifications!A:C,3,FALSE)),0,VLOOKUP(A321,classifications!A:C,3,FALSE))</f>
        <v>0</v>
      </c>
      <c r="C313" t="s">
        <v>221</v>
      </c>
      <c r="D313" t="str">
        <f>VLOOKUP($C313,classifications!$C:$J,4,FALSE)</f>
        <v>L</v>
      </c>
      <c r="E313">
        <f>VLOOKUP(C313,classifications!C:K,9,FALSE)</f>
        <v>0</v>
      </c>
      <c r="F313">
        <f t="shared" si="129"/>
        <v>318.2</v>
      </c>
      <c r="G313" s="15"/>
      <c r="H313" s="42" t="str">
        <f t="shared" si="130"/>
        <v/>
      </c>
      <c r="I313" s="79" t="str">
        <f>IF(H313="","",IF($I$8="A",(RANK(H313,H$11:H$343,1)+COUNTIF(H$11:H313,H313)-1),(RANK(H313,H$11:H$343)+COUNTIF(H$11:H313,H313)-1)))</f>
        <v/>
      </c>
      <c r="J313" s="41"/>
      <c r="K313" s="36" t="str">
        <f t="shared" si="131"/>
        <v/>
      </c>
      <c r="L313" t="str">
        <f t="shared" si="132"/>
        <v/>
      </c>
      <c r="M313" s="117" t="str">
        <f t="shared" si="133"/>
        <v/>
      </c>
      <c r="N313" s="112" t="str">
        <f t="shared" si="134"/>
        <v/>
      </c>
      <c r="O313" s="96" t="str">
        <f t="shared" si="135"/>
        <v/>
      </c>
      <c r="P313" s="96" t="str">
        <f t="shared" si="136"/>
        <v/>
      </c>
      <c r="Q313" s="96" t="str">
        <f t="shared" si="137"/>
        <v/>
      </c>
      <c r="R313" s="92" t="str">
        <f t="shared" si="138"/>
        <v/>
      </c>
      <c r="S313" s="42" t="str">
        <f t="shared" si="139"/>
        <v/>
      </c>
      <c r="T313" s="167" t="str">
        <f>IF(L313="","",VLOOKUP(L313,classifications!C:K,9,FALSE))</f>
        <v/>
      </c>
      <c r="U313" s="168" t="str">
        <f t="shared" si="140"/>
        <v/>
      </c>
      <c r="V313" s="174" t="str">
        <f>IF(U313="","",IF($I$8="A",(RANK(U313,U$11:U$343)+COUNTIF(U$11:U313,U313)-1),(RANK(U313,U$11:U$343,1)+COUNTIF(U$11:U313,U313)-1)))</f>
        <v/>
      </c>
      <c r="W313" s="175"/>
      <c r="X313" s="5" t="str">
        <f>IF(L313="","",VLOOKUP($L313,classifications!$C:$J,6,FALSE))</f>
        <v/>
      </c>
      <c r="Y313" t="str">
        <f t="shared" si="141"/>
        <v/>
      </c>
      <c r="Z313" s="40" t="str">
        <f>IF(Y313="","",IF(I$8="A",(RANK(Y313,Y$11:Y$343,1)+COUNTIF(Y$11:Y313,Y313)-1),(RANK(Y313,Y$11:Y$343)+COUNTIF(Y$11:Y313,Y313)-1)))</f>
        <v/>
      </c>
      <c r="AA313" s="180" t="str">
        <f>IF(L313="","",VLOOKUP($L313,classifications!C:I,7,FALSE))</f>
        <v/>
      </c>
      <c r="AB313" s="174" t="str">
        <f t="shared" si="142"/>
        <v/>
      </c>
      <c r="AC313" s="174" t="str">
        <f>IF(AB313="","",IF($I$8="A",(RANK(AB313,AB$11:AB$343)+COUNTIF(AB$11:AB313,AB313)-1),(RANK(AB313,AB$11:AB$343,1)+COUNTIF(AB$11:AB313,AB313)-1)))</f>
        <v/>
      </c>
      <c r="AD313" s="174"/>
      <c r="AE313" s="36" t="str">
        <f t="shared" si="143"/>
        <v/>
      </c>
      <c r="AG313" s="15"/>
      <c r="AH313" s="3"/>
      <c r="AI313" s="5" t="str">
        <f>IF(L313="","",VLOOKUP($L313,classifications!$C:$J,8,FALSE))</f>
        <v/>
      </c>
      <c r="AJ313" s="43" t="str">
        <f t="shared" si="144"/>
        <v/>
      </c>
      <c r="AK313" s="40" t="str">
        <f>IF(AJ313="","",IF(I$8="A",(RANK(AJ313,AJ$11:AJ$343,1)+COUNTIF(AJ$11:AJ313,AJ313)-1),(RANK(AJ313,AJ$11:AJ$343)+COUNTIF(AJ$11:AJ313,AJ313)-1)))</f>
        <v/>
      </c>
      <c r="AL313" s="3" t="str">
        <f t="shared" si="145"/>
        <v/>
      </c>
      <c r="AM313" t="str">
        <f t="shared" si="146"/>
        <v/>
      </c>
      <c r="AN313" t="str">
        <f t="shared" si="147"/>
        <v/>
      </c>
      <c r="AP313" s="5" t="str">
        <f>IF(L313="","",VLOOKUP($L313,classifications!$C:$E,3,FALSE))</f>
        <v/>
      </c>
      <c r="AQ313" s="43" t="str">
        <f t="shared" si="148"/>
        <v/>
      </c>
      <c r="AR313" s="40" t="str">
        <f>IF(AQ313="","",IF(I$8="A",(RANK(AQ313,AQ$11:AQ$343,1)+COUNTIF(AQ$11:AQ313,AQ313)-1),(RANK(AQ313,AQ$11:AQ$343)+COUNTIF(AQ$11:AQ313,AQ313)-1)))</f>
        <v/>
      </c>
      <c r="AS313" s="3" t="str">
        <f t="shared" si="149"/>
        <v/>
      </c>
      <c r="AT313" s="40" t="str">
        <f t="shared" si="150"/>
        <v/>
      </c>
      <c r="AU313" s="43" t="str">
        <f t="shared" si="151"/>
        <v/>
      </c>
      <c r="AX313">
        <f>HLOOKUP($AX$9&amp;$AX$10,Data!$A$1:$ZZ$1980,(MATCH($C313,Data!$A$1:$A$1980,0)),FALSE)</f>
        <v>318.2</v>
      </c>
    </row>
    <row r="314" spans="1:50">
      <c r="A314" s="59" t="str">
        <f>$D$1&amp;304</f>
        <v>UA304</v>
      </c>
      <c r="B314" s="60">
        <f>IF(ISERROR(VLOOKUP(A322,classifications!A:C,3,FALSE)),0,VLOOKUP(A322,classifications!A:C,3,FALSE))</f>
        <v>0</v>
      </c>
      <c r="C314" t="s">
        <v>222</v>
      </c>
      <c r="D314" t="str">
        <f>VLOOKUP($C314,classifications!$C:$J,4,FALSE)</f>
        <v>L</v>
      </c>
      <c r="E314">
        <f>VLOOKUP(C314,classifications!C:K,9,FALSE)</f>
        <v>0</v>
      </c>
      <c r="F314">
        <f t="shared" si="129"/>
        <v>285.5</v>
      </c>
      <c r="G314" s="15"/>
      <c r="H314" s="42" t="str">
        <f t="shared" si="130"/>
        <v/>
      </c>
      <c r="I314" s="79" t="str">
        <f>IF(H314="","",IF($I$8="A",(RANK(H314,H$11:H$343,1)+COUNTIF(H$11:H314,H314)-1),(RANK(H314,H$11:H$343)+COUNTIF(H$11:H314,H314)-1)))</f>
        <v/>
      </c>
      <c r="J314" s="41"/>
      <c r="K314" s="36" t="str">
        <f t="shared" si="131"/>
        <v/>
      </c>
      <c r="L314" t="str">
        <f t="shared" si="132"/>
        <v/>
      </c>
      <c r="M314" s="117" t="str">
        <f t="shared" si="133"/>
        <v/>
      </c>
      <c r="N314" s="112" t="str">
        <f t="shared" si="134"/>
        <v/>
      </c>
      <c r="O314" s="96" t="str">
        <f t="shared" si="135"/>
        <v/>
      </c>
      <c r="P314" s="96" t="str">
        <f t="shared" si="136"/>
        <v/>
      </c>
      <c r="Q314" s="96" t="str">
        <f t="shared" si="137"/>
        <v/>
      </c>
      <c r="R314" s="92" t="str">
        <f t="shared" si="138"/>
        <v/>
      </c>
      <c r="S314" s="42" t="str">
        <f t="shared" si="139"/>
        <v/>
      </c>
      <c r="T314" s="167" t="str">
        <f>IF(L314="","",VLOOKUP(L314,classifications!C:K,9,FALSE))</f>
        <v/>
      </c>
      <c r="U314" s="168" t="str">
        <f t="shared" si="140"/>
        <v/>
      </c>
      <c r="V314" s="174" t="str">
        <f>IF(U314="","",IF($I$8="A",(RANK(U314,U$11:U$343)+COUNTIF(U$11:U314,U314)-1),(RANK(U314,U$11:U$343,1)+COUNTIF(U$11:U314,U314)-1)))</f>
        <v/>
      </c>
      <c r="W314" s="175"/>
      <c r="X314" s="5" t="str">
        <f>IF(L314="","",VLOOKUP($L314,classifications!$C:$J,6,FALSE))</f>
        <v/>
      </c>
      <c r="Y314" t="str">
        <f t="shared" si="141"/>
        <v/>
      </c>
      <c r="Z314" s="40" t="str">
        <f>IF(Y314="","",IF(I$8="A",(RANK(Y314,Y$11:Y$343,1)+COUNTIF(Y$11:Y314,Y314)-1),(RANK(Y314,Y$11:Y$343)+COUNTIF(Y$11:Y314,Y314)-1)))</f>
        <v/>
      </c>
      <c r="AA314" s="180" t="str">
        <f>IF(L314="","",VLOOKUP($L314,classifications!C:I,7,FALSE))</f>
        <v/>
      </c>
      <c r="AB314" s="174" t="str">
        <f t="shared" si="142"/>
        <v/>
      </c>
      <c r="AC314" s="174" t="str">
        <f>IF(AB314="","",IF($I$8="A",(RANK(AB314,AB$11:AB$343)+COUNTIF(AB$11:AB314,AB314)-1),(RANK(AB314,AB$11:AB$343,1)+COUNTIF(AB$11:AB314,AB314)-1)))</f>
        <v/>
      </c>
      <c r="AD314" s="174"/>
      <c r="AE314" s="36" t="str">
        <f t="shared" si="143"/>
        <v/>
      </c>
      <c r="AG314" s="15"/>
      <c r="AH314" s="3"/>
      <c r="AI314" s="5" t="str">
        <f>IF(L314="","",VLOOKUP($L314,classifications!$C:$J,8,FALSE))</f>
        <v/>
      </c>
      <c r="AJ314" s="43" t="str">
        <f t="shared" si="144"/>
        <v/>
      </c>
      <c r="AK314" s="40" t="str">
        <f>IF(AJ314="","",IF(I$8="A",(RANK(AJ314,AJ$11:AJ$343,1)+COUNTIF(AJ$11:AJ314,AJ314)-1),(RANK(AJ314,AJ$11:AJ$343)+COUNTIF(AJ$11:AJ314,AJ314)-1)))</f>
        <v/>
      </c>
      <c r="AL314" s="3" t="str">
        <f t="shared" si="145"/>
        <v/>
      </c>
      <c r="AM314" t="str">
        <f t="shared" si="146"/>
        <v/>
      </c>
      <c r="AN314" t="str">
        <f t="shared" si="147"/>
        <v/>
      </c>
      <c r="AP314" s="5" t="str">
        <f>IF(L314="","",VLOOKUP($L314,classifications!$C:$E,3,FALSE))</f>
        <v/>
      </c>
      <c r="AQ314" s="43" t="str">
        <f t="shared" si="148"/>
        <v/>
      </c>
      <c r="AR314" s="40" t="str">
        <f>IF(AQ314="","",IF(I$8="A",(RANK(AQ314,AQ$11:AQ$343,1)+COUNTIF(AQ$11:AQ314,AQ314)-1),(RANK(AQ314,AQ$11:AQ$343)+COUNTIF(AQ$11:AQ314,AQ314)-1)))</f>
        <v/>
      </c>
      <c r="AS314" s="3" t="str">
        <f t="shared" si="149"/>
        <v/>
      </c>
      <c r="AT314" s="40" t="str">
        <f t="shared" si="150"/>
        <v/>
      </c>
      <c r="AU314" s="43" t="str">
        <f t="shared" si="151"/>
        <v/>
      </c>
      <c r="AX314">
        <f>HLOOKUP($AX$9&amp;$AX$10,Data!$A$1:$ZZ$1980,(MATCH($C314,Data!$A$1:$A$1980,0)),FALSE)</f>
        <v>285.5</v>
      </c>
    </row>
    <row r="315" spans="1:50">
      <c r="A315" s="59" t="str">
        <f>$D$1&amp;305</f>
        <v>UA305</v>
      </c>
      <c r="B315" s="60">
        <f>IF(ISERROR(VLOOKUP(A323,classifications!A:C,3,FALSE)),0,VLOOKUP(A323,classifications!A:C,3,FALSE))</f>
        <v>0</v>
      </c>
      <c r="C315" t="s">
        <v>296</v>
      </c>
      <c r="D315" t="str">
        <f>VLOOKUP($C315,classifications!$C:$J,4,FALSE)</f>
        <v>UA</v>
      </c>
      <c r="E315">
        <f>VLOOKUP(C315,classifications!C:K,9,FALSE)</f>
        <v>0</v>
      </c>
      <c r="F315">
        <f t="shared" si="129"/>
        <v>411.3</v>
      </c>
      <c r="G315" s="15"/>
      <c r="H315" s="42">
        <f t="shared" si="130"/>
        <v>411.3</v>
      </c>
      <c r="I315" s="79">
        <f>IF(H315="","",IF($I$8="A",(RANK(H315,H$11:H$343,1)+COUNTIF(H$11:H315,H315)-1),(RANK(H315,H$11:H$343)+COUNTIF(H$11:H315,H315)-1)))</f>
        <v>39</v>
      </c>
      <c r="J315" s="41"/>
      <c r="K315" s="36" t="str">
        <f t="shared" si="131"/>
        <v/>
      </c>
      <c r="L315" t="str">
        <f t="shared" si="132"/>
        <v/>
      </c>
      <c r="M315" s="117" t="str">
        <f t="shared" si="133"/>
        <v/>
      </c>
      <c r="N315" s="112" t="str">
        <f t="shared" si="134"/>
        <v/>
      </c>
      <c r="O315" s="96" t="str">
        <f t="shared" si="135"/>
        <v/>
      </c>
      <c r="P315" s="96" t="str">
        <f t="shared" si="136"/>
        <v/>
      </c>
      <c r="Q315" s="96" t="str">
        <f t="shared" si="137"/>
        <v/>
      </c>
      <c r="R315" s="92" t="str">
        <f t="shared" si="138"/>
        <v/>
      </c>
      <c r="S315" s="42" t="str">
        <f t="shared" si="139"/>
        <v/>
      </c>
      <c r="T315" s="167" t="str">
        <f>IF(L315="","",VLOOKUP(L315,classifications!C:K,9,FALSE))</f>
        <v/>
      </c>
      <c r="U315" s="168" t="str">
        <f t="shared" si="140"/>
        <v/>
      </c>
      <c r="V315" s="174" t="str">
        <f>IF(U315="","",IF($I$8="A",(RANK(U315,U$11:U$343)+COUNTIF(U$11:U315,U315)-1),(RANK(U315,U$11:U$343,1)+COUNTIF(U$11:U315,U315)-1)))</f>
        <v/>
      </c>
      <c r="W315" s="175"/>
      <c r="X315" s="5" t="str">
        <f>IF(L315="","",VLOOKUP($L315,classifications!$C:$J,6,FALSE))</f>
        <v/>
      </c>
      <c r="Y315" t="str">
        <f t="shared" si="141"/>
        <v/>
      </c>
      <c r="Z315" s="40" t="str">
        <f>IF(Y315="","",IF(I$8="A",(RANK(Y315,Y$11:Y$343,1)+COUNTIF(Y$11:Y315,Y315)-1),(RANK(Y315,Y$11:Y$343)+COUNTIF(Y$11:Y315,Y315)-1)))</f>
        <v/>
      </c>
      <c r="AA315" s="180" t="str">
        <f>IF(L315="","",VLOOKUP($L315,classifications!C:I,7,FALSE))</f>
        <v/>
      </c>
      <c r="AB315" s="174" t="str">
        <f t="shared" si="142"/>
        <v/>
      </c>
      <c r="AC315" s="174" t="str">
        <f>IF(AB315="","",IF($I$8="A",(RANK(AB315,AB$11:AB$343)+COUNTIF(AB$11:AB315,AB315)-1),(RANK(AB315,AB$11:AB$343,1)+COUNTIF(AB$11:AB315,AB315)-1)))</f>
        <v/>
      </c>
      <c r="AD315" s="174"/>
      <c r="AE315" s="36" t="str">
        <f t="shared" si="143"/>
        <v/>
      </c>
      <c r="AG315" s="15"/>
      <c r="AH315" s="3"/>
      <c r="AI315" s="5" t="str">
        <f>IF(L315="","",VLOOKUP($L315,classifications!$C:$J,8,FALSE))</f>
        <v/>
      </c>
      <c r="AJ315" s="43" t="str">
        <f t="shared" si="144"/>
        <v/>
      </c>
      <c r="AK315" s="40" t="str">
        <f>IF(AJ315="","",IF(I$8="A",(RANK(AJ315,AJ$11:AJ$343,1)+COUNTIF(AJ$11:AJ315,AJ315)-1),(RANK(AJ315,AJ$11:AJ$343)+COUNTIF(AJ$11:AJ315,AJ315)-1)))</f>
        <v/>
      </c>
      <c r="AL315" s="3" t="str">
        <f t="shared" si="145"/>
        <v/>
      </c>
      <c r="AM315" t="str">
        <f t="shared" si="146"/>
        <v/>
      </c>
      <c r="AN315" t="str">
        <f t="shared" si="147"/>
        <v/>
      </c>
      <c r="AP315" s="5" t="str">
        <f>IF(L315="","",VLOOKUP($L315,classifications!$C:$E,3,FALSE))</f>
        <v/>
      </c>
      <c r="AQ315" s="43" t="str">
        <f t="shared" si="148"/>
        <v/>
      </c>
      <c r="AR315" s="40" t="str">
        <f>IF(AQ315="","",IF(I$8="A",(RANK(AQ315,AQ$11:AQ$343,1)+COUNTIF(AQ$11:AQ315,AQ315)-1),(RANK(AQ315,AQ$11:AQ$343)+COUNTIF(AQ$11:AQ315,AQ315)-1)))</f>
        <v/>
      </c>
      <c r="AS315" s="3" t="str">
        <f t="shared" si="149"/>
        <v/>
      </c>
      <c r="AT315" s="40" t="str">
        <f t="shared" si="150"/>
        <v/>
      </c>
      <c r="AU315" s="43" t="str">
        <f t="shared" si="151"/>
        <v/>
      </c>
      <c r="AX315">
        <f>HLOOKUP($AX$9&amp;$AX$10,Data!$A$1:$ZZ$1980,(MATCH($C315,Data!$A$1:$A$1980,0)),FALSE)</f>
        <v>411.3</v>
      </c>
    </row>
    <row r="316" spans="1:50">
      <c r="A316" s="59" t="str">
        <f>$D$1&amp;306</f>
        <v>UA306</v>
      </c>
      <c r="B316" s="60">
        <f>IF(ISERROR(VLOOKUP(A324,classifications!A:C,3,FALSE)),0,VLOOKUP(A324,classifications!A:C,3,FALSE))</f>
        <v>0</v>
      </c>
      <c r="C316" t="s">
        <v>175</v>
      </c>
      <c r="D316" t="str">
        <f>VLOOKUP($C316,classifications!$C:$J,4,FALSE)</f>
        <v>SD</v>
      </c>
      <c r="E316">
        <f>VLOOKUP(C316,classifications!C:K,9,FALSE)</f>
        <v>0</v>
      </c>
      <c r="F316">
        <f t="shared" si="129"/>
        <v>348.9</v>
      </c>
      <c r="G316" s="15"/>
      <c r="H316" s="42" t="str">
        <f t="shared" si="130"/>
        <v/>
      </c>
      <c r="I316" s="79" t="str">
        <f>IF(H316="","",IF($I$8="A",(RANK(H316,H$11:H$343,1)+COUNTIF(H$11:H316,H316)-1),(RANK(H316,H$11:H$343)+COUNTIF(H$11:H316,H316)-1)))</f>
        <v/>
      </c>
      <c r="J316" s="41"/>
      <c r="K316" s="36" t="str">
        <f t="shared" si="131"/>
        <v/>
      </c>
      <c r="L316" t="str">
        <f t="shared" si="132"/>
        <v/>
      </c>
      <c r="M316" s="117" t="str">
        <f t="shared" si="133"/>
        <v/>
      </c>
      <c r="N316" s="112" t="str">
        <f t="shared" si="134"/>
        <v/>
      </c>
      <c r="O316" s="96" t="str">
        <f t="shared" si="135"/>
        <v/>
      </c>
      <c r="P316" s="96" t="str">
        <f t="shared" si="136"/>
        <v/>
      </c>
      <c r="Q316" s="96" t="str">
        <f t="shared" si="137"/>
        <v/>
      </c>
      <c r="R316" s="92" t="str">
        <f t="shared" si="138"/>
        <v/>
      </c>
      <c r="S316" s="42" t="str">
        <f t="shared" si="139"/>
        <v/>
      </c>
      <c r="T316" s="167" t="str">
        <f>IF(L316="","",VLOOKUP(L316,classifications!C:K,9,FALSE))</f>
        <v/>
      </c>
      <c r="U316" s="168" t="str">
        <f t="shared" si="140"/>
        <v/>
      </c>
      <c r="V316" s="174" t="str">
        <f>IF(U316="","",IF($I$8="A",(RANK(U316,U$11:U$343)+COUNTIF(U$11:U316,U316)-1),(RANK(U316,U$11:U$343,1)+COUNTIF(U$11:U316,U316)-1)))</f>
        <v/>
      </c>
      <c r="W316" s="175"/>
      <c r="X316" s="5" t="str">
        <f>IF(L316="","",VLOOKUP($L316,classifications!$C:$J,6,FALSE))</f>
        <v/>
      </c>
      <c r="Y316" t="str">
        <f t="shared" si="141"/>
        <v/>
      </c>
      <c r="Z316" s="40" t="str">
        <f>IF(Y316="","",IF(I$8="A",(RANK(Y316,Y$11:Y$343,1)+COUNTIF(Y$11:Y316,Y316)-1),(RANK(Y316,Y$11:Y$343)+COUNTIF(Y$11:Y316,Y316)-1)))</f>
        <v/>
      </c>
      <c r="AA316" s="180" t="str">
        <f>IF(L316="","",VLOOKUP($L316,classifications!C:I,7,FALSE))</f>
        <v/>
      </c>
      <c r="AB316" s="174" t="str">
        <f t="shared" si="142"/>
        <v/>
      </c>
      <c r="AC316" s="174" t="str">
        <f>IF(AB316="","",IF($I$8="A",(RANK(AB316,AB$11:AB$343)+COUNTIF(AB$11:AB316,AB316)-1),(RANK(AB316,AB$11:AB$343,1)+COUNTIF(AB$11:AB316,AB316)-1)))</f>
        <v/>
      </c>
      <c r="AD316" s="174"/>
      <c r="AE316" s="36" t="str">
        <f t="shared" si="143"/>
        <v/>
      </c>
      <c r="AG316" s="15"/>
      <c r="AH316" s="3"/>
      <c r="AI316" s="5" t="str">
        <f>IF(L316="","",VLOOKUP($L316,classifications!$C:$J,8,FALSE))</f>
        <v/>
      </c>
      <c r="AJ316" s="43" t="str">
        <f t="shared" si="144"/>
        <v/>
      </c>
      <c r="AK316" s="40" t="str">
        <f>IF(AJ316="","",IF(I$8="A",(RANK(AJ316,AJ$11:AJ$343,1)+COUNTIF(AJ$11:AJ316,AJ316)-1),(RANK(AJ316,AJ$11:AJ$343)+COUNTIF(AJ$11:AJ316,AJ316)-1)))</f>
        <v/>
      </c>
      <c r="AL316" s="3" t="str">
        <f t="shared" si="145"/>
        <v/>
      </c>
      <c r="AM316" t="str">
        <f t="shared" si="146"/>
        <v/>
      </c>
      <c r="AN316" t="str">
        <f t="shared" si="147"/>
        <v/>
      </c>
      <c r="AP316" s="5" t="str">
        <f>IF(L316="","",VLOOKUP($L316,classifications!$C:$E,3,FALSE))</f>
        <v/>
      </c>
      <c r="AQ316" s="43" t="str">
        <f t="shared" si="148"/>
        <v/>
      </c>
      <c r="AR316" s="40" t="str">
        <f>IF(AQ316="","",IF(I$8="A",(RANK(AQ316,AQ$11:AQ$343,1)+COUNTIF(AQ$11:AQ316,AQ316)-1),(RANK(AQ316,AQ$11:AQ$343)+COUNTIF(AQ$11:AQ316,AQ316)-1)))</f>
        <v/>
      </c>
      <c r="AS316" s="3" t="str">
        <f t="shared" si="149"/>
        <v/>
      </c>
      <c r="AT316" s="40" t="str">
        <f t="shared" si="150"/>
        <v/>
      </c>
      <c r="AU316" s="43" t="str">
        <f t="shared" si="151"/>
        <v/>
      </c>
      <c r="AX316">
        <f>HLOOKUP($AX$9&amp;$AX$10,Data!$A$1:$ZZ$1980,(MATCH($C316,Data!$A$1:$A$1980,0)),FALSE)</f>
        <v>348.9</v>
      </c>
    </row>
    <row r="317" spans="1:50">
      <c r="A317" s="59" t="str">
        <f>$D$1&amp;307</f>
        <v>UA307</v>
      </c>
      <c r="B317" s="60">
        <f>IF(ISERROR(VLOOKUP(A325,classifications!A:C,3,FALSE)),0,VLOOKUP(A325,classifications!A:C,3,FALSE))</f>
        <v>0</v>
      </c>
      <c r="C317" t="s">
        <v>331</v>
      </c>
      <c r="D317" t="str">
        <f>VLOOKUP($C317,classifications!$C:$J,4,FALSE)</f>
        <v>SC</v>
      </c>
      <c r="E317">
        <f>VLOOKUP(C317,classifications!C:K,9,FALSE)</f>
        <v>0</v>
      </c>
      <c r="F317">
        <f t="shared" si="129"/>
        <v>389.3</v>
      </c>
      <c r="G317" s="15"/>
      <c r="H317" s="42" t="str">
        <f t="shared" si="130"/>
        <v/>
      </c>
      <c r="I317" s="79" t="str">
        <f>IF(H317="","",IF($I$8="A",(RANK(H317,H$11:H$343,1)+COUNTIF(H$11:H317,H317)-1),(RANK(H317,H$11:H$343)+COUNTIF(H$11:H317,H317)-1)))</f>
        <v/>
      </c>
      <c r="J317" s="41"/>
      <c r="K317" s="36" t="str">
        <f t="shared" si="131"/>
        <v/>
      </c>
      <c r="L317" t="str">
        <f t="shared" si="132"/>
        <v/>
      </c>
      <c r="M317" s="117" t="str">
        <f t="shared" si="133"/>
        <v/>
      </c>
      <c r="N317" s="112" t="str">
        <f t="shared" si="134"/>
        <v/>
      </c>
      <c r="O317" s="96" t="str">
        <f t="shared" si="135"/>
        <v/>
      </c>
      <c r="P317" s="96" t="str">
        <f t="shared" si="136"/>
        <v/>
      </c>
      <c r="Q317" s="96" t="str">
        <f t="shared" si="137"/>
        <v/>
      </c>
      <c r="R317" s="92" t="str">
        <f t="shared" si="138"/>
        <v/>
      </c>
      <c r="S317" s="42" t="str">
        <f t="shared" si="139"/>
        <v/>
      </c>
      <c r="T317" s="167" t="str">
        <f>IF(L317="","",VLOOKUP(L317,classifications!C:K,9,FALSE))</f>
        <v/>
      </c>
      <c r="U317" s="168" t="str">
        <f t="shared" si="140"/>
        <v/>
      </c>
      <c r="V317" s="174" t="str">
        <f>IF(U317="","",IF($I$8="A",(RANK(U317,U$11:U$343)+COUNTIF(U$11:U317,U317)-1),(RANK(U317,U$11:U$343,1)+COUNTIF(U$11:U317,U317)-1)))</f>
        <v/>
      </c>
      <c r="W317" s="175"/>
      <c r="X317" s="5" t="str">
        <f>IF(L317="","",VLOOKUP($L317,classifications!$C:$J,6,FALSE))</f>
        <v/>
      </c>
      <c r="Y317" t="str">
        <f t="shared" si="141"/>
        <v/>
      </c>
      <c r="Z317" s="40" t="str">
        <f>IF(Y317="","",IF(I$8="A",(RANK(Y317,Y$11:Y$343,1)+COUNTIF(Y$11:Y317,Y317)-1),(RANK(Y317,Y$11:Y$343)+COUNTIF(Y$11:Y317,Y317)-1)))</f>
        <v/>
      </c>
      <c r="AA317" s="180" t="str">
        <f>IF(L317="","",VLOOKUP($L317,classifications!C:I,7,FALSE))</f>
        <v/>
      </c>
      <c r="AB317" s="174" t="str">
        <f t="shared" si="142"/>
        <v/>
      </c>
      <c r="AC317" s="174" t="str">
        <f>IF(AB317="","",IF($I$8="A",(RANK(AB317,AB$11:AB$343)+COUNTIF(AB$11:AB317,AB317)-1),(RANK(AB317,AB$11:AB$343,1)+COUNTIF(AB$11:AB317,AB317)-1)))</f>
        <v/>
      </c>
      <c r="AD317" s="174"/>
      <c r="AE317" s="36" t="str">
        <f t="shared" si="143"/>
        <v/>
      </c>
      <c r="AG317" s="15"/>
      <c r="AH317" s="3"/>
      <c r="AI317" s="5" t="str">
        <f>IF(L317="","",VLOOKUP($L317,classifications!$C:$J,8,FALSE))</f>
        <v/>
      </c>
      <c r="AJ317" s="43" t="str">
        <f t="shared" si="144"/>
        <v/>
      </c>
      <c r="AK317" s="40" t="str">
        <f>IF(AJ317="","",IF(I$8="A",(RANK(AJ317,AJ$11:AJ$343,1)+COUNTIF(AJ$11:AJ317,AJ317)-1),(RANK(AJ317,AJ$11:AJ$343)+COUNTIF(AJ$11:AJ317,AJ317)-1)))</f>
        <v/>
      </c>
      <c r="AL317" s="3" t="str">
        <f t="shared" si="145"/>
        <v/>
      </c>
      <c r="AM317" t="str">
        <f t="shared" si="146"/>
        <v/>
      </c>
      <c r="AN317" t="str">
        <f t="shared" si="147"/>
        <v/>
      </c>
      <c r="AP317" s="5" t="str">
        <f>IF(L317="","",VLOOKUP($L317,classifications!$C:$E,3,FALSE))</f>
        <v/>
      </c>
      <c r="AQ317" s="43" t="str">
        <f t="shared" si="148"/>
        <v/>
      </c>
      <c r="AR317" s="40" t="str">
        <f>IF(AQ317="","",IF(I$8="A",(RANK(AQ317,AQ$11:AQ$343,1)+COUNTIF(AQ$11:AQ317,AQ317)-1),(RANK(AQ317,AQ$11:AQ$343)+COUNTIF(AQ$11:AQ317,AQ317)-1)))</f>
        <v/>
      </c>
      <c r="AS317" s="3" t="str">
        <f t="shared" si="149"/>
        <v/>
      </c>
      <c r="AT317" s="40" t="str">
        <f t="shared" si="150"/>
        <v/>
      </c>
      <c r="AU317" s="43" t="str">
        <f t="shared" si="151"/>
        <v/>
      </c>
      <c r="AX317">
        <f>HLOOKUP($AX$9&amp;$AX$10,Data!$A$1:$ZZ$1980,(MATCH($C317,Data!$A$1:$A$1980,0)),FALSE)</f>
        <v>389.3</v>
      </c>
    </row>
    <row r="318" spans="1:50">
      <c r="A318" s="59" t="str">
        <f>$D$1&amp;308</f>
        <v>UA308</v>
      </c>
      <c r="B318" s="60">
        <f>IF(ISERROR(VLOOKUP(A326,classifications!A:C,3,FALSE)),0,VLOOKUP(A326,classifications!A:C,3,FALSE))</f>
        <v>0</v>
      </c>
      <c r="C318" t="s">
        <v>176</v>
      </c>
      <c r="D318" t="str">
        <f>VLOOKUP($C318,classifications!$C:$J,4,FALSE)</f>
        <v>SD</v>
      </c>
      <c r="E318">
        <f>VLOOKUP(C318,classifications!C:K,9,FALSE)</f>
        <v>0</v>
      </c>
      <c r="F318">
        <f t="shared" si="129"/>
        <v>305.10000000000002</v>
      </c>
      <c r="G318" s="15"/>
      <c r="H318" s="42" t="str">
        <f t="shared" si="130"/>
        <v/>
      </c>
      <c r="I318" s="79" t="str">
        <f>IF(H318="","",IF($I$8="A",(RANK(H318,H$11:H$343,1)+COUNTIF(H$11:H318,H318)-1),(RANK(H318,H$11:H$343)+COUNTIF(H$11:H318,H318)-1)))</f>
        <v/>
      </c>
      <c r="J318" s="41"/>
      <c r="K318" s="36" t="str">
        <f t="shared" si="131"/>
        <v/>
      </c>
      <c r="L318" t="str">
        <f t="shared" si="132"/>
        <v/>
      </c>
      <c r="M318" s="117" t="str">
        <f t="shared" si="133"/>
        <v/>
      </c>
      <c r="N318" s="112" t="str">
        <f t="shared" si="134"/>
        <v/>
      </c>
      <c r="O318" s="96" t="str">
        <f t="shared" si="135"/>
        <v/>
      </c>
      <c r="P318" s="96" t="str">
        <f t="shared" si="136"/>
        <v/>
      </c>
      <c r="Q318" s="96" t="str">
        <f t="shared" si="137"/>
        <v/>
      </c>
      <c r="R318" s="92" t="str">
        <f t="shared" si="138"/>
        <v/>
      </c>
      <c r="S318" s="42" t="str">
        <f t="shared" si="139"/>
        <v/>
      </c>
      <c r="T318" s="167" t="str">
        <f>IF(L318="","",VLOOKUP(L318,classifications!C:K,9,FALSE))</f>
        <v/>
      </c>
      <c r="U318" s="168" t="str">
        <f t="shared" si="140"/>
        <v/>
      </c>
      <c r="V318" s="174" t="str">
        <f>IF(U318="","",IF($I$8="A",(RANK(U318,U$11:U$343)+COUNTIF(U$11:U318,U318)-1),(RANK(U318,U$11:U$343,1)+COUNTIF(U$11:U318,U318)-1)))</f>
        <v/>
      </c>
      <c r="W318" s="175"/>
      <c r="X318" s="5" t="str">
        <f>IF(L318="","",VLOOKUP($L318,classifications!$C:$J,6,FALSE))</f>
        <v/>
      </c>
      <c r="Y318" t="str">
        <f t="shared" si="141"/>
        <v/>
      </c>
      <c r="Z318" s="40" t="str">
        <f>IF(Y318="","",IF(I$8="A",(RANK(Y318,Y$11:Y$343,1)+COUNTIF(Y$11:Y318,Y318)-1),(RANK(Y318,Y$11:Y$343)+COUNTIF(Y$11:Y318,Y318)-1)))</f>
        <v/>
      </c>
      <c r="AA318" s="180" t="str">
        <f>IF(L318="","",VLOOKUP($L318,classifications!C:I,7,FALSE))</f>
        <v/>
      </c>
      <c r="AB318" s="174" t="str">
        <f t="shared" si="142"/>
        <v/>
      </c>
      <c r="AC318" s="174" t="str">
        <f>IF(AB318="","",IF($I$8="A",(RANK(AB318,AB$11:AB$343)+COUNTIF(AB$11:AB318,AB318)-1),(RANK(AB318,AB$11:AB$343,1)+COUNTIF(AB$11:AB318,AB318)-1)))</f>
        <v/>
      </c>
      <c r="AD318" s="174"/>
      <c r="AE318" s="36" t="str">
        <f t="shared" si="143"/>
        <v/>
      </c>
      <c r="AG318" s="15"/>
      <c r="AH318" s="3"/>
      <c r="AI318" s="5" t="str">
        <f>IF(L318="","",VLOOKUP($L318,classifications!$C:$J,8,FALSE))</f>
        <v/>
      </c>
      <c r="AJ318" s="43" t="str">
        <f t="shared" si="144"/>
        <v/>
      </c>
      <c r="AK318" s="40" t="str">
        <f>IF(AJ318="","",IF(I$8="A",(RANK(AJ318,AJ$11:AJ$343,1)+COUNTIF(AJ$11:AJ318,AJ318)-1),(RANK(AJ318,AJ$11:AJ$343)+COUNTIF(AJ$11:AJ318,AJ318)-1)))</f>
        <v/>
      </c>
      <c r="AL318" s="3" t="str">
        <f t="shared" si="145"/>
        <v/>
      </c>
      <c r="AM318" t="str">
        <f t="shared" si="146"/>
        <v/>
      </c>
      <c r="AN318" t="str">
        <f t="shared" si="147"/>
        <v/>
      </c>
      <c r="AP318" s="5" t="str">
        <f>IF(L318="","",VLOOKUP($L318,classifications!$C:$E,3,FALSE))</f>
        <v/>
      </c>
      <c r="AQ318" s="43" t="str">
        <f t="shared" si="148"/>
        <v/>
      </c>
      <c r="AR318" s="40" t="str">
        <f>IF(AQ318="","",IF(I$8="A",(RANK(AQ318,AQ$11:AQ$343,1)+COUNTIF(AQ$11:AQ318,AQ318)-1),(RANK(AQ318,AQ$11:AQ$343)+COUNTIF(AQ$11:AQ318,AQ318)-1)))</f>
        <v/>
      </c>
      <c r="AS318" s="3" t="str">
        <f t="shared" si="149"/>
        <v/>
      </c>
      <c r="AT318" s="40" t="str">
        <f t="shared" si="150"/>
        <v/>
      </c>
      <c r="AU318" s="43" t="str">
        <f t="shared" si="151"/>
        <v/>
      </c>
      <c r="AX318">
        <f>HLOOKUP($AX$9&amp;$AX$10,Data!$A$1:$ZZ$1980,(MATCH($C318,Data!$A$1:$A$1980,0)),FALSE)</f>
        <v>305.10000000000002</v>
      </c>
    </row>
    <row r="319" spans="1:50">
      <c r="A319" s="59" t="str">
        <f>$D$1&amp;309</f>
        <v>UA309</v>
      </c>
      <c r="B319" s="60">
        <f>IF(ISERROR(VLOOKUP(A327,classifications!A:C,3,FALSE)),0,VLOOKUP(A327,classifications!A:C,3,FALSE))</f>
        <v>0</v>
      </c>
      <c r="C319" t="s">
        <v>178</v>
      </c>
      <c r="D319" t="str">
        <f>VLOOKUP($C319,classifications!$C:$J,4,FALSE)</f>
        <v>SD</v>
      </c>
      <c r="E319">
        <f>VLOOKUP(C319,classifications!C:K,9,FALSE)</f>
        <v>0</v>
      </c>
      <c r="F319">
        <f t="shared" si="129"/>
        <v>345.7</v>
      </c>
      <c r="G319" s="15"/>
      <c r="H319" s="42" t="str">
        <f t="shared" si="130"/>
        <v/>
      </c>
      <c r="I319" s="79" t="str">
        <f>IF(H319="","",IF($I$8="A",(RANK(H319,H$11:H$343,1)+COUNTIF(H$11:H319,H319)-1),(RANK(H319,H$11:H$343)+COUNTIF(H$11:H319,H319)-1)))</f>
        <v/>
      </c>
      <c r="J319" s="41"/>
      <c r="K319" s="36" t="str">
        <f t="shared" si="131"/>
        <v/>
      </c>
      <c r="L319" t="str">
        <f t="shared" si="132"/>
        <v/>
      </c>
      <c r="M319" s="117" t="str">
        <f t="shared" si="133"/>
        <v/>
      </c>
      <c r="N319" s="112" t="str">
        <f t="shared" si="134"/>
        <v/>
      </c>
      <c r="O319" s="96" t="str">
        <f t="shared" si="135"/>
        <v/>
      </c>
      <c r="P319" s="96" t="str">
        <f t="shared" si="136"/>
        <v/>
      </c>
      <c r="Q319" s="96" t="str">
        <f t="shared" si="137"/>
        <v/>
      </c>
      <c r="R319" s="92" t="str">
        <f t="shared" si="138"/>
        <v/>
      </c>
      <c r="S319" s="42" t="str">
        <f t="shared" si="139"/>
        <v/>
      </c>
      <c r="T319" s="167" t="str">
        <f>IF(L319="","",VLOOKUP(L319,classifications!C:K,9,FALSE))</f>
        <v/>
      </c>
      <c r="U319" s="168" t="str">
        <f t="shared" si="140"/>
        <v/>
      </c>
      <c r="V319" s="174" t="str">
        <f>IF(U319="","",IF($I$8="A",(RANK(U319,U$11:U$343)+COUNTIF(U$11:U319,U319)-1),(RANK(U319,U$11:U$343,1)+COUNTIF(U$11:U319,U319)-1)))</f>
        <v/>
      </c>
      <c r="W319" s="175"/>
      <c r="X319" s="5" t="str">
        <f>IF(L319="","",VLOOKUP($L319,classifications!$C:$J,6,FALSE))</f>
        <v/>
      </c>
      <c r="Y319" t="str">
        <f t="shared" si="141"/>
        <v/>
      </c>
      <c r="Z319" s="40" t="str">
        <f>IF(Y319="","",IF(I$8="A",(RANK(Y319,Y$11:Y$343,1)+COUNTIF(Y$11:Y319,Y319)-1),(RANK(Y319,Y$11:Y$343)+COUNTIF(Y$11:Y319,Y319)-1)))</f>
        <v/>
      </c>
      <c r="AA319" s="180" t="str">
        <f>IF(L319="","",VLOOKUP($L319,classifications!C:I,7,FALSE))</f>
        <v/>
      </c>
      <c r="AB319" s="174" t="str">
        <f t="shared" si="142"/>
        <v/>
      </c>
      <c r="AC319" s="174" t="str">
        <f>IF(AB319="","",IF($I$8="A",(RANK(AB319,AB$11:AB$343)+COUNTIF(AB$11:AB319,AB319)-1),(RANK(AB319,AB$11:AB$343,1)+COUNTIF(AB$11:AB319,AB319)-1)))</f>
        <v/>
      </c>
      <c r="AD319" s="174"/>
      <c r="AE319" s="36" t="str">
        <f t="shared" si="143"/>
        <v/>
      </c>
      <c r="AG319" s="15"/>
      <c r="AH319" s="3"/>
      <c r="AI319" s="5" t="str">
        <f>IF(L319="","",VLOOKUP($L319,classifications!$C:$J,8,FALSE))</f>
        <v/>
      </c>
      <c r="AJ319" s="43" t="str">
        <f t="shared" si="144"/>
        <v/>
      </c>
      <c r="AK319" s="40" t="str">
        <f>IF(AJ319="","",IF(I$8="A",(RANK(AJ319,AJ$11:AJ$343,1)+COUNTIF(AJ$11:AJ319,AJ319)-1),(RANK(AJ319,AJ$11:AJ$343)+COUNTIF(AJ$11:AJ319,AJ319)-1)))</f>
        <v/>
      </c>
      <c r="AL319" s="3" t="str">
        <f t="shared" si="145"/>
        <v/>
      </c>
      <c r="AM319" t="str">
        <f t="shared" si="146"/>
        <v/>
      </c>
      <c r="AN319" t="str">
        <f t="shared" si="147"/>
        <v/>
      </c>
      <c r="AP319" s="5" t="str">
        <f>IF(L319="","",VLOOKUP($L319,classifications!$C:$E,3,FALSE))</f>
        <v/>
      </c>
      <c r="AQ319" s="43" t="str">
        <f t="shared" si="148"/>
        <v/>
      </c>
      <c r="AR319" s="40" t="str">
        <f>IF(AQ319="","",IF(I$8="A",(RANK(AQ319,AQ$11:AQ$343,1)+COUNTIF(AQ$11:AQ319,AQ319)-1),(RANK(AQ319,AQ$11:AQ$343)+COUNTIF(AQ$11:AQ319,AQ319)-1)))</f>
        <v/>
      </c>
      <c r="AS319" s="3" t="str">
        <f t="shared" si="149"/>
        <v/>
      </c>
      <c r="AT319" s="40" t="str">
        <f t="shared" si="150"/>
        <v/>
      </c>
      <c r="AU319" s="43" t="str">
        <f t="shared" si="151"/>
        <v/>
      </c>
      <c r="AX319">
        <f>HLOOKUP($AX$9&amp;$AX$10,Data!$A$1:$ZZ$1980,(MATCH($C319,Data!$A$1:$A$1980,0)),FALSE)</f>
        <v>345.7</v>
      </c>
    </row>
    <row r="320" spans="1:50">
      <c r="A320" s="59" t="str">
        <f>$D$1&amp;310</f>
        <v>UA310</v>
      </c>
      <c r="B320" s="60">
        <f>IF(ISERROR(VLOOKUP(A328,classifications!A:C,3,FALSE)),0,VLOOKUP(A328,classifications!A:C,3,FALSE))</f>
        <v>0</v>
      </c>
      <c r="C320" t="s">
        <v>179</v>
      </c>
      <c r="D320" t="str">
        <f>VLOOKUP($C320,classifications!$C:$J,4,FALSE)</f>
        <v>SD</v>
      </c>
      <c r="E320" t="str">
        <f>VLOOKUP(C320,classifications!C:K,9,FALSE)</f>
        <v>Sparse</v>
      </c>
      <c r="F320">
        <f t="shared" si="129"/>
        <v>341.6</v>
      </c>
      <c r="G320" s="15"/>
      <c r="H320" s="42" t="str">
        <f t="shared" si="130"/>
        <v/>
      </c>
      <c r="I320" s="79" t="str">
        <f>IF(H320="","",IF($I$8="A",(RANK(H320,H$11:H$343,1)+COUNTIF(H$11:H320,H320)-1),(RANK(H320,H$11:H$343)+COUNTIF(H$11:H320,H320)-1)))</f>
        <v/>
      </c>
      <c r="J320" s="41"/>
      <c r="K320" s="36" t="str">
        <f t="shared" si="131"/>
        <v/>
      </c>
      <c r="L320" t="str">
        <f t="shared" si="132"/>
        <v/>
      </c>
      <c r="M320" s="117" t="str">
        <f t="shared" si="133"/>
        <v/>
      </c>
      <c r="N320" s="112" t="str">
        <f t="shared" si="134"/>
        <v/>
      </c>
      <c r="O320" s="96" t="str">
        <f t="shared" si="135"/>
        <v/>
      </c>
      <c r="P320" s="96" t="str">
        <f t="shared" si="136"/>
        <v/>
      </c>
      <c r="Q320" s="96" t="str">
        <f t="shared" si="137"/>
        <v/>
      </c>
      <c r="R320" s="92" t="str">
        <f t="shared" si="138"/>
        <v/>
      </c>
      <c r="S320" s="42" t="str">
        <f t="shared" si="139"/>
        <v/>
      </c>
      <c r="T320" s="167" t="str">
        <f>IF(L320="","",VLOOKUP(L320,classifications!C:K,9,FALSE))</f>
        <v/>
      </c>
      <c r="U320" s="168" t="str">
        <f t="shared" si="140"/>
        <v/>
      </c>
      <c r="V320" s="174" t="str">
        <f>IF(U320="","",IF($I$8="A",(RANK(U320,U$11:U$343)+COUNTIF(U$11:U320,U320)-1),(RANK(U320,U$11:U$343,1)+COUNTIF(U$11:U320,U320)-1)))</f>
        <v/>
      </c>
      <c r="W320" s="175"/>
      <c r="X320" s="5" t="str">
        <f>IF(L320="","",VLOOKUP($L320,classifications!$C:$J,6,FALSE))</f>
        <v/>
      </c>
      <c r="Y320" t="str">
        <f t="shared" si="141"/>
        <v/>
      </c>
      <c r="Z320" s="40" t="str">
        <f>IF(Y320="","",IF(I$8="A",(RANK(Y320,Y$11:Y$343,1)+COUNTIF(Y$11:Y320,Y320)-1),(RANK(Y320,Y$11:Y$343)+COUNTIF(Y$11:Y320,Y320)-1)))</f>
        <v/>
      </c>
      <c r="AA320" s="180" t="str">
        <f>IF(L320="","",VLOOKUP($L320,classifications!C:I,7,FALSE))</f>
        <v/>
      </c>
      <c r="AB320" s="174" t="str">
        <f t="shared" si="142"/>
        <v/>
      </c>
      <c r="AC320" s="174" t="str">
        <f>IF(AB320="","",IF($I$8="A",(RANK(AB320,AB$11:AB$343)+COUNTIF(AB$11:AB320,AB320)-1),(RANK(AB320,AB$11:AB$343,1)+COUNTIF(AB$11:AB320,AB320)-1)))</f>
        <v/>
      </c>
      <c r="AD320" s="174"/>
      <c r="AE320" s="36" t="str">
        <f t="shared" si="143"/>
        <v/>
      </c>
      <c r="AG320" s="15"/>
      <c r="AH320" s="3"/>
      <c r="AI320" s="5" t="str">
        <f>IF(L320="","",VLOOKUP($L320,classifications!$C:$J,8,FALSE))</f>
        <v/>
      </c>
      <c r="AJ320" s="43" t="str">
        <f t="shared" si="144"/>
        <v/>
      </c>
      <c r="AK320" s="40" t="str">
        <f>IF(AJ320="","",IF(I$8="A",(RANK(AJ320,AJ$11:AJ$343,1)+COUNTIF(AJ$11:AJ320,AJ320)-1),(RANK(AJ320,AJ$11:AJ$343)+COUNTIF(AJ$11:AJ320,AJ320)-1)))</f>
        <v/>
      </c>
      <c r="AL320" s="3" t="str">
        <f t="shared" si="145"/>
        <v/>
      </c>
      <c r="AM320" t="str">
        <f t="shared" si="146"/>
        <v/>
      </c>
      <c r="AN320" t="str">
        <f t="shared" si="147"/>
        <v/>
      </c>
      <c r="AP320" s="5" t="str">
        <f>IF(L320="","",VLOOKUP($L320,classifications!$C:$E,3,FALSE))</f>
        <v/>
      </c>
      <c r="AQ320" s="43" t="str">
        <f t="shared" si="148"/>
        <v/>
      </c>
      <c r="AR320" s="40" t="str">
        <f>IF(AQ320="","",IF(I$8="A",(RANK(AQ320,AQ$11:AQ$343,1)+COUNTIF(AQ$11:AQ320,AQ320)-1),(RANK(AQ320,AQ$11:AQ$343)+COUNTIF(AQ$11:AQ320,AQ320)-1)))</f>
        <v/>
      </c>
      <c r="AS320" s="3" t="str">
        <f t="shared" si="149"/>
        <v/>
      </c>
      <c r="AT320" s="40" t="str">
        <f t="shared" si="150"/>
        <v/>
      </c>
      <c r="AU320" s="43" t="str">
        <f t="shared" si="151"/>
        <v/>
      </c>
      <c r="AX320">
        <f>HLOOKUP($AX$9&amp;$AX$10,Data!$A$1:$ZZ$1980,(MATCH($C320,Data!$A$1:$A$1980,0)),FALSE)</f>
        <v>341.6</v>
      </c>
    </row>
    <row r="321" spans="1:50">
      <c r="A321" s="59" t="str">
        <f>$D$1&amp;311</f>
        <v>UA311</v>
      </c>
      <c r="B321" s="60">
        <f>IF(ISERROR(VLOOKUP(A330,classifications!A:C,3,FALSE)),0,VLOOKUP(A330,classifications!A:C,3,FALSE))</f>
        <v>0</v>
      </c>
      <c r="C321" t="s">
        <v>181</v>
      </c>
      <c r="D321" t="str">
        <f>VLOOKUP($C321,classifications!$C:$J,4,FALSE)</f>
        <v>SD</v>
      </c>
      <c r="E321">
        <f>VLOOKUP(C321,classifications!C:K,9,FALSE)</f>
        <v>0</v>
      </c>
      <c r="F321">
        <f t="shared" si="129"/>
        <v>316.2</v>
      </c>
      <c r="G321" s="15"/>
      <c r="H321" s="42" t="str">
        <f t="shared" si="130"/>
        <v/>
      </c>
      <c r="I321" s="79" t="str">
        <f>IF(H321="","",IF($I$8="A",(RANK(H321,H$11:H$343,1)+COUNTIF(H$11:H321,H321)-1),(RANK(H321,H$11:H$343)+COUNTIF(H$11:H321,H321)-1)))</f>
        <v/>
      </c>
      <c r="J321" s="41"/>
      <c r="K321" s="36" t="str">
        <f t="shared" si="131"/>
        <v/>
      </c>
      <c r="L321" t="str">
        <f t="shared" si="132"/>
        <v/>
      </c>
      <c r="M321" s="117" t="str">
        <f t="shared" si="133"/>
        <v/>
      </c>
      <c r="N321" s="112" t="str">
        <f t="shared" si="134"/>
        <v/>
      </c>
      <c r="O321" s="96" t="str">
        <f t="shared" si="135"/>
        <v/>
      </c>
      <c r="P321" s="96" t="str">
        <f t="shared" si="136"/>
        <v/>
      </c>
      <c r="Q321" s="96" t="str">
        <f t="shared" si="137"/>
        <v/>
      </c>
      <c r="R321" s="92" t="str">
        <f t="shared" si="138"/>
        <v/>
      </c>
      <c r="S321" s="42" t="str">
        <f t="shared" si="139"/>
        <v/>
      </c>
      <c r="T321" s="167" t="str">
        <f>IF(L321="","",VLOOKUP(L321,classifications!C:K,9,FALSE))</f>
        <v/>
      </c>
      <c r="U321" s="168" t="str">
        <f t="shared" si="140"/>
        <v/>
      </c>
      <c r="V321" s="174" t="str">
        <f>IF(U321="","",IF($I$8="A",(RANK(U321,U$11:U$343)+COUNTIF(U$11:U321,U321)-1),(RANK(U321,U$11:U$343,1)+COUNTIF(U$11:U321,U321)-1)))</f>
        <v/>
      </c>
      <c r="W321" s="175"/>
      <c r="X321" s="5" t="str">
        <f>IF(L321="","",VLOOKUP($L321,classifications!$C:$J,6,FALSE))</f>
        <v/>
      </c>
      <c r="Y321" t="str">
        <f t="shared" si="141"/>
        <v/>
      </c>
      <c r="Z321" s="40" t="str">
        <f>IF(Y321="","",IF(I$8="A",(RANK(Y321,Y$11:Y$343,1)+COUNTIF(Y$11:Y321,Y321)-1),(RANK(Y321,Y$11:Y$343)+COUNTIF(Y$11:Y321,Y321)-1)))</f>
        <v/>
      </c>
      <c r="AA321" s="180" t="str">
        <f>IF(L321="","",VLOOKUP($L321,classifications!C:I,7,FALSE))</f>
        <v/>
      </c>
      <c r="AB321" s="174" t="str">
        <f t="shared" si="142"/>
        <v/>
      </c>
      <c r="AC321" s="174" t="str">
        <f>IF(AB321="","",IF($I$8="A",(RANK(AB321,AB$11:AB$343)+COUNTIF(AB$11:AB321,AB321)-1),(RANK(AB321,AB$11:AB$343,1)+COUNTIF(AB$11:AB321,AB321)-1)))</f>
        <v/>
      </c>
      <c r="AD321" s="174"/>
      <c r="AE321" s="36" t="str">
        <f t="shared" si="143"/>
        <v/>
      </c>
      <c r="AG321" s="15"/>
      <c r="AH321" s="3"/>
      <c r="AI321" s="5" t="str">
        <f>IF(L321="","",VLOOKUP($L321,classifications!$C:$J,8,FALSE))</f>
        <v/>
      </c>
      <c r="AJ321" s="43" t="str">
        <f t="shared" si="144"/>
        <v/>
      </c>
      <c r="AK321" s="40" t="str">
        <f>IF(AJ321="","",IF(I$8="A",(RANK(AJ321,AJ$11:AJ$343,1)+COUNTIF(AJ$11:AJ321,AJ321)-1),(RANK(AJ321,AJ$11:AJ$343)+COUNTIF(AJ$11:AJ321,AJ321)-1)))</f>
        <v/>
      </c>
      <c r="AL321" s="3" t="str">
        <f t="shared" si="145"/>
        <v/>
      </c>
      <c r="AM321" t="str">
        <f t="shared" si="146"/>
        <v/>
      </c>
      <c r="AN321" t="str">
        <f t="shared" si="147"/>
        <v/>
      </c>
      <c r="AP321" s="5" t="str">
        <f>IF(L321="","",VLOOKUP($L321,classifications!$C:$E,3,FALSE))</f>
        <v/>
      </c>
      <c r="AQ321" s="43" t="str">
        <f t="shared" si="148"/>
        <v/>
      </c>
      <c r="AR321" s="40" t="str">
        <f>IF(AQ321="","",IF(I$8="A",(RANK(AQ321,AQ$11:AQ$343,1)+COUNTIF(AQ$11:AQ321,AQ321)-1),(RANK(AQ321,AQ$11:AQ$343)+COUNTIF(AQ$11:AQ321,AQ321)-1)))</f>
        <v/>
      </c>
      <c r="AS321" s="3" t="str">
        <f t="shared" si="149"/>
        <v/>
      </c>
      <c r="AT321" s="40" t="str">
        <f t="shared" si="150"/>
        <v/>
      </c>
      <c r="AU321" s="43" t="str">
        <f t="shared" si="151"/>
        <v/>
      </c>
      <c r="AX321">
        <f>HLOOKUP($AX$9&amp;$AX$10,Data!$A$1:$ZZ$1980,(MATCH($C321,Data!$A$1:$A$1980,0)),FALSE)</f>
        <v>316.2</v>
      </c>
    </row>
    <row r="322" spans="1:50">
      <c r="A322" s="59" t="str">
        <f>$D$1&amp;312</f>
        <v>UA312</v>
      </c>
      <c r="B322" s="60">
        <f>IF(ISERROR(VLOOKUP(A331,classifications!A:C,3,FALSE)),0,VLOOKUP(A331,classifications!A:C,3,FALSE))</f>
        <v>0</v>
      </c>
      <c r="C322" t="s">
        <v>297</v>
      </c>
      <c r="D322" t="str">
        <f>VLOOKUP($C322,classifications!$C:$J,4,FALSE)</f>
        <v>UA</v>
      </c>
      <c r="E322">
        <f>VLOOKUP(C322,classifications!C:K,9,FALSE)</f>
        <v>0</v>
      </c>
      <c r="F322">
        <f t="shared" si="129"/>
        <v>426.5</v>
      </c>
      <c r="G322" s="15"/>
      <c r="H322" s="42">
        <f t="shared" si="130"/>
        <v>426.5</v>
      </c>
      <c r="I322" s="79">
        <f>IF(H322="","",IF($I$8="A",(RANK(H322,H$11:H$343,1)+COUNTIF(H$11:H322,H322)-1),(RANK(H322,H$11:H$343)+COUNTIF(H$11:H322,H322)-1)))</f>
        <v>44</v>
      </c>
      <c r="J322" s="41"/>
      <c r="K322" s="36" t="str">
        <f t="shared" si="131"/>
        <v/>
      </c>
      <c r="L322" t="str">
        <f t="shared" si="132"/>
        <v/>
      </c>
      <c r="M322" s="117" t="str">
        <f t="shared" si="133"/>
        <v/>
      </c>
      <c r="N322" s="112" t="str">
        <f t="shared" si="134"/>
        <v/>
      </c>
      <c r="O322" s="96" t="str">
        <f t="shared" si="135"/>
        <v/>
      </c>
      <c r="P322" s="96" t="str">
        <f t="shared" si="136"/>
        <v/>
      </c>
      <c r="Q322" s="96" t="str">
        <f t="shared" si="137"/>
        <v/>
      </c>
      <c r="R322" s="92" t="str">
        <f t="shared" si="138"/>
        <v/>
      </c>
      <c r="S322" s="42" t="str">
        <f t="shared" si="139"/>
        <v/>
      </c>
      <c r="T322" s="167" t="str">
        <f>IF(L322="","",VLOOKUP(L322,classifications!C:K,9,FALSE))</f>
        <v/>
      </c>
      <c r="U322" s="168" t="str">
        <f t="shared" si="140"/>
        <v/>
      </c>
      <c r="V322" s="174" t="str">
        <f>IF(U322="","",IF($I$8="A",(RANK(U322,U$11:U$343)+COUNTIF(U$11:U322,U322)-1),(RANK(U322,U$11:U$343,1)+COUNTIF(U$11:U322,U322)-1)))</f>
        <v/>
      </c>
      <c r="W322" s="175"/>
      <c r="X322" s="5" t="str">
        <f>IF(L322="","",VLOOKUP($L322,classifications!$C:$J,6,FALSE))</f>
        <v/>
      </c>
      <c r="Y322" t="str">
        <f t="shared" si="141"/>
        <v/>
      </c>
      <c r="Z322" s="40" t="str">
        <f>IF(Y322="","",IF(I$8="A",(RANK(Y322,Y$11:Y$343,1)+COUNTIF(Y$11:Y322,Y322)-1),(RANK(Y322,Y$11:Y$343)+COUNTIF(Y$11:Y322,Y322)-1)))</f>
        <v/>
      </c>
      <c r="AA322" s="180" t="str">
        <f>IF(L322="","",VLOOKUP($L322,classifications!C:I,7,FALSE))</f>
        <v/>
      </c>
      <c r="AB322" s="174" t="str">
        <f t="shared" si="142"/>
        <v/>
      </c>
      <c r="AC322" s="174" t="str">
        <f>IF(AB322="","",IF($I$8="A",(RANK(AB322,AB$11:AB$343)+COUNTIF(AB$11:AB322,AB322)-1),(RANK(AB322,AB$11:AB$343,1)+COUNTIF(AB$11:AB322,AB322)-1)))</f>
        <v/>
      </c>
      <c r="AD322" s="174"/>
      <c r="AE322" s="36" t="str">
        <f t="shared" si="143"/>
        <v/>
      </c>
      <c r="AG322" s="15"/>
      <c r="AH322" s="3"/>
      <c r="AI322" s="5" t="str">
        <f>IF(L322="","",VLOOKUP($L322,classifications!$C:$J,8,FALSE))</f>
        <v/>
      </c>
      <c r="AJ322" s="43" t="str">
        <f t="shared" si="144"/>
        <v/>
      </c>
      <c r="AK322" s="40" t="str">
        <f>IF(AJ322="","",IF(I$8="A",(RANK(AJ322,AJ$11:AJ$343,1)+COUNTIF(AJ$11:AJ322,AJ322)-1),(RANK(AJ322,AJ$11:AJ$343)+COUNTIF(AJ$11:AJ322,AJ322)-1)))</f>
        <v/>
      </c>
      <c r="AL322" s="3" t="str">
        <f t="shared" si="145"/>
        <v/>
      </c>
      <c r="AM322" t="str">
        <f t="shared" si="146"/>
        <v/>
      </c>
      <c r="AN322" t="str">
        <f t="shared" si="147"/>
        <v/>
      </c>
      <c r="AP322" s="5" t="str">
        <f>IF(L322="","",VLOOKUP($L322,classifications!$C:$E,3,FALSE))</f>
        <v/>
      </c>
      <c r="AQ322" s="43" t="str">
        <f t="shared" si="148"/>
        <v/>
      </c>
      <c r="AR322" s="40" t="str">
        <f>IF(AQ322="","",IF(I$8="A",(RANK(AQ322,AQ$11:AQ$343,1)+COUNTIF(AQ$11:AQ322,AQ322)-1),(RANK(AQ322,AQ$11:AQ$343)+COUNTIF(AQ$11:AQ322,AQ322)-1)))</f>
        <v/>
      </c>
      <c r="AS322" s="3" t="str">
        <f t="shared" si="149"/>
        <v/>
      </c>
      <c r="AT322" s="40" t="str">
        <f t="shared" si="150"/>
        <v/>
      </c>
      <c r="AU322" s="43" t="str">
        <f t="shared" si="151"/>
        <v/>
      </c>
      <c r="AX322">
        <f>HLOOKUP($AX$9&amp;$AX$10,Data!$A$1:$ZZ$1980,(MATCH($C322,Data!$A$1:$A$1980,0)),FALSE)</f>
        <v>426.5</v>
      </c>
    </row>
    <row r="323" spans="1:50">
      <c r="A323" s="59" t="str">
        <f>$D$1&amp;313</f>
        <v>UA313</v>
      </c>
      <c r="B323" s="60">
        <f>IF(ISERROR(VLOOKUP(A332,classifications!A:C,3,FALSE)),0,VLOOKUP(A332,classifications!A:C,3,FALSE))</f>
        <v>0</v>
      </c>
      <c r="C323" t="s">
        <v>182</v>
      </c>
      <c r="D323" t="str">
        <f>VLOOKUP($C323,classifications!$C:$J,4,FALSE)</f>
        <v>SD</v>
      </c>
      <c r="E323" t="str">
        <f>VLOOKUP(C323,classifications!C:K,9,FALSE)</f>
        <v>Sparse</v>
      </c>
      <c r="F323">
        <f t="shared" si="129"/>
        <v>307.5</v>
      </c>
      <c r="G323" s="15"/>
      <c r="H323" s="42" t="str">
        <f t="shared" si="130"/>
        <v/>
      </c>
      <c r="I323" s="79" t="str">
        <f>IF(H323="","",IF($I$8="A",(RANK(H323,H$11:H$343,1)+COUNTIF(H$11:H323,H323)-1),(RANK(H323,H$11:H$343)+COUNTIF(H$11:H323,H323)-1)))</f>
        <v/>
      </c>
      <c r="J323" s="41"/>
      <c r="K323" s="36" t="str">
        <f t="shared" si="131"/>
        <v/>
      </c>
      <c r="L323" t="str">
        <f t="shared" si="132"/>
        <v/>
      </c>
      <c r="M323" s="117" t="str">
        <f t="shared" si="133"/>
        <v/>
      </c>
      <c r="N323" s="112" t="str">
        <f t="shared" si="134"/>
        <v/>
      </c>
      <c r="O323" s="96" t="str">
        <f t="shared" si="135"/>
        <v/>
      </c>
      <c r="P323" s="96" t="str">
        <f t="shared" si="136"/>
        <v/>
      </c>
      <c r="Q323" s="96" t="str">
        <f t="shared" si="137"/>
        <v/>
      </c>
      <c r="R323" s="92" t="str">
        <f t="shared" si="138"/>
        <v/>
      </c>
      <c r="S323" s="42" t="str">
        <f t="shared" si="139"/>
        <v/>
      </c>
      <c r="T323" s="167" t="str">
        <f>IF(L323="","",VLOOKUP(L323,classifications!C:K,9,FALSE))</f>
        <v/>
      </c>
      <c r="U323" s="168" t="str">
        <f t="shared" si="140"/>
        <v/>
      </c>
      <c r="V323" s="174" t="str">
        <f>IF(U323="","",IF($I$8="A",(RANK(U323,U$11:U$343)+COUNTIF(U$11:U323,U323)-1),(RANK(U323,U$11:U$343,1)+COUNTIF(U$11:U323,U323)-1)))</f>
        <v/>
      </c>
      <c r="W323" s="175"/>
      <c r="X323" s="5" t="str">
        <f>IF(L323="","",VLOOKUP($L323,classifications!$C:$J,6,FALSE))</f>
        <v/>
      </c>
      <c r="Y323" t="str">
        <f t="shared" si="141"/>
        <v/>
      </c>
      <c r="Z323" s="40" t="str">
        <f>IF(Y323="","",IF(I$8="A",(RANK(Y323,Y$11:Y$343,1)+COUNTIF(Y$11:Y323,Y323)-1),(RANK(Y323,Y$11:Y$343)+COUNTIF(Y$11:Y323,Y323)-1)))</f>
        <v/>
      </c>
      <c r="AA323" s="180" t="str">
        <f>IF(L323="","",VLOOKUP($L323,classifications!C:I,7,FALSE))</f>
        <v/>
      </c>
      <c r="AB323" s="174" t="str">
        <f t="shared" si="142"/>
        <v/>
      </c>
      <c r="AC323" s="174" t="str">
        <f>IF(AB323="","",IF($I$8="A",(RANK(AB323,AB$11:AB$343)+COUNTIF(AB$11:AB323,AB323)-1),(RANK(AB323,AB$11:AB$343,1)+COUNTIF(AB$11:AB323,AB323)-1)))</f>
        <v/>
      </c>
      <c r="AD323" s="174"/>
      <c r="AE323" s="36" t="str">
        <f t="shared" si="143"/>
        <v/>
      </c>
      <c r="AG323" s="15"/>
      <c r="AH323" s="3"/>
      <c r="AI323" s="5" t="str">
        <f>IF(L323="","",VLOOKUP($L323,classifications!$C:$J,8,FALSE))</f>
        <v/>
      </c>
      <c r="AJ323" s="43" t="str">
        <f t="shared" si="144"/>
        <v/>
      </c>
      <c r="AK323" s="40" t="str">
        <f>IF(AJ323="","",IF(I$8="A",(RANK(AJ323,AJ$11:AJ$343,1)+COUNTIF(AJ$11:AJ323,AJ323)-1),(RANK(AJ323,AJ$11:AJ$343)+COUNTIF(AJ$11:AJ323,AJ323)-1)))</f>
        <v/>
      </c>
      <c r="AL323" s="3" t="str">
        <f t="shared" si="145"/>
        <v/>
      </c>
      <c r="AM323" t="str">
        <f t="shared" si="146"/>
        <v/>
      </c>
      <c r="AN323" t="str">
        <f t="shared" si="147"/>
        <v/>
      </c>
      <c r="AP323" s="5" t="str">
        <f>IF(L323="","",VLOOKUP($L323,classifications!$C:$E,3,FALSE))</f>
        <v/>
      </c>
      <c r="AQ323" s="43" t="str">
        <f t="shared" si="148"/>
        <v/>
      </c>
      <c r="AR323" s="40" t="str">
        <f>IF(AQ323="","",IF(I$8="A",(RANK(AQ323,AQ$11:AQ$343,1)+COUNTIF(AQ$11:AQ323,AQ323)-1),(RANK(AQ323,AQ$11:AQ$343)+COUNTIF(AQ$11:AQ323,AQ323)-1)))</f>
        <v/>
      </c>
      <c r="AS323" s="3" t="str">
        <f t="shared" si="149"/>
        <v/>
      </c>
      <c r="AT323" s="40" t="str">
        <f t="shared" si="150"/>
        <v/>
      </c>
      <c r="AU323" s="43" t="str">
        <f t="shared" si="151"/>
        <v/>
      </c>
      <c r="AX323">
        <f>HLOOKUP($AX$9&amp;$AX$10,Data!$A$1:$ZZ$1980,(MATCH($C323,Data!$A$1:$A$1980,0)),FALSE)</f>
        <v>307.5</v>
      </c>
    </row>
    <row r="324" spans="1:50">
      <c r="A324" s="59" t="str">
        <f>$D$1&amp;314</f>
        <v>UA314</v>
      </c>
      <c r="B324" s="60">
        <f>IF(ISERROR(VLOOKUP(A333,classifications!A:C,3,FALSE)),0,VLOOKUP(A333,classifications!A:C,3,FALSE))</f>
        <v>0</v>
      </c>
      <c r="C324" t="s">
        <v>184</v>
      </c>
      <c r="D324" t="str">
        <f>VLOOKUP($C324,classifications!$C:$J,4,FALSE)</f>
        <v>SD</v>
      </c>
      <c r="E324">
        <f>VLOOKUP(C324,classifications!C:K,9,FALSE)</f>
        <v>0</v>
      </c>
      <c r="F324">
        <f t="shared" si="129"/>
        <v>389.1</v>
      </c>
      <c r="G324" s="15"/>
      <c r="H324" s="42" t="str">
        <f t="shared" si="130"/>
        <v/>
      </c>
      <c r="I324" s="79" t="str">
        <f>IF(H324="","",IF($I$8="A",(RANK(H324,H$11:H$343,1)+COUNTIF(H$11:H324,H324)-1),(RANK(H324,H$11:H$343)+COUNTIF(H$11:H324,H324)-1)))</f>
        <v/>
      </c>
      <c r="J324" s="41"/>
      <c r="K324" s="36" t="str">
        <f t="shared" si="131"/>
        <v/>
      </c>
      <c r="L324" t="str">
        <f t="shared" si="132"/>
        <v/>
      </c>
      <c r="M324" s="117" t="str">
        <f t="shared" si="133"/>
        <v/>
      </c>
      <c r="N324" s="112" t="str">
        <f t="shared" si="134"/>
        <v/>
      </c>
      <c r="O324" s="96" t="str">
        <f t="shared" si="135"/>
        <v/>
      </c>
      <c r="P324" s="96" t="str">
        <f t="shared" si="136"/>
        <v/>
      </c>
      <c r="Q324" s="96" t="str">
        <f t="shared" si="137"/>
        <v/>
      </c>
      <c r="R324" s="92" t="str">
        <f t="shared" si="138"/>
        <v/>
      </c>
      <c r="S324" s="42" t="str">
        <f t="shared" si="139"/>
        <v/>
      </c>
      <c r="T324" s="167" t="str">
        <f>IF(L324="","",VLOOKUP(L324,classifications!C:K,9,FALSE))</f>
        <v/>
      </c>
      <c r="U324" s="168" t="str">
        <f t="shared" si="140"/>
        <v/>
      </c>
      <c r="V324" s="174" t="str">
        <f>IF(U324="","",IF($I$8="A",(RANK(U324,U$11:U$343)+COUNTIF(U$11:U324,U324)-1),(RANK(U324,U$11:U$343,1)+COUNTIF(U$11:U324,U324)-1)))</f>
        <v/>
      </c>
      <c r="W324" s="175"/>
      <c r="X324" s="5" t="str">
        <f>IF(L324="","",VLOOKUP($L324,classifications!$C:$J,6,FALSE))</f>
        <v/>
      </c>
      <c r="Y324" t="str">
        <f t="shared" si="141"/>
        <v/>
      </c>
      <c r="Z324" s="40" t="str">
        <f>IF(Y324="","",IF(I$8="A",(RANK(Y324,Y$11:Y$343,1)+COUNTIF(Y$11:Y324,Y324)-1),(RANK(Y324,Y$11:Y$343)+COUNTIF(Y$11:Y324,Y324)-1)))</f>
        <v/>
      </c>
      <c r="AA324" s="180" t="str">
        <f>IF(L324="","",VLOOKUP($L324,classifications!C:I,7,FALSE))</f>
        <v/>
      </c>
      <c r="AB324" s="174" t="str">
        <f t="shared" si="142"/>
        <v/>
      </c>
      <c r="AC324" s="174" t="str">
        <f>IF(AB324="","",IF($I$8="A",(RANK(AB324,AB$11:AB$343)+COUNTIF(AB$11:AB324,AB324)-1),(RANK(AB324,AB$11:AB$343,1)+COUNTIF(AB$11:AB324,AB324)-1)))</f>
        <v/>
      </c>
      <c r="AD324" s="174"/>
      <c r="AE324" s="36" t="str">
        <f t="shared" si="143"/>
        <v/>
      </c>
      <c r="AG324" s="15"/>
      <c r="AH324" s="3"/>
      <c r="AI324" s="5" t="str">
        <f>IF(L324="","",VLOOKUP($L324,classifications!$C:$J,8,FALSE))</f>
        <v/>
      </c>
      <c r="AJ324" s="43" t="str">
        <f t="shared" si="144"/>
        <v/>
      </c>
      <c r="AK324" s="40" t="str">
        <f>IF(AJ324="","",IF(I$8="A",(RANK(AJ324,AJ$11:AJ$343,1)+COUNTIF(AJ$11:AJ324,AJ324)-1),(RANK(AJ324,AJ$11:AJ$343)+COUNTIF(AJ$11:AJ324,AJ324)-1)))</f>
        <v/>
      </c>
      <c r="AL324" s="3" t="str">
        <f t="shared" si="145"/>
        <v/>
      </c>
      <c r="AM324" t="str">
        <f t="shared" si="146"/>
        <v/>
      </c>
      <c r="AN324" t="str">
        <f t="shared" si="147"/>
        <v/>
      </c>
      <c r="AP324" s="5" t="str">
        <f>IF(L324="","",VLOOKUP($L324,classifications!$C:$E,3,FALSE))</f>
        <v/>
      </c>
      <c r="AQ324" s="43" t="str">
        <f t="shared" si="148"/>
        <v/>
      </c>
      <c r="AR324" s="40" t="str">
        <f>IF(AQ324="","",IF(I$8="A",(RANK(AQ324,AQ$11:AQ$343,1)+COUNTIF(AQ$11:AQ324,AQ324)-1),(RANK(AQ324,AQ$11:AQ$343)+COUNTIF(AQ$11:AQ324,AQ324)-1)))</f>
        <v/>
      </c>
      <c r="AS324" s="3" t="str">
        <f t="shared" si="149"/>
        <v/>
      </c>
      <c r="AT324" s="40" t="str">
        <f t="shared" si="150"/>
        <v/>
      </c>
      <c r="AU324" s="43" t="str">
        <f t="shared" si="151"/>
        <v/>
      </c>
      <c r="AX324">
        <f>HLOOKUP($AX$9&amp;$AX$10,Data!$A$1:$ZZ$1980,(MATCH($C324,Data!$A$1:$A$1980,0)),FALSE)</f>
        <v>389.1</v>
      </c>
    </row>
    <row r="325" spans="1:50">
      <c r="A325" s="59" t="str">
        <f>$D$1&amp;315</f>
        <v>UA315</v>
      </c>
      <c r="B325" s="60">
        <f>IF(ISERROR(VLOOKUP(A334,classifications!A:C,3,FALSE)),0,VLOOKUP(A334,classifications!A:C,3,FALSE))</f>
        <v>0</v>
      </c>
      <c r="C325" t="s">
        <v>185</v>
      </c>
      <c r="D325" t="str">
        <f>VLOOKUP($C325,classifications!$C:$J,4,FALSE)</f>
        <v>SD</v>
      </c>
      <c r="E325" t="str">
        <f>VLOOKUP(C325,classifications!C:K,9,FALSE)</f>
        <v>Sparse</v>
      </c>
      <c r="F325">
        <f t="shared" si="129"/>
        <v>382.8</v>
      </c>
      <c r="G325" s="15"/>
      <c r="H325" s="42" t="str">
        <f t="shared" si="130"/>
        <v/>
      </c>
      <c r="I325" s="79" t="str">
        <f>IF(H325="","",IF($I$8="A",(RANK(H325,H$11:H$343,1)+COUNTIF(H$11:H325,H325)-1),(RANK(H325,H$11:H$343)+COUNTIF(H$11:H325,H325)-1)))</f>
        <v/>
      </c>
      <c r="J325" s="41"/>
      <c r="K325" s="36" t="str">
        <f t="shared" si="131"/>
        <v/>
      </c>
      <c r="L325" t="str">
        <f t="shared" si="132"/>
        <v/>
      </c>
      <c r="M325" s="117" t="str">
        <f t="shared" si="133"/>
        <v/>
      </c>
      <c r="N325" s="112" t="str">
        <f t="shared" si="134"/>
        <v/>
      </c>
      <c r="O325" s="96" t="str">
        <f t="shared" si="135"/>
        <v/>
      </c>
      <c r="P325" s="96" t="str">
        <f t="shared" si="136"/>
        <v/>
      </c>
      <c r="Q325" s="96" t="str">
        <f t="shared" si="137"/>
        <v/>
      </c>
      <c r="R325" s="92" t="str">
        <f t="shared" si="138"/>
        <v/>
      </c>
      <c r="S325" s="42" t="str">
        <f t="shared" si="139"/>
        <v/>
      </c>
      <c r="T325" s="167" t="str">
        <f>IF(L325="","",VLOOKUP(L325,classifications!C:K,9,FALSE))</f>
        <v/>
      </c>
      <c r="U325" s="168" t="str">
        <f t="shared" si="140"/>
        <v/>
      </c>
      <c r="V325" s="174" t="str">
        <f>IF(U325="","",IF($I$8="A",(RANK(U325,U$11:U$343)+COUNTIF(U$11:U325,U325)-1),(RANK(U325,U$11:U$343,1)+COUNTIF(U$11:U325,U325)-1)))</f>
        <v/>
      </c>
      <c r="W325" s="175"/>
      <c r="X325" s="5" t="str">
        <f>IF(L325="","",VLOOKUP($L325,classifications!$C:$J,6,FALSE))</f>
        <v/>
      </c>
      <c r="Y325" t="str">
        <f t="shared" si="141"/>
        <v/>
      </c>
      <c r="Z325" s="40" t="str">
        <f>IF(Y325="","",IF(I$8="A",(RANK(Y325,Y$11:Y$343,1)+COUNTIF(Y$11:Y325,Y325)-1),(RANK(Y325,Y$11:Y$343)+COUNTIF(Y$11:Y325,Y325)-1)))</f>
        <v/>
      </c>
      <c r="AA325" s="180" t="str">
        <f>IF(L325="","",VLOOKUP($L325,classifications!C:I,7,FALSE))</f>
        <v/>
      </c>
      <c r="AB325" s="174" t="str">
        <f t="shared" si="142"/>
        <v/>
      </c>
      <c r="AC325" s="174" t="str">
        <f>IF(AB325="","",IF($I$8="A",(RANK(AB325,AB$11:AB$343)+COUNTIF(AB$11:AB325,AB325)-1),(RANK(AB325,AB$11:AB$343,1)+COUNTIF(AB$11:AB325,AB325)-1)))</f>
        <v/>
      </c>
      <c r="AD325" s="174"/>
      <c r="AE325" s="36" t="str">
        <f t="shared" si="143"/>
        <v/>
      </c>
      <c r="AG325" s="15"/>
      <c r="AH325" s="3"/>
      <c r="AI325" s="5" t="str">
        <f>IF(L325="","",VLOOKUP($L325,classifications!$C:$J,8,FALSE))</f>
        <v/>
      </c>
      <c r="AJ325" s="43" t="str">
        <f t="shared" si="144"/>
        <v/>
      </c>
      <c r="AK325" s="40" t="str">
        <f>IF(AJ325="","",IF(I$8="A",(RANK(AJ325,AJ$11:AJ$343,1)+COUNTIF(AJ$11:AJ325,AJ325)-1),(RANK(AJ325,AJ$11:AJ$343)+COUNTIF(AJ$11:AJ325,AJ325)-1)))</f>
        <v/>
      </c>
      <c r="AL325" s="3" t="str">
        <f t="shared" si="145"/>
        <v/>
      </c>
      <c r="AM325" t="str">
        <f t="shared" si="146"/>
        <v/>
      </c>
      <c r="AN325" t="str">
        <f t="shared" si="147"/>
        <v/>
      </c>
      <c r="AP325" s="5" t="str">
        <f>IF(L325="","",VLOOKUP($L325,classifications!$C:$E,3,FALSE))</f>
        <v/>
      </c>
      <c r="AQ325" s="43" t="str">
        <f t="shared" si="148"/>
        <v/>
      </c>
      <c r="AR325" s="40" t="str">
        <f>IF(AQ325="","",IF(I$8="A",(RANK(AQ325,AQ$11:AQ$343,1)+COUNTIF(AQ$11:AQ325,AQ325)-1),(RANK(AQ325,AQ$11:AQ$343)+COUNTIF(AQ$11:AQ325,AQ325)-1)))</f>
        <v/>
      </c>
      <c r="AS325" s="3" t="str">
        <f t="shared" si="149"/>
        <v/>
      </c>
      <c r="AT325" s="40" t="str">
        <f t="shared" si="150"/>
        <v/>
      </c>
      <c r="AU325" s="43" t="str">
        <f t="shared" si="151"/>
        <v/>
      </c>
      <c r="AX325">
        <f>HLOOKUP($AX$9&amp;$AX$10,Data!$A$1:$ZZ$1980,(MATCH($C325,Data!$A$1:$A$1980,0)),FALSE)</f>
        <v>382.8</v>
      </c>
    </row>
    <row r="326" spans="1:50">
      <c r="A326" s="59" t="str">
        <f>$D$1&amp;316</f>
        <v>UA316</v>
      </c>
      <c r="B326" s="60">
        <f>IF(ISERROR(VLOOKUP(A335,classifications!A:C,3,FALSE)),0,VLOOKUP(A335,classifications!A:C,3,FALSE))</f>
        <v>0</v>
      </c>
      <c r="C326" t="s">
        <v>186</v>
      </c>
      <c r="D326" t="str">
        <f>VLOOKUP($C326,classifications!$C:$J,4,FALSE)</f>
        <v>SD</v>
      </c>
      <c r="E326" t="str">
        <f>VLOOKUP(C326,classifications!C:K,9,FALSE)</f>
        <v>Sparse</v>
      </c>
      <c r="F326">
        <f t="shared" si="129"/>
        <v>357.5</v>
      </c>
      <c r="G326" s="15"/>
      <c r="H326" s="42" t="str">
        <f t="shared" si="130"/>
        <v/>
      </c>
      <c r="I326" s="79" t="str">
        <f>IF(H326="","",IF($I$8="A",(RANK(H326,H$11:H$343,1)+COUNTIF(H$11:H326,H326)-1),(RANK(H326,H$11:H$343)+COUNTIF(H$11:H326,H326)-1)))</f>
        <v/>
      </c>
      <c r="J326" s="41"/>
      <c r="K326" s="36" t="str">
        <f t="shared" si="131"/>
        <v/>
      </c>
      <c r="L326" t="str">
        <f t="shared" si="132"/>
        <v/>
      </c>
      <c r="M326" s="117" t="str">
        <f t="shared" si="133"/>
        <v/>
      </c>
      <c r="N326" s="112" t="str">
        <f t="shared" si="134"/>
        <v/>
      </c>
      <c r="O326" s="96" t="str">
        <f t="shared" si="135"/>
        <v/>
      </c>
      <c r="P326" s="96" t="str">
        <f t="shared" si="136"/>
        <v/>
      </c>
      <c r="Q326" s="96" t="str">
        <f t="shared" si="137"/>
        <v/>
      </c>
      <c r="R326" s="92" t="str">
        <f t="shared" si="138"/>
        <v/>
      </c>
      <c r="S326" s="42" t="str">
        <f t="shared" si="139"/>
        <v/>
      </c>
      <c r="T326" s="167" t="str">
        <f>IF(L326="","",VLOOKUP(L326,classifications!C:K,9,FALSE))</f>
        <v/>
      </c>
      <c r="U326" s="168" t="str">
        <f t="shared" si="140"/>
        <v/>
      </c>
      <c r="V326" s="174" t="str">
        <f>IF(U326="","",IF($I$8="A",(RANK(U326,U$11:U$343)+COUNTIF(U$11:U326,U326)-1),(RANK(U326,U$11:U$343,1)+COUNTIF(U$11:U326,U326)-1)))</f>
        <v/>
      </c>
      <c r="W326" s="175"/>
      <c r="X326" s="5" t="str">
        <f>IF(L326="","",VLOOKUP($L326,classifications!$C:$J,6,FALSE))</f>
        <v/>
      </c>
      <c r="Y326" t="str">
        <f t="shared" si="141"/>
        <v/>
      </c>
      <c r="Z326" s="40" t="str">
        <f>IF(Y326="","",IF(I$8="A",(RANK(Y326,Y$11:Y$343,1)+COUNTIF(Y$11:Y326,Y326)-1),(RANK(Y326,Y$11:Y$343)+COUNTIF(Y$11:Y326,Y326)-1)))</f>
        <v/>
      </c>
      <c r="AA326" s="180" t="str">
        <f>IF(L326="","",VLOOKUP($L326,classifications!C:I,7,FALSE))</f>
        <v/>
      </c>
      <c r="AB326" s="174" t="str">
        <f t="shared" si="142"/>
        <v/>
      </c>
      <c r="AC326" s="174" t="str">
        <f>IF(AB326="","",IF($I$8="A",(RANK(AB326,AB$11:AB$343)+COUNTIF(AB$11:AB326,AB326)-1),(RANK(AB326,AB$11:AB$343,1)+COUNTIF(AB$11:AB326,AB326)-1)))</f>
        <v/>
      </c>
      <c r="AD326" s="174"/>
      <c r="AE326" s="36" t="str">
        <f t="shared" si="143"/>
        <v/>
      </c>
      <c r="AG326" s="15"/>
      <c r="AH326" s="3"/>
      <c r="AI326" s="5" t="str">
        <f>IF(L326="","",VLOOKUP($L326,classifications!$C:$J,8,FALSE))</f>
        <v/>
      </c>
      <c r="AJ326" s="43" t="str">
        <f t="shared" si="144"/>
        <v/>
      </c>
      <c r="AK326" s="40" t="str">
        <f>IF(AJ326="","",IF(I$8="A",(RANK(AJ326,AJ$11:AJ$343,1)+COUNTIF(AJ$11:AJ326,AJ326)-1),(RANK(AJ326,AJ$11:AJ$343)+COUNTIF(AJ$11:AJ326,AJ326)-1)))</f>
        <v/>
      </c>
      <c r="AL326" s="3" t="str">
        <f t="shared" si="145"/>
        <v/>
      </c>
      <c r="AM326" t="str">
        <f t="shared" si="146"/>
        <v/>
      </c>
      <c r="AN326" t="str">
        <f t="shared" si="147"/>
        <v/>
      </c>
      <c r="AP326" s="5" t="str">
        <f>IF(L326="","",VLOOKUP($L326,classifications!$C:$E,3,FALSE))</f>
        <v/>
      </c>
      <c r="AQ326" s="43" t="str">
        <f t="shared" si="148"/>
        <v/>
      </c>
      <c r="AR326" s="40" t="str">
        <f>IF(AQ326="","",IF(I$8="A",(RANK(AQ326,AQ$11:AQ$343,1)+COUNTIF(AQ$11:AQ326,AQ326)-1),(RANK(AQ326,AQ$11:AQ$343)+COUNTIF(AQ$11:AQ326,AQ326)-1)))</f>
        <v/>
      </c>
      <c r="AS326" s="3" t="str">
        <f t="shared" si="149"/>
        <v/>
      </c>
      <c r="AT326" s="40" t="str">
        <f t="shared" si="150"/>
        <v/>
      </c>
      <c r="AU326" s="43" t="str">
        <f t="shared" si="151"/>
        <v/>
      </c>
      <c r="AX326">
        <f>HLOOKUP($AX$9&amp;$AX$10,Data!$A$1:$ZZ$1980,(MATCH($C326,Data!$A$1:$A$1980,0)),FALSE)</f>
        <v>357.5</v>
      </c>
    </row>
    <row r="327" spans="1:50">
      <c r="A327" s="59" t="str">
        <f>$D$1&amp;317</f>
        <v>UA317</v>
      </c>
      <c r="B327" s="60">
        <f>IF(ISERROR(VLOOKUP(A337,classifications!A:C,3,FALSE)),0,VLOOKUP(A337,classifications!A:C,3,FALSE))</f>
        <v>0</v>
      </c>
      <c r="C327" t="s">
        <v>332</v>
      </c>
      <c r="D327" t="str">
        <f>VLOOKUP($C327,classifications!$C:$J,4,FALSE)</f>
        <v>SC</v>
      </c>
      <c r="E327">
        <f>VLOOKUP(C327,classifications!C:K,9,FALSE)</f>
        <v>0</v>
      </c>
      <c r="F327">
        <f t="shared" si="129"/>
        <v>414.2</v>
      </c>
      <c r="G327" s="15"/>
      <c r="H327" s="42" t="str">
        <f t="shared" si="130"/>
        <v/>
      </c>
      <c r="I327" s="79" t="str">
        <f>IF(H327="","",IF($I$8="A",(RANK(H327,H$11:H$343,1)+COUNTIF(H$11:H327,H327)-1),(RANK(H327,H$11:H$343)+COUNTIF(H$11:H327,H327)-1)))</f>
        <v/>
      </c>
      <c r="J327" s="41"/>
      <c r="K327" s="36" t="str">
        <f t="shared" si="131"/>
        <v/>
      </c>
      <c r="L327" t="str">
        <f t="shared" si="132"/>
        <v/>
      </c>
      <c r="M327" s="117" t="str">
        <f t="shared" si="133"/>
        <v/>
      </c>
      <c r="N327" s="112" t="str">
        <f t="shared" si="134"/>
        <v/>
      </c>
      <c r="O327" s="96" t="str">
        <f t="shared" si="135"/>
        <v/>
      </c>
      <c r="P327" s="96" t="str">
        <f t="shared" si="136"/>
        <v/>
      </c>
      <c r="Q327" s="96" t="str">
        <f t="shared" si="137"/>
        <v/>
      </c>
      <c r="R327" s="92" t="str">
        <f t="shared" si="138"/>
        <v/>
      </c>
      <c r="S327" s="42" t="str">
        <f t="shared" si="139"/>
        <v/>
      </c>
      <c r="T327" s="167" t="str">
        <f>IF(L327="","",VLOOKUP(L327,classifications!C:K,9,FALSE))</f>
        <v/>
      </c>
      <c r="U327" s="168" t="str">
        <f t="shared" si="140"/>
        <v/>
      </c>
      <c r="V327" s="174" t="str">
        <f>IF(U327="","",IF($I$8="A",(RANK(U327,U$11:U$343)+COUNTIF(U$11:U327,U327)-1),(RANK(U327,U$11:U$343,1)+COUNTIF(U$11:U327,U327)-1)))</f>
        <v/>
      </c>
      <c r="W327" s="175"/>
      <c r="X327" s="5" t="str">
        <f>IF(L327="","",VLOOKUP($L327,classifications!$C:$J,6,FALSE))</f>
        <v/>
      </c>
      <c r="Y327" t="str">
        <f t="shared" si="141"/>
        <v/>
      </c>
      <c r="Z327" s="40" t="str">
        <f>IF(Y327="","",IF(I$8="A",(RANK(Y327,Y$11:Y$343,1)+COUNTIF(Y$11:Y327,Y327)-1),(RANK(Y327,Y$11:Y$343)+COUNTIF(Y$11:Y327,Y327)-1)))</f>
        <v/>
      </c>
      <c r="AA327" s="180" t="str">
        <f>IF(L327="","",VLOOKUP($L327,classifications!C:I,7,FALSE))</f>
        <v/>
      </c>
      <c r="AB327" s="174" t="str">
        <f t="shared" si="142"/>
        <v/>
      </c>
      <c r="AC327" s="174" t="str">
        <f>IF(AB327="","",IF($I$8="A",(RANK(AB327,AB$11:AB$343)+COUNTIF(AB$11:AB327,AB327)-1),(RANK(AB327,AB$11:AB$343,1)+COUNTIF(AB$11:AB327,AB327)-1)))</f>
        <v/>
      </c>
      <c r="AD327" s="174"/>
      <c r="AE327" s="36" t="str">
        <f t="shared" si="143"/>
        <v/>
      </c>
      <c r="AG327" s="15"/>
      <c r="AH327" s="3"/>
      <c r="AI327" s="5" t="str">
        <f>IF(L327="","",VLOOKUP($L327,classifications!$C:$J,8,FALSE))</f>
        <v/>
      </c>
      <c r="AJ327" s="43" t="str">
        <f t="shared" si="144"/>
        <v/>
      </c>
      <c r="AK327" s="40" t="str">
        <f>IF(AJ327="","",IF(I$8="A",(RANK(AJ327,AJ$11:AJ$343,1)+COUNTIF(AJ$11:AJ327,AJ327)-1),(RANK(AJ327,AJ$11:AJ$343)+COUNTIF(AJ$11:AJ327,AJ327)-1)))</f>
        <v/>
      </c>
      <c r="AL327" s="3" t="str">
        <f t="shared" si="145"/>
        <v/>
      </c>
      <c r="AM327" t="str">
        <f t="shared" si="146"/>
        <v/>
      </c>
      <c r="AN327" t="str">
        <f t="shared" si="147"/>
        <v/>
      </c>
      <c r="AP327" s="5" t="str">
        <f>IF(L327="","",VLOOKUP($L327,classifications!$C:$E,3,FALSE))</f>
        <v/>
      </c>
      <c r="AQ327" s="43" t="str">
        <f t="shared" si="148"/>
        <v/>
      </c>
      <c r="AR327" s="40" t="str">
        <f>IF(AQ327="","",IF(I$8="A",(RANK(AQ327,AQ$11:AQ$343,1)+COUNTIF(AQ$11:AQ327,AQ327)-1),(RANK(AQ327,AQ$11:AQ$343)+COUNTIF(AQ$11:AQ327,AQ327)-1)))</f>
        <v/>
      </c>
      <c r="AS327" s="3" t="str">
        <f t="shared" si="149"/>
        <v/>
      </c>
      <c r="AT327" s="40" t="str">
        <f t="shared" si="150"/>
        <v/>
      </c>
      <c r="AU327" s="43" t="str">
        <f t="shared" si="151"/>
        <v/>
      </c>
      <c r="AX327">
        <f>HLOOKUP($AX$9&amp;$AX$10,Data!$A$1:$ZZ$1980,(MATCH($C327,Data!$A$1:$A$1980,0)),FALSE)</f>
        <v>414.2</v>
      </c>
    </row>
    <row r="328" spans="1:50">
      <c r="A328" s="59" t="str">
        <f>$D$1&amp;318</f>
        <v>UA318</v>
      </c>
      <c r="B328" s="60">
        <f>IF(ISERROR(VLOOKUP(A338,classifications!A:C,3,FALSE)),0,VLOOKUP(A338,classifications!A:C,3,FALSE))</f>
        <v>0</v>
      </c>
      <c r="C328" t="s">
        <v>188</v>
      </c>
      <c r="D328" t="str">
        <f>VLOOKUP($C328,classifications!$C:$J,4,FALSE)</f>
        <v>L</v>
      </c>
      <c r="E328">
        <f>VLOOKUP(C328,classifications!C:K,9,FALSE)</f>
        <v>0</v>
      </c>
      <c r="F328">
        <f t="shared" si="129"/>
        <v>385.9</v>
      </c>
      <c r="G328" s="15"/>
      <c r="H328" s="42" t="str">
        <f t="shared" si="130"/>
        <v/>
      </c>
      <c r="I328" s="79" t="str">
        <f>IF(H328="","",IF($I$8="A",(RANK(H328,H$11:H$343,1)+COUNTIF(H$11:H328,H328)-1),(RANK(H328,H$11:H$343)+COUNTIF(H$11:H328,H328)-1)))</f>
        <v/>
      </c>
      <c r="J328" s="41"/>
      <c r="K328" s="36" t="str">
        <f t="shared" si="131"/>
        <v/>
      </c>
      <c r="L328" t="str">
        <f t="shared" si="132"/>
        <v/>
      </c>
      <c r="M328" s="117" t="str">
        <f t="shared" si="133"/>
        <v/>
      </c>
      <c r="N328" s="112" t="str">
        <f t="shared" si="134"/>
        <v/>
      </c>
      <c r="O328" s="96" t="str">
        <f t="shared" si="135"/>
        <v/>
      </c>
      <c r="P328" s="96" t="str">
        <f t="shared" si="136"/>
        <v/>
      </c>
      <c r="Q328" s="96" t="str">
        <f t="shared" si="137"/>
        <v/>
      </c>
      <c r="R328" s="92" t="str">
        <f t="shared" si="138"/>
        <v/>
      </c>
      <c r="S328" s="42" t="str">
        <f t="shared" si="139"/>
        <v/>
      </c>
      <c r="T328" s="167" t="str">
        <f>IF(L328="","",VLOOKUP(L328,classifications!C:K,9,FALSE))</f>
        <v/>
      </c>
      <c r="U328" s="168" t="str">
        <f t="shared" si="140"/>
        <v/>
      </c>
      <c r="V328" s="174" t="str">
        <f>IF(U328="","",IF($I$8="A",(RANK(U328,U$11:U$343)+COUNTIF(U$11:U328,U328)-1),(RANK(U328,U$11:U$343,1)+COUNTIF(U$11:U328,U328)-1)))</f>
        <v/>
      </c>
      <c r="W328" s="175"/>
      <c r="X328" s="5" t="str">
        <f>IF(L328="","",VLOOKUP($L328,classifications!$C:$J,6,FALSE))</f>
        <v/>
      </c>
      <c r="Y328" t="str">
        <f t="shared" si="141"/>
        <v/>
      </c>
      <c r="Z328" s="40" t="str">
        <f>IF(Y328="","",IF(I$8="A",(RANK(Y328,Y$11:Y$343,1)+COUNTIF(Y$11:Y328,Y328)-1),(RANK(Y328,Y$11:Y$343)+COUNTIF(Y$11:Y328,Y328)-1)))</f>
        <v/>
      </c>
      <c r="AA328" s="180" t="str">
        <f>IF(L328="","",VLOOKUP($L328,classifications!C:I,7,FALSE))</f>
        <v/>
      </c>
      <c r="AB328" s="174" t="str">
        <f t="shared" si="142"/>
        <v/>
      </c>
      <c r="AC328" s="174" t="str">
        <f>IF(AB328="","",IF($I$8="A",(RANK(AB328,AB$11:AB$343)+COUNTIF(AB$11:AB328,AB328)-1),(RANK(AB328,AB$11:AB$343,1)+COUNTIF(AB$11:AB328,AB328)-1)))</f>
        <v/>
      </c>
      <c r="AD328" s="174"/>
      <c r="AE328" s="36" t="str">
        <f t="shared" si="143"/>
        <v/>
      </c>
      <c r="AG328" s="15"/>
      <c r="AH328" s="3"/>
      <c r="AI328" s="5" t="str">
        <f>IF(L328="","",VLOOKUP($L328,classifications!$C:$J,8,FALSE))</f>
        <v/>
      </c>
      <c r="AJ328" s="43" t="str">
        <f t="shared" si="144"/>
        <v/>
      </c>
      <c r="AK328" s="40" t="str">
        <f>IF(AJ328="","",IF(I$8="A",(RANK(AJ328,AJ$11:AJ$343,1)+COUNTIF(AJ$11:AJ328,AJ328)-1),(RANK(AJ328,AJ$11:AJ$343)+COUNTIF(AJ$11:AJ328,AJ328)-1)))</f>
        <v/>
      </c>
      <c r="AL328" s="3" t="str">
        <f t="shared" si="145"/>
        <v/>
      </c>
      <c r="AM328" t="str">
        <f t="shared" si="146"/>
        <v/>
      </c>
      <c r="AN328" t="str">
        <f t="shared" si="147"/>
        <v/>
      </c>
      <c r="AP328" s="5" t="str">
        <f>IF(L328="","",VLOOKUP($L328,classifications!$C:$E,3,FALSE))</f>
        <v/>
      </c>
      <c r="AQ328" s="43" t="str">
        <f t="shared" si="148"/>
        <v/>
      </c>
      <c r="AR328" s="40" t="str">
        <f>IF(AQ328="","",IF(I$8="A",(RANK(AQ328,AQ$11:AQ$343,1)+COUNTIF(AQ$11:AQ328,AQ328)-1),(RANK(AQ328,AQ$11:AQ$343)+COUNTIF(AQ$11:AQ328,AQ328)-1)))</f>
        <v/>
      </c>
      <c r="AS328" s="3" t="str">
        <f t="shared" si="149"/>
        <v/>
      </c>
      <c r="AT328" s="40" t="str">
        <f t="shared" si="150"/>
        <v/>
      </c>
      <c r="AU328" s="43" t="str">
        <f t="shared" si="151"/>
        <v/>
      </c>
      <c r="AX328">
        <f>HLOOKUP($AX$9&amp;$AX$10,Data!$A$1:$ZZ$1980,(MATCH($C328,Data!$A$1:$A$1980,0)),FALSE)</f>
        <v>385.9</v>
      </c>
    </row>
    <row r="329" spans="1:50">
      <c r="A329" s="59" t="str">
        <f>$D$1&amp;319</f>
        <v>UA319</v>
      </c>
      <c r="B329" s="60">
        <f>IF(ISERROR(VLOOKUP(A340,classifications!A:C,3,FALSE)),0,VLOOKUP(A340,classifications!A:C,3,FALSE))</f>
        <v>0</v>
      </c>
      <c r="C329" t="s">
        <v>256</v>
      </c>
      <c r="D329" t="str">
        <f>VLOOKUP($C329,classifications!$C:$J,4,FALSE)</f>
        <v>MD</v>
      </c>
      <c r="E329">
        <f>VLOOKUP(C329,classifications!C:K,9,FALSE)</f>
        <v>0</v>
      </c>
      <c r="F329">
        <f t="shared" si="129"/>
        <v>398.7</v>
      </c>
      <c r="G329" s="15"/>
      <c r="H329" s="42" t="str">
        <f t="shared" si="130"/>
        <v/>
      </c>
      <c r="I329" s="79" t="str">
        <f>IF(H329="","",IF($I$8="A",(RANK(H329,H$11:H$343,1)+COUNTIF(H$11:H329,H329)-1),(RANK(H329,H$11:H$343)+COUNTIF(H$11:H329,H329)-1)))</f>
        <v/>
      </c>
      <c r="J329" s="41"/>
      <c r="K329" s="36" t="str">
        <f t="shared" si="131"/>
        <v/>
      </c>
      <c r="L329" t="str">
        <f t="shared" si="132"/>
        <v/>
      </c>
      <c r="M329" s="117" t="str">
        <f t="shared" si="133"/>
        <v/>
      </c>
      <c r="N329" s="112" t="str">
        <f t="shared" si="134"/>
        <v/>
      </c>
      <c r="O329" s="96" t="str">
        <f t="shared" si="135"/>
        <v/>
      </c>
      <c r="P329" s="96" t="str">
        <f t="shared" si="136"/>
        <v/>
      </c>
      <c r="Q329" s="96" t="str">
        <f t="shared" si="137"/>
        <v/>
      </c>
      <c r="R329" s="92" t="str">
        <f t="shared" si="138"/>
        <v/>
      </c>
      <c r="S329" s="42" t="str">
        <f t="shared" si="139"/>
        <v/>
      </c>
      <c r="T329" s="167" t="str">
        <f>IF(L329="","",VLOOKUP(L329,classifications!C:K,9,FALSE))</f>
        <v/>
      </c>
      <c r="U329" s="168" t="str">
        <f t="shared" si="140"/>
        <v/>
      </c>
      <c r="V329" s="174" t="str">
        <f>IF(U329="","",IF($I$8="A",(RANK(U329,U$11:U$343)+COUNTIF(U$11:U329,U329)-1),(RANK(U329,U$11:U$343,1)+COUNTIF(U$11:U329,U329)-1)))</f>
        <v/>
      </c>
      <c r="W329" s="175"/>
      <c r="X329" s="5" t="str">
        <f>IF(L329="","",VLOOKUP($L329,classifications!$C:$J,6,FALSE))</f>
        <v/>
      </c>
      <c r="Y329" t="str">
        <f t="shared" si="141"/>
        <v/>
      </c>
      <c r="Z329" s="40" t="str">
        <f>IF(Y329="","",IF(I$8="A",(RANK(Y329,Y$11:Y$343,1)+COUNTIF(Y$11:Y329,Y329)-1),(RANK(Y329,Y$11:Y$343)+COUNTIF(Y$11:Y329,Y329)-1)))</f>
        <v/>
      </c>
      <c r="AA329" s="180" t="str">
        <f>IF(L329="","",VLOOKUP($L329,classifications!C:I,7,FALSE))</f>
        <v/>
      </c>
      <c r="AB329" s="174" t="str">
        <f t="shared" si="142"/>
        <v/>
      </c>
      <c r="AC329" s="174" t="str">
        <f>IF(AB329="","",IF($I$8="A",(RANK(AB329,AB$11:AB$343)+COUNTIF(AB$11:AB329,AB329)-1),(RANK(AB329,AB$11:AB$343,1)+COUNTIF(AB$11:AB329,AB329)-1)))</f>
        <v/>
      </c>
      <c r="AD329" s="174"/>
      <c r="AE329" s="36" t="str">
        <f t="shared" si="143"/>
        <v/>
      </c>
      <c r="AG329" s="15"/>
      <c r="AH329" s="3"/>
      <c r="AI329" s="5" t="str">
        <f>IF(L329="","",VLOOKUP($L329,classifications!$C:$J,8,FALSE))</f>
        <v/>
      </c>
      <c r="AJ329" s="43" t="str">
        <f t="shared" si="144"/>
        <v/>
      </c>
      <c r="AK329" s="40" t="str">
        <f>IF(AJ329="","",IF(I$8="A",(RANK(AJ329,AJ$11:AJ$343,1)+COUNTIF(AJ$11:AJ329,AJ329)-1),(RANK(AJ329,AJ$11:AJ$343)+COUNTIF(AJ$11:AJ329,AJ329)-1)))</f>
        <v/>
      </c>
      <c r="AL329" s="3" t="str">
        <f t="shared" si="145"/>
        <v/>
      </c>
      <c r="AM329" t="str">
        <f t="shared" si="146"/>
        <v/>
      </c>
      <c r="AN329" t="str">
        <f t="shared" si="147"/>
        <v/>
      </c>
      <c r="AP329" s="5" t="str">
        <f>IF(L329="","",VLOOKUP($L329,classifications!$C:$E,3,FALSE))</f>
        <v/>
      </c>
      <c r="AQ329" s="43" t="str">
        <f t="shared" si="148"/>
        <v/>
      </c>
      <c r="AR329" s="40" t="str">
        <f>IF(AQ329="","",IF(I$8="A",(RANK(AQ329,AQ$11:AQ$343,1)+COUNTIF(AQ$11:AQ329,AQ329)-1),(RANK(AQ329,AQ$11:AQ$343)+COUNTIF(AQ$11:AQ329,AQ329)-1)))</f>
        <v/>
      </c>
      <c r="AS329" s="3" t="str">
        <f t="shared" si="149"/>
        <v/>
      </c>
      <c r="AT329" s="40" t="str">
        <f t="shared" si="150"/>
        <v/>
      </c>
      <c r="AU329" s="43" t="str">
        <f t="shared" si="151"/>
        <v/>
      </c>
      <c r="AX329">
        <f>HLOOKUP($AX$9&amp;$AX$10,Data!$A$1:$ZZ$1980,(MATCH($C329,Data!$A$1:$A$1980,0)),FALSE)</f>
        <v>398.7</v>
      </c>
    </row>
    <row r="330" spans="1:50">
      <c r="A330" s="59" t="str">
        <f>$D$1&amp;320</f>
        <v>UA320</v>
      </c>
      <c r="B330" s="60">
        <f>IF(ISERROR(VLOOKUP(A341,classifications!A:C,3,FALSE)),0,VLOOKUP(A341,classifications!A:C,3,FALSE))</f>
        <v>0</v>
      </c>
      <c r="C330" t="s">
        <v>298</v>
      </c>
      <c r="D330" t="str">
        <f>VLOOKUP($C330,classifications!$C:$J,4,FALSE)</f>
        <v>UA</v>
      </c>
      <c r="E330">
        <f>VLOOKUP(C330,classifications!C:K,9,FALSE)</f>
        <v>0</v>
      </c>
      <c r="F330">
        <f t="shared" si="129"/>
        <v>401.7</v>
      </c>
      <c r="G330" s="15"/>
      <c r="H330" s="42">
        <f t="shared" si="130"/>
        <v>401.7</v>
      </c>
      <c r="I330" s="79">
        <f>IF(H330="","",IF($I$8="A",(RANK(H330,H$11:H$343,1)+COUNTIF(H$11:H330,H330)-1),(RANK(H330,H$11:H$343)+COUNTIF(H$11:H330,H330)-1)))</f>
        <v>35</v>
      </c>
      <c r="J330" s="41"/>
      <c r="K330" s="36" t="str">
        <f t="shared" si="131"/>
        <v/>
      </c>
      <c r="L330" t="str">
        <f t="shared" si="132"/>
        <v/>
      </c>
      <c r="M330" s="117" t="str">
        <f t="shared" si="133"/>
        <v/>
      </c>
      <c r="N330" s="112" t="str">
        <f t="shared" si="134"/>
        <v/>
      </c>
      <c r="O330" s="96" t="str">
        <f t="shared" si="135"/>
        <v/>
      </c>
      <c r="P330" s="96" t="str">
        <f t="shared" si="136"/>
        <v/>
      </c>
      <c r="Q330" s="96" t="str">
        <f t="shared" si="137"/>
        <v/>
      </c>
      <c r="R330" s="92" t="str">
        <f t="shared" si="138"/>
        <v/>
      </c>
      <c r="S330" s="42" t="str">
        <f t="shared" si="139"/>
        <v/>
      </c>
      <c r="T330" s="167" t="str">
        <f>IF(L330="","",VLOOKUP(L330,classifications!C:K,9,FALSE))</f>
        <v/>
      </c>
      <c r="U330" s="168" t="str">
        <f t="shared" si="140"/>
        <v/>
      </c>
      <c r="V330" s="174" t="str">
        <f>IF(U330="","",IF($I$8="A",(RANK(U330,U$11:U$343)+COUNTIF(U$11:U330,U330)-1),(RANK(U330,U$11:U$343,1)+COUNTIF(U$11:U330,U330)-1)))</f>
        <v/>
      </c>
      <c r="W330" s="175"/>
      <c r="X330" s="5" t="str">
        <f>IF(L330="","",VLOOKUP($L330,classifications!$C:$J,6,FALSE))</f>
        <v/>
      </c>
      <c r="Y330" t="str">
        <f t="shared" si="141"/>
        <v/>
      </c>
      <c r="Z330" s="40" t="str">
        <f>IF(Y330="","",IF(I$8="A",(RANK(Y330,Y$11:Y$343,1)+COUNTIF(Y$11:Y330,Y330)-1),(RANK(Y330,Y$11:Y$343)+COUNTIF(Y$11:Y330,Y330)-1)))</f>
        <v/>
      </c>
      <c r="AA330" s="180" t="str">
        <f>IF(L330="","",VLOOKUP($L330,classifications!C:I,7,FALSE))</f>
        <v/>
      </c>
      <c r="AB330" s="174" t="str">
        <f t="shared" si="142"/>
        <v/>
      </c>
      <c r="AC330" s="174" t="str">
        <f>IF(AB330="","",IF($I$8="A",(RANK(AB330,AB$11:AB$343)+COUNTIF(AB$11:AB330,AB330)-1),(RANK(AB330,AB$11:AB$343,1)+COUNTIF(AB$11:AB330,AB330)-1)))</f>
        <v/>
      </c>
      <c r="AD330" s="174"/>
      <c r="AE330" s="36" t="str">
        <f t="shared" si="143"/>
        <v/>
      </c>
      <c r="AG330" s="15"/>
      <c r="AH330" s="3"/>
      <c r="AI330" s="5" t="str">
        <f>IF(L330="","",VLOOKUP($L330,classifications!$C:$J,8,FALSE))</f>
        <v/>
      </c>
      <c r="AJ330" s="43" t="str">
        <f t="shared" si="144"/>
        <v/>
      </c>
      <c r="AK330" s="40" t="str">
        <f>IF(AJ330="","",IF(I$8="A",(RANK(AJ330,AJ$11:AJ$343,1)+COUNTIF(AJ$11:AJ330,AJ330)-1),(RANK(AJ330,AJ$11:AJ$343)+COUNTIF(AJ$11:AJ330,AJ330)-1)))</f>
        <v/>
      </c>
      <c r="AL330" s="3" t="str">
        <f t="shared" si="145"/>
        <v/>
      </c>
      <c r="AM330" t="str">
        <f t="shared" si="146"/>
        <v/>
      </c>
      <c r="AN330" t="str">
        <f t="shared" si="147"/>
        <v/>
      </c>
      <c r="AP330" s="5" t="str">
        <f>IF(L330="","",VLOOKUP($L330,classifications!$C:$E,3,FALSE))</f>
        <v/>
      </c>
      <c r="AQ330" s="43" t="str">
        <f t="shared" si="148"/>
        <v/>
      </c>
      <c r="AR330" s="40" t="str">
        <f>IF(AQ330="","",IF(I$8="A",(RANK(AQ330,AQ$11:AQ$343,1)+COUNTIF(AQ$11:AQ330,AQ330)-1),(RANK(AQ330,AQ$11:AQ$343)+COUNTIF(AQ$11:AQ330,AQ330)-1)))</f>
        <v/>
      </c>
      <c r="AS330" s="3" t="str">
        <f t="shared" si="149"/>
        <v/>
      </c>
      <c r="AT330" s="40" t="str">
        <f t="shared" si="150"/>
        <v/>
      </c>
      <c r="AU330" s="43" t="str">
        <f t="shared" si="151"/>
        <v/>
      </c>
      <c r="AX330">
        <f>HLOOKUP($AX$9&amp;$AX$10,Data!$A$1:$ZZ$1980,(MATCH($C330,Data!$A$1:$A$1980,0)),FALSE)</f>
        <v>401.7</v>
      </c>
    </row>
    <row r="331" spans="1:50">
      <c r="A331" s="59" t="str">
        <f>$D$1&amp;321</f>
        <v>UA321</v>
      </c>
      <c r="B331" s="60">
        <f>IF(ISERROR(VLOOKUP(A342,classifications!A:C,3,FALSE)),0,VLOOKUP(A342,classifications!A:C,3,FALSE))</f>
        <v>0</v>
      </c>
      <c r="C331" t="s">
        <v>189</v>
      </c>
      <c r="D331" t="str">
        <f>VLOOKUP($C331,classifications!$C:$J,4,FALSE)</f>
        <v>SD</v>
      </c>
      <c r="E331">
        <f>VLOOKUP(C331,classifications!C:K,9,FALSE)</f>
        <v>0</v>
      </c>
      <c r="F331">
        <f t="shared" si="129"/>
        <v>320.2</v>
      </c>
      <c r="G331" s="15"/>
      <c r="H331" s="42" t="str">
        <f t="shared" si="130"/>
        <v/>
      </c>
      <c r="I331" s="79" t="str">
        <f>IF(H331="","",IF($I$8="A",(RANK(H331,H$11:H$343,1)+COUNTIF(H$11:H331,H331)-1),(RANK(H331,H$11:H$343)+COUNTIF(H$11:H331,H331)-1)))</f>
        <v/>
      </c>
      <c r="J331" s="41"/>
      <c r="K331" s="36" t="str">
        <f t="shared" si="131"/>
        <v/>
      </c>
      <c r="L331" t="str">
        <f t="shared" si="132"/>
        <v/>
      </c>
      <c r="M331" s="117" t="str">
        <f t="shared" si="133"/>
        <v/>
      </c>
      <c r="N331" s="112" t="str">
        <f t="shared" si="134"/>
        <v/>
      </c>
      <c r="O331" s="96" t="str">
        <f t="shared" si="135"/>
        <v/>
      </c>
      <c r="P331" s="96" t="str">
        <f t="shared" si="136"/>
        <v/>
      </c>
      <c r="Q331" s="96" t="str">
        <f t="shared" si="137"/>
        <v/>
      </c>
      <c r="R331" s="92" t="str">
        <f t="shared" si="138"/>
        <v/>
      </c>
      <c r="S331" s="42" t="str">
        <f t="shared" si="139"/>
        <v/>
      </c>
      <c r="T331" s="167" t="str">
        <f>IF(L331="","",VLOOKUP(L331,classifications!C:K,9,FALSE))</f>
        <v/>
      </c>
      <c r="U331" s="168" t="str">
        <f t="shared" si="140"/>
        <v/>
      </c>
      <c r="V331" s="174" t="str">
        <f>IF(U331="","",IF($I$8="A",(RANK(U331,U$11:U$343)+COUNTIF(U$11:U331,U331)-1),(RANK(U331,U$11:U$343,1)+COUNTIF(U$11:U331,U331)-1)))</f>
        <v/>
      </c>
      <c r="W331" s="175"/>
      <c r="X331" s="5" t="str">
        <f>IF(L331="","",VLOOKUP($L331,classifications!$C:$J,6,FALSE))</f>
        <v/>
      </c>
      <c r="Y331" t="str">
        <f t="shared" si="141"/>
        <v/>
      </c>
      <c r="Z331" s="40" t="str">
        <f>IF(Y331="","",IF(I$8="A",(RANK(Y331,Y$11:Y$343,1)+COUNTIF(Y$11:Y331,Y331)-1),(RANK(Y331,Y$11:Y$343)+COUNTIF(Y$11:Y331,Y331)-1)))</f>
        <v/>
      </c>
      <c r="AA331" s="180" t="str">
        <f>IF(L331="","",VLOOKUP($L331,classifications!C:I,7,FALSE))</f>
        <v/>
      </c>
      <c r="AB331" s="174" t="str">
        <f t="shared" si="142"/>
        <v/>
      </c>
      <c r="AC331" s="174" t="str">
        <f>IF(AB331="","",IF($I$8="A",(RANK(AB331,AB$11:AB$343)+COUNTIF(AB$11:AB331,AB331)-1),(RANK(AB331,AB$11:AB$343,1)+COUNTIF(AB$11:AB331,AB331)-1)))</f>
        <v/>
      </c>
      <c r="AD331" s="174"/>
      <c r="AE331" s="36" t="str">
        <f t="shared" si="143"/>
        <v/>
      </c>
      <c r="AG331" s="15"/>
      <c r="AH331" s="3"/>
      <c r="AI331" s="5" t="str">
        <f>IF(L331="","",VLOOKUP($L331,classifications!$C:$J,8,FALSE))</f>
        <v/>
      </c>
      <c r="AJ331" s="43" t="str">
        <f t="shared" si="144"/>
        <v/>
      </c>
      <c r="AK331" s="40" t="str">
        <f>IF(AJ331="","",IF(I$8="A",(RANK(AJ331,AJ$11:AJ$343,1)+COUNTIF(AJ$11:AJ331,AJ331)-1),(RANK(AJ331,AJ$11:AJ$343)+COUNTIF(AJ$11:AJ331,AJ331)-1)))</f>
        <v/>
      </c>
      <c r="AL331" s="3" t="str">
        <f t="shared" si="145"/>
        <v/>
      </c>
      <c r="AM331" t="str">
        <f t="shared" si="146"/>
        <v/>
      </c>
      <c r="AN331" t="str">
        <f t="shared" si="147"/>
        <v/>
      </c>
      <c r="AP331" s="5" t="str">
        <f>IF(L331="","",VLOOKUP($L331,classifications!$C:$E,3,FALSE))</f>
        <v/>
      </c>
      <c r="AQ331" s="43" t="str">
        <f t="shared" si="148"/>
        <v/>
      </c>
      <c r="AR331" s="40" t="str">
        <f>IF(AQ331="","",IF(I$8="A",(RANK(AQ331,AQ$11:AQ$343,1)+COUNTIF(AQ$11:AQ331,AQ331)-1),(RANK(AQ331,AQ$11:AQ$343)+COUNTIF(AQ$11:AQ331,AQ331)-1)))</f>
        <v/>
      </c>
      <c r="AS331" s="3" t="str">
        <f t="shared" si="149"/>
        <v/>
      </c>
      <c r="AT331" s="40" t="str">
        <f t="shared" si="150"/>
        <v/>
      </c>
      <c r="AU331" s="43" t="str">
        <f t="shared" si="151"/>
        <v/>
      </c>
      <c r="AX331">
        <f>HLOOKUP($AX$9&amp;$AX$10,Data!$A$1:$ZZ$1980,(MATCH($C331,Data!$A$1:$A$1980,0)),FALSE)</f>
        <v>320.2</v>
      </c>
    </row>
    <row r="332" spans="1:50">
      <c r="A332" s="59" t="str">
        <f>$D$1&amp;322</f>
        <v>UA322</v>
      </c>
      <c r="B332" s="60">
        <f>IF(ISERROR(VLOOKUP(A343,classifications!A:C,3,FALSE)),0,VLOOKUP(A343,classifications!A:C,3,FALSE))</f>
        <v>0</v>
      </c>
      <c r="C332" t="s">
        <v>816</v>
      </c>
      <c r="D332" t="str">
        <f>VLOOKUP($C332,classifications!$C:$J,4,FALSE)</f>
        <v>UA</v>
      </c>
      <c r="E332">
        <f>VLOOKUP(C332,classifications!C:K,9,FALSE)</f>
        <v>0</v>
      </c>
      <c r="F332">
        <f t="shared" si="129"/>
        <v>380.5</v>
      </c>
      <c r="G332" s="15"/>
      <c r="H332" s="42">
        <f t="shared" si="130"/>
        <v>380.5</v>
      </c>
      <c r="I332" s="79">
        <f>IF(H332="","",IF($I$8="A",(RANK(H332,H$11:H$343,1)+COUNTIF(H$11:H332,H332)-1),(RANK(H332,H$11:H$343)+COUNTIF(H$11:H332,H332)-1)))</f>
        <v>19</v>
      </c>
      <c r="J332" s="41"/>
      <c r="K332" s="36" t="str">
        <f t="shared" si="131"/>
        <v/>
      </c>
      <c r="L332" t="str">
        <f t="shared" si="132"/>
        <v/>
      </c>
      <c r="M332" s="117" t="str">
        <f t="shared" si="133"/>
        <v/>
      </c>
      <c r="N332" s="112" t="str">
        <f t="shared" si="134"/>
        <v/>
      </c>
      <c r="O332" s="96" t="str">
        <f t="shared" si="135"/>
        <v/>
      </c>
      <c r="P332" s="96" t="str">
        <f t="shared" si="136"/>
        <v/>
      </c>
      <c r="Q332" s="96" t="str">
        <f t="shared" si="137"/>
        <v/>
      </c>
      <c r="R332" s="92" t="str">
        <f t="shared" si="138"/>
        <v/>
      </c>
      <c r="S332" s="42" t="str">
        <f t="shared" si="139"/>
        <v/>
      </c>
      <c r="T332" s="167" t="str">
        <f>IF(L332="","",VLOOKUP(L332,classifications!C:K,9,FALSE))</f>
        <v/>
      </c>
      <c r="U332" s="168" t="str">
        <f t="shared" si="140"/>
        <v/>
      </c>
      <c r="V332" s="174" t="str">
        <f>IF(U332="","",IF($I$8="A",(RANK(U332,U$11:U$343)+COUNTIF(U$11:U332,U332)-1),(RANK(U332,U$11:U$343,1)+COUNTIF(U$11:U332,U332)-1)))</f>
        <v/>
      </c>
      <c r="W332" s="175"/>
      <c r="X332" s="5" t="str">
        <f>IF(L332="","",VLOOKUP($L332,classifications!$C:$J,6,FALSE))</f>
        <v/>
      </c>
      <c r="Y332" t="str">
        <f t="shared" si="141"/>
        <v/>
      </c>
      <c r="Z332" s="40" t="str">
        <f>IF(Y332="","",IF(I$8="A",(RANK(Y332,Y$11:Y$343,1)+COUNTIF(Y$11:Y332,Y332)-1),(RANK(Y332,Y$11:Y$343)+COUNTIF(Y$11:Y332,Y332)-1)))</f>
        <v/>
      </c>
      <c r="AA332" s="180" t="str">
        <f>IF(L332="","",VLOOKUP($L332,classifications!C:I,7,FALSE))</f>
        <v/>
      </c>
      <c r="AB332" s="174" t="str">
        <f t="shared" si="142"/>
        <v/>
      </c>
      <c r="AC332" s="174" t="str">
        <f>IF(AB332="","",IF($I$8="A",(RANK(AB332,AB$11:AB$343)+COUNTIF(AB$11:AB332,AB332)-1),(RANK(AB332,AB$11:AB$343,1)+COUNTIF(AB$11:AB332,AB332)-1)))</f>
        <v/>
      </c>
      <c r="AD332" s="174"/>
      <c r="AE332" s="36" t="str">
        <f t="shared" si="143"/>
        <v/>
      </c>
      <c r="AG332" s="15"/>
      <c r="AH332" s="3"/>
      <c r="AI332" s="5" t="str">
        <f>IF(L332="","",VLOOKUP($L332,classifications!$C:$J,8,FALSE))</f>
        <v/>
      </c>
      <c r="AJ332" s="43" t="str">
        <f t="shared" si="144"/>
        <v/>
      </c>
      <c r="AK332" s="40" t="str">
        <f>IF(AJ332="","",IF(I$8="A",(RANK(AJ332,AJ$11:AJ$343,1)+COUNTIF(AJ$11:AJ332,AJ332)-1),(RANK(AJ332,AJ$11:AJ$343)+COUNTIF(AJ$11:AJ332,AJ332)-1)))</f>
        <v/>
      </c>
      <c r="AL332" s="3" t="str">
        <f t="shared" si="145"/>
        <v/>
      </c>
      <c r="AM332" t="str">
        <f t="shared" si="146"/>
        <v/>
      </c>
      <c r="AN332" t="str">
        <f t="shared" si="147"/>
        <v/>
      </c>
      <c r="AP332" s="5" t="str">
        <f>IF(L332="","",VLOOKUP($L332,classifications!$C:$E,3,FALSE))</f>
        <v/>
      </c>
      <c r="AQ332" s="43" t="str">
        <f t="shared" si="148"/>
        <v/>
      </c>
      <c r="AR332" s="40" t="str">
        <f>IF(AQ332="","",IF(I$8="A",(RANK(AQ332,AQ$11:AQ$343,1)+COUNTIF(AQ$11:AQ332,AQ332)-1),(RANK(AQ332,AQ$11:AQ$343)+COUNTIF(AQ$11:AQ332,AQ332)-1)))</f>
        <v/>
      </c>
      <c r="AS332" s="3" t="str">
        <f t="shared" si="149"/>
        <v/>
      </c>
      <c r="AT332" s="40" t="str">
        <f t="shared" si="150"/>
        <v/>
      </c>
      <c r="AU332" s="43" t="str">
        <f t="shared" si="151"/>
        <v/>
      </c>
      <c r="AX332">
        <f>HLOOKUP($AX$9&amp;$AX$10,Data!$A$1:$ZZ$1980,(MATCH($C332,Data!$A$1:$A$1980,0)),FALSE)</f>
        <v>380.5</v>
      </c>
    </row>
    <row r="333" spans="1:50">
      <c r="A333" s="59" t="str">
        <f>$D$1&amp;323</f>
        <v>UA323</v>
      </c>
      <c r="B333" s="60">
        <f>IF(ISERROR(VLOOKUP(A344,classifications!A:C,3,FALSE)),0,VLOOKUP(A344,classifications!A:C,3,FALSE))</f>
        <v>0</v>
      </c>
      <c r="C333" t="s">
        <v>257</v>
      </c>
      <c r="D333" t="str">
        <f>VLOOKUP($C333,classifications!$C:$J,4,FALSE)</f>
        <v>MD</v>
      </c>
      <c r="E333">
        <f>VLOOKUP(C333,classifications!C:K,9,FALSE)</f>
        <v>0</v>
      </c>
      <c r="F333">
        <f t="shared" si="129"/>
        <v>363.6</v>
      </c>
      <c r="G333" s="15"/>
      <c r="H333" s="42" t="str">
        <f t="shared" si="130"/>
        <v/>
      </c>
      <c r="I333" s="79" t="str">
        <f>IF(H333="","",IF($I$8="A",(RANK(H333,H$11:H$343,1)+COUNTIF(H$11:H333,H333)-1),(RANK(H333,H$11:H$343)+COUNTIF(H$11:H333,H333)-1)))</f>
        <v/>
      </c>
      <c r="J333" s="41"/>
      <c r="K333" s="36" t="str">
        <f t="shared" si="131"/>
        <v/>
      </c>
      <c r="L333" t="str">
        <f t="shared" si="132"/>
        <v/>
      </c>
      <c r="M333" s="117" t="str">
        <f t="shared" si="133"/>
        <v/>
      </c>
      <c r="N333" s="112" t="str">
        <f t="shared" si="134"/>
        <v/>
      </c>
      <c r="O333" s="96" t="str">
        <f t="shared" si="135"/>
        <v/>
      </c>
      <c r="P333" s="96" t="str">
        <f t="shared" si="136"/>
        <v/>
      </c>
      <c r="Q333" s="96" t="str">
        <f t="shared" si="137"/>
        <v/>
      </c>
      <c r="R333" s="92" t="str">
        <f t="shared" si="138"/>
        <v/>
      </c>
      <c r="S333" s="42" t="str">
        <f t="shared" si="139"/>
        <v/>
      </c>
      <c r="T333" s="167" t="str">
        <f>IF(L333="","",VLOOKUP(L333,classifications!C:K,9,FALSE))</f>
        <v/>
      </c>
      <c r="U333" s="168" t="str">
        <f t="shared" si="140"/>
        <v/>
      </c>
      <c r="V333" s="174" t="str">
        <f>IF(U333="","",IF($I$8="A",(RANK(U333,U$11:U$343)+COUNTIF(U$11:U333,U333)-1),(RANK(U333,U$11:U$343,1)+COUNTIF(U$11:U333,U333)-1)))</f>
        <v/>
      </c>
      <c r="W333" s="175"/>
      <c r="X333" s="5" t="str">
        <f>IF(L333="","",VLOOKUP($L333,classifications!$C:$J,6,FALSE))</f>
        <v/>
      </c>
      <c r="Y333" t="str">
        <f t="shared" si="141"/>
        <v/>
      </c>
      <c r="Z333" s="40" t="str">
        <f>IF(Y333="","",IF(I$8="A",(RANK(Y333,Y$11:Y$343,1)+COUNTIF(Y$11:Y333,Y333)-1),(RANK(Y333,Y$11:Y$343)+COUNTIF(Y$11:Y333,Y333)-1)))</f>
        <v/>
      </c>
      <c r="AA333" s="180" t="str">
        <f>IF(L333="","",VLOOKUP($L333,classifications!C:I,7,FALSE))</f>
        <v/>
      </c>
      <c r="AB333" s="174" t="str">
        <f t="shared" si="142"/>
        <v/>
      </c>
      <c r="AC333" s="174" t="str">
        <f>IF(AB333="","",IF($I$8="A",(RANK(AB333,AB$11:AB$343)+COUNTIF(AB$11:AB333,AB333)-1),(RANK(AB333,AB$11:AB$343,1)+COUNTIF(AB$11:AB333,AB333)-1)))</f>
        <v/>
      </c>
      <c r="AD333" s="174"/>
      <c r="AE333" s="36" t="str">
        <f t="shared" si="143"/>
        <v/>
      </c>
      <c r="AG333" s="15"/>
      <c r="AH333" s="3"/>
      <c r="AI333" s="5" t="str">
        <f>IF(L333="","",VLOOKUP($L333,classifications!$C:$J,8,FALSE))</f>
        <v/>
      </c>
      <c r="AJ333" s="43" t="str">
        <f t="shared" si="144"/>
        <v/>
      </c>
      <c r="AK333" s="40" t="str">
        <f>IF(AJ333="","",IF(I$8="A",(RANK(AJ333,AJ$11:AJ$343,1)+COUNTIF(AJ$11:AJ333,AJ333)-1),(RANK(AJ333,AJ$11:AJ$343)+COUNTIF(AJ$11:AJ333,AJ333)-1)))</f>
        <v/>
      </c>
      <c r="AL333" s="3" t="str">
        <f t="shared" si="145"/>
        <v/>
      </c>
      <c r="AM333" t="str">
        <f t="shared" si="146"/>
        <v/>
      </c>
      <c r="AN333" t="str">
        <f t="shared" si="147"/>
        <v/>
      </c>
      <c r="AP333" s="5" t="str">
        <f>IF(L333="","",VLOOKUP($L333,classifications!$C:$E,3,FALSE))</f>
        <v/>
      </c>
      <c r="AQ333" s="43" t="str">
        <f t="shared" si="148"/>
        <v/>
      </c>
      <c r="AR333" s="40" t="str">
        <f>IF(AQ333="","",IF(I$8="A",(RANK(AQ333,AQ$11:AQ$343,1)+COUNTIF(AQ$11:AQ333,AQ333)-1),(RANK(AQ333,AQ$11:AQ$343)+COUNTIF(AQ$11:AQ333,AQ333)-1)))</f>
        <v/>
      </c>
      <c r="AS333" s="3" t="str">
        <f t="shared" si="149"/>
        <v/>
      </c>
      <c r="AT333" s="40" t="str">
        <f t="shared" si="150"/>
        <v/>
      </c>
      <c r="AU333" s="43" t="str">
        <f t="shared" si="151"/>
        <v/>
      </c>
      <c r="AX333">
        <f>HLOOKUP($AX$9&amp;$AX$10,Data!$A$1:$ZZ$1980,(MATCH($C333,Data!$A$1:$A$1980,0)),FALSE)</f>
        <v>363.6</v>
      </c>
    </row>
    <row r="334" spans="1:50">
      <c r="A334" s="59" t="str">
        <f>$D$1&amp;324</f>
        <v>UA324</v>
      </c>
      <c r="B334" s="60">
        <f>IF(ISERROR(VLOOKUP(A345,classifications!A:C,3,FALSE)),0,VLOOKUP(A345,classifications!A:C,3,FALSE))</f>
        <v>0</v>
      </c>
      <c r="C334" t="s">
        <v>190</v>
      </c>
      <c r="D334" t="str">
        <f>VLOOKUP($C334,classifications!$C:$J,4,FALSE)</f>
        <v>SD</v>
      </c>
      <c r="E334">
        <f>VLOOKUP(C334,classifications!C:K,9,FALSE)</f>
        <v>0</v>
      </c>
      <c r="F334">
        <f t="shared" si="129"/>
        <v>344.3</v>
      </c>
      <c r="G334" s="15"/>
      <c r="H334" s="42" t="str">
        <f t="shared" si="130"/>
        <v/>
      </c>
      <c r="I334" s="79" t="str">
        <f>IF(H334="","",IF($I$8="A",(RANK(H334,H$11:H$343,1)+COUNTIF(H$11:H334,H334)-1),(RANK(H334,H$11:H$343)+COUNTIF(H$11:H334,H334)-1)))</f>
        <v/>
      </c>
      <c r="J334" s="41"/>
      <c r="K334" s="36" t="str">
        <f t="shared" si="131"/>
        <v/>
      </c>
      <c r="L334" t="str">
        <f t="shared" si="132"/>
        <v/>
      </c>
      <c r="M334" s="117" t="str">
        <f t="shared" si="133"/>
        <v/>
      </c>
      <c r="N334" s="112" t="str">
        <f t="shared" si="134"/>
        <v/>
      </c>
      <c r="O334" s="96" t="str">
        <f t="shared" si="135"/>
        <v/>
      </c>
      <c r="P334" s="96" t="str">
        <f t="shared" si="136"/>
        <v/>
      </c>
      <c r="Q334" s="96" t="str">
        <f t="shared" si="137"/>
        <v/>
      </c>
      <c r="R334" s="92" t="str">
        <f t="shared" si="138"/>
        <v/>
      </c>
      <c r="S334" s="42" t="str">
        <f t="shared" si="139"/>
        <v/>
      </c>
      <c r="T334" s="167" t="str">
        <f>IF(L334="","",VLOOKUP(L334,classifications!C:K,9,FALSE))</f>
        <v/>
      </c>
      <c r="U334" s="168" t="str">
        <f t="shared" si="140"/>
        <v/>
      </c>
      <c r="V334" s="174" t="str">
        <f>IF(U334="","",IF($I$8="A",(RANK(U334,U$11:U$343)+COUNTIF(U$11:U334,U334)-1),(RANK(U334,U$11:U$343,1)+COUNTIF(U$11:U334,U334)-1)))</f>
        <v/>
      </c>
      <c r="W334" s="175"/>
      <c r="X334" s="5" t="str">
        <f>IF(L334="","",VLOOKUP($L334,classifications!$C:$J,6,FALSE))</f>
        <v/>
      </c>
      <c r="Y334" t="str">
        <f t="shared" si="141"/>
        <v/>
      </c>
      <c r="Z334" s="40" t="str">
        <f>IF(Y334="","",IF(I$8="A",(RANK(Y334,Y$11:Y$343,1)+COUNTIF(Y$11:Y334,Y334)-1),(RANK(Y334,Y$11:Y$343)+COUNTIF(Y$11:Y334,Y334)-1)))</f>
        <v/>
      </c>
      <c r="AA334" s="180" t="str">
        <f>IF(L334="","",VLOOKUP($L334,classifications!C:I,7,FALSE))</f>
        <v/>
      </c>
      <c r="AB334" s="174" t="str">
        <f t="shared" si="142"/>
        <v/>
      </c>
      <c r="AC334" s="174" t="str">
        <f>IF(AB334="","",IF($I$8="A",(RANK(AB334,AB$11:AB$343)+COUNTIF(AB$11:AB334,AB334)-1),(RANK(AB334,AB$11:AB$343,1)+COUNTIF(AB$11:AB334,AB334)-1)))</f>
        <v/>
      </c>
      <c r="AD334" s="174"/>
      <c r="AE334" s="36" t="str">
        <f t="shared" si="143"/>
        <v/>
      </c>
      <c r="AG334" s="15"/>
      <c r="AH334" s="3"/>
      <c r="AI334" s="5" t="str">
        <f>IF(L334="","",VLOOKUP($L334,classifications!$C:$J,8,FALSE))</f>
        <v/>
      </c>
      <c r="AJ334" s="43" t="str">
        <f t="shared" si="144"/>
        <v/>
      </c>
      <c r="AK334" s="40" t="str">
        <f>IF(AJ334="","",IF(I$8="A",(RANK(AJ334,AJ$11:AJ$343,1)+COUNTIF(AJ$11:AJ334,AJ334)-1),(RANK(AJ334,AJ$11:AJ$343)+COUNTIF(AJ$11:AJ334,AJ334)-1)))</f>
        <v/>
      </c>
      <c r="AL334" s="3" t="str">
        <f t="shared" si="145"/>
        <v/>
      </c>
      <c r="AM334" t="str">
        <f t="shared" si="146"/>
        <v/>
      </c>
      <c r="AN334" t="str">
        <f t="shared" si="147"/>
        <v/>
      </c>
      <c r="AP334" s="5" t="str">
        <f>IF(L334="","",VLOOKUP($L334,classifications!$C:$E,3,FALSE))</f>
        <v/>
      </c>
      <c r="AQ334" s="43" t="str">
        <f t="shared" si="148"/>
        <v/>
      </c>
      <c r="AR334" s="40" t="str">
        <f>IF(AQ334="","",IF(I$8="A",(RANK(AQ334,AQ$11:AQ$343,1)+COUNTIF(AQ$11:AQ334,AQ334)-1),(RANK(AQ334,AQ$11:AQ$343)+COUNTIF(AQ$11:AQ334,AQ334)-1)))</f>
        <v/>
      </c>
      <c r="AS334" s="3" t="str">
        <f t="shared" si="149"/>
        <v/>
      </c>
      <c r="AT334" s="40" t="str">
        <f t="shared" si="150"/>
        <v/>
      </c>
      <c r="AU334" s="43" t="str">
        <f t="shared" si="151"/>
        <v/>
      </c>
      <c r="AX334">
        <f>HLOOKUP($AX$9&amp;$AX$10,Data!$A$1:$ZZ$1980,(MATCH($C334,Data!$A$1:$A$1980,0)),FALSE)</f>
        <v>344.3</v>
      </c>
    </row>
    <row r="335" spans="1:50">
      <c r="A335" s="59" t="str">
        <f>$D$1&amp;325</f>
        <v>UA325</v>
      </c>
      <c r="B335" s="60">
        <f>IF(ISERROR(VLOOKUP(A346,classifications!A:C,3,FALSE)),0,VLOOKUP(A346,classifications!A:C,3,FALSE))</f>
        <v>0</v>
      </c>
      <c r="C335" t="s">
        <v>299</v>
      </c>
      <c r="D335" t="str">
        <f>VLOOKUP($C335,classifications!$C:$J,4,FALSE)</f>
        <v>UA</v>
      </c>
      <c r="E335">
        <f>VLOOKUP(C335,classifications!C:K,9,FALSE)</f>
        <v>0</v>
      </c>
      <c r="F335">
        <f t="shared" si="129"/>
        <v>361.1</v>
      </c>
      <c r="G335" s="15"/>
      <c r="H335" s="42">
        <f t="shared" si="130"/>
        <v>361.1</v>
      </c>
      <c r="I335" s="79">
        <f>IF(H335="","",IF($I$8="A",(RANK(H335,H$11:H$343,1)+COUNTIF(H$11:H335,H335)-1),(RANK(H335,H$11:H$343)+COUNTIF(H$11:H335,H335)-1)))</f>
        <v>11</v>
      </c>
      <c r="J335" s="41"/>
      <c r="K335" s="36" t="str">
        <f t="shared" si="131"/>
        <v/>
      </c>
      <c r="L335" t="str">
        <f t="shared" si="132"/>
        <v/>
      </c>
      <c r="M335" s="117" t="str">
        <f t="shared" si="133"/>
        <v/>
      </c>
      <c r="N335" s="112" t="str">
        <f t="shared" si="134"/>
        <v/>
      </c>
      <c r="O335" s="96" t="str">
        <f t="shared" si="135"/>
        <v/>
      </c>
      <c r="P335" s="96" t="str">
        <f t="shared" si="136"/>
        <v/>
      </c>
      <c r="Q335" s="96" t="str">
        <f t="shared" si="137"/>
        <v/>
      </c>
      <c r="R335" s="92" t="str">
        <f t="shared" si="138"/>
        <v/>
      </c>
      <c r="S335" s="42" t="str">
        <f t="shared" si="139"/>
        <v/>
      </c>
      <c r="T335" s="167" t="str">
        <f>IF(L335="","",VLOOKUP(L335,classifications!C:K,9,FALSE))</f>
        <v/>
      </c>
      <c r="U335" s="168" t="str">
        <f t="shared" si="140"/>
        <v/>
      </c>
      <c r="V335" s="174" t="str">
        <f>IF(U335="","",IF($I$8="A",(RANK(U335,U$11:U$343)+COUNTIF(U$11:U335,U335)-1),(RANK(U335,U$11:U$343,1)+COUNTIF(U$11:U335,U335)-1)))</f>
        <v/>
      </c>
      <c r="W335" s="175"/>
      <c r="X335" s="5" t="str">
        <f>IF(L335="","",VLOOKUP($L335,classifications!$C:$J,6,FALSE))</f>
        <v/>
      </c>
      <c r="Y335" t="str">
        <f t="shared" si="141"/>
        <v/>
      </c>
      <c r="Z335" s="40" t="str">
        <f>IF(Y335="","",IF(I$8="A",(RANK(Y335,Y$11:Y$343,1)+COUNTIF(Y$11:Y335,Y335)-1),(RANK(Y335,Y$11:Y$343)+COUNTIF(Y$11:Y335,Y335)-1)))</f>
        <v/>
      </c>
      <c r="AA335" s="180" t="str">
        <f>IF(L335="","",VLOOKUP($L335,classifications!C:I,7,FALSE))</f>
        <v/>
      </c>
      <c r="AB335" s="174" t="str">
        <f t="shared" si="142"/>
        <v/>
      </c>
      <c r="AC335" s="174" t="str">
        <f>IF(AB335="","",IF($I$8="A",(RANK(AB335,AB$11:AB$343)+COUNTIF(AB$11:AB335,AB335)-1),(RANK(AB335,AB$11:AB$343,1)+COUNTIF(AB$11:AB335,AB335)-1)))</f>
        <v/>
      </c>
      <c r="AD335" s="174"/>
      <c r="AE335" s="36" t="str">
        <f t="shared" si="143"/>
        <v/>
      </c>
      <c r="AG335" s="15"/>
      <c r="AH335" s="3"/>
      <c r="AI335" s="5" t="str">
        <f>IF(L335="","",VLOOKUP($L335,classifications!$C:$J,8,FALSE))</f>
        <v/>
      </c>
      <c r="AJ335" s="43" t="str">
        <f t="shared" si="144"/>
        <v/>
      </c>
      <c r="AK335" s="40" t="str">
        <f>IF(AJ335="","",IF(I$8="A",(RANK(AJ335,AJ$11:AJ$343,1)+COUNTIF(AJ$11:AJ335,AJ335)-1),(RANK(AJ335,AJ$11:AJ$343)+COUNTIF(AJ$11:AJ335,AJ335)-1)))</f>
        <v/>
      </c>
      <c r="AL335" s="3" t="str">
        <f t="shared" si="145"/>
        <v/>
      </c>
      <c r="AM335" t="str">
        <f t="shared" si="146"/>
        <v/>
      </c>
      <c r="AN335" t="str">
        <f t="shared" si="147"/>
        <v/>
      </c>
      <c r="AP335" s="5" t="str">
        <f>IF(L335="","",VLOOKUP($L335,classifications!$C:$E,3,FALSE))</f>
        <v/>
      </c>
      <c r="AQ335" s="43" t="str">
        <f t="shared" si="148"/>
        <v/>
      </c>
      <c r="AR335" s="40" t="str">
        <f>IF(AQ335="","",IF(I$8="A",(RANK(AQ335,AQ$11:AQ$343,1)+COUNTIF(AQ$11:AQ335,AQ335)-1),(RANK(AQ335,AQ$11:AQ$343)+COUNTIF(AQ$11:AQ335,AQ335)-1)))</f>
        <v/>
      </c>
      <c r="AS335" s="3" t="str">
        <f t="shared" si="149"/>
        <v/>
      </c>
      <c r="AT335" s="40" t="str">
        <f t="shared" si="150"/>
        <v/>
      </c>
      <c r="AU335" s="43" t="str">
        <f t="shared" si="151"/>
        <v/>
      </c>
      <c r="AX335">
        <f>HLOOKUP($AX$9&amp;$AX$10,Data!$A$1:$ZZ$1980,(MATCH($C335,Data!$A$1:$A$1980,0)),FALSE)</f>
        <v>361.1</v>
      </c>
    </row>
    <row r="336" spans="1:50">
      <c r="A336" s="59" t="str">
        <f>$D$1&amp;326</f>
        <v>UA326</v>
      </c>
      <c r="B336" s="60">
        <f>IF(ISERROR(VLOOKUP(A347,classifications!A:C,3,FALSE)),0,VLOOKUP(A347,classifications!A:C,3,FALSE))</f>
        <v>0</v>
      </c>
      <c r="C336" t="s">
        <v>258</v>
      </c>
      <c r="D336" t="str">
        <f>VLOOKUP($C336,classifications!$C:$J,4,FALSE)</f>
        <v>MD</v>
      </c>
      <c r="E336">
        <f>VLOOKUP(C336,classifications!C:K,9,FALSE)</f>
        <v>0</v>
      </c>
      <c r="F336">
        <f t="shared" si="129"/>
        <v>366.3</v>
      </c>
      <c r="G336" s="15"/>
      <c r="H336" s="42" t="str">
        <f t="shared" si="130"/>
        <v/>
      </c>
      <c r="I336" s="79" t="str">
        <f>IF(H336="","",IF($I$8="A",(RANK(H336,H$11:H$343,1)+COUNTIF(H$11:H336,H336)-1),(RANK(H336,H$11:H$343)+COUNTIF(H$11:H336,H336)-1)))</f>
        <v/>
      </c>
      <c r="J336" s="41"/>
      <c r="K336" s="36" t="str">
        <f t="shared" si="131"/>
        <v/>
      </c>
      <c r="L336" t="str">
        <f t="shared" si="132"/>
        <v/>
      </c>
      <c r="M336" s="117" t="str">
        <f t="shared" si="133"/>
        <v/>
      </c>
      <c r="N336" s="112" t="str">
        <f t="shared" si="134"/>
        <v/>
      </c>
      <c r="O336" s="96" t="str">
        <f t="shared" si="135"/>
        <v/>
      </c>
      <c r="P336" s="96" t="str">
        <f t="shared" si="136"/>
        <v/>
      </c>
      <c r="Q336" s="96" t="str">
        <f t="shared" si="137"/>
        <v/>
      </c>
      <c r="R336" s="92" t="str">
        <f t="shared" si="138"/>
        <v/>
      </c>
      <c r="S336" s="42" t="str">
        <f t="shared" si="139"/>
        <v/>
      </c>
      <c r="T336" s="167" t="str">
        <f>IF(L336="","",VLOOKUP(L336,classifications!C:K,9,FALSE))</f>
        <v/>
      </c>
      <c r="U336" s="168" t="str">
        <f t="shared" si="140"/>
        <v/>
      </c>
      <c r="V336" s="174" t="str">
        <f>IF(U336="","",IF($I$8="A",(RANK(U336,U$11:U$343)+COUNTIF(U$11:U336,U336)-1),(RANK(U336,U$11:U$343,1)+COUNTIF(U$11:U336,U336)-1)))</f>
        <v/>
      </c>
      <c r="W336" s="175"/>
      <c r="X336" s="5" t="str">
        <f>IF(L336="","",VLOOKUP($L336,classifications!$C:$J,6,FALSE))</f>
        <v/>
      </c>
      <c r="Y336" t="str">
        <f t="shared" si="141"/>
        <v/>
      </c>
      <c r="Z336" s="40" t="str">
        <f>IF(Y336="","",IF(I$8="A",(RANK(Y336,Y$11:Y$343,1)+COUNTIF(Y$11:Y336,Y336)-1),(RANK(Y336,Y$11:Y$343)+COUNTIF(Y$11:Y336,Y336)-1)))</f>
        <v/>
      </c>
      <c r="AA336" s="180" t="str">
        <f>IF(L336="","",VLOOKUP($L336,classifications!C:I,7,FALSE))</f>
        <v/>
      </c>
      <c r="AB336" s="174" t="str">
        <f t="shared" si="142"/>
        <v/>
      </c>
      <c r="AC336" s="174" t="str">
        <f>IF(AB336="","",IF($I$8="A",(RANK(AB336,AB$11:AB$343)+COUNTIF(AB$11:AB336,AB336)-1),(RANK(AB336,AB$11:AB$343,1)+COUNTIF(AB$11:AB336,AB336)-1)))</f>
        <v/>
      </c>
      <c r="AD336" s="174"/>
      <c r="AE336" s="36" t="str">
        <f t="shared" si="143"/>
        <v/>
      </c>
      <c r="AG336" s="15"/>
      <c r="AH336" s="3"/>
      <c r="AI336" s="5" t="str">
        <f>IF(L336="","",VLOOKUP($L336,classifications!$C:$J,8,FALSE))</f>
        <v/>
      </c>
      <c r="AJ336" s="43" t="str">
        <f t="shared" si="144"/>
        <v/>
      </c>
      <c r="AK336" s="40" t="str">
        <f>IF(AJ336="","",IF(I$8="A",(RANK(AJ336,AJ$11:AJ$343,1)+COUNTIF(AJ$11:AJ336,AJ336)-1),(RANK(AJ336,AJ$11:AJ$343)+COUNTIF(AJ$11:AJ336,AJ336)-1)))</f>
        <v/>
      </c>
      <c r="AL336" s="3" t="str">
        <f t="shared" si="145"/>
        <v/>
      </c>
      <c r="AM336" t="str">
        <f t="shared" si="146"/>
        <v/>
      </c>
      <c r="AN336" t="str">
        <f t="shared" si="147"/>
        <v/>
      </c>
      <c r="AP336" s="5" t="str">
        <f>IF(L336="","",VLOOKUP($L336,classifications!$C:$E,3,FALSE))</f>
        <v/>
      </c>
      <c r="AQ336" s="43" t="str">
        <f t="shared" si="148"/>
        <v/>
      </c>
      <c r="AR336" s="40" t="str">
        <f>IF(AQ336="","",IF(I$8="A",(RANK(AQ336,AQ$11:AQ$343,1)+COUNTIF(AQ$11:AQ336,AQ336)-1),(RANK(AQ336,AQ$11:AQ$343)+COUNTIF(AQ$11:AQ336,AQ336)-1)))</f>
        <v/>
      </c>
      <c r="AS336" s="3" t="str">
        <f t="shared" si="149"/>
        <v/>
      </c>
      <c r="AT336" s="40" t="str">
        <f t="shared" si="150"/>
        <v/>
      </c>
      <c r="AU336" s="43" t="str">
        <f t="shared" si="151"/>
        <v/>
      </c>
      <c r="AX336">
        <f>HLOOKUP($AX$9&amp;$AX$10,Data!$A$1:$ZZ$1980,(MATCH($C336,Data!$A$1:$A$1980,0)),FALSE)</f>
        <v>366.3</v>
      </c>
    </row>
    <row r="337" spans="1:84">
      <c r="A337" s="59" t="str">
        <f>$D$1&amp;327</f>
        <v>UA327</v>
      </c>
      <c r="B337" s="60">
        <f>IF(ISERROR(VLOOKUP(A348,classifications!A:C,3,FALSE)),0,VLOOKUP(A348,classifications!A:C,3,FALSE))</f>
        <v>0</v>
      </c>
      <c r="C337" t="s">
        <v>191</v>
      </c>
      <c r="D337" t="str">
        <f>VLOOKUP($C337,classifications!$C:$J,4,FALSE)</f>
        <v>SD</v>
      </c>
      <c r="E337">
        <f>VLOOKUP(C337,classifications!C:K,9,FALSE)</f>
        <v>0</v>
      </c>
      <c r="F337">
        <f t="shared" si="129"/>
        <v>301.8</v>
      </c>
      <c r="G337" s="15"/>
      <c r="H337" s="42" t="str">
        <f t="shared" si="130"/>
        <v/>
      </c>
      <c r="I337" s="79" t="str">
        <f>IF(H337="","",IF($I$8="A",(RANK(H337,H$11:H$343,1)+COUNTIF(H$11:H337,H337)-1),(RANK(H337,H$11:H$343)+COUNTIF(H$11:H337,H337)-1)))</f>
        <v/>
      </c>
      <c r="J337" s="41"/>
      <c r="K337" s="36" t="str">
        <f t="shared" si="131"/>
        <v/>
      </c>
      <c r="L337" t="str">
        <f t="shared" si="132"/>
        <v/>
      </c>
      <c r="M337" s="117" t="str">
        <f t="shared" si="133"/>
        <v/>
      </c>
      <c r="N337" s="112" t="str">
        <f t="shared" si="134"/>
        <v/>
      </c>
      <c r="O337" s="96" t="str">
        <f t="shared" si="135"/>
        <v/>
      </c>
      <c r="P337" s="96" t="str">
        <f t="shared" si="136"/>
        <v/>
      </c>
      <c r="Q337" s="96" t="str">
        <f t="shared" si="137"/>
        <v/>
      </c>
      <c r="R337" s="92" t="str">
        <f t="shared" si="138"/>
        <v/>
      </c>
      <c r="S337" s="42" t="str">
        <f t="shared" si="139"/>
        <v/>
      </c>
      <c r="T337" s="167" t="str">
        <f>IF(L337="","",VLOOKUP(L337,classifications!C:K,9,FALSE))</f>
        <v/>
      </c>
      <c r="U337" s="168" t="str">
        <f t="shared" si="140"/>
        <v/>
      </c>
      <c r="V337" s="174" t="str">
        <f>IF(U337="","",IF($I$8="A",(RANK(U337,U$11:U$343)+COUNTIF(U$11:U337,U337)-1),(RANK(U337,U$11:U$343,1)+COUNTIF(U$11:U337,U337)-1)))</f>
        <v/>
      </c>
      <c r="W337" s="175"/>
      <c r="X337" s="5" t="str">
        <f>IF(L337="","",VLOOKUP($L337,classifications!$C:$J,6,FALSE))</f>
        <v/>
      </c>
      <c r="Y337" t="str">
        <f t="shared" si="141"/>
        <v/>
      </c>
      <c r="Z337" s="40" t="str">
        <f>IF(Y337="","",IF(I$8="A",(RANK(Y337,Y$11:Y$343,1)+COUNTIF(Y$11:Y337,Y337)-1),(RANK(Y337,Y$11:Y$343)+COUNTIF(Y$11:Y337,Y337)-1)))</f>
        <v/>
      </c>
      <c r="AA337" s="180" t="str">
        <f>IF(L337="","",VLOOKUP($L337,classifications!C:I,7,FALSE))</f>
        <v/>
      </c>
      <c r="AB337" s="174" t="str">
        <f t="shared" si="142"/>
        <v/>
      </c>
      <c r="AC337" s="174" t="str">
        <f>IF(AB337="","",IF($I$8="A",(RANK(AB337,AB$11:AB$343)+COUNTIF(AB$11:AB337,AB337)-1),(RANK(AB337,AB$11:AB$343,1)+COUNTIF(AB$11:AB337,AB337)-1)))</f>
        <v/>
      </c>
      <c r="AD337" s="174"/>
      <c r="AE337" s="36" t="str">
        <f t="shared" si="143"/>
        <v/>
      </c>
      <c r="AG337" s="15"/>
      <c r="AH337" s="3"/>
      <c r="AI337" s="5" t="str">
        <f>IF(L337="","",VLOOKUP($L337,classifications!$C:$J,8,FALSE))</f>
        <v/>
      </c>
      <c r="AJ337" s="43" t="str">
        <f t="shared" si="144"/>
        <v/>
      </c>
      <c r="AK337" s="40" t="str">
        <f>IF(AJ337="","",IF(I$8="A",(RANK(AJ337,AJ$11:AJ$343,1)+COUNTIF(AJ$11:AJ337,AJ337)-1),(RANK(AJ337,AJ$11:AJ$343)+COUNTIF(AJ$11:AJ337,AJ337)-1)))</f>
        <v/>
      </c>
      <c r="AL337" s="3" t="str">
        <f t="shared" si="145"/>
        <v/>
      </c>
      <c r="AM337" t="str">
        <f t="shared" si="146"/>
        <v/>
      </c>
      <c r="AN337" t="str">
        <f t="shared" si="147"/>
        <v/>
      </c>
      <c r="AP337" s="5" t="str">
        <f>IF(L337="","",VLOOKUP($L337,classifications!$C:$E,3,FALSE))</f>
        <v/>
      </c>
      <c r="AQ337" s="43" t="str">
        <f t="shared" si="148"/>
        <v/>
      </c>
      <c r="AR337" s="40" t="str">
        <f>IF(AQ337="","",IF(I$8="A",(RANK(AQ337,AQ$11:AQ$343,1)+COUNTIF(AQ$11:AQ337,AQ337)-1),(RANK(AQ337,AQ$11:AQ$343)+COUNTIF(AQ$11:AQ337,AQ337)-1)))</f>
        <v/>
      </c>
      <c r="AS337" s="3" t="str">
        <f t="shared" si="149"/>
        <v/>
      </c>
      <c r="AT337" s="40" t="str">
        <f t="shared" si="150"/>
        <v/>
      </c>
      <c r="AU337" s="43" t="str">
        <f t="shared" si="151"/>
        <v/>
      </c>
      <c r="AX337">
        <f>HLOOKUP($AX$9&amp;$AX$10,Data!$A$1:$ZZ$1980,(MATCH($C337,Data!$A$1:$A$1980,0)),FALSE)</f>
        <v>301.8</v>
      </c>
    </row>
    <row r="338" spans="1:84">
      <c r="A338" s="59" t="str">
        <f>$D$1&amp;328</f>
        <v>UA328</v>
      </c>
      <c r="B338" s="60">
        <f>IF(ISERROR(VLOOKUP(A349,classifications!A:C,3,FALSE)),0,VLOOKUP(A349,classifications!A:C,3,FALSE))</f>
        <v>0</v>
      </c>
      <c r="C338" t="s">
        <v>333</v>
      </c>
      <c r="D338" t="str">
        <f>VLOOKUP($C338,classifications!$C:$J,4,FALSE)</f>
        <v>SC</v>
      </c>
      <c r="E338">
        <f>VLOOKUP(C338,classifications!C:K,9,FALSE)</f>
        <v>0</v>
      </c>
      <c r="F338">
        <f t="shared" si="129"/>
        <v>426.9</v>
      </c>
      <c r="G338" s="15"/>
      <c r="H338" s="42" t="str">
        <f t="shared" si="130"/>
        <v/>
      </c>
      <c r="I338" s="79" t="str">
        <f>IF(H338="","",IF($I$8="A",(RANK(H338,H$11:H$343,1)+COUNTIF(H$11:H338,H338)-1),(RANK(H338,H$11:H$343)+COUNTIF(H$11:H338,H338)-1)))</f>
        <v/>
      </c>
      <c r="J338" s="41"/>
      <c r="K338" s="36" t="str">
        <f t="shared" si="131"/>
        <v/>
      </c>
      <c r="L338" t="str">
        <f t="shared" si="132"/>
        <v/>
      </c>
      <c r="M338" s="117" t="str">
        <f t="shared" si="133"/>
        <v/>
      </c>
      <c r="N338" s="112" t="str">
        <f t="shared" si="134"/>
        <v/>
      </c>
      <c r="O338" s="96" t="str">
        <f t="shared" si="135"/>
        <v/>
      </c>
      <c r="P338" s="96" t="str">
        <f t="shared" si="136"/>
        <v/>
      </c>
      <c r="Q338" s="96" t="str">
        <f t="shared" si="137"/>
        <v/>
      </c>
      <c r="R338" s="92" t="str">
        <f t="shared" si="138"/>
        <v/>
      </c>
      <c r="S338" s="42" t="str">
        <f t="shared" si="139"/>
        <v/>
      </c>
      <c r="T338" s="167" t="str">
        <f>IF(L338="","",VLOOKUP(L338,classifications!C:K,9,FALSE))</f>
        <v/>
      </c>
      <c r="U338" s="168" t="str">
        <f t="shared" si="140"/>
        <v/>
      </c>
      <c r="V338" s="174" t="str">
        <f>IF(U338="","",IF($I$8="A",(RANK(U338,U$11:U$343)+COUNTIF(U$11:U338,U338)-1),(RANK(U338,U$11:U$343,1)+COUNTIF(U$11:U338,U338)-1)))</f>
        <v/>
      </c>
      <c r="W338" s="175"/>
      <c r="X338" s="5" t="str">
        <f>IF(L338="","",VLOOKUP($L338,classifications!$C:$J,6,FALSE))</f>
        <v/>
      </c>
      <c r="Y338" t="str">
        <f t="shared" si="141"/>
        <v/>
      </c>
      <c r="Z338" s="40" t="str">
        <f>IF(Y338="","",IF(I$8="A",(RANK(Y338,Y$11:Y$343,1)+COUNTIF(Y$11:Y338,Y338)-1),(RANK(Y338,Y$11:Y$343)+COUNTIF(Y$11:Y338,Y338)-1)))</f>
        <v/>
      </c>
      <c r="AA338" s="180" t="str">
        <f>IF(L338="","",VLOOKUP($L338,classifications!C:I,7,FALSE))</f>
        <v/>
      </c>
      <c r="AB338" s="174" t="str">
        <f t="shared" si="142"/>
        <v/>
      </c>
      <c r="AC338" s="174" t="str">
        <f>IF(AB338="","",IF($I$8="A",(RANK(AB338,AB$11:AB$343)+COUNTIF(AB$11:AB338,AB338)-1),(RANK(AB338,AB$11:AB$343,1)+COUNTIF(AB$11:AB338,AB338)-1)))</f>
        <v/>
      </c>
      <c r="AD338" s="174"/>
      <c r="AE338" s="36" t="str">
        <f t="shared" si="143"/>
        <v/>
      </c>
      <c r="AG338" s="15"/>
      <c r="AH338" s="3"/>
      <c r="AI338" s="5" t="str">
        <f>IF(L338="","",VLOOKUP($L338,classifications!$C:$J,8,FALSE))</f>
        <v/>
      </c>
      <c r="AJ338" s="43" t="str">
        <f t="shared" si="144"/>
        <v/>
      </c>
      <c r="AK338" s="40" t="str">
        <f>IF(AJ338="","",IF(I$8="A",(RANK(AJ338,AJ$11:AJ$343,1)+COUNTIF(AJ$11:AJ338,AJ338)-1),(RANK(AJ338,AJ$11:AJ$343)+COUNTIF(AJ$11:AJ338,AJ338)-1)))</f>
        <v/>
      </c>
      <c r="AL338" s="3" t="str">
        <f t="shared" si="145"/>
        <v/>
      </c>
      <c r="AM338" t="str">
        <f t="shared" si="146"/>
        <v/>
      </c>
      <c r="AN338" t="str">
        <f t="shared" si="147"/>
        <v/>
      </c>
      <c r="AP338" s="5" t="str">
        <f>IF(L338="","",VLOOKUP($L338,classifications!$C:$E,3,FALSE))</f>
        <v/>
      </c>
      <c r="AQ338" s="43" t="str">
        <f t="shared" si="148"/>
        <v/>
      </c>
      <c r="AR338" s="40" t="str">
        <f>IF(AQ338="","",IF(I$8="A",(RANK(AQ338,AQ$11:AQ$343,1)+COUNTIF(AQ$11:AQ338,AQ338)-1),(RANK(AQ338,AQ$11:AQ$343)+COUNTIF(AQ$11:AQ338,AQ338)-1)))</f>
        <v/>
      </c>
      <c r="AS338" s="3" t="str">
        <f t="shared" si="149"/>
        <v/>
      </c>
      <c r="AT338" s="40" t="str">
        <f t="shared" si="150"/>
        <v/>
      </c>
      <c r="AU338" s="43" t="str">
        <f t="shared" si="151"/>
        <v/>
      </c>
      <c r="AX338">
        <f>HLOOKUP($AX$9&amp;$AX$10,Data!$A$1:$ZZ$1980,(MATCH($C338,Data!$A$1:$A$1980,0)),FALSE)</f>
        <v>426.9</v>
      </c>
    </row>
    <row r="339" spans="1:84">
      <c r="A339" s="59" t="str">
        <f>$D$1&amp;329</f>
        <v>UA329</v>
      </c>
      <c r="B339" s="60">
        <f>IF(ISERROR(VLOOKUP(A350,classifications!A:C,3,FALSE)),0,VLOOKUP(A350,classifications!A:C,3,FALSE))</f>
        <v>0</v>
      </c>
      <c r="C339" t="s">
        <v>192</v>
      </c>
      <c r="D339" t="str">
        <f>VLOOKUP($C339,classifications!$C:$J,4,FALSE)</f>
        <v>SD</v>
      </c>
      <c r="E339">
        <f>VLOOKUP(C339,classifications!C:K,9,FALSE)</f>
        <v>0</v>
      </c>
      <c r="F339">
        <f t="shared" si="129"/>
        <v>339.4</v>
      </c>
      <c r="G339" s="15"/>
      <c r="H339" s="42" t="str">
        <f t="shared" si="130"/>
        <v/>
      </c>
      <c r="I339" s="79" t="str">
        <f>IF(H339="","",IF($I$8="A",(RANK(H339,H$11:H$343,1)+COUNTIF(H$11:H339,H339)-1),(RANK(H339,H$11:H$343)+COUNTIF(H$11:H339,H339)-1)))</f>
        <v/>
      </c>
      <c r="J339" s="41"/>
      <c r="K339" s="36" t="str">
        <f t="shared" si="131"/>
        <v/>
      </c>
      <c r="L339" t="str">
        <f t="shared" si="132"/>
        <v/>
      </c>
      <c r="M339" s="117" t="str">
        <f t="shared" si="133"/>
        <v/>
      </c>
      <c r="N339" s="112" t="str">
        <f t="shared" si="134"/>
        <v/>
      </c>
      <c r="O339" s="96" t="str">
        <f t="shared" si="135"/>
        <v/>
      </c>
      <c r="P339" s="96" t="str">
        <f t="shared" si="136"/>
        <v/>
      </c>
      <c r="Q339" s="96" t="str">
        <f t="shared" si="137"/>
        <v/>
      </c>
      <c r="R339" s="92" t="str">
        <f t="shared" si="138"/>
        <v/>
      </c>
      <c r="S339" s="42" t="str">
        <f t="shared" si="139"/>
        <v/>
      </c>
      <c r="T339" s="167" t="str">
        <f>IF(L339="","",VLOOKUP(L339,classifications!C:K,9,FALSE))</f>
        <v/>
      </c>
      <c r="U339" s="168" t="str">
        <f t="shared" si="140"/>
        <v/>
      </c>
      <c r="V339" s="174" t="str">
        <f>IF(U339="","",IF($I$8="A",(RANK(U339,U$11:U$343)+COUNTIF(U$11:U339,U339)-1),(RANK(U339,U$11:U$343,1)+COUNTIF(U$11:U339,U339)-1)))</f>
        <v/>
      </c>
      <c r="W339" s="175"/>
      <c r="X339" s="5" t="str">
        <f>IF(L339="","",VLOOKUP($L339,classifications!$C:$J,6,FALSE))</f>
        <v/>
      </c>
      <c r="Y339" t="str">
        <f t="shared" si="141"/>
        <v/>
      </c>
      <c r="Z339" s="40" t="str">
        <f>IF(Y339="","",IF(I$8="A",(RANK(Y339,Y$11:Y$343,1)+COUNTIF(Y$11:Y339,Y339)-1),(RANK(Y339,Y$11:Y$343)+COUNTIF(Y$11:Y339,Y339)-1)))</f>
        <v/>
      </c>
      <c r="AA339" s="180" t="str">
        <f>IF(L339="","",VLOOKUP($L339,classifications!C:I,7,FALSE))</f>
        <v/>
      </c>
      <c r="AB339" s="174" t="str">
        <f t="shared" si="142"/>
        <v/>
      </c>
      <c r="AC339" s="174" t="str">
        <f>IF(AB339="","",IF($I$8="A",(RANK(AB339,AB$11:AB$343)+COUNTIF(AB$11:AB339,AB339)-1),(RANK(AB339,AB$11:AB$343,1)+COUNTIF(AB$11:AB339,AB339)-1)))</f>
        <v/>
      </c>
      <c r="AD339" s="174"/>
      <c r="AE339" s="36" t="str">
        <f t="shared" si="143"/>
        <v/>
      </c>
      <c r="AG339" s="15"/>
      <c r="AH339" s="3"/>
      <c r="AI339" s="5" t="str">
        <f>IF(L339="","",VLOOKUP($L339,classifications!$C:$J,8,FALSE))</f>
        <v/>
      </c>
      <c r="AJ339" s="43" t="str">
        <f t="shared" si="144"/>
        <v/>
      </c>
      <c r="AK339" s="40" t="str">
        <f>IF(AJ339="","",IF(I$8="A",(RANK(AJ339,AJ$11:AJ$343,1)+COUNTIF(AJ$11:AJ339,AJ339)-1),(RANK(AJ339,AJ$11:AJ$343)+COUNTIF(AJ$11:AJ339,AJ339)-1)))</f>
        <v/>
      </c>
      <c r="AL339" s="3" t="str">
        <f t="shared" si="145"/>
        <v/>
      </c>
      <c r="AM339" t="str">
        <f t="shared" si="146"/>
        <v/>
      </c>
      <c r="AN339" t="str">
        <f t="shared" si="147"/>
        <v/>
      </c>
      <c r="AP339" s="5" t="str">
        <f>IF(L339="","",VLOOKUP($L339,classifications!$C:$E,3,FALSE))</f>
        <v/>
      </c>
      <c r="AQ339" s="43" t="str">
        <f t="shared" si="148"/>
        <v/>
      </c>
      <c r="AR339" s="40" t="str">
        <f>IF(AQ339="","",IF(I$8="A",(RANK(AQ339,AQ$11:AQ$343,1)+COUNTIF(AQ$11:AQ339,AQ339)-1),(RANK(AQ339,AQ$11:AQ$343)+COUNTIF(AQ$11:AQ339,AQ339)-1)))</f>
        <v/>
      </c>
      <c r="AS339" s="3" t="str">
        <f t="shared" si="149"/>
        <v/>
      </c>
      <c r="AT339" s="40" t="str">
        <f t="shared" si="150"/>
        <v/>
      </c>
      <c r="AU339" s="43" t="str">
        <f t="shared" si="151"/>
        <v/>
      </c>
      <c r="AX339">
        <f>HLOOKUP($AX$9&amp;$AX$10,Data!$A$1:$ZZ$1980,(MATCH($C339,Data!$A$1:$A$1980,0)),FALSE)</f>
        <v>339.4</v>
      </c>
    </row>
    <row r="340" spans="1:84">
      <c r="A340" s="59" t="str">
        <f>$D$1&amp;330</f>
        <v>UA330</v>
      </c>
      <c r="B340" s="60">
        <f>IF(ISERROR(VLOOKUP(A351,classifications!A:C,3,FALSE)),0,VLOOKUP(A351,classifications!A:C,3,FALSE))</f>
        <v>0</v>
      </c>
      <c r="C340" t="s">
        <v>193</v>
      </c>
      <c r="D340" t="str">
        <f>VLOOKUP($C340,classifications!$C:$J,4,FALSE)</f>
        <v>SD</v>
      </c>
      <c r="E340" t="str">
        <f>VLOOKUP(C340,classifications!C:K,9,FALSE)</f>
        <v>Sparse</v>
      </c>
      <c r="F340">
        <f t="shared" si="129"/>
        <v>358</v>
      </c>
      <c r="G340" s="15"/>
      <c r="H340" s="42" t="str">
        <f t="shared" si="130"/>
        <v/>
      </c>
      <c r="I340" s="79" t="str">
        <f>IF(H340="","",IF($I$8="A",(RANK(H340,H$11:H$343,1)+COUNTIF(H$11:H340,H340)-1),(RANK(H340,H$11:H$343)+COUNTIF(H$11:H340,H340)-1)))</f>
        <v/>
      </c>
      <c r="J340" s="41"/>
      <c r="K340" s="36" t="str">
        <f t="shared" si="131"/>
        <v/>
      </c>
      <c r="L340" t="str">
        <f t="shared" si="132"/>
        <v/>
      </c>
      <c r="M340" s="117" t="str">
        <f t="shared" si="133"/>
        <v/>
      </c>
      <c r="N340" s="112" t="str">
        <f t="shared" si="134"/>
        <v/>
      </c>
      <c r="O340" s="96" t="str">
        <f t="shared" si="135"/>
        <v/>
      </c>
      <c r="P340" s="96" t="str">
        <f t="shared" si="136"/>
        <v/>
      </c>
      <c r="Q340" s="96" t="str">
        <f t="shared" si="137"/>
        <v/>
      </c>
      <c r="R340" s="92" t="str">
        <f t="shared" si="138"/>
        <v/>
      </c>
      <c r="S340" s="42" t="str">
        <f t="shared" si="139"/>
        <v/>
      </c>
      <c r="T340" s="167" t="str">
        <f>IF(L340="","",VLOOKUP(L340,classifications!C:K,9,FALSE))</f>
        <v/>
      </c>
      <c r="U340" s="168" t="str">
        <f t="shared" si="140"/>
        <v/>
      </c>
      <c r="V340" s="174" t="str">
        <f>IF(U340="","",IF($I$8="A",(RANK(U340,U$11:U$343)+COUNTIF(U$11:U340,U340)-1),(RANK(U340,U$11:U$343,1)+COUNTIF(U$11:U340,U340)-1)))</f>
        <v/>
      </c>
      <c r="W340" s="175"/>
      <c r="X340" s="5" t="str">
        <f>IF(L340="","",VLOOKUP($L340,classifications!$C:$J,6,FALSE))</f>
        <v/>
      </c>
      <c r="Y340" t="str">
        <f t="shared" si="141"/>
        <v/>
      </c>
      <c r="Z340" s="40" t="str">
        <f>IF(Y340="","",IF(I$8="A",(RANK(Y340,Y$11:Y$343,1)+COUNTIF(Y$11:Y340,Y340)-1),(RANK(Y340,Y$11:Y$343)+COUNTIF(Y$11:Y340,Y340)-1)))</f>
        <v/>
      </c>
      <c r="AA340" s="180" t="str">
        <f>IF(L340="","",VLOOKUP($L340,classifications!C:I,7,FALSE))</f>
        <v/>
      </c>
      <c r="AB340" s="174" t="str">
        <f t="shared" si="142"/>
        <v/>
      </c>
      <c r="AC340" s="174" t="str">
        <f>IF(AB340="","",IF($I$8="A",(RANK(AB340,AB$11:AB$343)+COUNTIF(AB$11:AB340,AB340)-1),(RANK(AB340,AB$11:AB$343,1)+COUNTIF(AB$11:AB340,AB340)-1)))</f>
        <v/>
      </c>
      <c r="AD340" s="174"/>
      <c r="AE340" s="36" t="str">
        <f t="shared" si="143"/>
        <v/>
      </c>
      <c r="AG340" s="15"/>
      <c r="AH340" s="3"/>
      <c r="AI340" s="5" t="str">
        <f>IF(L340="","",VLOOKUP($L340,classifications!$C:$J,8,FALSE))</f>
        <v/>
      </c>
      <c r="AJ340" s="43" t="str">
        <f t="shared" si="144"/>
        <v/>
      </c>
      <c r="AK340" s="40" t="str">
        <f>IF(AJ340="","",IF(I$8="A",(RANK(AJ340,AJ$11:AJ$343,1)+COUNTIF(AJ$11:AJ340,AJ340)-1),(RANK(AJ340,AJ$11:AJ$343)+COUNTIF(AJ$11:AJ340,AJ340)-1)))</f>
        <v/>
      </c>
      <c r="AL340" s="3" t="str">
        <f t="shared" si="145"/>
        <v/>
      </c>
      <c r="AM340" t="str">
        <f t="shared" si="146"/>
        <v/>
      </c>
      <c r="AN340" t="str">
        <f t="shared" si="147"/>
        <v/>
      </c>
      <c r="AP340" s="5" t="str">
        <f>IF(L340="","",VLOOKUP($L340,classifications!$C:$E,3,FALSE))</f>
        <v/>
      </c>
      <c r="AQ340" s="43" t="str">
        <f t="shared" si="148"/>
        <v/>
      </c>
      <c r="AR340" s="40" t="str">
        <f>IF(AQ340="","",IF(I$8="A",(RANK(AQ340,AQ$11:AQ$343,1)+COUNTIF(AQ$11:AQ340,AQ340)-1),(RANK(AQ340,AQ$11:AQ$343)+COUNTIF(AQ$11:AQ340,AQ340)-1)))</f>
        <v/>
      </c>
      <c r="AS340" s="3" t="str">
        <f t="shared" si="149"/>
        <v/>
      </c>
      <c r="AT340" s="40" t="str">
        <f t="shared" si="150"/>
        <v/>
      </c>
      <c r="AU340" s="43" t="str">
        <f t="shared" si="151"/>
        <v/>
      </c>
      <c r="AX340">
        <f>HLOOKUP($AX$9&amp;$AX$10,Data!$A$1:$ZZ$1980,(MATCH($C340,Data!$A$1:$A$1980,0)),FALSE)</f>
        <v>358</v>
      </c>
    </row>
    <row r="341" spans="1:84">
      <c r="A341" s="59" t="str">
        <f>$D$1&amp;331</f>
        <v>UA331</v>
      </c>
      <c r="B341" s="60">
        <f>IF(ISERROR(VLOOKUP(A353,classifications!A:C,3,FALSE)),0,VLOOKUP(A353,classifications!A:C,3,FALSE))</f>
        <v>0</v>
      </c>
      <c r="C341" t="s">
        <v>195</v>
      </c>
      <c r="D341" t="str">
        <f>VLOOKUP($C341,classifications!$C:$J,4,FALSE)</f>
        <v>SD</v>
      </c>
      <c r="E341">
        <f>VLOOKUP(C341,classifications!C:K,9,FALSE)</f>
        <v>0</v>
      </c>
      <c r="F341">
        <f t="shared" si="129"/>
        <v>369</v>
      </c>
      <c r="G341" s="15"/>
      <c r="H341" s="42" t="str">
        <f t="shared" si="130"/>
        <v/>
      </c>
      <c r="I341" s="79" t="str">
        <f>IF(H341="","",IF($I$8="A",(RANK(H341,H$11:H$343,1)+COUNTIF(H$11:H341,H341)-1),(RANK(H341,H$11:H$343)+COUNTIF(H$11:H341,H341)-1)))</f>
        <v/>
      </c>
      <c r="J341" s="41"/>
      <c r="K341" s="36" t="str">
        <f t="shared" si="131"/>
        <v/>
      </c>
      <c r="L341" t="str">
        <f t="shared" si="132"/>
        <v/>
      </c>
      <c r="M341" s="117" t="str">
        <f t="shared" si="133"/>
        <v/>
      </c>
      <c r="N341" s="112" t="str">
        <f t="shared" si="134"/>
        <v/>
      </c>
      <c r="O341" s="96" t="str">
        <f t="shared" si="135"/>
        <v/>
      </c>
      <c r="P341" s="96" t="str">
        <f t="shared" si="136"/>
        <v/>
      </c>
      <c r="Q341" s="96" t="str">
        <f t="shared" si="137"/>
        <v/>
      </c>
      <c r="R341" s="92" t="str">
        <f t="shared" si="138"/>
        <v/>
      </c>
      <c r="S341" s="42" t="str">
        <f t="shared" si="139"/>
        <v/>
      </c>
      <c r="T341" s="167" t="str">
        <f>IF(L341="","",VLOOKUP(L341,classifications!C:K,9,FALSE))</f>
        <v/>
      </c>
      <c r="U341" s="168" t="str">
        <f t="shared" si="140"/>
        <v/>
      </c>
      <c r="V341" s="174" t="str">
        <f>IF(U341="","",IF($I$8="A",(RANK(U341,U$11:U$343)+COUNTIF(U$11:U341,U341)-1),(RANK(U341,U$11:U$343,1)+COUNTIF(U$11:U341,U341)-1)))</f>
        <v/>
      </c>
      <c r="W341" s="175"/>
      <c r="X341" s="5" t="str">
        <f>IF(L341="","",VLOOKUP($L341,classifications!$C:$J,6,FALSE))</f>
        <v/>
      </c>
      <c r="Y341" t="str">
        <f t="shared" si="141"/>
        <v/>
      </c>
      <c r="Z341" s="40" t="str">
        <f>IF(Y341="","",IF(I$8="A",(RANK(Y341,Y$11:Y$343,1)+COUNTIF(Y$11:Y341,Y341)-1),(RANK(Y341,Y$11:Y$343)+COUNTIF(Y$11:Y341,Y341)-1)))</f>
        <v/>
      </c>
      <c r="AA341" s="180" t="str">
        <f>IF(L341="","",VLOOKUP($L341,classifications!C:I,7,FALSE))</f>
        <v/>
      </c>
      <c r="AB341" s="174" t="str">
        <f t="shared" si="142"/>
        <v/>
      </c>
      <c r="AC341" s="174" t="str">
        <f>IF(AB341="","",IF($I$8="A",(RANK(AB341,AB$11:AB$343)+COUNTIF(AB$11:AB341,AB341)-1),(RANK(AB341,AB$11:AB$343,1)+COUNTIF(AB$11:AB341,AB341)-1)))</f>
        <v/>
      </c>
      <c r="AD341" s="174"/>
      <c r="AE341" s="36" t="str">
        <f t="shared" si="143"/>
        <v/>
      </c>
      <c r="AG341" s="15"/>
      <c r="AH341" s="3"/>
      <c r="AI341" s="5" t="str">
        <f>IF(L341="","",VLOOKUP($L341,classifications!$C:$J,8,FALSE))</f>
        <v/>
      </c>
      <c r="AJ341" s="43" t="str">
        <f t="shared" si="144"/>
        <v/>
      </c>
      <c r="AK341" s="40" t="str">
        <f>IF(AJ341="","",IF(I$8="A",(RANK(AJ341,AJ$11:AJ$343,1)+COUNTIF(AJ$11:AJ341,AJ341)-1),(RANK(AJ341,AJ$11:AJ$343)+COUNTIF(AJ$11:AJ341,AJ341)-1)))</f>
        <v/>
      </c>
      <c r="AL341" s="3" t="str">
        <f t="shared" si="145"/>
        <v/>
      </c>
      <c r="AM341" t="str">
        <f t="shared" si="146"/>
        <v/>
      </c>
      <c r="AN341" t="str">
        <f t="shared" si="147"/>
        <v/>
      </c>
      <c r="AP341" s="5" t="str">
        <f>IF(L341="","",VLOOKUP($L341,classifications!$C:$E,3,FALSE))</f>
        <v/>
      </c>
      <c r="AQ341" s="43" t="str">
        <f t="shared" si="148"/>
        <v/>
      </c>
      <c r="AR341" s="40" t="str">
        <f>IF(AQ341="","",IF(I$8="A",(RANK(AQ341,AQ$11:AQ$343,1)+COUNTIF(AQ$11:AQ341,AQ341)-1),(RANK(AQ341,AQ$11:AQ$343)+COUNTIF(AQ$11:AQ341,AQ341)-1)))</f>
        <v/>
      </c>
      <c r="AS341" s="3" t="str">
        <f t="shared" si="149"/>
        <v/>
      </c>
      <c r="AT341" s="40" t="str">
        <f t="shared" si="150"/>
        <v/>
      </c>
      <c r="AU341" s="43" t="str">
        <f t="shared" si="151"/>
        <v/>
      </c>
      <c r="AX341">
        <f>HLOOKUP($AX$9&amp;$AX$10,Data!$A$1:$ZZ$1980,(MATCH($C341,Data!$A$1:$A$1980,0)),FALSE)</f>
        <v>369</v>
      </c>
    </row>
    <row r="342" spans="1:84">
      <c r="A342" s="59" t="str">
        <f>$D$1&amp;332</f>
        <v>UA332</v>
      </c>
      <c r="B342" s="60">
        <f>IF(ISERROR(VLOOKUP(A354,classifications!A:C,3,FALSE)),0,VLOOKUP(A354,classifications!A:C,3,FALSE))</f>
        <v>0</v>
      </c>
      <c r="C342" t="s">
        <v>196</v>
      </c>
      <c r="D342" t="str">
        <f>VLOOKUP($C342,classifications!$C:$J,4,FALSE)</f>
        <v>SD</v>
      </c>
      <c r="E342">
        <f>VLOOKUP(C342,classifications!C:K,9,FALSE)</f>
        <v>0</v>
      </c>
      <c r="F342">
        <f t="shared" ref="F342:F343" si="152">HLOOKUP($D$6,AX$10:ZX$355,ROW()-9,FALSE)</f>
        <v>341.6</v>
      </c>
      <c r="G342" s="15"/>
      <c r="H342" s="42" t="str">
        <f t="shared" ref="H342:H343" si="153">IF(D342=$D$1,HLOOKUP($D$6,$AX$10:$ZZ$355,ROW()-9,FALSE),"")</f>
        <v/>
      </c>
      <c r="I342" s="79" t="str">
        <f>IF(H342="","",IF($I$8="A",(RANK(H342,H$11:H$343,1)+COUNTIF(H$11:H342,H342)-1),(RANK(H342,H$11:H$343)+COUNTIF(H$11:H342,H342)-1)))</f>
        <v/>
      </c>
      <c r="J342" s="41"/>
      <c r="K342" s="36" t="str">
        <f t="shared" ref="K342:K343" si="154">IF(K341="","",IF(K341+1&gt;(COUNT(H$11:H$343)),"",K341+1))</f>
        <v/>
      </c>
      <c r="L342" t="str">
        <f t="shared" ref="L342:L343" si="155">IF(K342="","",INDEX(C$11:C$343,MATCH(K342,I$11:I$343,0)))</f>
        <v/>
      </c>
      <c r="M342" s="117" t="str">
        <f t="shared" ref="M342:M343" si="156">IF(L342="","",IF(VLOOKUP(L342,C:D,2,FALSE)=$F$3,VLOOKUP(L342,C:H,6,FALSE),""))</f>
        <v/>
      </c>
      <c r="N342" s="112" t="str">
        <f t="shared" ref="N342:N343" si="157">IF(L342="","",IF($H$8="%%",M342*100,M342))</f>
        <v/>
      </c>
      <c r="O342" s="96" t="str">
        <f t="shared" ref="O342:O343" si="158">IF(I$8="A",IF(N342&gt;=$P$7,IF(N342&lt;=$O$10,N342,""),""),IF(N342&lt;=$P$7,IF(N342&gt;=$O$10,N342,""),""))</f>
        <v/>
      </c>
      <c r="P342" s="96" t="str">
        <f t="shared" ref="P342:P343" si="159">IF(I$8="A",IF(N342&gt;$O$10,IF(N342&lt;=$P$10,N342,""),""),IF(N342&lt;$O$10,IF(N342&gt;=$P$10,N342,""),""))</f>
        <v/>
      </c>
      <c r="Q342" s="96" t="str">
        <f t="shared" ref="Q342:Q343" si="160">IF(I$8="A",IF(N342&gt;$P$10,IF(N342&lt;=$Q$10,N342,""),""),IF(N342&lt;$P$10,IF(N342&gt;=$Q$10,N342,""),""))</f>
        <v/>
      </c>
      <c r="R342" s="92" t="str">
        <f t="shared" ref="R342:R343" si="161">IF(I$8="A",IF(N342&gt;$Q$10,N342,""),IF(N342&lt;$Q$10,N342,""))</f>
        <v/>
      </c>
      <c r="S342" s="42" t="str">
        <f t="shared" ref="S342:S343" si="162">IF(L342=D$3,"u","")</f>
        <v/>
      </c>
      <c r="T342" s="167" t="str">
        <f>IF(L342="","",VLOOKUP(L342,classifications!C:K,9,FALSE))</f>
        <v/>
      </c>
      <c r="U342" s="168" t="str">
        <f t="shared" ref="U342:U343" si="163">IF(T342="Sparse",M342,"")</f>
        <v/>
      </c>
      <c r="V342" s="174" t="str">
        <f>IF(U342="","",IF($I$8="A",(RANK(U342,U$11:U$343)+COUNTIF(U$11:U342,U342)-1),(RANK(U342,U$11:U$343,1)+COUNTIF(U$11:U342,U342)-1)))</f>
        <v/>
      </c>
      <c r="W342" s="175"/>
      <c r="X342" s="5" t="str">
        <f>IF(L342="","",VLOOKUP($L342,classifications!$C:$J,6,FALSE))</f>
        <v/>
      </c>
      <c r="Y342" t="str">
        <f t="shared" ref="Y342:Y343" si="164">IF($D$1="UA",IF(X342="Largely Rural (rural including hub towns 50-79%) ",M342,IF(X342="Mainly Rural (rural including hub towns &gt;=80%) ",M342,IF(X342="Urban with Significant Rural (rural including hub towns 26-49%)",M342,""))),IF($D$1="SD",IF(X342=$H$3,M342,"")))</f>
        <v/>
      </c>
      <c r="Z342" s="40" t="str">
        <f>IF(Y342="","",IF(I$8="A",(RANK(Y342,Y$11:Y$343,1)+COUNTIF(Y$11:Y342,Y342)-1),(RANK(Y342,Y$11:Y$343)+COUNTIF(Y$11:Y342,Y342)-1)))</f>
        <v/>
      </c>
      <c r="AA342" s="180" t="str">
        <f>IF(L342="","",VLOOKUP($L342,classifications!C:I,7,FALSE))</f>
        <v/>
      </c>
      <c r="AB342" s="174" t="str">
        <f t="shared" ref="AB342:AB343" si="165">IF(AA342=$J$3,M342,"")</f>
        <v/>
      </c>
      <c r="AC342" s="174" t="str">
        <f>IF(AB342="","",IF($I$8="A",(RANK(AB342,AB$11:AB$343)+COUNTIF(AB$11:AB342,AB342)-1),(RANK(AB342,AB$11:AB$343,1)+COUNTIF(AB$11:AB342,AB342)-1)))</f>
        <v/>
      </c>
      <c r="AD342" s="174"/>
      <c r="AE342" s="36" t="str">
        <f t="shared" ref="AE342:AE343" si="166">IF(AE341="","",IF(AE341+1&gt;(COUNT(AG:AG)),"",AE341+1))</f>
        <v/>
      </c>
      <c r="AG342" s="15"/>
      <c r="AH342" s="3"/>
      <c r="AI342" s="5" t="str">
        <f>IF(L342="","",VLOOKUP($L342,classifications!$C:$J,8,FALSE))</f>
        <v/>
      </c>
      <c r="AJ342" s="43" t="str">
        <f t="shared" ref="AJ342:AJ343" si="167">IF(AI342=$I$3,M342,"")</f>
        <v/>
      </c>
      <c r="AK342" s="40" t="str">
        <f>IF(AJ342="","",IF(I$8="A",(RANK(AJ342,AJ$11:AJ$343,1)+COUNTIF(AJ$11:AJ342,AJ342)-1),(RANK(AJ342,AJ$11:AJ$343)+COUNTIF(AJ$11:AJ342,AJ342)-1)))</f>
        <v/>
      </c>
      <c r="AL342" s="3" t="str">
        <f t="shared" ref="AL342:AL343" si="168">IF(AL341="","",IF(AL341+1&gt;(COUNT(AJ$11:AJ$343)),"",AL341+1))</f>
        <v/>
      </c>
      <c r="AM342" t="str">
        <f t="shared" ref="AM342:AM343" si="169">IF(ISNA(IF(AL342="","",INDEX(L$11:L$343,MATCH(AL342,AK$11:AK$343,0)))),"",(IF(AL342="","",INDEX(L$11:L$343,MATCH(AL342,AK$11:AK$343,0)))))</f>
        <v/>
      </c>
      <c r="AN342" t="str">
        <f t="shared" ref="AN342:AN343" si="170">(VLOOKUP(AM342,L:M,2,FALSE))</f>
        <v/>
      </c>
      <c r="AP342" s="5" t="str">
        <f>IF(L342="","",VLOOKUP($L342,classifications!$C:$E,3,FALSE))</f>
        <v/>
      </c>
      <c r="AQ342" s="43" t="str">
        <f t="shared" ref="AQ342:AQ343" si="171">IF(AP342=$G$3,$M342,"")</f>
        <v/>
      </c>
      <c r="AR342" s="40" t="str">
        <f>IF(AQ342="","",IF(I$8="A",(RANK(AQ342,AQ$11:AQ$343,1)+COUNTIF(AQ$11:AQ342,AQ342)-1),(RANK(AQ342,AQ$11:AQ$343)+COUNTIF(AQ$11:AQ342,AQ342)-1)))</f>
        <v/>
      </c>
      <c r="AS342" s="3" t="str">
        <f t="shared" ref="AS342:AS343" si="172">IF(AS341="","",IF(AS341+1&gt;(COUNT(AQ$11:AQ$343)),"",AS341+1))</f>
        <v/>
      </c>
      <c r="AT342" s="40" t="str">
        <f t="shared" ref="AT342:AT343" si="173">IF(AS342="","",INDEX(L$11:L$343,MATCH(AS342,AR$11:AR$343,0)))</f>
        <v/>
      </c>
      <c r="AU342" s="43" t="str">
        <f t="shared" ref="AU342:AU343" si="174">IF(AT342="","",VLOOKUP(AT342,L:M,2,FALSE))</f>
        <v/>
      </c>
      <c r="AX342">
        <f>HLOOKUP($AX$9&amp;$AX$10,Data!$A$1:$ZZ$1980,(MATCH($C342,Data!$A$1:$A$1980,0)),FALSE)</f>
        <v>341.6</v>
      </c>
    </row>
    <row r="343" spans="1:84">
      <c r="A343" s="59" t="str">
        <f>$D$1&amp;333</f>
        <v>UA333</v>
      </c>
      <c r="B343" s="60">
        <f>IF(ISERROR(VLOOKUP(A355,classifications!A:C,3,FALSE)),0,VLOOKUP(A355,classifications!A:C,3,FALSE))</f>
        <v>0</v>
      </c>
      <c r="C343" t="s">
        <v>300</v>
      </c>
      <c r="D343" t="str">
        <f>VLOOKUP($C343,classifications!$C:$J,4,FALSE)</f>
        <v>UA</v>
      </c>
      <c r="E343">
        <f>VLOOKUP(C343,classifications!C:K,9,FALSE)</f>
        <v>0</v>
      </c>
      <c r="F343">
        <f t="shared" si="152"/>
        <v>384.8</v>
      </c>
      <c r="G343" s="15"/>
      <c r="H343" s="42">
        <f t="shared" si="153"/>
        <v>384.8</v>
      </c>
      <c r="I343" s="79">
        <f>IF(H343="","",IF($I$8="A",(RANK(H343,H$11:H$343,1)+COUNTIF(H$11:H343,H343)-1),(RANK(H343,H$11:H$343)+COUNTIF(H$11:H343,H343)-1)))</f>
        <v>24</v>
      </c>
      <c r="J343" s="41"/>
      <c r="K343" s="36" t="str">
        <f t="shared" si="154"/>
        <v/>
      </c>
      <c r="L343" t="str">
        <f t="shared" si="155"/>
        <v/>
      </c>
      <c r="M343" s="117" t="str">
        <f t="shared" si="156"/>
        <v/>
      </c>
      <c r="N343" s="112" t="str">
        <f t="shared" si="157"/>
        <v/>
      </c>
      <c r="O343" s="96" t="str">
        <f t="shared" si="158"/>
        <v/>
      </c>
      <c r="P343" s="96" t="str">
        <f t="shared" si="159"/>
        <v/>
      </c>
      <c r="Q343" s="96" t="str">
        <f t="shared" si="160"/>
        <v/>
      </c>
      <c r="R343" s="92" t="str">
        <f t="shared" si="161"/>
        <v/>
      </c>
      <c r="S343" s="42" t="str">
        <f t="shared" si="162"/>
        <v/>
      </c>
      <c r="T343" s="167" t="str">
        <f>IF(L343="","",VLOOKUP(L343,classifications!C:K,9,FALSE))</f>
        <v/>
      </c>
      <c r="U343" s="168" t="str">
        <f t="shared" si="163"/>
        <v/>
      </c>
      <c r="V343" s="174" t="str">
        <f>IF(U343="","",IF($I$8="A",(RANK(U343,U$11:U$343)+COUNTIF(U$11:U343,U343)-1),(RANK(U343,U$11:U$343,1)+COUNTIF(U$11:U343,U343)-1)))</f>
        <v/>
      </c>
      <c r="W343" s="175"/>
      <c r="X343" s="5" t="str">
        <f>IF(L343="","",VLOOKUP($L343,classifications!$C:$J,6,FALSE))</f>
        <v/>
      </c>
      <c r="Y343" t="str">
        <f t="shared" si="164"/>
        <v/>
      </c>
      <c r="Z343" s="40" t="str">
        <f>IF(Y343="","",IF(I$8="A",(RANK(Y343,Y$11:Y$343,1)+COUNTIF(Y$11:Y343,Y343)-1),(RANK(Y343,Y$11:Y$343)+COUNTIF(Y$11:Y343,Y343)-1)))</f>
        <v/>
      </c>
      <c r="AA343" s="180" t="str">
        <f>IF(L343="","",VLOOKUP($L343,classifications!C:I,7,FALSE))</f>
        <v/>
      </c>
      <c r="AB343" s="174" t="str">
        <f t="shared" si="165"/>
        <v/>
      </c>
      <c r="AC343" s="174" t="str">
        <f>IF(AB343="","",IF($I$8="A",(RANK(AB343,AB$11:AB$343)+COUNTIF(AB$11:AB343,AB343)-1),(RANK(AB343,AB$11:AB$343,1)+COUNTIF(AB$11:AB343,AB343)-1)))</f>
        <v/>
      </c>
      <c r="AD343" s="174"/>
      <c r="AE343" s="36" t="str">
        <f t="shared" si="166"/>
        <v/>
      </c>
      <c r="AG343" s="15"/>
      <c r="AH343" s="3"/>
      <c r="AI343" s="5" t="str">
        <f>IF(L343="","",VLOOKUP($L343,classifications!$C:$J,8,FALSE))</f>
        <v/>
      </c>
      <c r="AJ343" s="43" t="str">
        <f t="shared" si="167"/>
        <v/>
      </c>
      <c r="AK343" s="40" t="str">
        <f>IF(AJ343="","",IF(I$8="A",(RANK(AJ343,AJ$11:AJ$343,1)+COUNTIF(AJ$11:AJ343,AJ343)-1),(RANK(AJ343,AJ$11:AJ$343)+COUNTIF(AJ$11:AJ343,AJ343)-1)))</f>
        <v/>
      </c>
      <c r="AL343" s="3" t="str">
        <f t="shared" si="168"/>
        <v/>
      </c>
      <c r="AM343" t="str">
        <f t="shared" si="169"/>
        <v/>
      </c>
      <c r="AN343" t="str">
        <f t="shared" si="170"/>
        <v/>
      </c>
      <c r="AP343" s="5" t="str">
        <f>IF(L343="","",VLOOKUP($L343,classifications!$C:$E,3,FALSE))</f>
        <v/>
      </c>
      <c r="AQ343" s="43" t="str">
        <f t="shared" si="171"/>
        <v/>
      </c>
      <c r="AR343" s="40" t="str">
        <f>IF(AQ343="","",IF(I$8="A",(RANK(AQ343,AQ$11:AQ$343,1)+COUNTIF(AQ$11:AQ343,AQ343)-1),(RANK(AQ343,AQ$11:AQ$343)+COUNTIF(AQ$11:AQ343,AQ343)-1)))</f>
        <v/>
      </c>
      <c r="AS343" s="3" t="str">
        <f t="shared" si="172"/>
        <v/>
      </c>
      <c r="AT343" s="40" t="str">
        <f t="shared" si="173"/>
        <v/>
      </c>
      <c r="AU343" s="43" t="str">
        <f t="shared" si="174"/>
        <v/>
      </c>
      <c r="AX343">
        <f>HLOOKUP($AX$9&amp;$AX$10,Data!$A$1:$ZZ$1980,(MATCH($C343,Data!$A$1:$A$1980,0)),FALSE)</f>
        <v>384.8</v>
      </c>
    </row>
    <row r="344" spans="1:84">
      <c r="B344" s="61"/>
      <c r="C344" s="35"/>
      <c r="D344" s="35"/>
      <c r="E344" s="35"/>
      <c r="F344" s="35"/>
      <c r="G344" s="35"/>
      <c r="H344" s="45"/>
      <c r="I344" s="45"/>
      <c r="J344" s="35"/>
      <c r="K344" s="44"/>
      <c r="L344" s="35"/>
      <c r="M344" s="97"/>
      <c r="N344" s="97"/>
      <c r="O344" s="97"/>
      <c r="P344" s="97"/>
      <c r="Q344" s="97"/>
      <c r="R344" s="97"/>
      <c r="S344" s="45"/>
      <c r="T344" s="176"/>
      <c r="U344" s="177"/>
      <c r="V344" s="177"/>
      <c r="W344" s="177"/>
      <c r="X344" s="46"/>
      <c r="Y344" s="35"/>
      <c r="Z344" s="35"/>
      <c r="AA344" s="176"/>
      <c r="AB344" s="177"/>
      <c r="AC344" s="177"/>
      <c r="AD344" s="177"/>
      <c r="AE344" s="46"/>
      <c r="AF344" s="35"/>
      <c r="AG344" s="35"/>
      <c r="AH344" s="35"/>
      <c r="AI344" s="46"/>
      <c r="AJ344" s="35"/>
      <c r="AK344" s="35"/>
      <c r="AL344" s="35"/>
      <c r="AM344" s="35"/>
      <c r="AN344" s="35"/>
      <c r="AO344" s="35"/>
      <c r="AP344" s="46"/>
      <c r="AQ344" s="75"/>
      <c r="AR344" s="35"/>
      <c r="AS344" s="35"/>
      <c r="AT344" s="35"/>
      <c r="AU344" s="35"/>
      <c r="AV344" s="35"/>
      <c r="AW344" s="82"/>
      <c r="BA344" s="35"/>
      <c r="BB344" s="35"/>
      <c r="BC344" s="35"/>
      <c r="BD344" s="35"/>
      <c r="BE344" s="35"/>
      <c r="BF344" s="35"/>
      <c r="BG344" s="35"/>
      <c r="BH344" s="35"/>
      <c r="BI344" s="35"/>
      <c r="BJ344" s="35"/>
      <c r="BK344" s="35"/>
      <c r="BL344" s="35"/>
      <c r="BM344" s="35"/>
      <c r="BN344" s="35"/>
      <c r="BO344" s="35"/>
      <c r="BP344" s="35"/>
      <c r="BQ344" s="35"/>
      <c r="BR344" s="35"/>
      <c r="BS344" s="35"/>
      <c r="BT344" s="35"/>
      <c r="BU344" s="35"/>
      <c r="BV344" s="35"/>
      <c r="BW344" s="35"/>
      <c r="BX344" s="35"/>
      <c r="BY344" s="35"/>
      <c r="BZ344" s="35"/>
      <c r="CA344" s="35"/>
      <c r="CB344" s="35"/>
      <c r="CC344" s="35"/>
      <c r="CD344" s="35"/>
      <c r="CE344" s="35"/>
      <c r="CF344" s="35"/>
    </row>
    <row r="345" spans="1:84"/>
    <row r="346" spans="1:84"/>
    <row r="347" spans="1:84"/>
    <row r="348" spans="1:84"/>
    <row r="349" spans="1:84"/>
    <row r="350" spans="1:84"/>
    <row r="351" spans="1:84"/>
    <row r="352" spans="1:84"/>
    <row r="353" spans="1:735"/>
    <row r="354" spans="1:735"/>
    <row r="355" spans="1:735"/>
    <row r="356" spans="1:735" s="35" customFormat="1" hidden="1">
      <c r="A356" s="61"/>
      <c r="B356" s="59"/>
      <c r="C356"/>
      <c r="D356"/>
      <c r="E356"/>
      <c r="F356"/>
      <c r="G356"/>
      <c r="H356" s="42"/>
      <c r="I356" s="42"/>
      <c r="J356"/>
      <c r="K356" s="36"/>
      <c r="L356"/>
      <c r="M356" s="92"/>
      <c r="N356" s="92"/>
      <c r="O356" s="92"/>
      <c r="P356" s="92"/>
      <c r="Q356" s="92"/>
      <c r="R356" s="92"/>
      <c r="S356" s="42"/>
      <c r="T356" s="167"/>
      <c r="U356" s="168"/>
      <c r="V356" s="168"/>
      <c r="W356" s="168"/>
      <c r="X356" s="5"/>
      <c r="Y356"/>
      <c r="Z356"/>
      <c r="AA356" s="167"/>
      <c r="AB356" s="168"/>
      <c r="AC356" s="168"/>
      <c r="AD356" s="168"/>
      <c r="AE356" s="5"/>
      <c r="AF356"/>
      <c r="AG356"/>
      <c r="AH356"/>
      <c r="AI356" s="5"/>
      <c r="AJ356"/>
      <c r="AK356"/>
      <c r="AL356"/>
      <c r="AM356"/>
      <c r="AN356"/>
      <c r="AO356"/>
      <c r="AP356" s="5"/>
      <c r="AQ356" s="15"/>
      <c r="AR356"/>
      <c r="AS356"/>
      <c r="AT356"/>
      <c r="AU356"/>
      <c r="AV356"/>
      <c r="AW356" s="81"/>
      <c r="AX356"/>
      <c r="AY356" s="31"/>
      <c r="AZ356"/>
      <c r="BA356"/>
      <c r="BB356"/>
      <c r="BC356"/>
      <c r="BD356"/>
      <c r="BE356"/>
      <c r="BF356"/>
      <c r="BG356"/>
      <c r="BH356"/>
      <c r="BI356"/>
      <c r="BJ356"/>
      <c r="BK356"/>
      <c r="BL356"/>
      <c r="BM356"/>
      <c r="BN356"/>
      <c r="BO356"/>
      <c r="BP356"/>
      <c r="BQ356"/>
      <c r="BR356"/>
      <c r="BS356"/>
      <c r="BT356"/>
      <c r="BU356"/>
      <c r="BV356"/>
      <c r="BW356"/>
      <c r="BX356"/>
      <c r="BY356"/>
      <c r="BZ356"/>
      <c r="CA356"/>
      <c r="CB356"/>
      <c r="CC356"/>
      <c r="CD356"/>
      <c r="CE356"/>
      <c r="CF356"/>
      <c r="ABG356" s="46"/>
    </row>
    <row r="359" spans="1:735"/>
    <row r="360" spans="1:735"/>
    <row r="361" spans="1:735"/>
    <row r="362" spans="1:735"/>
    <row r="363" spans="1:735"/>
    <row r="364" spans="1:735"/>
    <row r="365" spans="1:735"/>
    <row r="366" spans="1:735"/>
  </sheetData>
  <autoFilter ref="A10:J355" xr:uid="{00000000-0009-0000-0000-000001000000}"/>
  <sortState xmlns:xlrd2="http://schemas.microsoft.com/office/spreadsheetml/2017/richdata2" ref="C3:L343">
    <sortCondition ref="C3:C343"/>
  </sortState>
  <mergeCells count="3">
    <mergeCell ref="X2:Z2"/>
    <mergeCell ref="T1:W2"/>
    <mergeCell ref="AA1:AD2"/>
  </mergeCells>
  <conditionalFormatting sqref="S11:S343">
    <cfRule type="expression" dxfId="0" priority="112">
      <formula>IF($D$8="%",TRUE,FALSE)</formula>
    </cfRule>
  </conditionalFormatting>
  <dataValidations count="1">
    <dataValidation type="list" allowBlank="1" showInputMessage="1" showErrorMessage="1" sqref="D1" xr:uid="{00000000-0002-0000-0100-000000000000}">
      <formula1>$L$1:$L$6</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theme="6" tint="0.39997558519241921"/>
  </sheetPr>
  <dimension ref="A1:G500"/>
  <sheetViews>
    <sheetView zoomScaleNormal="100" workbookViewId="0">
      <selection activeCell="G3" sqref="G3"/>
    </sheetView>
  </sheetViews>
  <sheetFormatPr defaultRowHeight="13.2" zeroHeight="1"/>
  <cols>
    <col min="1" max="1" width="3.33203125" style="34" customWidth="1"/>
    <col min="2" max="2" width="42.44140625" customWidth="1"/>
    <col min="3" max="3" width="15.44140625" customWidth="1"/>
    <col min="4" max="4" width="13.33203125" customWidth="1"/>
    <col min="5" max="5" width="8.5546875" customWidth="1"/>
    <col min="6" max="6" width="9.88671875" customWidth="1"/>
  </cols>
  <sheetData>
    <row r="1" spans="1:7">
      <c r="A1" s="67">
        <f>INDEX(A2:A500,(MATCH(Profile!$W$6,B2:B500,0)))</f>
        <v>2</v>
      </c>
      <c r="B1" s="67" t="s">
        <v>808</v>
      </c>
      <c r="C1" s="67" t="s">
        <v>802</v>
      </c>
      <c r="D1" s="67" t="s">
        <v>794</v>
      </c>
      <c r="E1" s="67" t="s">
        <v>799</v>
      </c>
      <c r="F1" s="67" t="s">
        <v>809</v>
      </c>
    </row>
    <row r="2" spans="1:7">
      <c r="A2" s="34">
        <f>COUNTA(F2:ZY2)</f>
        <v>2</v>
      </c>
      <c r="B2" t="s">
        <v>892</v>
      </c>
      <c r="C2" t="s">
        <v>823</v>
      </c>
      <c r="D2" t="s">
        <v>823</v>
      </c>
      <c r="E2" t="s">
        <v>909</v>
      </c>
      <c r="F2" t="s">
        <v>906</v>
      </c>
      <c r="G2" t="s">
        <v>910</v>
      </c>
    </row>
    <row r="3" spans="1:7" ht="14.4">
      <c r="A3" s="34">
        <f t="shared" ref="A3:A66" si="0">COUNTA(F3:ZY3)</f>
        <v>0</v>
      </c>
      <c r="B3" s="201"/>
    </row>
    <row r="4" spans="1:7" ht="14.4">
      <c r="A4" s="34">
        <f t="shared" si="0"/>
        <v>0</v>
      </c>
      <c r="B4" s="201"/>
    </row>
    <row r="5" spans="1:7" ht="14.4">
      <c r="A5" s="34">
        <f t="shared" si="0"/>
        <v>0</v>
      </c>
      <c r="B5" s="201"/>
    </row>
    <row r="6" spans="1:7" ht="14.4">
      <c r="A6" s="34">
        <f t="shared" si="0"/>
        <v>0</v>
      </c>
      <c r="B6" s="201"/>
    </row>
    <row r="7" spans="1:7" ht="14.4">
      <c r="A7" s="34">
        <f t="shared" si="0"/>
        <v>0</v>
      </c>
      <c r="B7" s="208"/>
      <c r="C7" s="201"/>
      <c r="D7" s="206"/>
      <c r="E7" s="208"/>
    </row>
    <row r="8" spans="1:7" ht="14.4">
      <c r="A8" s="34">
        <f t="shared" si="0"/>
        <v>0</v>
      </c>
      <c r="B8" s="201"/>
      <c r="C8" s="208"/>
      <c r="D8" s="201"/>
    </row>
    <row r="9" spans="1:7" ht="14.4">
      <c r="A9" s="34">
        <f t="shared" si="0"/>
        <v>0</v>
      </c>
      <c r="B9" s="209"/>
      <c r="C9" s="201"/>
      <c r="D9" s="122"/>
      <c r="E9" s="134"/>
    </row>
    <row r="10" spans="1:7">
      <c r="A10" s="34">
        <f t="shared" si="0"/>
        <v>0</v>
      </c>
      <c r="B10" s="153"/>
      <c r="C10" s="154"/>
      <c r="D10" s="122"/>
    </row>
    <row r="11" spans="1:7">
      <c r="A11" s="34">
        <f t="shared" si="0"/>
        <v>0</v>
      </c>
      <c r="B11" s="151"/>
    </row>
    <row r="12" spans="1:7">
      <c r="A12" s="34">
        <f t="shared" si="0"/>
        <v>0</v>
      </c>
      <c r="B12" s="151"/>
    </row>
    <row r="13" spans="1:7" ht="14.4">
      <c r="A13" s="34">
        <f t="shared" si="0"/>
        <v>0</v>
      </c>
      <c r="B13" s="209"/>
    </row>
    <row r="14" spans="1:7">
      <c r="A14" s="34">
        <f t="shared" si="0"/>
        <v>0</v>
      </c>
    </row>
    <row r="15" spans="1:7">
      <c r="A15" s="34">
        <f t="shared" si="0"/>
        <v>0</v>
      </c>
    </row>
    <row r="16" spans="1:7">
      <c r="A16" s="34">
        <f t="shared" si="0"/>
        <v>0</v>
      </c>
    </row>
    <row r="17" spans="1:1">
      <c r="A17" s="34">
        <f t="shared" si="0"/>
        <v>0</v>
      </c>
    </row>
    <row r="18" spans="1:1">
      <c r="A18" s="34">
        <f t="shared" si="0"/>
        <v>0</v>
      </c>
    </row>
    <row r="19" spans="1:1">
      <c r="A19" s="34">
        <f t="shared" si="0"/>
        <v>0</v>
      </c>
    </row>
    <row r="20" spans="1:1">
      <c r="A20" s="34">
        <f t="shared" si="0"/>
        <v>0</v>
      </c>
    </row>
    <row r="21" spans="1:1">
      <c r="A21" s="34">
        <f t="shared" si="0"/>
        <v>0</v>
      </c>
    </row>
    <row r="22" spans="1:1">
      <c r="A22" s="34">
        <f t="shared" si="0"/>
        <v>0</v>
      </c>
    </row>
    <row r="23" spans="1:1">
      <c r="A23" s="34">
        <f t="shared" si="0"/>
        <v>0</v>
      </c>
    </row>
    <row r="24" spans="1:1">
      <c r="A24" s="34">
        <f t="shared" si="0"/>
        <v>0</v>
      </c>
    </row>
    <row r="25" spans="1:1">
      <c r="A25" s="34">
        <f t="shared" si="0"/>
        <v>0</v>
      </c>
    </row>
    <row r="26" spans="1:1">
      <c r="A26" s="34">
        <f t="shared" si="0"/>
        <v>0</v>
      </c>
    </row>
    <row r="27" spans="1:1">
      <c r="A27" s="34">
        <f t="shared" si="0"/>
        <v>0</v>
      </c>
    </row>
    <row r="28" spans="1:1">
      <c r="A28" s="34">
        <f t="shared" si="0"/>
        <v>0</v>
      </c>
    </row>
    <row r="29" spans="1:1">
      <c r="A29" s="34">
        <f t="shared" si="0"/>
        <v>0</v>
      </c>
    </row>
    <row r="30" spans="1:1">
      <c r="A30" s="34">
        <f t="shared" si="0"/>
        <v>0</v>
      </c>
    </row>
    <row r="31" spans="1:1">
      <c r="A31" s="34">
        <f t="shared" si="0"/>
        <v>0</v>
      </c>
    </row>
    <row r="32" spans="1:1">
      <c r="A32" s="34">
        <f t="shared" si="0"/>
        <v>0</v>
      </c>
    </row>
    <row r="33" spans="1:1">
      <c r="A33" s="34">
        <f t="shared" si="0"/>
        <v>0</v>
      </c>
    </row>
    <row r="34" spans="1:1">
      <c r="A34" s="34">
        <f t="shared" si="0"/>
        <v>0</v>
      </c>
    </row>
    <row r="35" spans="1:1">
      <c r="A35" s="34">
        <f t="shared" si="0"/>
        <v>0</v>
      </c>
    </row>
    <row r="36" spans="1:1">
      <c r="A36" s="34">
        <f t="shared" si="0"/>
        <v>0</v>
      </c>
    </row>
    <row r="37" spans="1:1">
      <c r="A37" s="34">
        <f t="shared" si="0"/>
        <v>0</v>
      </c>
    </row>
    <row r="38" spans="1:1">
      <c r="A38" s="34">
        <f t="shared" si="0"/>
        <v>0</v>
      </c>
    </row>
    <row r="39" spans="1:1">
      <c r="A39" s="34">
        <f t="shared" si="0"/>
        <v>0</v>
      </c>
    </row>
    <row r="40" spans="1:1">
      <c r="A40" s="34">
        <f t="shared" si="0"/>
        <v>0</v>
      </c>
    </row>
    <row r="41" spans="1:1">
      <c r="A41" s="34">
        <f t="shared" si="0"/>
        <v>0</v>
      </c>
    </row>
    <row r="42" spans="1:1">
      <c r="A42" s="34">
        <f t="shared" si="0"/>
        <v>0</v>
      </c>
    </row>
    <row r="43" spans="1:1">
      <c r="A43" s="34">
        <f t="shared" si="0"/>
        <v>0</v>
      </c>
    </row>
    <row r="44" spans="1:1">
      <c r="A44" s="34">
        <f t="shared" si="0"/>
        <v>0</v>
      </c>
    </row>
    <row r="45" spans="1:1">
      <c r="A45" s="34">
        <f t="shared" si="0"/>
        <v>0</v>
      </c>
    </row>
    <row r="46" spans="1:1">
      <c r="A46" s="34">
        <f t="shared" si="0"/>
        <v>0</v>
      </c>
    </row>
    <row r="47" spans="1:1">
      <c r="A47" s="34">
        <f t="shared" si="0"/>
        <v>0</v>
      </c>
    </row>
    <row r="48" spans="1:1">
      <c r="A48" s="34">
        <f t="shared" si="0"/>
        <v>0</v>
      </c>
    </row>
    <row r="49" spans="1:1">
      <c r="A49" s="34">
        <f t="shared" si="0"/>
        <v>0</v>
      </c>
    </row>
    <row r="50" spans="1:1">
      <c r="A50" s="34">
        <f t="shared" si="0"/>
        <v>0</v>
      </c>
    </row>
    <row r="51" spans="1:1">
      <c r="A51" s="34">
        <f t="shared" si="0"/>
        <v>0</v>
      </c>
    </row>
    <row r="52" spans="1:1">
      <c r="A52" s="34">
        <f t="shared" si="0"/>
        <v>0</v>
      </c>
    </row>
    <row r="53" spans="1:1">
      <c r="A53" s="34">
        <f t="shared" si="0"/>
        <v>0</v>
      </c>
    </row>
    <row r="54" spans="1:1">
      <c r="A54" s="34">
        <f t="shared" si="0"/>
        <v>0</v>
      </c>
    </row>
    <row r="55" spans="1:1">
      <c r="A55" s="34">
        <f t="shared" si="0"/>
        <v>0</v>
      </c>
    </row>
    <row r="56" spans="1:1">
      <c r="A56" s="34">
        <f t="shared" si="0"/>
        <v>0</v>
      </c>
    </row>
    <row r="57" spans="1:1">
      <c r="A57" s="34">
        <f t="shared" si="0"/>
        <v>0</v>
      </c>
    </row>
    <row r="58" spans="1:1">
      <c r="A58" s="34">
        <f t="shared" si="0"/>
        <v>0</v>
      </c>
    </row>
    <row r="59" spans="1:1">
      <c r="A59" s="34">
        <f t="shared" si="0"/>
        <v>0</v>
      </c>
    </row>
    <row r="60" spans="1:1">
      <c r="A60" s="34">
        <f t="shared" si="0"/>
        <v>0</v>
      </c>
    </row>
    <row r="61" spans="1:1">
      <c r="A61" s="34">
        <f t="shared" si="0"/>
        <v>0</v>
      </c>
    </row>
    <row r="62" spans="1:1">
      <c r="A62" s="34">
        <f t="shared" si="0"/>
        <v>0</v>
      </c>
    </row>
    <row r="63" spans="1:1">
      <c r="A63" s="34">
        <f t="shared" si="0"/>
        <v>0</v>
      </c>
    </row>
    <row r="64" spans="1:1">
      <c r="A64" s="34">
        <f t="shared" si="0"/>
        <v>0</v>
      </c>
    </row>
    <row r="65" spans="1:1">
      <c r="A65" s="34">
        <f t="shared" si="0"/>
        <v>0</v>
      </c>
    </row>
    <row r="66" spans="1:1">
      <c r="A66" s="34">
        <f t="shared" si="0"/>
        <v>0</v>
      </c>
    </row>
    <row r="67" spans="1:1">
      <c r="A67" s="34">
        <f t="shared" ref="A67:A130" si="1">COUNTA(F67:ZY67)</f>
        <v>0</v>
      </c>
    </row>
    <row r="68" spans="1:1">
      <c r="A68" s="34">
        <f t="shared" si="1"/>
        <v>0</v>
      </c>
    </row>
    <row r="69" spans="1:1">
      <c r="A69" s="34">
        <f t="shared" si="1"/>
        <v>0</v>
      </c>
    </row>
    <row r="70" spans="1:1">
      <c r="A70" s="34">
        <f t="shared" si="1"/>
        <v>0</v>
      </c>
    </row>
    <row r="71" spans="1:1">
      <c r="A71" s="34">
        <f t="shared" si="1"/>
        <v>0</v>
      </c>
    </row>
    <row r="72" spans="1:1">
      <c r="A72" s="34">
        <f t="shared" si="1"/>
        <v>0</v>
      </c>
    </row>
    <row r="73" spans="1:1">
      <c r="A73" s="34">
        <f t="shared" si="1"/>
        <v>0</v>
      </c>
    </row>
    <row r="74" spans="1:1">
      <c r="A74" s="34">
        <f t="shared" si="1"/>
        <v>0</v>
      </c>
    </row>
    <row r="75" spans="1:1">
      <c r="A75" s="34">
        <f t="shared" si="1"/>
        <v>0</v>
      </c>
    </row>
    <row r="76" spans="1:1">
      <c r="A76" s="34">
        <f t="shared" si="1"/>
        <v>0</v>
      </c>
    </row>
    <row r="77" spans="1:1">
      <c r="A77" s="34">
        <f t="shared" si="1"/>
        <v>0</v>
      </c>
    </row>
    <row r="78" spans="1:1">
      <c r="A78" s="34">
        <f t="shared" si="1"/>
        <v>0</v>
      </c>
    </row>
    <row r="79" spans="1:1">
      <c r="A79" s="34">
        <f t="shared" si="1"/>
        <v>0</v>
      </c>
    </row>
    <row r="80" spans="1:1">
      <c r="A80" s="34">
        <f t="shared" si="1"/>
        <v>0</v>
      </c>
    </row>
    <row r="81" spans="1:1">
      <c r="A81" s="34">
        <f t="shared" si="1"/>
        <v>0</v>
      </c>
    </row>
    <row r="82" spans="1:1">
      <c r="A82" s="34">
        <f t="shared" si="1"/>
        <v>0</v>
      </c>
    </row>
    <row r="83" spans="1:1">
      <c r="A83" s="34">
        <f t="shared" si="1"/>
        <v>0</v>
      </c>
    </row>
    <row r="84" spans="1:1">
      <c r="A84" s="34">
        <f t="shared" si="1"/>
        <v>0</v>
      </c>
    </row>
    <row r="85" spans="1:1">
      <c r="A85" s="34">
        <f t="shared" si="1"/>
        <v>0</v>
      </c>
    </row>
    <row r="86" spans="1:1">
      <c r="A86" s="34">
        <f t="shared" si="1"/>
        <v>0</v>
      </c>
    </row>
    <row r="87" spans="1:1">
      <c r="A87" s="34">
        <f t="shared" si="1"/>
        <v>0</v>
      </c>
    </row>
    <row r="88" spans="1:1">
      <c r="A88" s="34">
        <f t="shared" si="1"/>
        <v>0</v>
      </c>
    </row>
    <row r="89" spans="1:1">
      <c r="A89" s="34">
        <f t="shared" si="1"/>
        <v>0</v>
      </c>
    </row>
    <row r="90" spans="1:1">
      <c r="A90" s="34">
        <f t="shared" si="1"/>
        <v>0</v>
      </c>
    </row>
    <row r="91" spans="1:1">
      <c r="A91" s="34">
        <f t="shared" si="1"/>
        <v>0</v>
      </c>
    </row>
    <row r="92" spans="1:1">
      <c r="A92" s="34">
        <f t="shared" si="1"/>
        <v>0</v>
      </c>
    </row>
    <row r="93" spans="1:1">
      <c r="A93" s="34">
        <f t="shared" si="1"/>
        <v>0</v>
      </c>
    </row>
    <row r="94" spans="1:1">
      <c r="A94" s="34">
        <f t="shared" si="1"/>
        <v>0</v>
      </c>
    </row>
    <row r="95" spans="1:1">
      <c r="A95" s="34">
        <f t="shared" si="1"/>
        <v>0</v>
      </c>
    </row>
    <row r="96" spans="1:1">
      <c r="A96" s="34">
        <f t="shared" si="1"/>
        <v>0</v>
      </c>
    </row>
    <row r="97" spans="1:1">
      <c r="A97" s="34">
        <f t="shared" si="1"/>
        <v>0</v>
      </c>
    </row>
    <row r="98" spans="1:1">
      <c r="A98" s="34">
        <f t="shared" si="1"/>
        <v>0</v>
      </c>
    </row>
    <row r="99" spans="1:1">
      <c r="A99" s="34">
        <f t="shared" si="1"/>
        <v>0</v>
      </c>
    </row>
    <row r="100" spans="1:1">
      <c r="A100" s="34">
        <f t="shared" si="1"/>
        <v>0</v>
      </c>
    </row>
    <row r="101" spans="1:1">
      <c r="A101" s="34">
        <f t="shared" si="1"/>
        <v>0</v>
      </c>
    </row>
    <row r="102" spans="1:1">
      <c r="A102" s="34">
        <f t="shared" si="1"/>
        <v>0</v>
      </c>
    </row>
    <row r="103" spans="1:1">
      <c r="A103" s="34">
        <f t="shared" si="1"/>
        <v>0</v>
      </c>
    </row>
    <row r="104" spans="1:1">
      <c r="A104" s="34">
        <f t="shared" si="1"/>
        <v>0</v>
      </c>
    </row>
    <row r="105" spans="1:1">
      <c r="A105" s="34">
        <f t="shared" si="1"/>
        <v>0</v>
      </c>
    </row>
    <row r="106" spans="1:1">
      <c r="A106" s="34">
        <f t="shared" si="1"/>
        <v>0</v>
      </c>
    </row>
    <row r="107" spans="1:1">
      <c r="A107" s="34">
        <f t="shared" si="1"/>
        <v>0</v>
      </c>
    </row>
    <row r="108" spans="1:1">
      <c r="A108" s="34">
        <f t="shared" si="1"/>
        <v>0</v>
      </c>
    </row>
    <row r="109" spans="1:1">
      <c r="A109" s="34">
        <f t="shared" si="1"/>
        <v>0</v>
      </c>
    </row>
    <row r="110" spans="1:1">
      <c r="A110" s="34">
        <f t="shared" si="1"/>
        <v>0</v>
      </c>
    </row>
    <row r="111" spans="1:1">
      <c r="A111" s="34">
        <f t="shared" si="1"/>
        <v>0</v>
      </c>
    </row>
    <row r="112" spans="1:1">
      <c r="A112" s="34">
        <f t="shared" si="1"/>
        <v>0</v>
      </c>
    </row>
    <row r="113" spans="1:1">
      <c r="A113" s="34">
        <f t="shared" si="1"/>
        <v>0</v>
      </c>
    </row>
    <row r="114" spans="1:1">
      <c r="A114" s="34">
        <f t="shared" si="1"/>
        <v>0</v>
      </c>
    </row>
    <row r="115" spans="1:1">
      <c r="A115" s="34">
        <f t="shared" si="1"/>
        <v>0</v>
      </c>
    </row>
    <row r="116" spans="1:1">
      <c r="A116" s="34">
        <f t="shared" si="1"/>
        <v>0</v>
      </c>
    </row>
    <row r="117" spans="1:1">
      <c r="A117" s="34">
        <f t="shared" si="1"/>
        <v>0</v>
      </c>
    </row>
    <row r="118" spans="1:1">
      <c r="A118" s="34">
        <f t="shared" si="1"/>
        <v>0</v>
      </c>
    </row>
    <row r="119" spans="1:1">
      <c r="A119" s="34">
        <f t="shared" si="1"/>
        <v>0</v>
      </c>
    </row>
    <row r="120" spans="1:1">
      <c r="A120" s="34">
        <f t="shared" si="1"/>
        <v>0</v>
      </c>
    </row>
    <row r="121" spans="1:1">
      <c r="A121" s="34">
        <f t="shared" si="1"/>
        <v>0</v>
      </c>
    </row>
    <row r="122" spans="1:1">
      <c r="A122" s="34">
        <f t="shared" si="1"/>
        <v>0</v>
      </c>
    </row>
    <row r="123" spans="1:1">
      <c r="A123" s="34">
        <f t="shared" si="1"/>
        <v>0</v>
      </c>
    </row>
    <row r="124" spans="1:1">
      <c r="A124" s="34">
        <f t="shared" si="1"/>
        <v>0</v>
      </c>
    </row>
    <row r="125" spans="1:1">
      <c r="A125" s="34">
        <f t="shared" si="1"/>
        <v>0</v>
      </c>
    </row>
    <row r="126" spans="1:1">
      <c r="A126" s="34">
        <f t="shared" si="1"/>
        <v>0</v>
      </c>
    </row>
    <row r="127" spans="1:1">
      <c r="A127" s="34">
        <f t="shared" si="1"/>
        <v>0</v>
      </c>
    </row>
    <row r="128" spans="1:1">
      <c r="A128" s="34">
        <f t="shared" si="1"/>
        <v>0</v>
      </c>
    </row>
    <row r="129" spans="1:1">
      <c r="A129" s="34">
        <f t="shared" si="1"/>
        <v>0</v>
      </c>
    </row>
    <row r="130" spans="1:1">
      <c r="A130" s="34">
        <f t="shared" si="1"/>
        <v>0</v>
      </c>
    </row>
    <row r="131" spans="1:1">
      <c r="A131" s="34">
        <f t="shared" ref="A131:A194" si="2">COUNTA(F131:ZY131)</f>
        <v>0</v>
      </c>
    </row>
    <row r="132" spans="1:1">
      <c r="A132" s="34">
        <f t="shared" si="2"/>
        <v>0</v>
      </c>
    </row>
    <row r="133" spans="1:1">
      <c r="A133" s="34">
        <f t="shared" si="2"/>
        <v>0</v>
      </c>
    </row>
    <row r="134" spans="1:1">
      <c r="A134" s="34">
        <f t="shared" si="2"/>
        <v>0</v>
      </c>
    </row>
    <row r="135" spans="1:1">
      <c r="A135" s="34">
        <f t="shared" si="2"/>
        <v>0</v>
      </c>
    </row>
    <row r="136" spans="1:1">
      <c r="A136" s="34">
        <f t="shared" si="2"/>
        <v>0</v>
      </c>
    </row>
    <row r="137" spans="1:1">
      <c r="A137" s="34">
        <f t="shared" si="2"/>
        <v>0</v>
      </c>
    </row>
    <row r="138" spans="1:1">
      <c r="A138" s="34">
        <f t="shared" si="2"/>
        <v>0</v>
      </c>
    </row>
    <row r="139" spans="1:1">
      <c r="A139" s="34">
        <f t="shared" si="2"/>
        <v>0</v>
      </c>
    </row>
    <row r="140" spans="1:1">
      <c r="A140" s="34">
        <f t="shared" si="2"/>
        <v>0</v>
      </c>
    </row>
    <row r="141" spans="1:1">
      <c r="A141" s="34">
        <f t="shared" si="2"/>
        <v>0</v>
      </c>
    </row>
    <row r="142" spans="1:1">
      <c r="A142" s="34">
        <f t="shared" si="2"/>
        <v>0</v>
      </c>
    </row>
    <row r="143" spans="1:1">
      <c r="A143" s="34">
        <f t="shared" si="2"/>
        <v>0</v>
      </c>
    </row>
    <row r="144" spans="1:1">
      <c r="A144" s="34">
        <f t="shared" si="2"/>
        <v>0</v>
      </c>
    </row>
    <row r="145" spans="1:1">
      <c r="A145" s="34">
        <f t="shared" si="2"/>
        <v>0</v>
      </c>
    </row>
    <row r="146" spans="1:1">
      <c r="A146" s="34">
        <f t="shared" si="2"/>
        <v>0</v>
      </c>
    </row>
    <row r="147" spans="1:1">
      <c r="A147" s="34">
        <f t="shared" si="2"/>
        <v>0</v>
      </c>
    </row>
    <row r="148" spans="1:1">
      <c r="A148" s="34">
        <f t="shared" si="2"/>
        <v>0</v>
      </c>
    </row>
    <row r="149" spans="1:1">
      <c r="A149" s="34">
        <f t="shared" si="2"/>
        <v>0</v>
      </c>
    </row>
    <row r="150" spans="1:1">
      <c r="A150" s="34">
        <f t="shared" si="2"/>
        <v>0</v>
      </c>
    </row>
    <row r="151" spans="1:1">
      <c r="A151" s="34">
        <f t="shared" si="2"/>
        <v>0</v>
      </c>
    </row>
    <row r="152" spans="1:1">
      <c r="A152" s="34">
        <f t="shared" si="2"/>
        <v>0</v>
      </c>
    </row>
    <row r="153" spans="1:1">
      <c r="A153" s="34">
        <f t="shared" si="2"/>
        <v>0</v>
      </c>
    </row>
    <row r="154" spans="1:1">
      <c r="A154" s="34">
        <f t="shared" si="2"/>
        <v>0</v>
      </c>
    </row>
    <row r="155" spans="1:1">
      <c r="A155" s="34">
        <f t="shared" si="2"/>
        <v>0</v>
      </c>
    </row>
    <row r="156" spans="1:1">
      <c r="A156" s="34">
        <f t="shared" si="2"/>
        <v>0</v>
      </c>
    </row>
    <row r="157" spans="1:1">
      <c r="A157" s="34">
        <f t="shared" si="2"/>
        <v>0</v>
      </c>
    </row>
    <row r="158" spans="1:1">
      <c r="A158" s="34">
        <f t="shared" si="2"/>
        <v>0</v>
      </c>
    </row>
    <row r="159" spans="1:1">
      <c r="A159" s="34">
        <f t="shared" si="2"/>
        <v>0</v>
      </c>
    </row>
    <row r="160" spans="1:1">
      <c r="A160" s="34">
        <f t="shared" si="2"/>
        <v>0</v>
      </c>
    </row>
    <row r="161" spans="1:1">
      <c r="A161" s="34">
        <f t="shared" si="2"/>
        <v>0</v>
      </c>
    </row>
    <row r="162" spans="1:1">
      <c r="A162" s="34">
        <f t="shared" si="2"/>
        <v>0</v>
      </c>
    </row>
    <row r="163" spans="1:1">
      <c r="A163" s="34">
        <f t="shared" si="2"/>
        <v>0</v>
      </c>
    </row>
    <row r="164" spans="1:1">
      <c r="A164" s="34">
        <f t="shared" si="2"/>
        <v>0</v>
      </c>
    </row>
    <row r="165" spans="1:1">
      <c r="A165" s="34">
        <f t="shared" si="2"/>
        <v>0</v>
      </c>
    </row>
    <row r="166" spans="1:1">
      <c r="A166" s="34">
        <f t="shared" si="2"/>
        <v>0</v>
      </c>
    </row>
    <row r="167" spans="1:1">
      <c r="A167" s="34">
        <f t="shared" si="2"/>
        <v>0</v>
      </c>
    </row>
    <row r="168" spans="1:1">
      <c r="A168" s="34">
        <f t="shared" si="2"/>
        <v>0</v>
      </c>
    </row>
    <row r="169" spans="1:1">
      <c r="A169" s="34">
        <f t="shared" si="2"/>
        <v>0</v>
      </c>
    </row>
    <row r="170" spans="1:1">
      <c r="A170" s="34">
        <f t="shared" si="2"/>
        <v>0</v>
      </c>
    </row>
    <row r="171" spans="1:1">
      <c r="A171" s="34">
        <f t="shared" si="2"/>
        <v>0</v>
      </c>
    </row>
    <row r="172" spans="1:1">
      <c r="A172" s="34">
        <f t="shared" si="2"/>
        <v>0</v>
      </c>
    </row>
    <row r="173" spans="1:1">
      <c r="A173" s="34">
        <f t="shared" si="2"/>
        <v>0</v>
      </c>
    </row>
    <row r="174" spans="1:1">
      <c r="A174" s="34">
        <f t="shared" si="2"/>
        <v>0</v>
      </c>
    </row>
    <row r="175" spans="1:1">
      <c r="A175" s="34">
        <f t="shared" si="2"/>
        <v>0</v>
      </c>
    </row>
    <row r="176" spans="1:1">
      <c r="A176" s="34">
        <f t="shared" si="2"/>
        <v>0</v>
      </c>
    </row>
    <row r="177" spans="1:1">
      <c r="A177" s="34">
        <f t="shared" si="2"/>
        <v>0</v>
      </c>
    </row>
    <row r="178" spans="1:1">
      <c r="A178" s="34">
        <f t="shared" si="2"/>
        <v>0</v>
      </c>
    </row>
    <row r="179" spans="1:1">
      <c r="A179" s="34">
        <f t="shared" si="2"/>
        <v>0</v>
      </c>
    </row>
    <row r="180" spans="1:1">
      <c r="A180" s="34">
        <f t="shared" si="2"/>
        <v>0</v>
      </c>
    </row>
    <row r="181" spans="1:1">
      <c r="A181" s="34">
        <f t="shared" si="2"/>
        <v>0</v>
      </c>
    </row>
    <row r="182" spans="1:1">
      <c r="A182" s="34">
        <f t="shared" si="2"/>
        <v>0</v>
      </c>
    </row>
    <row r="183" spans="1:1">
      <c r="A183" s="34">
        <f t="shared" si="2"/>
        <v>0</v>
      </c>
    </row>
    <row r="184" spans="1:1">
      <c r="A184" s="34">
        <f t="shared" si="2"/>
        <v>0</v>
      </c>
    </row>
    <row r="185" spans="1:1">
      <c r="A185" s="34">
        <f t="shared" si="2"/>
        <v>0</v>
      </c>
    </row>
    <row r="186" spans="1:1">
      <c r="A186" s="34">
        <f t="shared" si="2"/>
        <v>0</v>
      </c>
    </row>
    <row r="187" spans="1:1">
      <c r="A187" s="34">
        <f t="shared" si="2"/>
        <v>0</v>
      </c>
    </row>
    <row r="188" spans="1:1">
      <c r="A188" s="34">
        <f t="shared" si="2"/>
        <v>0</v>
      </c>
    </row>
    <row r="189" spans="1:1">
      <c r="A189" s="34">
        <f t="shared" si="2"/>
        <v>0</v>
      </c>
    </row>
    <row r="190" spans="1:1">
      <c r="A190" s="34">
        <f t="shared" si="2"/>
        <v>0</v>
      </c>
    </row>
    <row r="191" spans="1:1">
      <c r="A191" s="34">
        <f t="shared" si="2"/>
        <v>0</v>
      </c>
    </row>
    <row r="192" spans="1:1">
      <c r="A192" s="34">
        <f t="shared" si="2"/>
        <v>0</v>
      </c>
    </row>
    <row r="193" spans="1:1">
      <c r="A193" s="34">
        <f t="shared" si="2"/>
        <v>0</v>
      </c>
    </row>
    <row r="194" spans="1:1">
      <c r="A194" s="34">
        <f t="shared" si="2"/>
        <v>0</v>
      </c>
    </row>
    <row r="195" spans="1:1">
      <c r="A195" s="34">
        <f t="shared" ref="A195:A258" si="3">COUNTA(F195:ZY195)</f>
        <v>0</v>
      </c>
    </row>
    <row r="196" spans="1:1">
      <c r="A196" s="34">
        <f t="shared" si="3"/>
        <v>0</v>
      </c>
    </row>
    <row r="197" spans="1:1">
      <c r="A197" s="34">
        <f t="shared" si="3"/>
        <v>0</v>
      </c>
    </row>
    <row r="198" spans="1:1">
      <c r="A198" s="34">
        <f t="shared" si="3"/>
        <v>0</v>
      </c>
    </row>
    <row r="199" spans="1:1">
      <c r="A199" s="34">
        <f t="shared" si="3"/>
        <v>0</v>
      </c>
    </row>
    <row r="200" spans="1:1">
      <c r="A200" s="34">
        <f t="shared" si="3"/>
        <v>0</v>
      </c>
    </row>
    <row r="201" spans="1:1">
      <c r="A201" s="34">
        <f t="shared" si="3"/>
        <v>0</v>
      </c>
    </row>
    <row r="202" spans="1:1">
      <c r="A202" s="34">
        <f t="shared" si="3"/>
        <v>0</v>
      </c>
    </row>
    <row r="203" spans="1:1">
      <c r="A203" s="34">
        <f t="shared" si="3"/>
        <v>0</v>
      </c>
    </row>
    <row r="204" spans="1:1">
      <c r="A204" s="34">
        <f t="shared" si="3"/>
        <v>0</v>
      </c>
    </row>
    <row r="205" spans="1:1">
      <c r="A205" s="34">
        <f t="shared" si="3"/>
        <v>0</v>
      </c>
    </row>
    <row r="206" spans="1:1">
      <c r="A206" s="34">
        <f t="shared" si="3"/>
        <v>0</v>
      </c>
    </row>
    <row r="207" spans="1:1">
      <c r="A207" s="34">
        <f t="shared" si="3"/>
        <v>0</v>
      </c>
    </row>
    <row r="208" spans="1:1">
      <c r="A208" s="34">
        <f t="shared" si="3"/>
        <v>0</v>
      </c>
    </row>
    <row r="209" spans="1:1">
      <c r="A209" s="34">
        <f t="shared" si="3"/>
        <v>0</v>
      </c>
    </row>
    <row r="210" spans="1:1">
      <c r="A210" s="34">
        <f t="shared" si="3"/>
        <v>0</v>
      </c>
    </row>
    <row r="211" spans="1:1">
      <c r="A211" s="34">
        <f t="shared" si="3"/>
        <v>0</v>
      </c>
    </row>
    <row r="212" spans="1:1">
      <c r="A212" s="34">
        <f t="shared" si="3"/>
        <v>0</v>
      </c>
    </row>
    <row r="213" spans="1:1">
      <c r="A213" s="34">
        <f t="shared" si="3"/>
        <v>0</v>
      </c>
    </row>
    <row r="214" spans="1:1">
      <c r="A214" s="34">
        <f t="shared" si="3"/>
        <v>0</v>
      </c>
    </row>
    <row r="215" spans="1:1">
      <c r="A215" s="34">
        <f t="shared" si="3"/>
        <v>0</v>
      </c>
    </row>
    <row r="216" spans="1:1">
      <c r="A216" s="34">
        <f t="shared" si="3"/>
        <v>0</v>
      </c>
    </row>
    <row r="217" spans="1:1">
      <c r="A217" s="34">
        <f t="shared" si="3"/>
        <v>0</v>
      </c>
    </row>
    <row r="218" spans="1:1">
      <c r="A218" s="34">
        <f t="shared" si="3"/>
        <v>0</v>
      </c>
    </row>
    <row r="219" spans="1:1">
      <c r="A219" s="34">
        <f t="shared" si="3"/>
        <v>0</v>
      </c>
    </row>
    <row r="220" spans="1:1">
      <c r="A220" s="34">
        <f t="shared" si="3"/>
        <v>0</v>
      </c>
    </row>
    <row r="221" spans="1:1">
      <c r="A221" s="34">
        <f t="shared" si="3"/>
        <v>0</v>
      </c>
    </row>
    <row r="222" spans="1:1">
      <c r="A222" s="34">
        <f t="shared" si="3"/>
        <v>0</v>
      </c>
    </row>
    <row r="223" spans="1:1">
      <c r="A223" s="34">
        <f t="shared" si="3"/>
        <v>0</v>
      </c>
    </row>
    <row r="224" spans="1:1">
      <c r="A224" s="34">
        <f t="shared" si="3"/>
        <v>0</v>
      </c>
    </row>
    <row r="225" spans="1:1">
      <c r="A225" s="34">
        <f t="shared" si="3"/>
        <v>0</v>
      </c>
    </row>
    <row r="226" spans="1:1">
      <c r="A226" s="34">
        <f t="shared" si="3"/>
        <v>0</v>
      </c>
    </row>
    <row r="227" spans="1:1">
      <c r="A227" s="34">
        <f t="shared" si="3"/>
        <v>0</v>
      </c>
    </row>
    <row r="228" spans="1:1">
      <c r="A228" s="34">
        <f t="shared" si="3"/>
        <v>0</v>
      </c>
    </row>
    <row r="229" spans="1:1">
      <c r="A229" s="34">
        <f t="shared" si="3"/>
        <v>0</v>
      </c>
    </row>
    <row r="230" spans="1:1">
      <c r="A230" s="34">
        <f t="shared" si="3"/>
        <v>0</v>
      </c>
    </row>
    <row r="231" spans="1:1">
      <c r="A231" s="34">
        <f t="shared" si="3"/>
        <v>0</v>
      </c>
    </row>
    <row r="232" spans="1:1">
      <c r="A232" s="34">
        <f t="shared" si="3"/>
        <v>0</v>
      </c>
    </row>
    <row r="233" spans="1:1">
      <c r="A233" s="34">
        <f t="shared" si="3"/>
        <v>0</v>
      </c>
    </row>
    <row r="234" spans="1:1">
      <c r="A234" s="34">
        <f t="shared" si="3"/>
        <v>0</v>
      </c>
    </row>
    <row r="235" spans="1:1">
      <c r="A235" s="34">
        <f t="shared" si="3"/>
        <v>0</v>
      </c>
    </row>
    <row r="236" spans="1:1">
      <c r="A236" s="34">
        <f t="shared" si="3"/>
        <v>0</v>
      </c>
    </row>
    <row r="237" spans="1:1">
      <c r="A237" s="34">
        <f t="shared" si="3"/>
        <v>0</v>
      </c>
    </row>
    <row r="238" spans="1:1">
      <c r="A238" s="34">
        <f t="shared" si="3"/>
        <v>0</v>
      </c>
    </row>
    <row r="239" spans="1:1">
      <c r="A239" s="34">
        <f t="shared" si="3"/>
        <v>0</v>
      </c>
    </row>
    <row r="240" spans="1:1">
      <c r="A240" s="34">
        <f t="shared" si="3"/>
        <v>0</v>
      </c>
    </row>
    <row r="241" spans="1:1">
      <c r="A241" s="34">
        <f t="shared" si="3"/>
        <v>0</v>
      </c>
    </row>
    <row r="242" spans="1:1">
      <c r="A242" s="34">
        <f t="shared" si="3"/>
        <v>0</v>
      </c>
    </row>
    <row r="243" spans="1:1">
      <c r="A243" s="34">
        <f t="shared" si="3"/>
        <v>0</v>
      </c>
    </row>
    <row r="244" spans="1:1">
      <c r="A244" s="34">
        <f t="shared" si="3"/>
        <v>0</v>
      </c>
    </row>
    <row r="245" spans="1:1">
      <c r="A245" s="34">
        <f t="shared" si="3"/>
        <v>0</v>
      </c>
    </row>
    <row r="246" spans="1:1">
      <c r="A246" s="34">
        <f t="shared" si="3"/>
        <v>0</v>
      </c>
    </row>
    <row r="247" spans="1:1">
      <c r="A247" s="34">
        <f t="shared" si="3"/>
        <v>0</v>
      </c>
    </row>
    <row r="248" spans="1:1">
      <c r="A248" s="34">
        <f t="shared" si="3"/>
        <v>0</v>
      </c>
    </row>
    <row r="249" spans="1:1">
      <c r="A249" s="34">
        <f t="shared" si="3"/>
        <v>0</v>
      </c>
    </row>
    <row r="250" spans="1:1">
      <c r="A250" s="34">
        <f t="shared" si="3"/>
        <v>0</v>
      </c>
    </row>
    <row r="251" spans="1:1">
      <c r="A251" s="34">
        <f t="shared" si="3"/>
        <v>0</v>
      </c>
    </row>
    <row r="252" spans="1:1">
      <c r="A252" s="34">
        <f t="shared" si="3"/>
        <v>0</v>
      </c>
    </row>
    <row r="253" spans="1:1">
      <c r="A253" s="34">
        <f t="shared" si="3"/>
        <v>0</v>
      </c>
    </row>
    <row r="254" spans="1:1">
      <c r="A254" s="34">
        <f t="shared" si="3"/>
        <v>0</v>
      </c>
    </row>
    <row r="255" spans="1:1">
      <c r="A255" s="34">
        <f t="shared" si="3"/>
        <v>0</v>
      </c>
    </row>
    <row r="256" spans="1:1">
      <c r="A256" s="34">
        <f t="shared" si="3"/>
        <v>0</v>
      </c>
    </row>
    <row r="257" spans="1:1">
      <c r="A257" s="34">
        <f t="shared" si="3"/>
        <v>0</v>
      </c>
    </row>
    <row r="258" spans="1:1">
      <c r="A258" s="34">
        <f t="shared" si="3"/>
        <v>0</v>
      </c>
    </row>
    <row r="259" spans="1:1">
      <c r="A259" s="34">
        <f t="shared" ref="A259:A322" si="4">COUNTA(F259:ZY259)</f>
        <v>0</v>
      </c>
    </row>
    <row r="260" spans="1:1">
      <c r="A260" s="34">
        <f t="shared" si="4"/>
        <v>0</v>
      </c>
    </row>
    <row r="261" spans="1:1">
      <c r="A261" s="34">
        <f t="shared" si="4"/>
        <v>0</v>
      </c>
    </row>
    <row r="262" spans="1:1">
      <c r="A262" s="34">
        <f t="shared" si="4"/>
        <v>0</v>
      </c>
    </row>
    <row r="263" spans="1:1">
      <c r="A263" s="34">
        <f t="shared" si="4"/>
        <v>0</v>
      </c>
    </row>
    <row r="264" spans="1:1">
      <c r="A264" s="34">
        <f t="shared" si="4"/>
        <v>0</v>
      </c>
    </row>
    <row r="265" spans="1:1">
      <c r="A265" s="34">
        <f t="shared" si="4"/>
        <v>0</v>
      </c>
    </row>
    <row r="266" spans="1:1">
      <c r="A266" s="34">
        <f t="shared" si="4"/>
        <v>0</v>
      </c>
    </row>
    <row r="267" spans="1:1">
      <c r="A267" s="34">
        <f t="shared" si="4"/>
        <v>0</v>
      </c>
    </row>
    <row r="268" spans="1:1">
      <c r="A268" s="34">
        <f t="shared" si="4"/>
        <v>0</v>
      </c>
    </row>
    <row r="269" spans="1:1">
      <c r="A269" s="34">
        <f t="shared" si="4"/>
        <v>0</v>
      </c>
    </row>
    <row r="270" spans="1:1">
      <c r="A270" s="34">
        <f t="shared" si="4"/>
        <v>0</v>
      </c>
    </row>
    <row r="271" spans="1:1">
      <c r="A271" s="34">
        <f t="shared" si="4"/>
        <v>0</v>
      </c>
    </row>
    <row r="272" spans="1:1">
      <c r="A272" s="34">
        <f t="shared" si="4"/>
        <v>0</v>
      </c>
    </row>
    <row r="273" spans="1:1">
      <c r="A273" s="34">
        <f t="shared" si="4"/>
        <v>0</v>
      </c>
    </row>
    <row r="274" spans="1:1">
      <c r="A274" s="34">
        <f t="shared" si="4"/>
        <v>0</v>
      </c>
    </row>
    <row r="275" spans="1:1">
      <c r="A275" s="34">
        <f t="shared" si="4"/>
        <v>0</v>
      </c>
    </row>
    <row r="276" spans="1:1">
      <c r="A276" s="34">
        <f t="shared" si="4"/>
        <v>0</v>
      </c>
    </row>
    <row r="277" spans="1:1">
      <c r="A277" s="34">
        <f t="shared" si="4"/>
        <v>0</v>
      </c>
    </row>
    <row r="278" spans="1:1">
      <c r="A278" s="34">
        <f t="shared" si="4"/>
        <v>0</v>
      </c>
    </row>
    <row r="279" spans="1:1">
      <c r="A279" s="34">
        <f t="shared" si="4"/>
        <v>0</v>
      </c>
    </row>
    <row r="280" spans="1:1">
      <c r="A280" s="34">
        <f t="shared" si="4"/>
        <v>0</v>
      </c>
    </row>
    <row r="281" spans="1:1">
      <c r="A281" s="34">
        <f t="shared" si="4"/>
        <v>0</v>
      </c>
    </row>
    <row r="282" spans="1:1">
      <c r="A282" s="34">
        <f t="shared" si="4"/>
        <v>0</v>
      </c>
    </row>
    <row r="283" spans="1:1">
      <c r="A283" s="34">
        <f t="shared" si="4"/>
        <v>0</v>
      </c>
    </row>
    <row r="284" spans="1:1">
      <c r="A284" s="34">
        <f t="shared" si="4"/>
        <v>0</v>
      </c>
    </row>
    <row r="285" spans="1:1">
      <c r="A285" s="34">
        <f t="shared" si="4"/>
        <v>0</v>
      </c>
    </row>
    <row r="286" spans="1:1">
      <c r="A286" s="34">
        <f t="shared" si="4"/>
        <v>0</v>
      </c>
    </row>
    <row r="287" spans="1:1">
      <c r="A287" s="34">
        <f t="shared" si="4"/>
        <v>0</v>
      </c>
    </row>
    <row r="288" spans="1:1">
      <c r="A288" s="34">
        <f t="shared" si="4"/>
        <v>0</v>
      </c>
    </row>
    <row r="289" spans="1:1">
      <c r="A289" s="34">
        <f t="shared" si="4"/>
        <v>0</v>
      </c>
    </row>
    <row r="290" spans="1:1">
      <c r="A290" s="34">
        <f t="shared" si="4"/>
        <v>0</v>
      </c>
    </row>
    <row r="291" spans="1:1">
      <c r="A291" s="34">
        <f t="shared" si="4"/>
        <v>0</v>
      </c>
    </row>
    <row r="292" spans="1:1">
      <c r="A292" s="34">
        <f t="shared" si="4"/>
        <v>0</v>
      </c>
    </row>
    <row r="293" spans="1:1">
      <c r="A293" s="34">
        <f t="shared" si="4"/>
        <v>0</v>
      </c>
    </row>
    <row r="294" spans="1:1">
      <c r="A294" s="34">
        <f t="shared" si="4"/>
        <v>0</v>
      </c>
    </row>
    <row r="295" spans="1:1">
      <c r="A295" s="34">
        <f t="shared" si="4"/>
        <v>0</v>
      </c>
    </row>
    <row r="296" spans="1:1">
      <c r="A296" s="34">
        <f t="shared" si="4"/>
        <v>0</v>
      </c>
    </row>
    <row r="297" spans="1:1">
      <c r="A297" s="34">
        <f t="shared" si="4"/>
        <v>0</v>
      </c>
    </row>
    <row r="298" spans="1:1">
      <c r="A298" s="34">
        <f t="shared" si="4"/>
        <v>0</v>
      </c>
    </row>
    <row r="299" spans="1:1">
      <c r="A299" s="34">
        <f t="shared" si="4"/>
        <v>0</v>
      </c>
    </row>
    <row r="300" spans="1:1">
      <c r="A300" s="34">
        <f t="shared" si="4"/>
        <v>0</v>
      </c>
    </row>
    <row r="301" spans="1:1">
      <c r="A301" s="34">
        <f t="shared" si="4"/>
        <v>0</v>
      </c>
    </row>
    <row r="302" spans="1:1">
      <c r="A302" s="34">
        <f t="shared" si="4"/>
        <v>0</v>
      </c>
    </row>
    <row r="303" spans="1:1">
      <c r="A303" s="34">
        <f t="shared" si="4"/>
        <v>0</v>
      </c>
    </row>
    <row r="304" spans="1:1">
      <c r="A304" s="34">
        <f t="shared" si="4"/>
        <v>0</v>
      </c>
    </row>
    <row r="305" spans="1:1">
      <c r="A305" s="34">
        <f t="shared" si="4"/>
        <v>0</v>
      </c>
    </row>
    <row r="306" spans="1:1">
      <c r="A306" s="34">
        <f t="shared" si="4"/>
        <v>0</v>
      </c>
    </row>
    <row r="307" spans="1:1">
      <c r="A307" s="34">
        <f t="shared" si="4"/>
        <v>0</v>
      </c>
    </row>
    <row r="308" spans="1:1">
      <c r="A308" s="34">
        <f t="shared" si="4"/>
        <v>0</v>
      </c>
    </row>
    <row r="309" spans="1:1">
      <c r="A309" s="34">
        <f t="shared" si="4"/>
        <v>0</v>
      </c>
    </row>
    <row r="310" spans="1:1">
      <c r="A310" s="34">
        <f t="shared" si="4"/>
        <v>0</v>
      </c>
    </row>
    <row r="311" spans="1:1">
      <c r="A311" s="34">
        <f t="shared" si="4"/>
        <v>0</v>
      </c>
    </row>
    <row r="312" spans="1:1">
      <c r="A312" s="34">
        <f t="shared" si="4"/>
        <v>0</v>
      </c>
    </row>
    <row r="313" spans="1:1">
      <c r="A313" s="34">
        <f t="shared" si="4"/>
        <v>0</v>
      </c>
    </row>
    <row r="314" spans="1:1">
      <c r="A314" s="34">
        <f t="shared" si="4"/>
        <v>0</v>
      </c>
    </row>
    <row r="315" spans="1:1">
      <c r="A315" s="34">
        <f t="shared" si="4"/>
        <v>0</v>
      </c>
    </row>
    <row r="316" spans="1:1">
      <c r="A316" s="34">
        <f t="shared" si="4"/>
        <v>0</v>
      </c>
    </row>
    <row r="317" spans="1:1">
      <c r="A317" s="34">
        <f t="shared" si="4"/>
        <v>0</v>
      </c>
    </row>
    <row r="318" spans="1:1">
      <c r="A318" s="34">
        <f t="shared" si="4"/>
        <v>0</v>
      </c>
    </row>
    <row r="319" spans="1:1">
      <c r="A319" s="34">
        <f t="shared" si="4"/>
        <v>0</v>
      </c>
    </row>
    <row r="320" spans="1:1">
      <c r="A320" s="34">
        <f t="shared" si="4"/>
        <v>0</v>
      </c>
    </row>
    <row r="321" spans="1:1">
      <c r="A321" s="34">
        <f t="shared" si="4"/>
        <v>0</v>
      </c>
    </row>
    <row r="322" spans="1:1">
      <c r="A322" s="34">
        <f t="shared" si="4"/>
        <v>0</v>
      </c>
    </row>
    <row r="323" spans="1:1">
      <c r="A323" s="34">
        <f t="shared" ref="A323:A386" si="5">COUNTA(F323:ZY323)</f>
        <v>0</v>
      </c>
    </row>
    <row r="324" spans="1:1">
      <c r="A324" s="34">
        <f t="shared" si="5"/>
        <v>0</v>
      </c>
    </row>
    <row r="325" spans="1:1">
      <c r="A325" s="34">
        <f t="shared" si="5"/>
        <v>0</v>
      </c>
    </row>
    <row r="326" spans="1:1">
      <c r="A326" s="34">
        <f t="shared" si="5"/>
        <v>0</v>
      </c>
    </row>
    <row r="327" spans="1:1">
      <c r="A327" s="34">
        <f t="shared" si="5"/>
        <v>0</v>
      </c>
    </row>
    <row r="328" spans="1:1">
      <c r="A328" s="34">
        <f t="shared" si="5"/>
        <v>0</v>
      </c>
    </row>
    <row r="329" spans="1:1">
      <c r="A329" s="34">
        <f t="shared" si="5"/>
        <v>0</v>
      </c>
    </row>
    <row r="330" spans="1:1">
      <c r="A330" s="34">
        <f t="shared" si="5"/>
        <v>0</v>
      </c>
    </row>
    <row r="331" spans="1:1">
      <c r="A331" s="34">
        <f t="shared" si="5"/>
        <v>0</v>
      </c>
    </row>
    <row r="332" spans="1:1">
      <c r="A332" s="34">
        <f t="shared" si="5"/>
        <v>0</v>
      </c>
    </row>
    <row r="333" spans="1:1">
      <c r="A333" s="34">
        <f t="shared" si="5"/>
        <v>0</v>
      </c>
    </row>
    <row r="334" spans="1:1">
      <c r="A334" s="34">
        <f t="shared" si="5"/>
        <v>0</v>
      </c>
    </row>
    <row r="335" spans="1:1">
      <c r="A335" s="34">
        <f t="shared" si="5"/>
        <v>0</v>
      </c>
    </row>
    <row r="336" spans="1:1">
      <c r="A336" s="34">
        <f t="shared" si="5"/>
        <v>0</v>
      </c>
    </row>
    <row r="337" spans="1:1">
      <c r="A337" s="34">
        <f t="shared" si="5"/>
        <v>0</v>
      </c>
    </row>
    <row r="338" spans="1:1">
      <c r="A338" s="34">
        <f t="shared" si="5"/>
        <v>0</v>
      </c>
    </row>
    <row r="339" spans="1:1">
      <c r="A339" s="34">
        <f t="shared" si="5"/>
        <v>0</v>
      </c>
    </row>
    <row r="340" spans="1:1">
      <c r="A340" s="34">
        <f t="shared" si="5"/>
        <v>0</v>
      </c>
    </row>
    <row r="341" spans="1:1">
      <c r="A341" s="34">
        <f t="shared" si="5"/>
        <v>0</v>
      </c>
    </row>
    <row r="342" spans="1:1">
      <c r="A342" s="34">
        <f t="shared" si="5"/>
        <v>0</v>
      </c>
    </row>
    <row r="343" spans="1:1">
      <c r="A343" s="34">
        <f t="shared" si="5"/>
        <v>0</v>
      </c>
    </row>
    <row r="344" spans="1:1">
      <c r="A344" s="34">
        <f t="shared" si="5"/>
        <v>0</v>
      </c>
    </row>
    <row r="345" spans="1:1">
      <c r="A345" s="34">
        <f t="shared" si="5"/>
        <v>0</v>
      </c>
    </row>
    <row r="346" spans="1:1">
      <c r="A346" s="34">
        <f t="shared" si="5"/>
        <v>0</v>
      </c>
    </row>
    <row r="347" spans="1:1">
      <c r="A347" s="34">
        <f t="shared" si="5"/>
        <v>0</v>
      </c>
    </row>
    <row r="348" spans="1:1">
      <c r="A348" s="34">
        <f t="shared" si="5"/>
        <v>0</v>
      </c>
    </row>
    <row r="349" spans="1:1">
      <c r="A349" s="34">
        <f t="shared" si="5"/>
        <v>0</v>
      </c>
    </row>
    <row r="350" spans="1:1">
      <c r="A350" s="34">
        <f t="shared" si="5"/>
        <v>0</v>
      </c>
    </row>
    <row r="351" spans="1:1">
      <c r="A351" s="34">
        <f t="shared" si="5"/>
        <v>0</v>
      </c>
    </row>
    <row r="352" spans="1:1">
      <c r="A352" s="34">
        <f t="shared" si="5"/>
        <v>0</v>
      </c>
    </row>
    <row r="353" spans="1:1">
      <c r="A353" s="34">
        <f t="shared" si="5"/>
        <v>0</v>
      </c>
    </row>
    <row r="354" spans="1:1">
      <c r="A354" s="34">
        <f t="shared" si="5"/>
        <v>0</v>
      </c>
    </row>
    <row r="355" spans="1:1">
      <c r="A355" s="34">
        <f t="shared" si="5"/>
        <v>0</v>
      </c>
    </row>
    <row r="356" spans="1:1">
      <c r="A356" s="34">
        <f t="shared" si="5"/>
        <v>0</v>
      </c>
    </row>
    <row r="357" spans="1:1">
      <c r="A357" s="34">
        <f t="shared" si="5"/>
        <v>0</v>
      </c>
    </row>
    <row r="358" spans="1:1">
      <c r="A358" s="34">
        <f t="shared" si="5"/>
        <v>0</v>
      </c>
    </row>
    <row r="359" spans="1:1">
      <c r="A359" s="34">
        <f t="shared" si="5"/>
        <v>0</v>
      </c>
    </row>
    <row r="360" spans="1:1">
      <c r="A360" s="34">
        <f t="shared" si="5"/>
        <v>0</v>
      </c>
    </row>
    <row r="361" spans="1:1">
      <c r="A361" s="34">
        <f t="shared" si="5"/>
        <v>0</v>
      </c>
    </row>
    <row r="362" spans="1:1">
      <c r="A362" s="34">
        <f t="shared" si="5"/>
        <v>0</v>
      </c>
    </row>
    <row r="363" spans="1:1">
      <c r="A363" s="34">
        <f t="shared" si="5"/>
        <v>0</v>
      </c>
    </row>
    <row r="364" spans="1:1">
      <c r="A364" s="34">
        <f t="shared" si="5"/>
        <v>0</v>
      </c>
    </row>
    <row r="365" spans="1:1">
      <c r="A365" s="34">
        <f t="shared" si="5"/>
        <v>0</v>
      </c>
    </row>
    <row r="366" spans="1:1">
      <c r="A366" s="34">
        <f t="shared" si="5"/>
        <v>0</v>
      </c>
    </row>
    <row r="367" spans="1:1">
      <c r="A367" s="34">
        <f t="shared" si="5"/>
        <v>0</v>
      </c>
    </row>
    <row r="368" spans="1:1">
      <c r="A368" s="34">
        <f t="shared" si="5"/>
        <v>0</v>
      </c>
    </row>
    <row r="369" spans="1:1">
      <c r="A369" s="34">
        <f t="shared" si="5"/>
        <v>0</v>
      </c>
    </row>
    <row r="370" spans="1:1">
      <c r="A370" s="34">
        <f t="shared" si="5"/>
        <v>0</v>
      </c>
    </row>
    <row r="371" spans="1:1">
      <c r="A371" s="34">
        <f t="shared" si="5"/>
        <v>0</v>
      </c>
    </row>
    <row r="372" spans="1:1">
      <c r="A372" s="34">
        <f t="shared" si="5"/>
        <v>0</v>
      </c>
    </row>
    <row r="373" spans="1:1">
      <c r="A373" s="34">
        <f t="shared" si="5"/>
        <v>0</v>
      </c>
    </row>
    <row r="374" spans="1:1">
      <c r="A374" s="34">
        <f t="shared" si="5"/>
        <v>0</v>
      </c>
    </row>
    <row r="375" spans="1:1">
      <c r="A375" s="34">
        <f t="shared" si="5"/>
        <v>0</v>
      </c>
    </row>
    <row r="376" spans="1:1">
      <c r="A376" s="34">
        <f t="shared" si="5"/>
        <v>0</v>
      </c>
    </row>
    <row r="377" spans="1:1">
      <c r="A377" s="34">
        <f t="shared" si="5"/>
        <v>0</v>
      </c>
    </row>
    <row r="378" spans="1:1">
      <c r="A378" s="34">
        <f t="shared" si="5"/>
        <v>0</v>
      </c>
    </row>
    <row r="379" spans="1:1">
      <c r="A379" s="34">
        <f t="shared" si="5"/>
        <v>0</v>
      </c>
    </row>
    <row r="380" spans="1:1">
      <c r="A380" s="34">
        <f t="shared" si="5"/>
        <v>0</v>
      </c>
    </row>
    <row r="381" spans="1:1">
      <c r="A381" s="34">
        <f t="shared" si="5"/>
        <v>0</v>
      </c>
    </row>
    <row r="382" spans="1:1">
      <c r="A382" s="34">
        <f t="shared" si="5"/>
        <v>0</v>
      </c>
    </row>
    <row r="383" spans="1:1">
      <c r="A383" s="34">
        <f t="shared" si="5"/>
        <v>0</v>
      </c>
    </row>
    <row r="384" spans="1:1">
      <c r="A384" s="34">
        <f t="shared" si="5"/>
        <v>0</v>
      </c>
    </row>
    <row r="385" spans="1:1">
      <c r="A385" s="34">
        <f t="shared" si="5"/>
        <v>0</v>
      </c>
    </row>
    <row r="386" spans="1:1">
      <c r="A386" s="34">
        <f t="shared" si="5"/>
        <v>0</v>
      </c>
    </row>
    <row r="387" spans="1:1">
      <c r="A387" s="34">
        <f t="shared" ref="A387:A450" si="6">COUNTA(F387:ZY387)</f>
        <v>0</v>
      </c>
    </row>
    <row r="388" spans="1:1">
      <c r="A388" s="34">
        <f t="shared" si="6"/>
        <v>0</v>
      </c>
    </row>
    <row r="389" spans="1:1">
      <c r="A389" s="34">
        <f t="shared" si="6"/>
        <v>0</v>
      </c>
    </row>
    <row r="390" spans="1:1">
      <c r="A390" s="34">
        <f t="shared" si="6"/>
        <v>0</v>
      </c>
    </row>
    <row r="391" spans="1:1">
      <c r="A391" s="34">
        <f t="shared" si="6"/>
        <v>0</v>
      </c>
    </row>
    <row r="392" spans="1:1">
      <c r="A392" s="34">
        <f t="shared" si="6"/>
        <v>0</v>
      </c>
    </row>
    <row r="393" spans="1:1">
      <c r="A393" s="34">
        <f t="shared" si="6"/>
        <v>0</v>
      </c>
    </row>
    <row r="394" spans="1:1">
      <c r="A394" s="34">
        <f t="shared" si="6"/>
        <v>0</v>
      </c>
    </row>
    <row r="395" spans="1:1">
      <c r="A395" s="34">
        <f t="shared" si="6"/>
        <v>0</v>
      </c>
    </row>
    <row r="396" spans="1:1">
      <c r="A396" s="34">
        <f t="shared" si="6"/>
        <v>0</v>
      </c>
    </row>
    <row r="397" spans="1:1">
      <c r="A397" s="34">
        <f t="shared" si="6"/>
        <v>0</v>
      </c>
    </row>
    <row r="398" spans="1:1">
      <c r="A398" s="34">
        <f t="shared" si="6"/>
        <v>0</v>
      </c>
    </row>
    <row r="399" spans="1:1">
      <c r="A399" s="34">
        <f t="shared" si="6"/>
        <v>0</v>
      </c>
    </row>
    <row r="400" spans="1:1">
      <c r="A400" s="34">
        <f t="shared" si="6"/>
        <v>0</v>
      </c>
    </row>
    <row r="401" spans="1:1">
      <c r="A401" s="34">
        <f t="shared" si="6"/>
        <v>0</v>
      </c>
    </row>
    <row r="402" spans="1:1">
      <c r="A402" s="34">
        <f t="shared" si="6"/>
        <v>0</v>
      </c>
    </row>
    <row r="403" spans="1:1">
      <c r="A403" s="34">
        <f t="shared" si="6"/>
        <v>0</v>
      </c>
    </row>
    <row r="404" spans="1:1">
      <c r="A404" s="34">
        <f t="shared" si="6"/>
        <v>0</v>
      </c>
    </row>
    <row r="405" spans="1:1">
      <c r="A405" s="34">
        <f t="shared" si="6"/>
        <v>0</v>
      </c>
    </row>
    <row r="406" spans="1:1">
      <c r="A406" s="34">
        <f t="shared" si="6"/>
        <v>0</v>
      </c>
    </row>
    <row r="407" spans="1:1">
      <c r="A407" s="34">
        <f t="shared" si="6"/>
        <v>0</v>
      </c>
    </row>
    <row r="408" spans="1:1">
      <c r="A408" s="34">
        <f t="shared" si="6"/>
        <v>0</v>
      </c>
    </row>
    <row r="409" spans="1:1">
      <c r="A409" s="34">
        <f t="shared" si="6"/>
        <v>0</v>
      </c>
    </row>
    <row r="410" spans="1:1">
      <c r="A410" s="34">
        <f t="shared" si="6"/>
        <v>0</v>
      </c>
    </row>
    <row r="411" spans="1:1">
      <c r="A411" s="34">
        <f t="shared" si="6"/>
        <v>0</v>
      </c>
    </row>
    <row r="412" spans="1:1">
      <c r="A412" s="34">
        <f t="shared" si="6"/>
        <v>0</v>
      </c>
    </row>
    <row r="413" spans="1:1">
      <c r="A413" s="34">
        <f t="shared" si="6"/>
        <v>0</v>
      </c>
    </row>
    <row r="414" spans="1:1">
      <c r="A414" s="34">
        <f t="shared" si="6"/>
        <v>0</v>
      </c>
    </row>
    <row r="415" spans="1:1">
      <c r="A415" s="34">
        <f t="shared" si="6"/>
        <v>0</v>
      </c>
    </row>
    <row r="416" spans="1:1">
      <c r="A416" s="34">
        <f t="shared" si="6"/>
        <v>0</v>
      </c>
    </row>
    <row r="417" spans="1:1">
      <c r="A417" s="34">
        <f t="shared" si="6"/>
        <v>0</v>
      </c>
    </row>
    <row r="418" spans="1:1">
      <c r="A418" s="34">
        <f t="shared" si="6"/>
        <v>0</v>
      </c>
    </row>
    <row r="419" spans="1:1">
      <c r="A419" s="34">
        <f t="shared" si="6"/>
        <v>0</v>
      </c>
    </row>
    <row r="420" spans="1:1">
      <c r="A420" s="34">
        <f t="shared" si="6"/>
        <v>0</v>
      </c>
    </row>
    <row r="421" spans="1:1">
      <c r="A421" s="34">
        <f t="shared" si="6"/>
        <v>0</v>
      </c>
    </row>
    <row r="422" spans="1:1">
      <c r="A422" s="34">
        <f t="shared" si="6"/>
        <v>0</v>
      </c>
    </row>
    <row r="423" spans="1:1">
      <c r="A423" s="34">
        <f t="shared" si="6"/>
        <v>0</v>
      </c>
    </row>
    <row r="424" spans="1:1">
      <c r="A424" s="34">
        <f t="shared" si="6"/>
        <v>0</v>
      </c>
    </row>
    <row r="425" spans="1:1">
      <c r="A425" s="34">
        <f t="shared" si="6"/>
        <v>0</v>
      </c>
    </row>
    <row r="426" spans="1:1">
      <c r="A426" s="34">
        <f t="shared" si="6"/>
        <v>0</v>
      </c>
    </row>
    <row r="427" spans="1:1">
      <c r="A427" s="34">
        <f t="shared" si="6"/>
        <v>0</v>
      </c>
    </row>
    <row r="428" spans="1:1">
      <c r="A428" s="34">
        <f t="shared" si="6"/>
        <v>0</v>
      </c>
    </row>
    <row r="429" spans="1:1">
      <c r="A429" s="34">
        <f t="shared" si="6"/>
        <v>0</v>
      </c>
    </row>
    <row r="430" spans="1:1">
      <c r="A430" s="34">
        <f t="shared" si="6"/>
        <v>0</v>
      </c>
    </row>
    <row r="431" spans="1:1">
      <c r="A431" s="34">
        <f t="shared" si="6"/>
        <v>0</v>
      </c>
    </row>
    <row r="432" spans="1:1">
      <c r="A432" s="34">
        <f t="shared" si="6"/>
        <v>0</v>
      </c>
    </row>
    <row r="433" spans="1:1">
      <c r="A433" s="34">
        <f t="shared" si="6"/>
        <v>0</v>
      </c>
    </row>
    <row r="434" spans="1:1">
      <c r="A434" s="34">
        <f t="shared" si="6"/>
        <v>0</v>
      </c>
    </row>
    <row r="435" spans="1:1">
      <c r="A435" s="34">
        <f t="shared" si="6"/>
        <v>0</v>
      </c>
    </row>
    <row r="436" spans="1:1">
      <c r="A436" s="34">
        <f t="shared" si="6"/>
        <v>0</v>
      </c>
    </row>
    <row r="437" spans="1:1">
      <c r="A437" s="34">
        <f t="shared" si="6"/>
        <v>0</v>
      </c>
    </row>
    <row r="438" spans="1:1">
      <c r="A438" s="34">
        <f t="shared" si="6"/>
        <v>0</v>
      </c>
    </row>
    <row r="439" spans="1:1">
      <c r="A439" s="34">
        <f t="shared" si="6"/>
        <v>0</v>
      </c>
    </row>
    <row r="440" spans="1:1">
      <c r="A440" s="34">
        <f t="shared" si="6"/>
        <v>0</v>
      </c>
    </row>
    <row r="441" spans="1:1">
      <c r="A441" s="34">
        <f t="shared" si="6"/>
        <v>0</v>
      </c>
    </row>
    <row r="442" spans="1:1">
      <c r="A442" s="34">
        <f t="shared" si="6"/>
        <v>0</v>
      </c>
    </row>
    <row r="443" spans="1:1">
      <c r="A443" s="34">
        <f t="shared" si="6"/>
        <v>0</v>
      </c>
    </row>
    <row r="444" spans="1:1">
      <c r="A444" s="34">
        <f t="shared" si="6"/>
        <v>0</v>
      </c>
    </row>
    <row r="445" spans="1:1">
      <c r="A445" s="34">
        <f t="shared" si="6"/>
        <v>0</v>
      </c>
    </row>
    <row r="446" spans="1:1">
      <c r="A446" s="34">
        <f t="shared" si="6"/>
        <v>0</v>
      </c>
    </row>
    <row r="447" spans="1:1">
      <c r="A447" s="34">
        <f t="shared" si="6"/>
        <v>0</v>
      </c>
    </row>
    <row r="448" spans="1:1">
      <c r="A448" s="34">
        <f t="shared" si="6"/>
        <v>0</v>
      </c>
    </row>
    <row r="449" spans="1:1">
      <c r="A449" s="34">
        <f t="shared" si="6"/>
        <v>0</v>
      </c>
    </row>
    <row r="450" spans="1:1">
      <c r="A450" s="34">
        <f t="shared" si="6"/>
        <v>0</v>
      </c>
    </row>
    <row r="451" spans="1:1">
      <c r="A451" s="34">
        <f t="shared" ref="A451:A500" si="7">COUNTA(F451:ZY451)</f>
        <v>0</v>
      </c>
    </row>
    <row r="452" spans="1:1">
      <c r="A452" s="34">
        <f t="shared" si="7"/>
        <v>0</v>
      </c>
    </row>
    <row r="453" spans="1:1">
      <c r="A453" s="34">
        <f t="shared" si="7"/>
        <v>0</v>
      </c>
    </row>
    <row r="454" spans="1:1">
      <c r="A454" s="34">
        <f t="shared" si="7"/>
        <v>0</v>
      </c>
    </row>
    <row r="455" spans="1:1">
      <c r="A455" s="34">
        <f t="shared" si="7"/>
        <v>0</v>
      </c>
    </row>
    <row r="456" spans="1:1">
      <c r="A456" s="34">
        <f t="shared" si="7"/>
        <v>0</v>
      </c>
    </row>
    <row r="457" spans="1:1">
      <c r="A457" s="34">
        <f t="shared" si="7"/>
        <v>0</v>
      </c>
    </row>
    <row r="458" spans="1:1">
      <c r="A458" s="34">
        <f t="shared" si="7"/>
        <v>0</v>
      </c>
    </row>
    <row r="459" spans="1:1">
      <c r="A459" s="34">
        <f t="shared" si="7"/>
        <v>0</v>
      </c>
    </row>
    <row r="460" spans="1:1">
      <c r="A460" s="34">
        <f t="shared" si="7"/>
        <v>0</v>
      </c>
    </row>
    <row r="461" spans="1:1">
      <c r="A461" s="34">
        <f t="shared" si="7"/>
        <v>0</v>
      </c>
    </row>
    <row r="462" spans="1:1">
      <c r="A462" s="34">
        <f t="shared" si="7"/>
        <v>0</v>
      </c>
    </row>
    <row r="463" spans="1:1">
      <c r="A463" s="34">
        <f t="shared" si="7"/>
        <v>0</v>
      </c>
    </row>
    <row r="464" spans="1:1">
      <c r="A464" s="34">
        <f t="shared" si="7"/>
        <v>0</v>
      </c>
    </row>
    <row r="465" spans="1:1">
      <c r="A465" s="34">
        <f t="shared" si="7"/>
        <v>0</v>
      </c>
    </row>
    <row r="466" spans="1:1">
      <c r="A466" s="34">
        <f t="shared" si="7"/>
        <v>0</v>
      </c>
    </row>
    <row r="467" spans="1:1">
      <c r="A467" s="34">
        <f t="shared" si="7"/>
        <v>0</v>
      </c>
    </row>
    <row r="468" spans="1:1">
      <c r="A468" s="34">
        <f t="shared" si="7"/>
        <v>0</v>
      </c>
    </row>
    <row r="469" spans="1:1">
      <c r="A469" s="34">
        <f t="shared" si="7"/>
        <v>0</v>
      </c>
    </row>
    <row r="470" spans="1:1">
      <c r="A470" s="34">
        <f t="shared" si="7"/>
        <v>0</v>
      </c>
    </row>
    <row r="471" spans="1:1">
      <c r="A471" s="34">
        <f t="shared" si="7"/>
        <v>0</v>
      </c>
    </row>
    <row r="472" spans="1:1">
      <c r="A472" s="34">
        <f t="shared" si="7"/>
        <v>0</v>
      </c>
    </row>
    <row r="473" spans="1:1">
      <c r="A473" s="34">
        <f t="shared" si="7"/>
        <v>0</v>
      </c>
    </row>
    <row r="474" spans="1:1">
      <c r="A474" s="34">
        <f t="shared" si="7"/>
        <v>0</v>
      </c>
    </row>
    <row r="475" spans="1:1">
      <c r="A475" s="34">
        <f t="shared" si="7"/>
        <v>0</v>
      </c>
    </row>
    <row r="476" spans="1:1">
      <c r="A476" s="34">
        <f t="shared" si="7"/>
        <v>0</v>
      </c>
    </row>
    <row r="477" spans="1:1">
      <c r="A477" s="34">
        <f t="shared" si="7"/>
        <v>0</v>
      </c>
    </row>
    <row r="478" spans="1:1">
      <c r="A478" s="34">
        <f t="shared" si="7"/>
        <v>0</v>
      </c>
    </row>
    <row r="479" spans="1:1">
      <c r="A479" s="34">
        <f t="shared" si="7"/>
        <v>0</v>
      </c>
    </row>
    <row r="480" spans="1:1">
      <c r="A480" s="34">
        <f t="shared" si="7"/>
        <v>0</v>
      </c>
    </row>
    <row r="481" spans="1:1">
      <c r="A481" s="34">
        <f t="shared" si="7"/>
        <v>0</v>
      </c>
    </row>
    <row r="482" spans="1:1">
      <c r="A482" s="34">
        <f t="shared" si="7"/>
        <v>0</v>
      </c>
    </row>
    <row r="483" spans="1:1">
      <c r="A483" s="34">
        <f t="shared" si="7"/>
        <v>0</v>
      </c>
    </row>
    <row r="484" spans="1:1">
      <c r="A484" s="34">
        <f t="shared" si="7"/>
        <v>0</v>
      </c>
    </row>
    <row r="485" spans="1:1">
      <c r="A485" s="34">
        <f t="shared" si="7"/>
        <v>0</v>
      </c>
    </row>
    <row r="486" spans="1:1">
      <c r="A486" s="34">
        <f t="shared" si="7"/>
        <v>0</v>
      </c>
    </row>
    <row r="487" spans="1:1">
      <c r="A487" s="34">
        <f t="shared" si="7"/>
        <v>0</v>
      </c>
    </row>
    <row r="488" spans="1:1">
      <c r="A488" s="34">
        <f t="shared" si="7"/>
        <v>0</v>
      </c>
    </row>
    <row r="489" spans="1:1">
      <c r="A489" s="34">
        <f t="shared" si="7"/>
        <v>0</v>
      </c>
    </row>
    <row r="490" spans="1:1">
      <c r="A490" s="34">
        <f t="shared" si="7"/>
        <v>0</v>
      </c>
    </row>
    <row r="491" spans="1:1">
      <c r="A491" s="34">
        <f t="shared" si="7"/>
        <v>0</v>
      </c>
    </row>
    <row r="492" spans="1:1">
      <c r="A492" s="34">
        <f t="shared" si="7"/>
        <v>0</v>
      </c>
    </row>
    <row r="493" spans="1:1">
      <c r="A493" s="34">
        <f t="shared" si="7"/>
        <v>0</v>
      </c>
    </row>
    <row r="494" spans="1:1">
      <c r="A494" s="34">
        <f t="shared" si="7"/>
        <v>0</v>
      </c>
    </row>
    <row r="495" spans="1:1">
      <c r="A495" s="34">
        <f t="shared" si="7"/>
        <v>0</v>
      </c>
    </row>
    <row r="496" spans="1:1">
      <c r="A496" s="34">
        <f t="shared" si="7"/>
        <v>0</v>
      </c>
    </row>
    <row r="497" spans="1:1">
      <c r="A497" s="34">
        <f t="shared" si="7"/>
        <v>0</v>
      </c>
    </row>
    <row r="498" spans="1:1">
      <c r="A498" s="34">
        <f t="shared" si="7"/>
        <v>0</v>
      </c>
    </row>
    <row r="499" spans="1:1">
      <c r="A499" s="34">
        <f t="shared" si="7"/>
        <v>0</v>
      </c>
    </row>
    <row r="500" spans="1:1">
      <c r="A500" s="34">
        <f t="shared" si="7"/>
        <v>0</v>
      </c>
    </row>
  </sheetData>
  <phoneticPr fontId="11" type="noConversion"/>
  <dataValidations count="2">
    <dataValidation type="list" allowBlank="1" showInputMessage="1" showErrorMessage="1" sqref="E7 D10:D500 C14:C500 E9 C2:D8" xr:uid="{00000000-0002-0000-0200-000000000000}">
      <formula1>"%,."</formula1>
    </dataValidation>
    <dataValidation type="list" allowBlank="1" showInputMessage="1" showErrorMessage="1" sqref="E10:E500 E8 E2:E6" xr:uid="{00000000-0002-0000-0200-000001000000}">
      <formula1>"A,D"</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GN2001"/>
  <sheetViews>
    <sheetView showGridLines="0" topLeftCell="A323" workbookViewId="0">
      <selection activeCell="C7" sqref="C7:J339"/>
    </sheetView>
  </sheetViews>
  <sheetFormatPr defaultColWidth="0" defaultRowHeight="13.2" zeroHeight="1"/>
  <cols>
    <col min="1" max="1" width="50.109375" style="4" bestFit="1" customWidth="1"/>
    <col min="2" max="2" width="20.109375" style="4" customWidth="1"/>
    <col min="3" max="6" width="17.33203125" style="4" customWidth="1"/>
    <col min="7" max="8" width="15" style="4" customWidth="1"/>
    <col min="9" max="11" width="9.109375" style="4" customWidth="1"/>
    <col min="12" max="12" width="15.5546875" style="4" customWidth="1"/>
    <col min="13" max="77" width="9.109375" style="4" customWidth="1"/>
    <col min="78" max="16384" width="9.109375" style="4" hidden="1"/>
  </cols>
  <sheetData>
    <row r="1" spans="1:77" s="140" customFormat="1" ht="14.25" customHeight="1">
      <c r="A1" s="150" t="s">
        <v>805</v>
      </c>
      <c r="C1" s="161" t="str">
        <f>C4&amp;C5</f>
        <v>Residual household waste per household (kg/household) (Ex NI191)2021-22</v>
      </c>
      <c r="D1" s="140" t="str">
        <f t="shared" ref="D1:BO1" si="0">D4&amp;D5</f>
        <v>Residual household waste per household (kg/household) (Ex NI191)2022-23</v>
      </c>
      <c r="E1" s="140" t="str">
        <f t="shared" si="0"/>
        <v>Percentage of household waste sent for reuse, recycling or composting (Ex NI192)2021-22</v>
      </c>
      <c r="F1" s="140" t="str">
        <f t="shared" si="0"/>
        <v>Percentage of household waste sent for reuse, recycling or composting (Ex NI192)2022-23</v>
      </c>
      <c r="G1" s="140" t="str">
        <f t="shared" si="0"/>
        <v>Percentage of municipal waste sent to landfill (Ex NI193)2021-22</v>
      </c>
      <c r="H1" s="140" t="str">
        <f t="shared" si="0"/>
        <v>Percentage of municipal waste sent to landfill (Ex NI193)2022-23</v>
      </c>
      <c r="I1" s="140" t="str">
        <f t="shared" si="0"/>
        <v>Collected household waste per person (kg) (Ex BVPI 84a)2021-22</v>
      </c>
      <c r="J1" s="140" t="str">
        <f t="shared" si="0"/>
        <v>Collected household waste per person (kg) (Ex BVPI 84a)2022-23</v>
      </c>
      <c r="K1" s="140" t="str">
        <f t="shared" si="0"/>
        <v/>
      </c>
      <c r="L1" s="140" t="str">
        <f t="shared" si="0"/>
        <v/>
      </c>
      <c r="M1" s="140" t="str">
        <f t="shared" si="0"/>
        <v/>
      </c>
      <c r="N1" s="140" t="str">
        <f t="shared" si="0"/>
        <v/>
      </c>
      <c r="O1" s="140" t="str">
        <f t="shared" si="0"/>
        <v/>
      </c>
      <c r="P1" s="140" t="str">
        <f t="shared" si="0"/>
        <v/>
      </c>
      <c r="Q1" s="140" t="str">
        <f t="shared" si="0"/>
        <v/>
      </c>
      <c r="R1" s="140" t="str">
        <f t="shared" si="0"/>
        <v/>
      </c>
      <c r="S1" s="140" t="str">
        <f t="shared" si="0"/>
        <v/>
      </c>
      <c r="T1" s="140" t="str">
        <f t="shared" si="0"/>
        <v/>
      </c>
      <c r="U1" s="140" t="str">
        <f t="shared" si="0"/>
        <v/>
      </c>
      <c r="V1" s="140" t="str">
        <f t="shared" si="0"/>
        <v/>
      </c>
      <c r="W1" s="140" t="str">
        <f t="shared" si="0"/>
        <v/>
      </c>
      <c r="X1" s="140" t="str">
        <f t="shared" si="0"/>
        <v/>
      </c>
      <c r="Y1" s="140" t="str">
        <f t="shared" si="0"/>
        <v/>
      </c>
      <c r="Z1" s="140" t="str">
        <f t="shared" si="0"/>
        <v/>
      </c>
      <c r="AA1" s="140" t="str">
        <f t="shared" si="0"/>
        <v/>
      </c>
      <c r="AB1" s="140" t="str">
        <f t="shared" si="0"/>
        <v/>
      </c>
      <c r="AC1" s="140" t="str">
        <f t="shared" si="0"/>
        <v/>
      </c>
      <c r="AD1" s="140" t="str">
        <f t="shared" si="0"/>
        <v/>
      </c>
      <c r="AE1" s="140" t="str">
        <f t="shared" si="0"/>
        <v/>
      </c>
      <c r="AF1" s="140" t="str">
        <f t="shared" si="0"/>
        <v/>
      </c>
      <c r="AG1" s="140" t="str">
        <f t="shared" si="0"/>
        <v/>
      </c>
      <c r="AH1" s="140" t="str">
        <f t="shared" si="0"/>
        <v/>
      </c>
      <c r="AI1" s="140" t="str">
        <f t="shared" si="0"/>
        <v/>
      </c>
      <c r="AJ1" s="140" t="str">
        <f t="shared" si="0"/>
        <v/>
      </c>
      <c r="AK1" s="140" t="str">
        <f t="shared" si="0"/>
        <v/>
      </c>
      <c r="AL1" s="140" t="str">
        <f t="shared" si="0"/>
        <v/>
      </c>
      <c r="AM1" s="140" t="str">
        <f t="shared" si="0"/>
        <v/>
      </c>
      <c r="AN1" s="140" t="str">
        <f t="shared" si="0"/>
        <v/>
      </c>
      <c r="AO1" s="140" t="str">
        <f t="shared" si="0"/>
        <v/>
      </c>
      <c r="AP1" s="140" t="str">
        <f t="shared" si="0"/>
        <v/>
      </c>
      <c r="AQ1" s="140" t="str">
        <f t="shared" si="0"/>
        <v/>
      </c>
      <c r="AR1" s="140" t="str">
        <f t="shared" si="0"/>
        <v/>
      </c>
      <c r="AS1" s="140" t="str">
        <f t="shared" si="0"/>
        <v/>
      </c>
      <c r="AT1" s="140" t="str">
        <f t="shared" si="0"/>
        <v/>
      </c>
      <c r="AU1" s="140" t="str">
        <f t="shared" si="0"/>
        <v/>
      </c>
      <c r="AV1" s="140" t="str">
        <f t="shared" si="0"/>
        <v/>
      </c>
      <c r="AW1" s="140" t="str">
        <f t="shared" si="0"/>
        <v/>
      </c>
      <c r="AX1" s="140" t="str">
        <f t="shared" si="0"/>
        <v/>
      </c>
      <c r="AY1" s="140" t="str">
        <f t="shared" si="0"/>
        <v/>
      </c>
      <c r="AZ1" s="140" t="str">
        <f t="shared" si="0"/>
        <v/>
      </c>
      <c r="BA1" s="140" t="str">
        <f t="shared" si="0"/>
        <v/>
      </c>
      <c r="BB1" s="140" t="str">
        <f t="shared" si="0"/>
        <v/>
      </c>
      <c r="BC1" s="140" t="str">
        <f t="shared" si="0"/>
        <v/>
      </c>
      <c r="BD1" s="140" t="str">
        <f t="shared" si="0"/>
        <v/>
      </c>
      <c r="BE1" s="140" t="str">
        <f t="shared" si="0"/>
        <v/>
      </c>
      <c r="BF1" s="140" t="str">
        <f t="shared" si="0"/>
        <v/>
      </c>
      <c r="BG1" s="140" t="str">
        <f t="shared" si="0"/>
        <v/>
      </c>
      <c r="BH1" s="140" t="str">
        <f t="shared" si="0"/>
        <v/>
      </c>
      <c r="BI1" s="140" t="str">
        <f t="shared" si="0"/>
        <v/>
      </c>
      <c r="BJ1" s="140" t="str">
        <f t="shared" si="0"/>
        <v/>
      </c>
      <c r="BK1" s="140" t="str">
        <f t="shared" si="0"/>
        <v/>
      </c>
      <c r="BL1" s="140" t="str">
        <f t="shared" si="0"/>
        <v/>
      </c>
      <c r="BM1" s="140" t="str">
        <f t="shared" si="0"/>
        <v/>
      </c>
      <c r="BN1" s="140" t="str">
        <f t="shared" si="0"/>
        <v/>
      </c>
      <c r="BO1" s="140" t="str">
        <f t="shared" si="0"/>
        <v/>
      </c>
      <c r="BP1" s="140" t="str">
        <f t="shared" ref="BP1:BY1" si="1">BP4&amp;BP5</f>
        <v/>
      </c>
      <c r="BQ1" s="140" t="str">
        <f t="shared" si="1"/>
        <v/>
      </c>
      <c r="BR1" s="140" t="str">
        <f t="shared" si="1"/>
        <v/>
      </c>
      <c r="BS1" s="140" t="str">
        <f t="shared" si="1"/>
        <v/>
      </c>
      <c r="BT1" s="140" t="str">
        <f t="shared" si="1"/>
        <v/>
      </c>
      <c r="BU1" s="140" t="str">
        <f t="shared" si="1"/>
        <v/>
      </c>
      <c r="BV1" s="140" t="str">
        <f t="shared" si="1"/>
        <v/>
      </c>
      <c r="BW1" s="140" t="str">
        <f t="shared" si="1"/>
        <v/>
      </c>
      <c r="BX1" s="140" t="str">
        <f t="shared" si="1"/>
        <v/>
      </c>
      <c r="BY1" s="140" t="str">
        <f t="shared" si="1"/>
        <v/>
      </c>
    </row>
    <row r="2" spans="1:77" s="140" customFormat="1">
      <c r="A2" s="146" t="s">
        <v>821</v>
      </c>
      <c r="B2" s="141"/>
      <c r="C2" s="141"/>
      <c r="D2" s="141"/>
      <c r="E2" s="141"/>
      <c r="F2" s="141"/>
    </row>
    <row r="3" spans="1:77" ht="14.7" customHeight="1">
      <c r="A3" s="145" t="s">
        <v>803</v>
      </c>
      <c r="B3" s="207" t="s">
        <v>886</v>
      </c>
      <c r="D3" s="144"/>
      <c r="E3" s="144"/>
      <c r="L3" s="134"/>
      <c r="M3" s="120"/>
      <c r="N3" s="134"/>
      <c r="O3" s="147"/>
      <c r="P3" s="147"/>
      <c r="Q3" s="147"/>
      <c r="R3" s="120"/>
      <c r="S3" s="120"/>
      <c r="T3" s="120"/>
      <c r="U3" s="147"/>
      <c r="V3" s="299"/>
      <c r="W3" s="299"/>
      <c r="X3" s="134"/>
      <c r="Y3" s="134"/>
    </row>
    <row r="4" spans="1:77" ht="60" customHeight="1">
      <c r="A4" s="297" t="s">
        <v>822</v>
      </c>
      <c r="B4" s="142" t="s">
        <v>804</v>
      </c>
      <c r="C4" t="s">
        <v>889</v>
      </c>
      <c r="D4" t="s">
        <v>889</v>
      </c>
      <c r="E4" t="s">
        <v>890</v>
      </c>
      <c r="F4" t="s">
        <v>890</v>
      </c>
      <c r="G4" t="s">
        <v>891</v>
      </c>
      <c r="H4" t="s">
        <v>891</v>
      </c>
      <c r="I4" t="s">
        <v>892</v>
      </c>
      <c r="J4" t="s">
        <v>892</v>
      </c>
      <c r="K4"/>
      <c r="L4"/>
      <c r="M4"/>
      <c r="N4"/>
      <c r="O4"/>
      <c r="P4"/>
      <c r="Q4"/>
      <c r="R4"/>
      <c r="S4"/>
      <c r="T4"/>
      <c r="U4"/>
      <c r="V4"/>
      <c r="W4"/>
      <c r="X4"/>
      <c r="Y4"/>
      <c r="Z4"/>
      <c r="AA4"/>
      <c r="AB4"/>
      <c r="AC4"/>
      <c r="AD4"/>
      <c r="AE4"/>
      <c r="AF4"/>
      <c r="AG4"/>
      <c r="AH4"/>
      <c r="AI4"/>
      <c r="AJ4"/>
    </row>
    <row r="5" spans="1:77" ht="30" customHeight="1">
      <c r="A5" s="298"/>
      <c r="B5" s="143" t="s">
        <v>366</v>
      </c>
      <c r="C5" t="s">
        <v>906</v>
      </c>
      <c r="D5" t="s">
        <v>910</v>
      </c>
      <c r="E5" t="s">
        <v>906</v>
      </c>
      <c r="F5" t="s">
        <v>910</v>
      </c>
      <c r="G5" t="s">
        <v>906</v>
      </c>
      <c r="H5" t="s">
        <v>910</v>
      </c>
      <c r="I5" t="s">
        <v>906</v>
      </c>
      <c r="J5" t="s">
        <v>910</v>
      </c>
      <c r="K5"/>
      <c r="L5"/>
      <c r="M5"/>
      <c r="N5"/>
      <c r="O5"/>
      <c r="P5"/>
      <c r="Q5"/>
      <c r="R5"/>
      <c r="S5"/>
      <c r="T5"/>
      <c r="U5"/>
      <c r="V5"/>
      <c r="W5"/>
      <c r="X5"/>
      <c r="Y5"/>
      <c r="Z5"/>
      <c r="AA5"/>
      <c r="AB5"/>
      <c r="AC5"/>
      <c r="AD5"/>
      <c r="AE5"/>
      <c r="AF5"/>
      <c r="AG5"/>
      <c r="AH5"/>
      <c r="AI5"/>
      <c r="AJ5"/>
      <c r="AS5"/>
      <c r="AT5"/>
    </row>
    <row r="6" spans="1:77" ht="14.7" customHeight="1">
      <c r="A6" s="298"/>
      <c r="B6" s="143" t="s">
        <v>367</v>
      </c>
      <c r="C6" s="156" t="s">
        <v>888</v>
      </c>
      <c r="D6" s="156" t="s">
        <v>888</v>
      </c>
      <c r="E6" s="156" t="s">
        <v>888</v>
      </c>
      <c r="F6" s="156" t="s">
        <v>888</v>
      </c>
      <c r="G6" s="156" t="s">
        <v>888</v>
      </c>
      <c r="H6" s="156" t="s">
        <v>888</v>
      </c>
      <c r="I6" s="156" t="s">
        <v>888</v>
      </c>
      <c r="J6" s="156" t="s">
        <v>888</v>
      </c>
      <c r="K6" s="156"/>
      <c r="L6" s="156"/>
      <c r="M6" s="156"/>
      <c r="N6" s="156"/>
      <c r="O6" s="156"/>
      <c r="P6" s="156"/>
      <c r="Q6" s="156"/>
      <c r="R6" s="156"/>
      <c r="S6" s="156"/>
      <c r="T6" s="156"/>
      <c r="U6" s="156"/>
      <c r="V6" s="156"/>
      <c r="W6" s="156"/>
      <c r="X6" s="156"/>
      <c r="Y6" s="156"/>
      <c r="Z6" s="156"/>
      <c r="AA6" s="156"/>
      <c r="AB6" s="156"/>
      <c r="AC6" s="156"/>
      <c r="AD6" s="156"/>
      <c r="AE6" s="156"/>
      <c r="AF6" s="156"/>
      <c r="AG6" s="156"/>
      <c r="AH6" s="156"/>
      <c r="AI6" s="156"/>
      <c r="AJ6" s="156"/>
      <c r="AK6" s="156"/>
      <c r="AL6" s="156"/>
      <c r="AM6" s="156"/>
      <c r="AN6" s="156"/>
    </row>
    <row r="7" spans="1:77" ht="14.7" customHeight="1">
      <c r="A7" s="138" t="s">
        <v>4</v>
      </c>
      <c r="B7" s="138"/>
      <c r="C7">
        <v>400</v>
      </c>
      <c r="D7">
        <v>380.3</v>
      </c>
      <c r="E7">
        <v>0.41399999999999998</v>
      </c>
      <c r="F7">
        <v>0.39400000000000002</v>
      </c>
      <c r="G7">
        <v>0</v>
      </c>
      <c r="H7">
        <v>0</v>
      </c>
      <c r="I7">
        <v>303.39999999999998</v>
      </c>
      <c r="J7">
        <v>279.5</v>
      </c>
      <c r="K7"/>
      <c r="L7"/>
      <c r="M7"/>
      <c r="N7"/>
      <c r="O7"/>
      <c r="P7"/>
      <c r="Q7"/>
      <c r="R7"/>
      <c r="S7"/>
      <c r="T7"/>
      <c r="U7"/>
      <c r="V7"/>
      <c r="W7"/>
      <c r="X7"/>
      <c r="Y7"/>
      <c r="Z7"/>
      <c r="AA7"/>
      <c r="AB7"/>
      <c r="AC7"/>
      <c r="AD7"/>
      <c r="AE7"/>
      <c r="AF7"/>
      <c r="AG7"/>
      <c r="AH7"/>
      <c r="AI7"/>
      <c r="AJ7"/>
      <c r="AK7"/>
      <c r="AL7"/>
      <c r="AM7"/>
      <c r="AN7"/>
      <c r="AO7"/>
    </row>
    <row r="8" spans="1:77" ht="14.7" customHeight="1">
      <c r="A8" s="138" t="s">
        <v>6</v>
      </c>
      <c r="B8" s="138"/>
      <c r="C8">
        <v>546.9</v>
      </c>
      <c r="D8">
        <v>522.20000000000005</v>
      </c>
      <c r="E8">
        <v>0.36</v>
      </c>
      <c r="F8">
        <v>0.35799999999999998</v>
      </c>
      <c r="G8">
        <v>0</v>
      </c>
      <c r="H8">
        <v>0</v>
      </c>
      <c r="I8">
        <v>423.4</v>
      </c>
      <c r="J8">
        <v>405.5</v>
      </c>
      <c r="K8"/>
      <c r="L8"/>
      <c r="M8"/>
      <c r="N8"/>
      <c r="O8"/>
      <c r="P8"/>
      <c r="Q8"/>
      <c r="R8"/>
      <c r="S8"/>
      <c r="T8"/>
      <c r="U8"/>
      <c r="V8"/>
      <c r="W8"/>
      <c r="X8"/>
      <c r="Y8"/>
      <c r="Z8"/>
      <c r="AA8"/>
      <c r="AB8"/>
      <c r="AC8"/>
      <c r="AD8"/>
      <c r="AE8"/>
      <c r="AF8"/>
      <c r="AG8"/>
      <c r="AH8"/>
      <c r="AI8"/>
      <c r="AJ8"/>
      <c r="AK8"/>
      <c r="AL8"/>
      <c r="AM8"/>
      <c r="AN8"/>
      <c r="AO8"/>
    </row>
    <row r="9" spans="1:77" ht="14.7" customHeight="1">
      <c r="A9" s="138" t="s">
        <v>7</v>
      </c>
      <c r="B9" s="138"/>
      <c r="C9">
        <v>573.79999999999995</v>
      </c>
      <c r="D9">
        <v>526.29999999999995</v>
      </c>
      <c r="E9">
        <v>0.29499999999999998</v>
      </c>
      <c r="F9">
        <v>0.32100000000000001</v>
      </c>
      <c r="G9">
        <v>0</v>
      </c>
      <c r="H9">
        <v>0</v>
      </c>
      <c r="I9">
        <v>381</v>
      </c>
      <c r="J9">
        <v>365.2</v>
      </c>
      <c r="K9"/>
      <c r="L9"/>
      <c r="M9"/>
      <c r="N9"/>
      <c r="O9"/>
      <c r="P9"/>
      <c r="Q9"/>
      <c r="R9"/>
      <c r="S9"/>
      <c r="T9"/>
      <c r="U9"/>
      <c r="V9"/>
      <c r="W9"/>
      <c r="X9"/>
      <c r="Y9"/>
      <c r="Z9"/>
      <c r="AA9"/>
      <c r="AB9"/>
      <c r="AC9"/>
      <c r="AD9"/>
      <c r="AE9"/>
      <c r="AF9"/>
      <c r="AG9"/>
      <c r="AH9"/>
      <c r="AI9"/>
      <c r="AJ9"/>
      <c r="AK9"/>
      <c r="AL9"/>
      <c r="AM9"/>
      <c r="AN9"/>
      <c r="AO9"/>
    </row>
    <row r="10" spans="1:77" ht="14.7" customHeight="1">
      <c r="A10" s="138" t="s">
        <v>8</v>
      </c>
      <c r="B10" s="138"/>
      <c r="C10">
        <v>448.2</v>
      </c>
      <c r="D10">
        <v>431.8</v>
      </c>
      <c r="E10">
        <v>0.42599999999999999</v>
      </c>
      <c r="F10">
        <v>0.42299999999999999</v>
      </c>
      <c r="G10">
        <v>0</v>
      </c>
      <c r="H10">
        <v>0</v>
      </c>
      <c r="I10">
        <v>363.5</v>
      </c>
      <c r="J10">
        <v>349.7</v>
      </c>
      <c r="K10"/>
      <c r="L10"/>
      <c r="M10"/>
      <c r="N10"/>
      <c r="O10"/>
      <c r="P10"/>
      <c r="Q10"/>
      <c r="R10"/>
      <c r="S10"/>
      <c r="T10"/>
      <c r="U10"/>
      <c r="V10"/>
      <c r="W10"/>
      <c r="X10"/>
      <c r="Y10"/>
      <c r="Z10"/>
      <c r="AA10"/>
      <c r="AB10"/>
      <c r="AC10"/>
      <c r="AD10"/>
      <c r="AE10"/>
      <c r="AF10"/>
      <c r="AG10"/>
      <c r="AH10"/>
      <c r="AI10"/>
      <c r="AJ10"/>
      <c r="AK10"/>
      <c r="AL10"/>
      <c r="AM10"/>
      <c r="AN10"/>
      <c r="AO10"/>
    </row>
    <row r="11" spans="1:77" ht="14.7" customHeight="1">
      <c r="A11" s="138" t="s">
        <v>9</v>
      </c>
      <c r="B11" s="138"/>
      <c r="C11">
        <v>532.70000000000005</v>
      </c>
      <c r="D11">
        <v>507.7</v>
      </c>
      <c r="E11">
        <v>0.37</v>
      </c>
      <c r="F11">
        <v>0.35</v>
      </c>
      <c r="G11">
        <v>0</v>
      </c>
      <c r="H11">
        <v>0</v>
      </c>
      <c r="I11">
        <v>380.8</v>
      </c>
      <c r="J11">
        <v>351.6</v>
      </c>
      <c r="K11"/>
      <c r="L11"/>
      <c r="M11"/>
      <c r="N11"/>
      <c r="O11"/>
      <c r="P11"/>
      <c r="Q11"/>
      <c r="R11"/>
      <c r="S11"/>
      <c r="T11"/>
      <c r="U11"/>
      <c r="V11"/>
      <c r="W11"/>
      <c r="X11"/>
      <c r="Y11"/>
      <c r="Z11"/>
      <c r="AA11"/>
      <c r="AB11"/>
      <c r="AC11"/>
      <c r="AD11"/>
      <c r="AE11"/>
      <c r="AF11"/>
      <c r="AG11"/>
      <c r="AH11"/>
      <c r="AI11"/>
      <c r="AJ11"/>
      <c r="AK11"/>
      <c r="AL11"/>
      <c r="AM11"/>
      <c r="AN11"/>
      <c r="AO11"/>
    </row>
    <row r="12" spans="1:77" ht="14.7" customHeight="1">
      <c r="A12" s="138" t="s">
        <v>10</v>
      </c>
      <c r="B12" s="138"/>
      <c r="C12">
        <v>414.4</v>
      </c>
      <c r="D12">
        <v>385.8</v>
      </c>
      <c r="E12">
        <v>0.51700000000000002</v>
      </c>
      <c r="F12">
        <v>0.51</v>
      </c>
      <c r="G12">
        <v>0</v>
      </c>
      <c r="H12">
        <v>0</v>
      </c>
      <c r="I12">
        <v>369.9</v>
      </c>
      <c r="J12">
        <v>338.5</v>
      </c>
      <c r="K12"/>
      <c r="L12"/>
      <c r="M12"/>
      <c r="N12"/>
      <c r="O12"/>
      <c r="P12"/>
      <c r="Q12"/>
      <c r="R12"/>
      <c r="S12"/>
      <c r="T12"/>
      <c r="U12"/>
      <c r="V12"/>
      <c r="W12"/>
      <c r="X12"/>
      <c r="Y12"/>
      <c r="Z12"/>
      <c r="AA12"/>
      <c r="AB12"/>
      <c r="AC12"/>
      <c r="AD12"/>
      <c r="AE12"/>
      <c r="AF12"/>
      <c r="AG12"/>
      <c r="AH12"/>
      <c r="AI12"/>
      <c r="AJ12"/>
      <c r="AK12"/>
      <c r="AL12"/>
      <c r="AM12"/>
      <c r="AN12"/>
      <c r="AO12"/>
    </row>
    <row r="13" spans="1:77" ht="14.7" customHeight="1">
      <c r="A13" s="138" t="s">
        <v>12</v>
      </c>
      <c r="B13" s="138"/>
      <c r="C13" t="s">
        <v>880</v>
      </c>
      <c r="D13" t="s">
        <v>880</v>
      </c>
      <c r="E13" t="s">
        <v>880</v>
      </c>
      <c r="F13" t="s">
        <v>880</v>
      </c>
      <c r="G13" t="s">
        <v>880</v>
      </c>
      <c r="H13" t="s">
        <v>880</v>
      </c>
      <c r="I13" t="s">
        <v>880</v>
      </c>
      <c r="J13" t="s">
        <v>880</v>
      </c>
      <c r="K13"/>
      <c r="L13"/>
      <c r="M13"/>
      <c r="N13"/>
      <c r="O13"/>
      <c r="P13"/>
      <c r="Q13"/>
      <c r="R13"/>
      <c r="S13"/>
      <c r="T13"/>
      <c r="U13"/>
      <c r="V13"/>
      <c r="W13"/>
      <c r="X13"/>
      <c r="Y13"/>
      <c r="Z13"/>
      <c r="AA13"/>
      <c r="AB13"/>
      <c r="AC13"/>
      <c r="AD13"/>
      <c r="AE13"/>
      <c r="AF13"/>
      <c r="AG13"/>
      <c r="AH13"/>
      <c r="AI13"/>
      <c r="AJ13"/>
      <c r="AK13"/>
      <c r="AL13"/>
      <c r="AM13"/>
      <c r="AN13"/>
      <c r="AO13"/>
    </row>
    <row r="14" spans="1:77" ht="14.7" customHeight="1">
      <c r="A14" s="138" t="s">
        <v>339</v>
      </c>
      <c r="B14" s="138"/>
      <c r="C14">
        <v>760.1</v>
      </c>
      <c r="D14">
        <v>673</v>
      </c>
      <c r="E14">
        <v>0.30499999999999999</v>
      </c>
      <c r="F14">
        <v>0.32800000000000001</v>
      </c>
      <c r="G14">
        <v>0</v>
      </c>
      <c r="H14">
        <v>0</v>
      </c>
      <c r="I14">
        <v>390.3</v>
      </c>
      <c r="J14">
        <v>360.5</v>
      </c>
      <c r="K14"/>
      <c r="L14"/>
      <c r="M14"/>
      <c r="N14"/>
      <c r="O14"/>
      <c r="P14"/>
      <c r="Q14"/>
      <c r="R14"/>
      <c r="S14"/>
      <c r="T14"/>
      <c r="U14"/>
      <c r="V14"/>
      <c r="W14"/>
      <c r="X14"/>
      <c r="Y14"/>
      <c r="Z14"/>
      <c r="AA14"/>
      <c r="AB14"/>
      <c r="AC14"/>
      <c r="AD14"/>
      <c r="AE14"/>
      <c r="AF14"/>
      <c r="AG14"/>
      <c r="AH14"/>
      <c r="AI14"/>
      <c r="AJ14"/>
      <c r="AK14"/>
      <c r="AL14"/>
      <c r="AM14"/>
      <c r="AN14"/>
      <c r="AO14"/>
    </row>
    <row r="15" spans="1:77" ht="14.7" customHeight="1">
      <c r="A15" s="138" t="s">
        <v>197</v>
      </c>
      <c r="B15" s="138"/>
      <c r="C15">
        <v>646.4</v>
      </c>
      <c r="D15">
        <v>634.70000000000005</v>
      </c>
      <c r="E15">
        <v>0.29799999999999999</v>
      </c>
      <c r="F15">
        <v>0.27300000000000002</v>
      </c>
      <c r="G15">
        <v>0</v>
      </c>
      <c r="H15">
        <v>0</v>
      </c>
      <c r="I15">
        <v>370.2</v>
      </c>
      <c r="J15">
        <v>353.5</v>
      </c>
      <c r="K15"/>
      <c r="L15"/>
      <c r="M15"/>
      <c r="N15"/>
      <c r="O15"/>
      <c r="P15"/>
      <c r="Q15"/>
      <c r="R15"/>
      <c r="S15"/>
      <c r="T15"/>
      <c r="U15"/>
      <c r="V15"/>
      <c r="W15"/>
      <c r="X15"/>
      <c r="Y15"/>
      <c r="Z15"/>
      <c r="AA15"/>
      <c r="AB15"/>
      <c r="AC15"/>
      <c r="AD15"/>
      <c r="AE15"/>
      <c r="AF15"/>
      <c r="AG15"/>
      <c r="AH15"/>
      <c r="AI15"/>
      <c r="AJ15"/>
      <c r="AK15"/>
      <c r="AL15"/>
      <c r="AM15"/>
      <c r="AN15"/>
      <c r="AO15"/>
    </row>
    <row r="16" spans="1:77" ht="14.7" customHeight="1">
      <c r="A16" s="138" t="s">
        <v>223</v>
      </c>
      <c r="B16" s="138"/>
      <c r="C16">
        <v>515.29999999999995</v>
      </c>
      <c r="D16">
        <v>480</v>
      </c>
      <c r="E16">
        <v>0.44900000000000001</v>
      </c>
      <c r="F16">
        <v>0.44600000000000001</v>
      </c>
      <c r="G16">
        <v>2.1999999999999999E-2</v>
      </c>
      <c r="H16">
        <v>0.02</v>
      </c>
      <c r="I16">
        <v>434.8</v>
      </c>
      <c r="J16">
        <v>402.7</v>
      </c>
      <c r="K16"/>
      <c r="L16"/>
      <c r="M16"/>
      <c r="N16"/>
      <c r="O16"/>
      <c r="P16"/>
      <c r="Q16"/>
      <c r="R16"/>
      <c r="S16"/>
      <c r="T16"/>
      <c r="U16"/>
      <c r="V16"/>
      <c r="W16"/>
      <c r="X16"/>
      <c r="Y16"/>
      <c r="Z16"/>
      <c r="AA16"/>
      <c r="AB16"/>
      <c r="AC16"/>
      <c r="AD16"/>
      <c r="AE16"/>
      <c r="AF16"/>
      <c r="AG16"/>
      <c r="AH16"/>
      <c r="AI16"/>
      <c r="AJ16"/>
      <c r="AK16"/>
      <c r="AL16"/>
      <c r="AM16"/>
      <c r="AN16"/>
      <c r="AO16"/>
    </row>
    <row r="17" spans="1:41" ht="14.7" customHeight="1">
      <c r="A17" s="138" t="s">
        <v>13</v>
      </c>
      <c r="B17" s="138"/>
      <c r="C17">
        <v>615.79999999999995</v>
      </c>
      <c r="D17">
        <v>558.70000000000005</v>
      </c>
      <c r="E17">
        <v>0.17699999999999999</v>
      </c>
      <c r="F17">
        <v>0.18</v>
      </c>
      <c r="G17">
        <v>0</v>
      </c>
      <c r="H17">
        <v>0</v>
      </c>
      <c r="I17">
        <v>378.1</v>
      </c>
      <c r="J17">
        <v>345.5</v>
      </c>
      <c r="K17"/>
      <c r="L17"/>
      <c r="M17"/>
      <c r="N17"/>
      <c r="O17"/>
      <c r="P17"/>
      <c r="Q17"/>
      <c r="R17"/>
      <c r="S17"/>
      <c r="T17"/>
      <c r="U17"/>
      <c r="V17"/>
      <c r="W17"/>
      <c r="X17"/>
      <c r="Y17"/>
      <c r="Z17"/>
      <c r="AA17"/>
      <c r="AB17"/>
      <c r="AC17"/>
      <c r="AD17"/>
      <c r="AE17"/>
      <c r="AF17"/>
      <c r="AG17"/>
      <c r="AH17"/>
      <c r="AI17"/>
      <c r="AJ17"/>
      <c r="AK17"/>
      <c r="AL17"/>
      <c r="AM17"/>
      <c r="AN17"/>
      <c r="AO17"/>
    </row>
    <row r="18" spans="1:41" ht="14.7" customHeight="1">
      <c r="A18" s="138" t="s">
        <v>14</v>
      </c>
      <c r="B18" s="138"/>
      <c r="C18">
        <v>575.79999999999995</v>
      </c>
      <c r="D18">
        <v>536</v>
      </c>
      <c r="E18">
        <v>0.45200000000000001</v>
      </c>
      <c r="F18">
        <v>0.43099999999999999</v>
      </c>
      <c r="G18">
        <v>0</v>
      </c>
      <c r="H18">
        <v>0</v>
      </c>
      <c r="I18">
        <v>445.8</v>
      </c>
      <c r="J18">
        <v>397.7</v>
      </c>
      <c r="K18"/>
      <c r="L18"/>
      <c r="M18"/>
      <c r="N18"/>
      <c r="O18"/>
      <c r="P18"/>
      <c r="Q18"/>
      <c r="R18"/>
      <c r="S18"/>
      <c r="T18"/>
      <c r="U18"/>
      <c r="V18"/>
      <c r="W18"/>
      <c r="X18"/>
      <c r="Y18"/>
      <c r="Z18"/>
      <c r="AA18"/>
      <c r="AB18"/>
      <c r="AC18"/>
      <c r="AD18"/>
      <c r="AE18"/>
      <c r="AF18"/>
      <c r="AG18"/>
      <c r="AH18"/>
      <c r="AI18"/>
      <c r="AJ18"/>
      <c r="AK18"/>
      <c r="AL18"/>
      <c r="AM18"/>
      <c r="AN18"/>
      <c r="AO18"/>
    </row>
    <row r="19" spans="1:41" ht="14.7" customHeight="1">
      <c r="A19" s="138" t="s">
        <v>344</v>
      </c>
      <c r="B19" s="138"/>
      <c r="C19">
        <v>567.20000000000005</v>
      </c>
      <c r="D19">
        <v>537</v>
      </c>
      <c r="E19">
        <v>0.29699999999999999</v>
      </c>
      <c r="F19">
        <v>0.29399999999999998</v>
      </c>
      <c r="G19">
        <v>0</v>
      </c>
      <c r="H19">
        <v>0</v>
      </c>
      <c r="I19">
        <v>343.3</v>
      </c>
      <c r="J19">
        <v>323.7</v>
      </c>
      <c r="K19"/>
      <c r="L19"/>
      <c r="M19"/>
      <c r="N19"/>
      <c r="O19"/>
      <c r="P19"/>
      <c r="Q19"/>
      <c r="R19"/>
      <c r="S19"/>
      <c r="T19"/>
      <c r="U19"/>
      <c r="V19"/>
      <c r="W19"/>
      <c r="X19"/>
      <c r="Y19"/>
      <c r="Z19"/>
      <c r="AA19"/>
      <c r="AB19"/>
      <c r="AC19"/>
      <c r="AD19"/>
      <c r="AE19"/>
      <c r="AF19"/>
      <c r="AG19"/>
      <c r="AH19"/>
      <c r="AI19"/>
      <c r="AJ19"/>
      <c r="AK19"/>
      <c r="AL19"/>
      <c r="AM19"/>
      <c r="AN19"/>
      <c r="AO19"/>
    </row>
    <row r="20" spans="1:41" ht="14.7" customHeight="1">
      <c r="A20" s="138" t="s">
        <v>15</v>
      </c>
      <c r="B20" s="138"/>
      <c r="C20">
        <v>628.1</v>
      </c>
      <c r="D20">
        <v>586</v>
      </c>
      <c r="E20">
        <v>0.26400000000000001</v>
      </c>
      <c r="F20">
        <v>0.26500000000000001</v>
      </c>
      <c r="G20">
        <v>0</v>
      </c>
      <c r="H20">
        <v>0</v>
      </c>
      <c r="I20">
        <v>395.3</v>
      </c>
      <c r="J20">
        <v>371.8</v>
      </c>
      <c r="K20"/>
      <c r="L20"/>
      <c r="M20"/>
      <c r="N20"/>
      <c r="O20"/>
      <c r="P20"/>
      <c r="Q20"/>
      <c r="R20"/>
      <c r="S20"/>
      <c r="T20"/>
      <c r="U20"/>
      <c r="V20"/>
      <c r="W20"/>
      <c r="X20"/>
      <c r="Y20"/>
      <c r="Z20"/>
      <c r="AA20"/>
      <c r="AB20"/>
      <c r="AC20"/>
      <c r="AD20"/>
      <c r="AE20"/>
      <c r="AF20"/>
      <c r="AG20"/>
      <c r="AH20"/>
      <c r="AI20"/>
      <c r="AJ20"/>
      <c r="AK20"/>
      <c r="AL20"/>
      <c r="AM20"/>
      <c r="AN20"/>
      <c r="AO20"/>
    </row>
    <row r="21" spans="1:41" ht="14.7" customHeight="1">
      <c r="A21" s="138" t="s">
        <v>259</v>
      </c>
      <c r="B21" s="138"/>
      <c r="C21">
        <v>360.2</v>
      </c>
      <c r="D21">
        <v>354</v>
      </c>
      <c r="E21">
        <v>0.59199999999999997</v>
      </c>
      <c r="F21">
        <v>0.56899999999999995</v>
      </c>
      <c r="G21">
        <v>2.8000000000000001E-2</v>
      </c>
      <c r="H21">
        <v>4.2999999999999997E-2</v>
      </c>
      <c r="I21">
        <v>391.7</v>
      </c>
      <c r="J21">
        <v>360.1</v>
      </c>
      <c r="K21"/>
      <c r="L21"/>
      <c r="M21"/>
      <c r="N21"/>
      <c r="O21"/>
      <c r="P21"/>
      <c r="Q21"/>
      <c r="R21"/>
      <c r="S21"/>
      <c r="T21"/>
      <c r="U21"/>
      <c r="V21"/>
      <c r="W21"/>
      <c r="X21"/>
      <c r="Y21"/>
      <c r="Z21"/>
      <c r="AA21"/>
      <c r="AB21"/>
      <c r="AC21"/>
      <c r="AD21"/>
      <c r="AE21"/>
      <c r="AF21"/>
      <c r="AG21"/>
      <c r="AH21"/>
      <c r="AI21"/>
      <c r="AJ21"/>
      <c r="AK21"/>
      <c r="AL21"/>
      <c r="AM21"/>
      <c r="AN21"/>
      <c r="AO21"/>
    </row>
    <row r="22" spans="1:41" ht="14.7" customHeight="1">
      <c r="A22" s="138" t="s">
        <v>260</v>
      </c>
      <c r="B22" s="138"/>
      <c r="C22">
        <v>617.20000000000005</v>
      </c>
      <c r="D22">
        <v>580.79999999999995</v>
      </c>
      <c r="E22">
        <v>0.37</v>
      </c>
      <c r="F22">
        <v>0.35699999999999998</v>
      </c>
      <c r="G22">
        <v>0.26300000000000001</v>
      </c>
      <c r="H22">
        <v>0.123</v>
      </c>
      <c r="I22">
        <v>414.2</v>
      </c>
      <c r="J22">
        <v>382.5</v>
      </c>
      <c r="K22"/>
      <c r="L22"/>
      <c r="M22"/>
      <c r="N22"/>
      <c r="O22"/>
      <c r="P22"/>
      <c r="Q22"/>
      <c r="R22"/>
      <c r="S22"/>
      <c r="T22"/>
      <c r="U22"/>
      <c r="V22"/>
      <c r="W22"/>
      <c r="X22"/>
      <c r="Y22"/>
      <c r="Z22"/>
      <c r="AA22"/>
      <c r="AB22"/>
      <c r="AC22"/>
      <c r="AD22"/>
      <c r="AE22"/>
      <c r="AF22"/>
      <c r="AG22"/>
      <c r="AH22"/>
      <c r="AI22"/>
      <c r="AJ22"/>
      <c r="AK22"/>
      <c r="AL22"/>
      <c r="AM22"/>
      <c r="AN22"/>
      <c r="AO22"/>
    </row>
    <row r="23" spans="1:41" ht="14.7" customHeight="1">
      <c r="A23" s="138" t="s">
        <v>198</v>
      </c>
      <c r="B23" s="138"/>
      <c r="C23">
        <v>517.4</v>
      </c>
      <c r="D23">
        <v>463.9</v>
      </c>
      <c r="E23">
        <v>0.42699999999999999</v>
      </c>
      <c r="F23">
        <v>0.438</v>
      </c>
      <c r="G23">
        <v>2E-3</v>
      </c>
      <c r="H23">
        <v>2E-3</v>
      </c>
      <c r="I23">
        <v>366.3</v>
      </c>
      <c r="J23">
        <v>336.1</v>
      </c>
      <c r="K23"/>
      <c r="L23"/>
      <c r="M23"/>
      <c r="N23"/>
      <c r="O23"/>
      <c r="P23"/>
      <c r="Q23"/>
      <c r="R23"/>
      <c r="S23"/>
      <c r="T23"/>
      <c r="U23"/>
      <c r="V23"/>
      <c r="W23"/>
      <c r="X23"/>
      <c r="Y23"/>
      <c r="Z23"/>
      <c r="AA23"/>
      <c r="AB23"/>
      <c r="AC23"/>
      <c r="AD23"/>
      <c r="AE23"/>
      <c r="AF23"/>
      <c r="AG23"/>
      <c r="AH23"/>
      <c r="AI23"/>
      <c r="AJ23"/>
      <c r="AK23"/>
      <c r="AL23"/>
      <c r="AM23"/>
      <c r="AN23"/>
      <c r="AO23"/>
    </row>
    <row r="24" spans="1:41" ht="14.7" customHeight="1">
      <c r="A24" s="138" t="s">
        <v>224</v>
      </c>
      <c r="B24" s="138"/>
      <c r="C24">
        <v>680.2</v>
      </c>
      <c r="D24">
        <v>656.1</v>
      </c>
      <c r="E24">
        <v>0.22800000000000001</v>
      </c>
      <c r="F24">
        <v>0.22900000000000001</v>
      </c>
      <c r="G24">
        <v>2.5000000000000001E-2</v>
      </c>
      <c r="H24">
        <v>1.2E-2</v>
      </c>
      <c r="I24">
        <v>351</v>
      </c>
      <c r="J24">
        <v>336.7</v>
      </c>
      <c r="K24"/>
      <c r="L24"/>
      <c r="M24"/>
      <c r="N24"/>
      <c r="O24"/>
      <c r="P24"/>
      <c r="Q24"/>
      <c r="R24"/>
      <c r="S24"/>
      <c r="T24"/>
      <c r="U24"/>
      <c r="V24"/>
      <c r="W24"/>
      <c r="X24"/>
      <c r="Y24"/>
      <c r="Z24"/>
      <c r="AA24"/>
      <c r="AB24"/>
      <c r="AC24"/>
      <c r="AD24"/>
      <c r="AE24"/>
      <c r="AF24"/>
      <c r="AG24"/>
      <c r="AH24"/>
      <c r="AI24"/>
      <c r="AJ24"/>
      <c r="AK24"/>
      <c r="AL24"/>
      <c r="AM24"/>
      <c r="AN24"/>
      <c r="AO24"/>
    </row>
    <row r="25" spans="1:41" ht="14.7" customHeight="1">
      <c r="A25" s="138" t="s">
        <v>16</v>
      </c>
      <c r="B25" s="138"/>
      <c r="C25">
        <v>496.5</v>
      </c>
      <c r="D25">
        <v>462.4</v>
      </c>
      <c r="E25">
        <v>0.42199999999999999</v>
      </c>
      <c r="F25">
        <v>0.40600000000000003</v>
      </c>
      <c r="G25">
        <v>0</v>
      </c>
      <c r="H25">
        <v>0</v>
      </c>
      <c r="I25">
        <v>365.7</v>
      </c>
      <c r="J25">
        <v>330.3</v>
      </c>
      <c r="K25"/>
      <c r="L25"/>
      <c r="M25"/>
      <c r="N25"/>
      <c r="O25"/>
      <c r="P25"/>
      <c r="Q25"/>
      <c r="R25"/>
      <c r="S25"/>
      <c r="T25"/>
      <c r="U25"/>
      <c r="V25"/>
      <c r="W25"/>
      <c r="X25"/>
      <c r="Y25"/>
      <c r="Z25"/>
      <c r="AA25"/>
      <c r="AB25"/>
      <c r="AC25"/>
      <c r="AD25"/>
      <c r="AE25"/>
      <c r="AF25"/>
      <c r="AG25"/>
      <c r="AH25"/>
      <c r="AI25"/>
      <c r="AJ25"/>
      <c r="AK25"/>
      <c r="AL25"/>
      <c r="AM25"/>
      <c r="AN25"/>
      <c r="AO25"/>
    </row>
    <row r="26" spans="1:41" ht="14.7" customHeight="1">
      <c r="A26" s="138" t="s">
        <v>261</v>
      </c>
      <c r="B26" s="138"/>
      <c r="C26">
        <v>606.20000000000005</v>
      </c>
      <c r="D26">
        <v>591.70000000000005</v>
      </c>
      <c r="E26">
        <v>0.30399999999999999</v>
      </c>
      <c r="F26">
        <v>0.29599999999999999</v>
      </c>
      <c r="G26">
        <v>0.06</v>
      </c>
      <c r="H26">
        <v>2.5999999999999999E-2</v>
      </c>
      <c r="I26">
        <v>351.1</v>
      </c>
      <c r="J26">
        <v>339.7</v>
      </c>
      <c r="K26"/>
      <c r="L26"/>
      <c r="M26"/>
      <c r="N26"/>
      <c r="O26"/>
      <c r="P26"/>
      <c r="Q26"/>
      <c r="R26"/>
      <c r="S26"/>
      <c r="T26"/>
      <c r="U26"/>
      <c r="V26"/>
      <c r="W26"/>
      <c r="X26"/>
      <c r="Y26"/>
      <c r="Z26"/>
      <c r="AA26"/>
      <c r="AB26"/>
      <c r="AC26"/>
      <c r="AD26"/>
      <c r="AE26"/>
      <c r="AF26"/>
      <c r="AG26"/>
      <c r="AH26"/>
      <c r="AI26"/>
      <c r="AJ26"/>
      <c r="AK26"/>
      <c r="AL26"/>
      <c r="AM26"/>
      <c r="AN26"/>
      <c r="AO26"/>
    </row>
    <row r="27" spans="1:41" ht="14.7" customHeight="1">
      <c r="A27" s="138" t="s">
        <v>262</v>
      </c>
      <c r="B27" s="138"/>
      <c r="C27">
        <v>527.79999999999995</v>
      </c>
      <c r="D27">
        <v>469.9</v>
      </c>
      <c r="E27">
        <v>0.41699999999999998</v>
      </c>
      <c r="F27">
        <v>0.45500000000000002</v>
      </c>
      <c r="G27">
        <v>0.17899999999999999</v>
      </c>
      <c r="H27">
        <v>0.16500000000000001</v>
      </c>
      <c r="I27">
        <v>462.2</v>
      </c>
      <c r="J27">
        <v>439.4</v>
      </c>
      <c r="K27"/>
      <c r="L27"/>
      <c r="M27"/>
      <c r="N27"/>
      <c r="O27"/>
      <c r="P27"/>
      <c r="Q27"/>
      <c r="R27"/>
      <c r="S27"/>
      <c r="T27"/>
      <c r="U27"/>
      <c r="V27"/>
      <c r="W27"/>
      <c r="X27"/>
      <c r="Y27"/>
      <c r="Z27"/>
      <c r="AA27"/>
      <c r="AB27"/>
      <c r="AC27"/>
      <c r="AD27"/>
      <c r="AE27"/>
      <c r="AF27"/>
      <c r="AG27"/>
      <c r="AH27"/>
      <c r="AI27"/>
      <c r="AJ27"/>
      <c r="AK27"/>
      <c r="AL27"/>
      <c r="AM27"/>
      <c r="AN27"/>
      <c r="AO27"/>
    </row>
    <row r="28" spans="1:41" ht="14.7" customHeight="1">
      <c r="A28" s="138" t="s">
        <v>17</v>
      </c>
      <c r="B28" s="138"/>
      <c r="C28">
        <v>561</v>
      </c>
      <c r="D28">
        <v>547.6</v>
      </c>
      <c r="E28">
        <v>0.38500000000000001</v>
      </c>
      <c r="F28">
        <v>0.36</v>
      </c>
      <c r="G28">
        <v>0</v>
      </c>
      <c r="H28">
        <v>0</v>
      </c>
      <c r="I28">
        <v>426.8</v>
      </c>
      <c r="J28">
        <v>400.1</v>
      </c>
      <c r="K28"/>
      <c r="L28"/>
      <c r="M28"/>
      <c r="N28"/>
      <c r="O28"/>
      <c r="P28"/>
      <c r="Q28"/>
      <c r="R28"/>
      <c r="S28"/>
      <c r="T28"/>
      <c r="U28"/>
      <c r="V28"/>
      <c r="W28"/>
      <c r="X28"/>
      <c r="Y28"/>
      <c r="Z28"/>
      <c r="AA28"/>
      <c r="AB28"/>
      <c r="AC28"/>
      <c r="AD28"/>
      <c r="AE28"/>
      <c r="AF28"/>
      <c r="AG28"/>
      <c r="AH28"/>
      <c r="AI28"/>
      <c r="AJ28"/>
      <c r="AK28"/>
      <c r="AL28"/>
      <c r="AM28"/>
      <c r="AN28"/>
      <c r="AO28"/>
    </row>
    <row r="29" spans="1:41" ht="14.7" customHeight="1">
      <c r="A29" s="138" t="s">
        <v>225</v>
      </c>
      <c r="B29" s="138"/>
      <c r="C29">
        <v>362.1</v>
      </c>
      <c r="D29">
        <v>351.8</v>
      </c>
      <c r="E29">
        <v>0.50900000000000001</v>
      </c>
      <c r="F29">
        <v>0.495</v>
      </c>
      <c r="G29">
        <v>0</v>
      </c>
      <c r="H29">
        <v>0</v>
      </c>
      <c r="I29">
        <v>315.3</v>
      </c>
      <c r="J29">
        <v>297.2</v>
      </c>
      <c r="K29"/>
      <c r="L29"/>
      <c r="M29"/>
      <c r="N29"/>
      <c r="O29"/>
      <c r="P29"/>
      <c r="Q29"/>
      <c r="R29"/>
      <c r="S29"/>
      <c r="T29"/>
      <c r="U29"/>
      <c r="V29"/>
      <c r="W29"/>
      <c r="X29"/>
      <c r="Y29"/>
      <c r="Z29"/>
      <c r="AA29"/>
      <c r="AB29"/>
      <c r="AC29"/>
      <c r="AD29"/>
      <c r="AE29"/>
      <c r="AF29"/>
      <c r="AG29"/>
      <c r="AH29"/>
      <c r="AI29"/>
      <c r="AJ29"/>
      <c r="AK29"/>
      <c r="AL29"/>
      <c r="AM29"/>
      <c r="AN29"/>
      <c r="AO29"/>
    </row>
    <row r="30" spans="1:41" ht="14.7" customHeight="1">
      <c r="A30" s="138" t="s">
        <v>18</v>
      </c>
      <c r="B30" s="138"/>
      <c r="C30">
        <v>620.1</v>
      </c>
      <c r="D30">
        <v>569.29999999999995</v>
      </c>
      <c r="E30">
        <v>0.34300000000000003</v>
      </c>
      <c r="F30">
        <v>0.33300000000000002</v>
      </c>
      <c r="G30">
        <v>0</v>
      </c>
      <c r="H30">
        <v>0</v>
      </c>
      <c r="I30">
        <v>414.8</v>
      </c>
      <c r="J30">
        <v>379.3</v>
      </c>
      <c r="K30"/>
      <c r="L30"/>
      <c r="M30"/>
      <c r="N30"/>
      <c r="O30"/>
      <c r="P30"/>
      <c r="Q30"/>
      <c r="R30"/>
      <c r="S30"/>
      <c r="T30"/>
      <c r="U30"/>
      <c r="V30"/>
      <c r="W30"/>
      <c r="X30"/>
      <c r="Y30"/>
      <c r="Z30"/>
      <c r="AA30"/>
      <c r="AB30"/>
      <c r="AC30"/>
      <c r="AD30"/>
      <c r="AE30"/>
      <c r="AF30"/>
      <c r="AG30"/>
      <c r="AH30"/>
      <c r="AI30"/>
      <c r="AJ30"/>
      <c r="AK30"/>
      <c r="AL30"/>
      <c r="AM30"/>
      <c r="AN30"/>
      <c r="AO30"/>
    </row>
    <row r="31" spans="1:41" ht="14.7" customHeight="1">
      <c r="A31" s="138" t="s">
        <v>901</v>
      </c>
      <c r="B31" s="138"/>
      <c r="C31">
        <v>483.8</v>
      </c>
      <c r="D31">
        <v>454.1</v>
      </c>
      <c r="E31">
        <v>0.47399999999999998</v>
      </c>
      <c r="F31">
        <v>0.47299999999999998</v>
      </c>
      <c r="G31">
        <v>0.13700000000000001</v>
      </c>
      <c r="H31">
        <v>0.13100000000000001</v>
      </c>
      <c r="I31">
        <v>431.4</v>
      </c>
      <c r="J31">
        <v>403.5</v>
      </c>
      <c r="K31"/>
      <c r="L31"/>
      <c r="M31"/>
      <c r="N31"/>
      <c r="O31"/>
      <c r="P31"/>
      <c r="Q31"/>
      <c r="R31"/>
      <c r="S31"/>
      <c r="T31"/>
      <c r="U31"/>
      <c r="V31"/>
      <c r="W31"/>
      <c r="X31"/>
      <c r="Y31"/>
      <c r="Z31"/>
      <c r="AA31"/>
      <c r="AB31"/>
      <c r="AC31"/>
      <c r="AD31"/>
      <c r="AE31"/>
      <c r="AF31"/>
      <c r="AG31"/>
      <c r="AH31"/>
      <c r="AI31"/>
      <c r="AJ31"/>
      <c r="AK31"/>
      <c r="AL31"/>
      <c r="AM31"/>
      <c r="AN31"/>
      <c r="AO31"/>
    </row>
    <row r="32" spans="1:41" ht="14.7" customHeight="1">
      <c r="A32" s="138" t="s">
        <v>264</v>
      </c>
      <c r="B32" s="138"/>
      <c r="C32">
        <v>399.8</v>
      </c>
      <c r="D32">
        <v>392.2</v>
      </c>
      <c r="E32">
        <v>0.56200000000000006</v>
      </c>
      <c r="F32">
        <v>0.54500000000000004</v>
      </c>
      <c r="G32">
        <v>7.3999999999999996E-2</v>
      </c>
      <c r="H32">
        <v>8.5000000000000006E-2</v>
      </c>
      <c r="I32">
        <v>384.3</v>
      </c>
      <c r="J32">
        <v>362.3</v>
      </c>
      <c r="K32"/>
      <c r="L32"/>
      <c r="M32"/>
      <c r="N32"/>
      <c r="O32"/>
      <c r="P32"/>
      <c r="Q32"/>
      <c r="R32"/>
      <c r="S32"/>
      <c r="T32"/>
      <c r="U32"/>
      <c r="V32"/>
      <c r="W32"/>
      <c r="X32"/>
      <c r="Y32"/>
      <c r="Z32"/>
      <c r="AA32"/>
      <c r="AB32"/>
      <c r="AC32"/>
      <c r="AD32"/>
      <c r="AE32"/>
      <c r="AF32"/>
      <c r="AG32"/>
      <c r="AH32"/>
      <c r="AI32"/>
      <c r="AJ32"/>
      <c r="AK32"/>
      <c r="AL32"/>
      <c r="AM32"/>
      <c r="AN32"/>
      <c r="AO32"/>
    </row>
    <row r="33" spans="1:41" ht="14.7" customHeight="1">
      <c r="A33" s="138" t="s">
        <v>226</v>
      </c>
      <c r="B33" s="138"/>
      <c r="C33">
        <v>597.6</v>
      </c>
      <c r="D33">
        <v>527.70000000000005</v>
      </c>
      <c r="E33">
        <v>0.36099999999999999</v>
      </c>
      <c r="F33">
        <v>0.38900000000000001</v>
      </c>
      <c r="G33">
        <v>1.2999999999999999E-2</v>
      </c>
      <c r="H33">
        <v>8.0000000000000002E-3</v>
      </c>
      <c r="I33">
        <v>377</v>
      </c>
      <c r="J33">
        <v>346</v>
      </c>
      <c r="K33"/>
      <c r="L33"/>
      <c r="M33"/>
      <c r="N33"/>
      <c r="O33"/>
      <c r="P33"/>
      <c r="Q33"/>
      <c r="R33"/>
      <c r="S33"/>
      <c r="T33"/>
      <c r="U33"/>
      <c r="V33"/>
      <c r="W33"/>
      <c r="X33"/>
      <c r="Y33"/>
      <c r="Z33"/>
      <c r="AA33"/>
      <c r="AB33"/>
      <c r="AC33"/>
      <c r="AD33"/>
      <c r="AE33"/>
      <c r="AF33"/>
      <c r="AG33"/>
      <c r="AH33"/>
      <c r="AI33"/>
      <c r="AJ33"/>
      <c r="AK33"/>
      <c r="AL33"/>
      <c r="AM33"/>
      <c r="AN33"/>
      <c r="AO33"/>
    </row>
    <row r="34" spans="1:41" ht="14.7" customHeight="1">
      <c r="A34" s="138" t="s">
        <v>19</v>
      </c>
      <c r="B34" s="138"/>
      <c r="C34">
        <v>498.9</v>
      </c>
      <c r="D34">
        <v>489.3</v>
      </c>
      <c r="E34">
        <v>0.47099999999999997</v>
      </c>
      <c r="F34">
        <v>0.44</v>
      </c>
      <c r="G34">
        <v>0</v>
      </c>
      <c r="H34">
        <v>0</v>
      </c>
      <c r="I34">
        <v>411.1</v>
      </c>
      <c r="J34">
        <v>382.6</v>
      </c>
      <c r="K34"/>
      <c r="L34"/>
      <c r="M34"/>
      <c r="N34"/>
      <c r="O34"/>
      <c r="P34"/>
      <c r="Q34"/>
      <c r="R34"/>
      <c r="S34"/>
      <c r="T34"/>
      <c r="U34"/>
      <c r="V34"/>
      <c r="W34"/>
      <c r="X34"/>
      <c r="Y34"/>
      <c r="Z34"/>
      <c r="AA34"/>
      <c r="AB34"/>
      <c r="AC34"/>
      <c r="AD34"/>
      <c r="AE34"/>
      <c r="AF34"/>
      <c r="AG34"/>
      <c r="AH34"/>
      <c r="AI34"/>
      <c r="AJ34"/>
      <c r="AK34"/>
      <c r="AL34"/>
      <c r="AM34"/>
      <c r="AN34"/>
      <c r="AO34"/>
    </row>
    <row r="35" spans="1:41" ht="14.7" customHeight="1">
      <c r="A35" s="138" t="s">
        <v>20</v>
      </c>
      <c r="B35" s="138"/>
      <c r="C35">
        <v>522.1</v>
      </c>
      <c r="D35">
        <v>495.4</v>
      </c>
      <c r="E35">
        <v>0.40200000000000002</v>
      </c>
      <c r="F35">
        <v>0.38</v>
      </c>
      <c r="G35">
        <v>0</v>
      </c>
      <c r="H35">
        <v>0</v>
      </c>
      <c r="I35">
        <v>388.9</v>
      </c>
      <c r="J35">
        <v>357.4</v>
      </c>
      <c r="K35"/>
      <c r="L35"/>
      <c r="M35"/>
      <c r="N35"/>
      <c r="O35"/>
      <c r="P35"/>
      <c r="Q35"/>
      <c r="R35"/>
      <c r="S35"/>
      <c r="T35"/>
      <c r="U35"/>
      <c r="V35"/>
      <c r="W35"/>
      <c r="X35"/>
      <c r="Y35"/>
      <c r="Z35"/>
      <c r="AA35"/>
      <c r="AB35"/>
      <c r="AC35"/>
      <c r="AD35"/>
      <c r="AE35"/>
      <c r="AF35"/>
      <c r="AG35"/>
      <c r="AH35"/>
      <c r="AI35"/>
      <c r="AJ35"/>
      <c r="AK35"/>
      <c r="AL35"/>
      <c r="AM35"/>
      <c r="AN35"/>
      <c r="AO35"/>
    </row>
    <row r="36" spans="1:41" ht="14.7" customHeight="1">
      <c r="A36" s="138" t="s">
        <v>199</v>
      </c>
      <c r="B36" s="138"/>
      <c r="C36">
        <v>430.6</v>
      </c>
      <c r="D36">
        <v>438.6</v>
      </c>
      <c r="E36">
        <v>0.378</v>
      </c>
      <c r="F36">
        <v>0.33400000000000002</v>
      </c>
      <c r="G36">
        <v>0</v>
      </c>
      <c r="H36">
        <v>0</v>
      </c>
      <c r="I36">
        <v>264.7</v>
      </c>
      <c r="J36">
        <v>255.5</v>
      </c>
      <c r="K36"/>
      <c r="L36"/>
      <c r="M36"/>
      <c r="N36"/>
      <c r="O36"/>
      <c r="P36"/>
      <c r="Q36"/>
      <c r="R36"/>
      <c r="S36"/>
      <c r="T36"/>
      <c r="U36"/>
      <c r="V36"/>
      <c r="W36"/>
      <c r="X36"/>
      <c r="Y36"/>
      <c r="Z36"/>
      <c r="AA36"/>
      <c r="AB36"/>
      <c r="AC36"/>
      <c r="AD36"/>
      <c r="AE36"/>
      <c r="AF36"/>
      <c r="AG36"/>
      <c r="AH36"/>
      <c r="AI36"/>
      <c r="AJ36"/>
      <c r="AK36"/>
      <c r="AL36"/>
      <c r="AM36"/>
      <c r="AN36"/>
      <c r="AO36"/>
    </row>
    <row r="37" spans="1:41" ht="14.7" customHeight="1">
      <c r="A37" s="138" t="s">
        <v>21</v>
      </c>
      <c r="B37" s="138"/>
      <c r="C37">
        <v>526.20000000000005</v>
      </c>
      <c r="D37">
        <v>499.5</v>
      </c>
      <c r="E37">
        <v>0.40699999999999997</v>
      </c>
      <c r="F37">
        <v>0.374</v>
      </c>
      <c r="G37">
        <v>0</v>
      </c>
      <c r="H37">
        <v>0</v>
      </c>
      <c r="I37">
        <v>394.7</v>
      </c>
      <c r="J37">
        <v>360.2</v>
      </c>
      <c r="K37"/>
      <c r="L37"/>
      <c r="M37"/>
      <c r="N37"/>
      <c r="O37"/>
      <c r="P37"/>
      <c r="Q37"/>
      <c r="R37"/>
      <c r="S37"/>
      <c r="T37"/>
      <c r="U37"/>
      <c r="V37"/>
      <c r="W37"/>
      <c r="X37"/>
      <c r="Y37"/>
      <c r="Z37"/>
      <c r="AA37"/>
      <c r="AB37"/>
      <c r="AC37"/>
      <c r="AD37"/>
      <c r="AE37"/>
      <c r="AF37"/>
      <c r="AG37"/>
      <c r="AH37"/>
      <c r="AI37"/>
      <c r="AJ37"/>
      <c r="AK37"/>
      <c r="AL37"/>
      <c r="AM37"/>
      <c r="AN37"/>
      <c r="AO37"/>
    </row>
    <row r="38" spans="1:41" ht="14.7" customHeight="1">
      <c r="A38" s="138" t="s">
        <v>813</v>
      </c>
      <c r="B38" s="138"/>
      <c r="C38">
        <v>540.6</v>
      </c>
      <c r="D38">
        <v>546.6</v>
      </c>
      <c r="E38">
        <v>0.30099999999999999</v>
      </c>
      <c r="F38">
        <v>0.28299999999999997</v>
      </c>
      <c r="G38">
        <v>8.0000000000000002E-3</v>
      </c>
      <c r="H38">
        <v>0.01</v>
      </c>
      <c r="I38">
        <v>366.5</v>
      </c>
      <c r="J38">
        <v>363.3</v>
      </c>
      <c r="K38"/>
      <c r="L38"/>
      <c r="M38"/>
      <c r="N38"/>
      <c r="O38"/>
      <c r="P38"/>
      <c r="Q38"/>
      <c r="R38"/>
      <c r="S38"/>
      <c r="T38"/>
      <c r="U38"/>
      <c r="V38"/>
      <c r="W38"/>
      <c r="X38"/>
      <c r="Y38"/>
      <c r="Z38"/>
      <c r="AA38"/>
      <c r="AB38"/>
      <c r="AC38"/>
      <c r="AD38"/>
      <c r="AE38"/>
      <c r="AF38"/>
      <c r="AG38"/>
      <c r="AH38"/>
      <c r="AI38"/>
      <c r="AJ38"/>
      <c r="AK38"/>
      <c r="AL38"/>
      <c r="AM38"/>
      <c r="AN38"/>
      <c r="AO38"/>
    </row>
    <row r="39" spans="1:41" ht="14.7" customHeight="1">
      <c r="A39" s="138" t="s">
        <v>817</v>
      </c>
      <c r="B39" s="138"/>
      <c r="C39">
        <v>435.6</v>
      </c>
      <c r="D39">
        <v>404.8</v>
      </c>
      <c r="E39">
        <v>0.45600000000000002</v>
      </c>
      <c r="F39">
        <v>0.45100000000000001</v>
      </c>
      <c r="G39">
        <v>6.5000000000000002E-2</v>
      </c>
      <c r="H39">
        <v>1.4999999999999999E-2</v>
      </c>
      <c r="I39">
        <v>352.2</v>
      </c>
      <c r="J39">
        <v>322</v>
      </c>
      <c r="K39"/>
      <c r="L39"/>
      <c r="M39"/>
      <c r="N39"/>
      <c r="O39"/>
      <c r="P39"/>
      <c r="Q39"/>
      <c r="R39"/>
      <c r="S39"/>
      <c r="T39"/>
      <c r="U39"/>
      <c r="V39"/>
      <c r="W39"/>
      <c r="X39"/>
      <c r="Y39"/>
      <c r="Z39"/>
      <c r="AA39"/>
      <c r="AB39"/>
      <c r="AC39"/>
      <c r="AD39"/>
      <c r="AE39"/>
      <c r="AF39"/>
      <c r="AG39"/>
      <c r="AH39"/>
      <c r="AI39"/>
      <c r="AJ39"/>
      <c r="AK39"/>
      <c r="AL39"/>
      <c r="AM39"/>
      <c r="AN39"/>
      <c r="AO39"/>
    </row>
    <row r="40" spans="1:41" ht="14.7" customHeight="1">
      <c r="A40" s="138" t="s">
        <v>22</v>
      </c>
      <c r="B40" s="138"/>
      <c r="C40">
        <v>441.5</v>
      </c>
      <c r="D40">
        <v>397.6</v>
      </c>
      <c r="E40">
        <v>0.50600000000000001</v>
      </c>
      <c r="F40">
        <v>0.503</v>
      </c>
      <c r="G40">
        <v>0</v>
      </c>
      <c r="H40">
        <v>0</v>
      </c>
      <c r="I40">
        <v>406.4</v>
      </c>
      <c r="J40">
        <v>364.6</v>
      </c>
      <c r="K40"/>
      <c r="L40"/>
      <c r="M40"/>
      <c r="N40"/>
      <c r="O40"/>
      <c r="P40"/>
      <c r="Q40"/>
      <c r="R40"/>
      <c r="S40"/>
      <c r="T40"/>
      <c r="U40"/>
      <c r="V40"/>
      <c r="W40"/>
      <c r="X40"/>
      <c r="Y40"/>
      <c r="Z40"/>
      <c r="AA40"/>
      <c r="AB40"/>
      <c r="AC40"/>
      <c r="AD40"/>
      <c r="AE40"/>
      <c r="AF40"/>
      <c r="AG40"/>
      <c r="AH40"/>
      <c r="AI40"/>
      <c r="AJ40"/>
      <c r="AK40"/>
      <c r="AL40"/>
      <c r="AM40"/>
      <c r="AN40"/>
      <c r="AO40"/>
    </row>
    <row r="41" spans="1:41" ht="14.7" customHeight="1">
      <c r="A41" s="138" t="s">
        <v>200</v>
      </c>
      <c r="B41" s="138"/>
      <c r="C41">
        <v>463.9</v>
      </c>
      <c r="D41">
        <v>434.9</v>
      </c>
      <c r="E41">
        <v>0.48699999999999999</v>
      </c>
      <c r="F41">
        <v>0.48699999999999999</v>
      </c>
      <c r="G41">
        <v>3.0000000000000001E-3</v>
      </c>
      <c r="H41">
        <v>1E-3</v>
      </c>
      <c r="I41">
        <v>389.7</v>
      </c>
      <c r="J41">
        <v>366.9</v>
      </c>
      <c r="K41"/>
      <c r="L41"/>
      <c r="M41"/>
      <c r="N41"/>
      <c r="O41"/>
      <c r="P41"/>
      <c r="Q41"/>
      <c r="R41"/>
      <c r="S41"/>
      <c r="T41"/>
      <c r="U41"/>
      <c r="V41"/>
      <c r="W41"/>
      <c r="X41"/>
      <c r="Y41"/>
      <c r="Z41"/>
      <c r="AA41"/>
      <c r="AB41"/>
      <c r="AC41"/>
      <c r="AD41"/>
      <c r="AE41"/>
      <c r="AF41"/>
      <c r="AG41"/>
      <c r="AH41"/>
      <c r="AI41"/>
      <c r="AJ41"/>
      <c r="AK41"/>
      <c r="AL41"/>
      <c r="AM41"/>
      <c r="AN41"/>
      <c r="AO41"/>
    </row>
    <row r="42" spans="1:41" ht="14.7" customHeight="1">
      <c r="A42" s="138" t="s">
        <v>23</v>
      </c>
      <c r="B42" s="138"/>
      <c r="C42">
        <v>559.4</v>
      </c>
      <c r="D42">
        <v>501.5</v>
      </c>
      <c r="E42">
        <v>0.41799999999999998</v>
      </c>
      <c r="F42">
        <v>0.41199999999999998</v>
      </c>
      <c r="G42">
        <v>0</v>
      </c>
      <c r="H42">
        <v>0</v>
      </c>
      <c r="I42">
        <v>410.6</v>
      </c>
      <c r="J42">
        <v>363.5</v>
      </c>
      <c r="K42"/>
      <c r="L42"/>
      <c r="M42"/>
      <c r="N42"/>
      <c r="O42"/>
      <c r="P42"/>
      <c r="Q42"/>
      <c r="R42"/>
      <c r="S42"/>
      <c r="T42"/>
      <c r="U42"/>
      <c r="V42"/>
      <c r="W42"/>
      <c r="X42"/>
      <c r="Y42"/>
      <c r="Z42"/>
      <c r="AA42"/>
      <c r="AB42"/>
      <c r="AC42"/>
      <c r="AD42"/>
      <c r="AE42"/>
      <c r="AF42"/>
      <c r="AG42"/>
      <c r="AH42"/>
      <c r="AI42"/>
      <c r="AJ42"/>
      <c r="AK42"/>
      <c r="AL42"/>
      <c r="AM42"/>
      <c r="AN42"/>
      <c r="AO42"/>
    </row>
    <row r="43" spans="1:41" ht="14.7" customHeight="1">
      <c r="A43" s="138" t="s">
        <v>24</v>
      </c>
      <c r="B43" s="138"/>
      <c r="C43">
        <v>518.4</v>
      </c>
      <c r="D43">
        <v>444.3</v>
      </c>
      <c r="E43">
        <v>0.41799999999999998</v>
      </c>
      <c r="F43">
        <v>0.42699999999999999</v>
      </c>
      <c r="G43">
        <v>0</v>
      </c>
      <c r="H43">
        <v>0</v>
      </c>
      <c r="I43">
        <v>371.2</v>
      </c>
      <c r="J43">
        <v>326.89999999999998</v>
      </c>
      <c r="K43"/>
      <c r="L43"/>
      <c r="M43"/>
      <c r="N43"/>
      <c r="O43"/>
      <c r="P43"/>
      <c r="Q43"/>
      <c r="R43"/>
      <c r="S43"/>
      <c r="T43"/>
      <c r="U43"/>
      <c r="V43"/>
      <c r="W43"/>
      <c r="X43"/>
      <c r="Y43"/>
      <c r="Z43"/>
      <c r="AA43"/>
      <c r="AB43"/>
      <c r="AC43"/>
      <c r="AD43"/>
      <c r="AE43"/>
      <c r="AF43"/>
      <c r="AG43"/>
      <c r="AH43"/>
      <c r="AI43"/>
      <c r="AJ43"/>
      <c r="AK43"/>
      <c r="AL43"/>
      <c r="AM43"/>
      <c r="AN43"/>
      <c r="AO43"/>
    </row>
    <row r="44" spans="1:41" ht="14.7" customHeight="1">
      <c r="A44" s="138" t="s">
        <v>25</v>
      </c>
      <c r="B44" s="138"/>
      <c r="C44">
        <v>530.6</v>
      </c>
      <c r="D44">
        <v>520.20000000000005</v>
      </c>
      <c r="E44">
        <v>0.35699999999999998</v>
      </c>
      <c r="F44">
        <v>0.32400000000000001</v>
      </c>
      <c r="G44">
        <v>0</v>
      </c>
      <c r="H44">
        <v>0</v>
      </c>
      <c r="I44">
        <v>380.7</v>
      </c>
      <c r="J44">
        <v>353.2</v>
      </c>
      <c r="K44"/>
      <c r="L44"/>
      <c r="M44"/>
      <c r="N44"/>
      <c r="O44"/>
      <c r="P44"/>
      <c r="Q44"/>
      <c r="R44"/>
      <c r="S44"/>
      <c r="T44"/>
      <c r="U44"/>
      <c r="V44"/>
      <c r="W44"/>
      <c r="X44"/>
      <c r="Y44"/>
      <c r="Z44"/>
      <c r="AA44"/>
      <c r="AB44"/>
      <c r="AC44"/>
      <c r="AD44"/>
      <c r="AE44"/>
      <c r="AF44"/>
      <c r="AG44"/>
      <c r="AH44"/>
      <c r="AI44"/>
      <c r="AJ44"/>
      <c r="AK44"/>
      <c r="AL44"/>
      <c r="AM44"/>
      <c r="AN44"/>
      <c r="AO44"/>
    </row>
    <row r="45" spans="1:41" ht="14.7" customHeight="1">
      <c r="A45" s="138" t="s">
        <v>301</v>
      </c>
      <c r="B45" s="138"/>
      <c r="C45">
        <v>524</v>
      </c>
      <c r="D45">
        <v>477.3</v>
      </c>
      <c r="E45">
        <v>0.49199999999999999</v>
      </c>
      <c r="F45">
        <v>0.496</v>
      </c>
      <c r="G45">
        <v>2E-3</v>
      </c>
      <c r="H45">
        <v>1E-3</v>
      </c>
      <c r="I45">
        <v>427.7</v>
      </c>
      <c r="J45">
        <v>393.2</v>
      </c>
      <c r="K45"/>
      <c r="L45"/>
      <c r="M45"/>
      <c r="N45"/>
      <c r="O45"/>
      <c r="P45"/>
      <c r="Q45"/>
      <c r="R45"/>
      <c r="S45"/>
      <c r="T45"/>
      <c r="U45"/>
      <c r="V45"/>
      <c r="W45"/>
      <c r="X45"/>
      <c r="Y45"/>
      <c r="Z45"/>
      <c r="AA45"/>
      <c r="AB45"/>
      <c r="AC45"/>
      <c r="AD45"/>
      <c r="AE45"/>
      <c r="AF45"/>
      <c r="AG45"/>
      <c r="AH45"/>
      <c r="AI45"/>
      <c r="AJ45"/>
      <c r="AK45"/>
      <c r="AL45"/>
      <c r="AM45"/>
      <c r="AN45"/>
      <c r="AO45"/>
    </row>
    <row r="46" spans="1:41" ht="14.7" customHeight="1">
      <c r="A46" s="138" t="s">
        <v>26</v>
      </c>
      <c r="B46" s="138"/>
      <c r="C46">
        <v>505.1</v>
      </c>
      <c r="D46">
        <v>476.8</v>
      </c>
      <c r="E46">
        <v>0.32200000000000001</v>
      </c>
      <c r="F46">
        <v>0.315</v>
      </c>
      <c r="G46">
        <v>0</v>
      </c>
      <c r="H46">
        <v>0</v>
      </c>
      <c r="I46">
        <v>333.4</v>
      </c>
      <c r="J46">
        <v>311.2</v>
      </c>
      <c r="K46"/>
      <c r="L46"/>
      <c r="M46"/>
      <c r="N46"/>
      <c r="O46"/>
      <c r="P46"/>
      <c r="Q46"/>
      <c r="R46"/>
      <c r="S46"/>
      <c r="T46"/>
      <c r="U46"/>
      <c r="V46"/>
      <c r="W46"/>
      <c r="X46"/>
      <c r="Y46"/>
      <c r="Z46"/>
      <c r="AA46"/>
      <c r="AB46"/>
      <c r="AC46"/>
      <c r="AD46"/>
      <c r="AE46"/>
      <c r="AF46"/>
      <c r="AG46"/>
      <c r="AH46"/>
      <c r="AI46"/>
      <c r="AJ46"/>
      <c r="AK46"/>
      <c r="AL46"/>
      <c r="AM46"/>
      <c r="AN46"/>
      <c r="AO46"/>
    </row>
    <row r="47" spans="1:41" ht="14.7" customHeight="1">
      <c r="A47" s="138" t="s">
        <v>227</v>
      </c>
      <c r="B47" s="138"/>
      <c r="C47">
        <v>351.4</v>
      </c>
      <c r="D47">
        <v>342.5</v>
      </c>
      <c r="E47">
        <v>0.53800000000000003</v>
      </c>
      <c r="F47">
        <v>0.52600000000000002</v>
      </c>
      <c r="G47">
        <v>0</v>
      </c>
      <c r="H47">
        <v>0</v>
      </c>
      <c r="I47">
        <v>332.1</v>
      </c>
      <c r="J47">
        <v>315</v>
      </c>
      <c r="K47"/>
      <c r="L47"/>
      <c r="M47"/>
      <c r="N47"/>
      <c r="O47"/>
      <c r="P47"/>
      <c r="Q47"/>
      <c r="R47"/>
      <c r="S47"/>
      <c r="T47"/>
      <c r="U47"/>
      <c r="V47"/>
      <c r="W47"/>
      <c r="X47"/>
      <c r="Y47"/>
      <c r="Z47"/>
      <c r="AA47"/>
      <c r="AB47"/>
      <c r="AC47"/>
      <c r="AD47"/>
      <c r="AE47"/>
      <c r="AF47"/>
      <c r="AG47"/>
      <c r="AH47"/>
      <c r="AI47"/>
      <c r="AJ47"/>
      <c r="AK47"/>
      <c r="AL47"/>
      <c r="AM47"/>
      <c r="AN47"/>
      <c r="AO47"/>
    </row>
    <row r="48" spans="1:41" ht="14.7" customHeight="1">
      <c r="A48" s="138" t="s">
        <v>228</v>
      </c>
      <c r="B48" s="138"/>
      <c r="C48">
        <v>423.1</v>
      </c>
      <c r="D48">
        <v>434.7</v>
      </c>
      <c r="E48">
        <v>0.51200000000000001</v>
      </c>
      <c r="F48">
        <v>0.46800000000000003</v>
      </c>
      <c r="G48">
        <v>7.0000000000000001E-3</v>
      </c>
      <c r="H48">
        <v>8.0000000000000002E-3</v>
      </c>
      <c r="I48">
        <v>403.8</v>
      </c>
      <c r="J48">
        <v>380.5</v>
      </c>
      <c r="K48"/>
      <c r="L48"/>
      <c r="M48"/>
      <c r="N48"/>
      <c r="O48"/>
      <c r="P48"/>
      <c r="Q48"/>
      <c r="R48"/>
      <c r="S48"/>
      <c r="T48"/>
      <c r="U48"/>
      <c r="V48"/>
      <c r="W48"/>
      <c r="X48"/>
      <c r="Y48"/>
      <c r="Z48"/>
      <c r="AA48"/>
      <c r="AB48"/>
      <c r="AC48"/>
      <c r="AD48"/>
      <c r="AE48"/>
      <c r="AF48"/>
      <c r="AG48"/>
      <c r="AH48"/>
      <c r="AI48"/>
      <c r="AJ48"/>
      <c r="AK48"/>
      <c r="AL48"/>
      <c r="AM48"/>
      <c r="AN48"/>
      <c r="AO48"/>
    </row>
    <row r="49" spans="1:41" ht="14.7" customHeight="1">
      <c r="A49" s="138" t="s">
        <v>27</v>
      </c>
      <c r="B49" s="138"/>
      <c r="C49" t="s">
        <v>880</v>
      </c>
      <c r="D49" t="s">
        <v>880</v>
      </c>
      <c r="E49" t="s">
        <v>880</v>
      </c>
      <c r="F49" t="s">
        <v>880</v>
      </c>
      <c r="G49" t="s">
        <v>880</v>
      </c>
      <c r="H49" t="s">
        <v>880</v>
      </c>
      <c r="I49" t="s">
        <v>880</v>
      </c>
      <c r="J49" t="s">
        <v>880</v>
      </c>
      <c r="K49"/>
      <c r="L49"/>
      <c r="M49"/>
      <c r="N49"/>
      <c r="O49"/>
      <c r="P49"/>
      <c r="Q49"/>
      <c r="R49"/>
      <c r="S49"/>
      <c r="T49"/>
      <c r="U49"/>
      <c r="V49"/>
      <c r="W49"/>
      <c r="X49"/>
      <c r="Y49"/>
      <c r="Z49"/>
      <c r="AA49"/>
      <c r="AB49"/>
      <c r="AC49"/>
      <c r="AD49"/>
      <c r="AE49"/>
      <c r="AF49"/>
      <c r="AG49"/>
      <c r="AH49"/>
      <c r="AI49"/>
      <c r="AJ49"/>
      <c r="AK49"/>
      <c r="AL49"/>
      <c r="AM49"/>
      <c r="AN49"/>
      <c r="AO49"/>
    </row>
    <row r="50" spans="1:41" ht="14.7" customHeight="1">
      <c r="A50" s="138" t="s">
        <v>303</v>
      </c>
      <c r="B50" s="138"/>
      <c r="C50">
        <v>494.8</v>
      </c>
      <c r="D50">
        <v>479.4</v>
      </c>
      <c r="E50">
        <v>0.505</v>
      </c>
      <c r="F50">
        <v>0.48199999999999998</v>
      </c>
      <c r="G50">
        <v>0.32300000000000001</v>
      </c>
      <c r="H50">
        <v>0.44500000000000001</v>
      </c>
      <c r="I50">
        <v>430</v>
      </c>
      <c r="J50">
        <v>398.7</v>
      </c>
      <c r="K50"/>
      <c r="L50"/>
      <c r="M50"/>
      <c r="N50"/>
      <c r="O50"/>
      <c r="P50"/>
      <c r="Q50"/>
      <c r="R50"/>
      <c r="S50"/>
      <c r="T50"/>
      <c r="U50"/>
      <c r="V50"/>
      <c r="W50"/>
      <c r="X50"/>
      <c r="Y50"/>
      <c r="Z50"/>
      <c r="AA50"/>
      <c r="AB50"/>
      <c r="AC50"/>
      <c r="AD50"/>
      <c r="AE50"/>
      <c r="AF50"/>
      <c r="AG50"/>
      <c r="AH50"/>
      <c r="AI50"/>
      <c r="AJ50"/>
      <c r="AK50"/>
      <c r="AL50"/>
      <c r="AM50"/>
      <c r="AN50"/>
      <c r="AO50"/>
    </row>
    <row r="51" spans="1:41" ht="14.7" customHeight="1">
      <c r="A51" s="138" t="s">
        <v>201</v>
      </c>
      <c r="B51" s="138"/>
      <c r="C51">
        <v>403</v>
      </c>
      <c r="D51">
        <v>355.4</v>
      </c>
      <c r="E51">
        <v>0.28100000000000003</v>
      </c>
      <c r="F51">
        <v>0.27700000000000002</v>
      </c>
      <c r="G51">
        <v>0</v>
      </c>
      <c r="H51">
        <v>0</v>
      </c>
      <c r="I51">
        <v>297.8</v>
      </c>
      <c r="J51">
        <v>252.8</v>
      </c>
      <c r="K51"/>
      <c r="L51"/>
      <c r="M51"/>
      <c r="N51"/>
      <c r="O51"/>
      <c r="P51"/>
      <c r="Q51"/>
      <c r="R51"/>
      <c r="S51"/>
      <c r="T51"/>
      <c r="U51"/>
      <c r="V51"/>
      <c r="W51"/>
      <c r="X51"/>
      <c r="Y51"/>
      <c r="Z51"/>
      <c r="AA51"/>
      <c r="AB51"/>
      <c r="AC51"/>
      <c r="AD51"/>
      <c r="AE51"/>
      <c r="AF51"/>
      <c r="AG51"/>
      <c r="AH51"/>
      <c r="AI51"/>
      <c r="AJ51"/>
      <c r="AK51"/>
      <c r="AL51"/>
      <c r="AM51"/>
      <c r="AN51"/>
      <c r="AO51"/>
    </row>
    <row r="52" spans="1:41" ht="14.7" customHeight="1">
      <c r="A52" s="138" t="s">
        <v>28</v>
      </c>
      <c r="B52" s="138"/>
      <c r="C52">
        <v>513.5</v>
      </c>
      <c r="D52">
        <v>488.7</v>
      </c>
      <c r="E52">
        <v>0.41899999999999998</v>
      </c>
      <c r="F52">
        <v>0.40100000000000002</v>
      </c>
      <c r="G52">
        <v>0</v>
      </c>
      <c r="H52">
        <v>0</v>
      </c>
      <c r="I52">
        <v>396.7</v>
      </c>
      <c r="J52">
        <v>367.7</v>
      </c>
      <c r="K52"/>
      <c r="L52"/>
      <c r="M52"/>
      <c r="N52"/>
      <c r="O52"/>
      <c r="P52"/>
      <c r="Q52"/>
      <c r="R52"/>
      <c r="S52"/>
      <c r="T52"/>
      <c r="U52"/>
      <c r="V52"/>
      <c r="W52"/>
      <c r="X52"/>
      <c r="Y52"/>
      <c r="Z52"/>
      <c r="AA52"/>
      <c r="AB52"/>
      <c r="AC52"/>
      <c r="AD52"/>
      <c r="AE52"/>
      <c r="AF52"/>
      <c r="AG52"/>
      <c r="AH52"/>
      <c r="AI52"/>
      <c r="AJ52"/>
      <c r="AK52"/>
      <c r="AL52"/>
      <c r="AM52"/>
      <c r="AN52"/>
      <c r="AO52"/>
    </row>
    <row r="53" spans="1:41" ht="14.7" customHeight="1">
      <c r="A53" s="138" t="s">
        <v>29</v>
      </c>
      <c r="B53" s="138"/>
      <c r="C53">
        <v>421.1</v>
      </c>
      <c r="D53">
        <v>393.4</v>
      </c>
      <c r="E53">
        <v>0.44900000000000001</v>
      </c>
      <c r="F53">
        <v>0.44500000000000001</v>
      </c>
      <c r="G53">
        <v>0</v>
      </c>
      <c r="H53">
        <v>0</v>
      </c>
      <c r="I53">
        <v>339.8</v>
      </c>
      <c r="J53">
        <v>317.10000000000002</v>
      </c>
      <c r="K53"/>
      <c r="L53"/>
      <c r="M53"/>
      <c r="N53"/>
      <c r="O53"/>
      <c r="P53"/>
      <c r="Q53"/>
      <c r="R53"/>
      <c r="S53"/>
      <c r="T53"/>
      <c r="U53"/>
      <c r="V53"/>
      <c r="W53"/>
      <c r="X53"/>
      <c r="Y53"/>
      <c r="Z53"/>
      <c r="AA53"/>
      <c r="AB53"/>
      <c r="AC53"/>
      <c r="AD53"/>
      <c r="AE53"/>
      <c r="AF53"/>
      <c r="AG53"/>
      <c r="AH53"/>
      <c r="AI53"/>
      <c r="AJ53"/>
      <c r="AK53"/>
      <c r="AL53"/>
      <c r="AM53"/>
      <c r="AN53"/>
      <c r="AO53"/>
    </row>
    <row r="54" spans="1:41" ht="14.7" customHeight="1">
      <c r="A54" s="138" t="s">
        <v>30</v>
      </c>
      <c r="B54" s="138"/>
      <c r="C54">
        <v>485.2</v>
      </c>
      <c r="D54">
        <v>467.3</v>
      </c>
      <c r="E54">
        <v>0.41</v>
      </c>
      <c r="F54">
        <v>0.40799999999999997</v>
      </c>
      <c r="G54">
        <v>0</v>
      </c>
      <c r="H54">
        <v>0</v>
      </c>
      <c r="I54">
        <v>404.1</v>
      </c>
      <c r="J54">
        <v>391.3</v>
      </c>
      <c r="K54"/>
      <c r="L54"/>
      <c r="M54"/>
      <c r="N54"/>
      <c r="O54"/>
      <c r="P54"/>
      <c r="Q54"/>
      <c r="R54"/>
      <c r="S54"/>
      <c r="T54"/>
      <c r="U54"/>
      <c r="V54"/>
      <c r="W54"/>
      <c r="X54"/>
      <c r="Y54"/>
      <c r="Z54"/>
      <c r="AA54"/>
      <c r="AB54"/>
      <c r="AC54"/>
      <c r="AD54"/>
      <c r="AE54"/>
      <c r="AF54"/>
      <c r="AG54"/>
      <c r="AH54"/>
      <c r="AI54"/>
      <c r="AJ54"/>
      <c r="AK54"/>
      <c r="AL54"/>
      <c r="AM54"/>
      <c r="AN54"/>
      <c r="AO54"/>
    </row>
    <row r="55" spans="1:41" ht="14.7" customHeight="1">
      <c r="A55" s="138" t="s">
        <v>31</v>
      </c>
      <c r="B55" s="138"/>
      <c r="C55">
        <v>473.8</v>
      </c>
      <c r="D55">
        <v>435.7</v>
      </c>
      <c r="E55">
        <v>0.47599999999999998</v>
      </c>
      <c r="F55">
        <v>0.46500000000000002</v>
      </c>
      <c r="G55">
        <v>0</v>
      </c>
      <c r="H55">
        <v>0</v>
      </c>
      <c r="I55">
        <v>395.2</v>
      </c>
      <c r="J55">
        <v>357.9</v>
      </c>
      <c r="K55"/>
      <c r="L55"/>
      <c r="M55"/>
      <c r="N55"/>
      <c r="O55"/>
      <c r="P55"/>
      <c r="Q55"/>
      <c r="R55"/>
      <c r="S55"/>
      <c r="T55"/>
      <c r="U55"/>
      <c r="V55"/>
      <c r="W55"/>
      <c r="X55"/>
      <c r="Y55"/>
      <c r="Z55"/>
      <c r="AA55"/>
      <c r="AB55"/>
      <c r="AC55"/>
      <c r="AD55"/>
      <c r="AE55"/>
      <c r="AF55"/>
      <c r="AG55"/>
      <c r="AH55"/>
      <c r="AI55"/>
      <c r="AJ55"/>
      <c r="AK55"/>
      <c r="AL55"/>
      <c r="AM55"/>
      <c r="AN55"/>
      <c r="AO55"/>
    </row>
    <row r="56" spans="1:41" ht="14.7" customHeight="1">
      <c r="A56" s="138" t="s">
        <v>304</v>
      </c>
      <c r="B56" s="138"/>
      <c r="C56">
        <v>538.5</v>
      </c>
      <c r="D56">
        <v>530</v>
      </c>
      <c r="E56">
        <v>0.45800000000000002</v>
      </c>
      <c r="F56">
        <v>0.45100000000000001</v>
      </c>
      <c r="G56">
        <v>0.17599999999999999</v>
      </c>
      <c r="H56">
        <v>8.6999999999999994E-2</v>
      </c>
      <c r="I56">
        <v>430.4</v>
      </c>
      <c r="J56">
        <v>417.7</v>
      </c>
      <c r="K56"/>
      <c r="L56"/>
      <c r="M56"/>
      <c r="N56"/>
      <c r="O56"/>
      <c r="P56"/>
      <c r="Q56"/>
      <c r="R56"/>
      <c r="S56"/>
      <c r="T56"/>
      <c r="U56"/>
      <c r="V56"/>
      <c r="W56"/>
      <c r="X56"/>
      <c r="Y56"/>
      <c r="Z56"/>
      <c r="AA56"/>
      <c r="AB56"/>
      <c r="AC56"/>
      <c r="AD56"/>
      <c r="AE56"/>
      <c r="AF56"/>
      <c r="AG56"/>
      <c r="AH56"/>
      <c r="AI56"/>
      <c r="AJ56"/>
      <c r="AK56"/>
      <c r="AL56"/>
      <c r="AM56"/>
      <c r="AN56"/>
      <c r="AO56"/>
    </row>
    <row r="57" spans="1:41" ht="14.7" customHeight="1">
      <c r="A57" s="138" t="s">
        <v>32</v>
      </c>
      <c r="B57" s="138"/>
      <c r="C57">
        <v>464.4</v>
      </c>
      <c r="D57">
        <v>438.4</v>
      </c>
      <c r="E57">
        <v>0.434</v>
      </c>
      <c r="F57">
        <v>0.41499999999999998</v>
      </c>
      <c r="G57">
        <v>0</v>
      </c>
      <c r="H57">
        <v>0</v>
      </c>
      <c r="I57">
        <v>347.5</v>
      </c>
      <c r="J57">
        <v>317.10000000000002</v>
      </c>
      <c r="K57"/>
      <c r="L57"/>
      <c r="M57"/>
      <c r="N57"/>
      <c r="O57"/>
      <c r="P57"/>
      <c r="Q57"/>
      <c r="R57"/>
      <c r="S57"/>
      <c r="T57"/>
      <c r="U57"/>
      <c r="V57"/>
      <c r="W57"/>
      <c r="X57"/>
      <c r="Y57"/>
      <c r="Z57"/>
      <c r="AA57"/>
      <c r="AB57"/>
      <c r="AC57"/>
      <c r="AD57"/>
      <c r="AE57"/>
      <c r="AF57"/>
      <c r="AG57"/>
      <c r="AH57"/>
      <c r="AI57"/>
      <c r="AJ57"/>
      <c r="AK57"/>
      <c r="AL57"/>
      <c r="AM57"/>
      <c r="AN57"/>
      <c r="AO57"/>
    </row>
    <row r="58" spans="1:41" ht="14.7" customHeight="1">
      <c r="A58" s="138" t="s">
        <v>33</v>
      </c>
      <c r="B58" s="138"/>
      <c r="C58">
        <v>445</v>
      </c>
      <c r="D58">
        <v>406.5</v>
      </c>
      <c r="E58">
        <v>0.53300000000000003</v>
      </c>
      <c r="F58">
        <v>0.51300000000000001</v>
      </c>
      <c r="G58">
        <v>0</v>
      </c>
      <c r="H58">
        <v>0</v>
      </c>
      <c r="I58">
        <v>410.1</v>
      </c>
      <c r="J58">
        <v>359.1</v>
      </c>
      <c r="K58"/>
      <c r="L58"/>
      <c r="M58"/>
      <c r="N58"/>
      <c r="O58"/>
      <c r="P58"/>
      <c r="Q58"/>
      <c r="R58"/>
      <c r="S58"/>
      <c r="T58"/>
      <c r="U58"/>
      <c r="V58"/>
      <c r="W58"/>
      <c r="X58"/>
      <c r="Y58"/>
      <c r="Z58"/>
      <c r="AA58"/>
      <c r="AB58"/>
      <c r="AC58"/>
      <c r="AD58"/>
      <c r="AE58"/>
      <c r="AF58"/>
      <c r="AG58"/>
      <c r="AH58"/>
      <c r="AI58"/>
      <c r="AJ58"/>
      <c r="AK58"/>
      <c r="AL58"/>
      <c r="AM58"/>
      <c r="AN58"/>
      <c r="AO58"/>
    </row>
    <row r="59" spans="1:41" ht="14.7" customHeight="1">
      <c r="A59" s="138" t="s">
        <v>34</v>
      </c>
      <c r="B59" s="138"/>
      <c r="C59">
        <v>428.7</v>
      </c>
      <c r="D59">
        <v>407.2</v>
      </c>
      <c r="E59">
        <v>0.502</v>
      </c>
      <c r="F59">
        <v>0.495</v>
      </c>
      <c r="G59">
        <v>0</v>
      </c>
      <c r="H59">
        <v>0</v>
      </c>
      <c r="I59">
        <v>408.4</v>
      </c>
      <c r="J59">
        <v>381</v>
      </c>
      <c r="K59"/>
      <c r="L59"/>
      <c r="M59"/>
      <c r="N59"/>
      <c r="O59"/>
      <c r="P59"/>
      <c r="Q59"/>
      <c r="R59"/>
      <c r="S59"/>
      <c r="T59"/>
      <c r="U59"/>
      <c r="V59"/>
      <c r="W59"/>
      <c r="X59"/>
      <c r="Y59"/>
      <c r="Z59"/>
      <c r="AA59"/>
      <c r="AB59"/>
      <c r="AC59"/>
      <c r="AD59"/>
      <c r="AE59"/>
      <c r="AF59"/>
      <c r="AG59"/>
      <c r="AH59"/>
      <c r="AI59"/>
      <c r="AJ59"/>
      <c r="AK59"/>
      <c r="AL59"/>
      <c r="AM59"/>
      <c r="AN59"/>
      <c r="AO59"/>
    </row>
    <row r="60" spans="1:41" ht="14.7" customHeight="1">
      <c r="A60" s="138" t="s">
        <v>35</v>
      </c>
      <c r="B60" s="138"/>
      <c r="C60">
        <v>420</v>
      </c>
      <c r="D60">
        <v>392.7</v>
      </c>
      <c r="E60">
        <v>0.55300000000000005</v>
      </c>
      <c r="F60">
        <v>0.52800000000000002</v>
      </c>
      <c r="G60">
        <v>0</v>
      </c>
      <c r="H60">
        <v>0</v>
      </c>
      <c r="I60">
        <v>404.5</v>
      </c>
      <c r="J60">
        <v>359.2</v>
      </c>
      <c r="K60"/>
      <c r="L60"/>
      <c r="M60"/>
      <c r="N60"/>
      <c r="O60"/>
      <c r="P60"/>
      <c r="Q60"/>
      <c r="R60"/>
      <c r="S60"/>
      <c r="T60"/>
      <c r="U60"/>
      <c r="V60"/>
      <c r="W60"/>
      <c r="X60"/>
      <c r="Y60"/>
      <c r="Z60"/>
      <c r="AA60"/>
      <c r="AB60"/>
      <c r="AC60"/>
      <c r="AD60"/>
      <c r="AE60"/>
      <c r="AF60"/>
      <c r="AG60"/>
      <c r="AH60"/>
      <c r="AI60"/>
      <c r="AJ60"/>
      <c r="AK60"/>
      <c r="AL60"/>
      <c r="AM60"/>
      <c r="AN60"/>
      <c r="AO60"/>
    </row>
    <row r="61" spans="1:41" ht="14.7" customHeight="1">
      <c r="A61" s="138" t="s">
        <v>305</v>
      </c>
      <c r="B61" s="138"/>
      <c r="C61">
        <v>473.2</v>
      </c>
      <c r="D61">
        <v>467.1</v>
      </c>
      <c r="E61">
        <v>0.56299999999999994</v>
      </c>
      <c r="F61">
        <v>0.51700000000000002</v>
      </c>
      <c r="G61">
        <v>2.1999999999999999E-2</v>
      </c>
      <c r="H61">
        <v>7.0000000000000001E-3</v>
      </c>
      <c r="I61">
        <v>496.9</v>
      </c>
      <c r="J61">
        <v>442.4</v>
      </c>
      <c r="K61"/>
      <c r="L61"/>
      <c r="M61"/>
      <c r="N61"/>
      <c r="O61"/>
      <c r="P61"/>
      <c r="Q61"/>
      <c r="R61"/>
      <c r="S61"/>
      <c r="T61"/>
      <c r="U61"/>
      <c r="V61"/>
      <c r="W61"/>
      <c r="X61"/>
      <c r="Y61"/>
      <c r="Z61"/>
      <c r="AA61"/>
      <c r="AB61"/>
      <c r="AC61"/>
      <c r="AD61"/>
      <c r="AE61"/>
      <c r="AF61"/>
      <c r="AG61"/>
      <c r="AH61"/>
      <c r="AI61"/>
      <c r="AJ61"/>
      <c r="AK61"/>
      <c r="AL61"/>
      <c r="AM61"/>
      <c r="AN61"/>
      <c r="AO61"/>
    </row>
    <row r="62" spans="1:41" ht="14.7" customHeight="1">
      <c r="A62" s="138" t="s">
        <v>814</v>
      </c>
      <c r="B62" s="138"/>
      <c r="C62">
        <v>444.2</v>
      </c>
      <c r="D62">
        <v>413.3</v>
      </c>
      <c r="E62">
        <v>0.57599999999999996</v>
      </c>
      <c r="F62">
        <v>0.56399999999999995</v>
      </c>
      <c r="G62">
        <v>0</v>
      </c>
      <c r="H62">
        <v>1E-3</v>
      </c>
      <c r="I62">
        <v>475.8</v>
      </c>
      <c r="J62">
        <v>429.7</v>
      </c>
      <c r="K62"/>
      <c r="L62"/>
      <c r="M62"/>
      <c r="N62"/>
      <c r="O62"/>
      <c r="P62"/>
      <c r="Q62"/>
      <c r="R62"/>
      <c r="S62"/>
      <c r="T62"/>
      <c r="U62"/>
      <c r="V62"/>
      <c r="W62"/>
      <c r="X62"/>
      <c r="Y62"/>
      <c r="Z62"/>
      <c r="AA62"/>
      <c r="AB62"/>
      <c r="AC62"/>
      <c r="AD62"/>
      <c r="AE62"/>
      <c r="AF62"/>
      <c r="AG62"/>
      <c r="AH62"/>
      <c r="AI62"/>
      <c r="AJ62"/>
      <c r="AK62"/>
      <c r="AL62"/>
      <c r="AM62"/>
      <c r="AN62"/>
      <c r="AO62"/>
    </row>
    <row r="63" spans="1:41" ht="14.7" customHeight="1">
      <c r="A63" s="138" t="s">
        <v>36</v>
      </c>
      <c r="B63" s="138"/>
      <c r="C63">
        <v>470.8</v>
      </c>
      <c r="D63">
        <v>446.2</v>
      </c>
      <c r="E63">
        <v>0.43</v>
      </c>
      <c r="F63">
        <v>0.41299999999999998</v>
      </c>
      <c r="G63">
        <v>0</v>
      </c>
      <c r="H63">
        <v>0</v>
      </c>
      <c r="I63">
        <v>400.2</v>
      </c>
      <c r="J63">
        <v>369.7</v>
      </c>
      <c r="K63"/>
      <c r="L63"/>
      <c r="M63"/>
      <c r="N63"/>
      <c r="O63"/>
      <c r="P63"/>
      <c r="Q63"/>
      <c r="R63"/>
      <c r="S63"/>
      <c r="T63"/>
      <c r="U63"/>
      <c r="V63"/>
      <c r="W63"/>
      <c r="X63"/>
      <c r="Y63"/>
      <c r="Z63"/>
      <c r="AA63"/>
      <c r="AB63"/>
      <c r="AC63"/>
      <c r="AD63"/>
      <c r="AE63"/>
      <c r="AF63"/>
      <c r="AG63"/>
      <c r="AH63"/>
      <c r="AI63"/>
      <c r="AJ63"/>
      <c r="AK63"/>
      <c r="AL63"/>
      <c r="AM63"/>
      <c r="AN63"/>
      <c r="AO63"/>
    </row>
    <row r="64" spans="1:41" ht="14.7" customHeight="1">
      <c r="A64" s="138" t="s">
        <v>37</v>
      </c>
      <c r="B64" s="138"/>
      <c r="C64">
        <v>424.6</v>
      </c>
      <c r="D64">
        <v>411.3</v>
      </c>
      <c r="E64">
        <v>0.47</v>
      </c>
      <c r="F64">
        <v>0.45700000000000002</v>
      </c>
      <c r="G64">
        <v>0</v>
      </c>
      <c r="H64">
        <v>0</v>
      </c>
      <c r="I64">
        <v>382.5</v>
      </c>
      <c r="J64">
        <v>362</v>
      </c>
      <c r="K64"/>
      <c r="L64"/>
      <c r="M64"/>
      <c r="N64"/>
      <c r="O64"/>
      <c r="P64"/>
      <c r="Q64"/>
      <c r="R64"/>
      <c r="S64"/>
      <c r="T64"/>
      <c r="U64"/>
      <c r="V64"/>
      <c r="W64"/>
      <c r="X64"/>
      <c r="Y64"/>
      <c r="Z64"/>
      <c r="AA64"/>
      <c r="AB64"/>
      <c r="AC64"/>
      <c r="AD64"/>
      <c r="AE64"/>
      <c r="AF64"/>
      <c r="AG64"/>
      <c r="AH64"/>
      <c r="AI64"/>
      <c r="AJ64"/>
      <c r="AK64"/>
      <c r="AL64"/>
      <c r="AM64"/>
      <c r="AN64"/>
      <c r="AO64"/>
    </row>
    <row r="65" spans="1:41" ht="14.7" customHeight="1">
      <c r="A65" s="138" t="s">
        <v>39</v>
      </c>
      <c r="B65" s="138"/>
      <c r="C65">
        <v>472.2</v>
      </c>
      <c r="D65">
        <v>443</v>
      </c>
      <c r="E65">
        <v>0.46700000000000003</v>
      </c>
      <c r="F65">
        <v>0.46</v>
      </c>
      <c r="G65">
        <v>0</v>
      </c>
      <c r="H65">
        <v>0</v>
      </c>
      <c r="I65">
        <v>394</v>
      </c>
      <c r="J65">
        <v>363.6</v>
      </c>
      <c r="K65"/>
      <c r="L65"/>
      <c r="M65"/>
      <c r="N65"/>
      <c r="O65"/>
      <c r="P65"/>
      <c r="Q65"/>
      <c r="R65"/>
      <c r="S65"/>
      <c r="T65"/>
      <c r="U65"/>
      <c r="V65"/>
      <c r="W65"/>
      <c r="X65"/>
      <c r="Y65"/>
      <c r="Z65"/>
      <c r="AA65"/>
      <c r="AB65"/>
      <c r="AC65"/>
      <c r="AD65"/>
      <c r="AE65"/>
      <c r="AF65"/>
      <c r="AG65"/>
      <c r="AH65"/>
      <c r="AI65"/>
      <c r="AJ65"/>
      <c r="AK65"/>
      <c r="AL65"/>
      <c r="AM65"/>
      <c r="AN65"/>
      <c r="AO65"/>
    </row>
    <row r="66" spans="1:41" ht="14.7" customHeight="1">
      <c r="A66" s="138" t="s">
        <v>371</v>
      </c>
      <c r="B66" s="138"/>
      <c r="C66">
        <v>303</v>
      </c>
      <c r="D66">
        <v>308</v>
      </c>
      <c r="E66">
        <v>0.31900000000000001</v>
      </c>
      <c r="F66">
        <v>0.29799999999999999</v>
      </c>
      <c r="G66">
        <v>0</v>
      </c>
      <c r="H66">
        <v>0</v>
      </c>
      <c r="I66">
        <v>398.2</v>
      </c>
      <c r="J66">
        <v>322.8</v>
      </c>
      <c r="K66"/>
      <c r="L66"/>
      <c r="M66"/>
      <c r="N66"/>
      <c r="O66"/>
      <c r="P66"/>
      <c r="Q66"/>
      <c r="R66"/>
      <c r="S66"/>
      <c r="T66"/>
      <c r="U66"/>
      <c r="V66"/>
      <c r="W66"/>
      <c r="X66"/>
      <c r="Y66"/>
      <c r="Z66"/>
      <c r="AA66"/>
      <c r="AB66"/>
      <c r="AC66"/>
      <c r="AD66"/>
      <c r="AE66"/>
      <c r="AF66"/>
      <c r="AG66"/>
      <c r="AH66"/>
      <c r="AI66"/>
      <c r="AJ66"/>
      <c r="AK66"/>
      <c r="AL66"/>
      <c r="AM66"/>
      <c r="AN66"/>
      <c r="AO66"/>
    </row>
    <row r="67" spans="1:41" ht="14.7" customHeight="1">
      <c r="A67" s="138" t="s">
        <v>41</v>
      </c>
      <c r="B67" s="138"/>
      <c r="C67">
        <v>343.8</v>
      </c>
      <c r="D67">
        <v>321.7</v>
      </c>
      <c r="E67">
        <v>0.54800000000000004</v>
      </c>
      <c r="F67">
        <v>0.53500000000000003</v>
      </c>
      <c r="G67">
        <v>0</v>
      </c>
      <c r="H67">
        <v>0</v>
      </c>
      <c r="I67">
        <v>334.3</v>
      </c>
      <c r="J67">
        <v>303.89999999999998</v>
      </c>
      <c r="K67"/>
      <c r="L67"/>
      <c r="M67"/>
      <c r="N67"/>
      <c r="O67"/>
      <c r="P67"/>
      <c r="Q67"/>
      <c r="R67"/>
      <c r="S67"/>
      <c r="T67"/>
      <c r="U67"/>
      <c r="V67"/>
      <c r="W67"/>
      <c r="X67"/>
      <c r="Y67"/>
      <c r="Z67"/>
      <c r="AA67"/>
      <c r="AB67"/>
      <c r="AC67"/>
      <c r="AD67"/>
      <c r="AE67"/>
      <c r="AF67"/>
      <c r="AG67"/>
      <c r="AH67"/>
      <c r="AI67"/>
      <c r="AJ67"/>
      <c r="AK67"/>
      <c r="AL67"/>
      <c r="AM67"/>
      <c r="AN67"/>
      <c r="AO67"/>
    </row>
    <row r="68" spans="1:41" ht="14.7" customHeight="1">
      <c r="A68" s="138" t="s">
        <v>42</v>
      </c>
      <c r="B68" s="138"/>
      <c r="C68">
        <v>518.1</v>
      </c>
      <c r="D68">
        <v>482.8</v>
      </c>
      <c r="E68">
        <v>0.35799999999999998</v>
      </c>
      <c r="F68">
        <v>0.36299999999999999</v>
      </c>
      <c r="G68">
        <v>0</v>
      </c>
      <c r="H68">
        <v>0</v>
      </c>
      <c r="I68">
        <v>406.5</v>
      </c>
      <c r="J68">
        <v>382.9</v>
      </c>
      <c r="K68"/>
      <c r="L68"/>
      <c r="M68"/>
      <c r="N68"/>
      <c r="O68"/>
      <c r="P68"/>
      <c r="Q68"/>
      <c r="R68"/>
      <c r="S68"/>
      <c r="T68"/>
      <c r="U68"/>
      <c r="V68"/>
      <c r="W68"/>
      <c r="X68"/>
      <c r="Y68"/>
      <c r="Z68"/>
      <c r="AA68"/>
      <c r="AB68"/>
      <c r="AC68"/>
      <c r="AD68"/>
      <c r="AE68"/>
      <c r="AF68"/>
      <c r="AG68"/>
      <c r="AH68"/>
      <c r="AI68"/>
      <c r="AJ68"/>
      <c r="AK68"/>
      <c r="AL68"/>
      <c r="AM68"/>
      <c r="AN68"/>
      <c r="AO68"/>
    </row>
    <row r="69" spans="1:41" ht="14.7" customHeight="1">
      <c r="A69" s="138" t="s">
        <v>306</v>
      </c>
      <c r="B69" s="138"/>
      <c r="C69">
        <v>667.3</v>
      </c>
      <c r="D69">
        <v>618.29999999999995</v>
      </c>
      <c r="E69">
        <v>0.34</v>
      </c>
      <c r="F69">
        <v>0.34100000000000003</v>
      </c>
      <c r="G69">
        <v>0</v>
      </c>
      <c r="H69">
        <v>7.0000000000000001E-3</v>
      </c>
      <c r="I69">
        <v>492.3</v>
      </c>
      <c r="J69">
        <v>457.1</v>
      </c>
      <c r="K69"/>
      <c r="L69"/>
      <c r="M69"/>
      <c r="N69"/>
      <c r="O69"/>
      <c r="P69"/>
      <c r="Q69"/>
      <c r="R69"/>
      <c r="S69"/>
      <c r="T69"/>
      <c r="U69"/>
      <c r="V69"/>
      <c r="W69"/>
      <c r="X69"/>
      <c r="Y69"/>
      <c r="Z69"/>
      <c r="AA69"/>
      <c r="AB69"/>
      <c r="AC69"/>
      <c r="AD69"/>
      <c r="AE69"/>
      <c r="AF69"/>
      <c r="AG69"/>
      <c r="AH69"/>
      <c r="AI69"/>
      <c r="AJ69"/>
      <c r="AK69"/>
      <c r="AL69"/>
      <c r="AM69"/>
      <c r="AN69"/>
      <c r="AO69"/>
    </row>
    <row r="70" spans="1:41" ht="14.7" customHeight="1">
      <c r="A70" s="138" t="s">
        <v>44</v>
      </c>
      <c r="B70" s="138"/>
      <c r="C70">
        <v>362.8</v>
      </c>
      <c r="D70">
        <v>353.3</v>
      </c>
      <c r="E70">
        <v>0.59199999999999997</v>
      </c>
      <c r="F70">
        <v>0.56799999999999995</v>
      </c>
      <c r="G70">
        <v>0</v>
      </c>
      <c r="H70">
        <v>0</v>
      </c>
      <c r="I70">
        <v>436.5</v>
      </c>
      <c r="J70">
        <v>405.4</v>
      </c>
      <c r="K70"/>
      <c r="L70"/>
      <c r="M70"/>
      <c r="N70"/>
      <c r="O70"/>
      <c r="P70"/>
      <c r="Q70"/>
      <c r="R70"/>
      <c r="S70"/>
      <c r="T70"/>
      <c r="U70"/>
      <c r="V70"/>
      <c r="W70"/>
      <c r="X70"/>
      <c r="Y70"/>
      <c r="Z70"/>
      <c r="AA70"/>
      <c r="AB70"/>
      <c r="AC70"/>
      <c r="AD70"/>
      <c r="AE70"/>
      <c r="AF70"/>
      <c r="AG70"/>
      <c r="AH70"/>
      <c r="AI70"/>
      <c r="AJ70"/>
      <c r="AK70"/>
      <c r="AL70"/>
      <c r="AM70"/>
      <c r="AN70"/>
      <c r="AO70"/>
    </row>
    <row r="71" spans="1:41" ht="14.7" customHeight="1">
      <c r="A71" s="138" t="s">
        <v>267</v>
      </c>
      <c r="B71" s="138"/>
      <c r="C71">
        <v>604.79999999999995</v>
      </c>
      <c r="D71">
        <v>565.20000000000005</v>
      </c>
      <c r="E71">
        <v>0.38100000000000001</v>
      </c>
      <c r="F71">
        <v>0.371</v>
      </c>
      <c r="G71">
        <v>0.106</v>
      </c>
      <c r="H71">
        <v>9.6000000000000002E-2</v>
      </c>
      <c r="I71">
        <v>468.4</v>
      </c>
      <c r="J71">
        <v>428</v>
      </c>
      <c r="K71"/>
      <c r="L71"/>
      <c r="M71"/>
      <c r="N71"/>
      <c r="O71"/>
      <c r="P71"/>
      <c r="Q71"/>
      <c r="R71"/>
      <c r="S71"/>
      <c r="T71"/>
      <c r="U71"/>
      <c r="V71"/>
      <c r="W71"/>
      <c r="X71"/>
      <c r="Y71"/>
      <c r="Z71"/>
      <c r="AA71"/>
      <c r="AB71"/>
      <c r="AC71"/>
      <c r="AD71"/>
      <c r="AE71"/>
      <c r="AF71"/>
      <c r="AG71"/>
      <c r="AH71"/>
      <c r="AI71"/>
      <c r="AJ71"/>
      <c r="AK71"/>
      <c r="AL71"/>
      <c r="AM71"/>
      <c r="AN71"/>
      <c r="AO71"/>
    </row>
    <row r="72" spans="1:41" ht="14.7" customHeight="1">
      <c r="A72" s="138" t="s">
        <v>229</v>
      </c>
      <c r="B72" s="138"/>
      <c r="C72">
        <v>586.70000000000005</v>
      </c>
      <c r="D72">
        <v>550.1</v>
      </c>
      <c r="E72">
        <v>0.28599999999999998</v>
      </c>
      <c r="F72">
        <v>0.30499999999999999</v>
      </c>
      <c r="G72">
        <v>0.05</v>
      </c>
      <c r="H72">
        <v>1.2999999999999999E-2</v>
      </c>
      <c r="I72">
        <v>356</v>
      </c>
      <c r="J72">
        <v>337.1</v>
      </c>
      <c r="K72"/>
      <c r="L72"/>
      <c r="M72"/>
      <c r="N72"/>
      <c r="O72"/>
      <c r="P72"/>
      <c r="Q72"/>
      <c r="R72"/>
      <c r="S72"/>
      <c r="T72"/>
      <c r="U72"/>
      <c r="V72"/>
      <c r="W72"/>
      <c r="X72"/>
      <c r="Y72"/>
      <c r="Z72"/>
      <c r="AA72"/>
      <c r="AB72"/>
      <c r="AC72"/>
      <c r="AD72"/>
      <c r="AE72"/>
      <c r="AF72"/>
      <c r="AG72"/>
      <c r="AH72"/>
      <c r="AI72"/>
      <c r="AJ72"/>
      <c r="AK72"/>
      <c r="AL72"/>
      <c r="AM72"/>
      <c r="AN72"/>
      <c r="AO72"/>
    </row>
    <row r="73" spans="1:41" ht="14.7" customHeight="1">
      <c r="A73" s="138" t="s">
        <v>45</v>
      </c>
      <c r="B73" s="138"/>
      <c r="C73">
        <v>470.4</v>
      </c>
      <c r="D73">
        <v>426.3</v>
      </c>
      <c r="E73">
        <v>0.39300000000000002</v>
      </c>
      <c r="F73">
        <v>0.40100000000000002</v>
      </c>
      <c r="G73">
        <v>0</v>
      </c>
      <c r="H73">
        <v>0</v>
      </c>
      <c r="I73">
        <v>382.1</v>
      </c>
      <c r="J73">
        <v>353.7</v>
      </c>
      <c r="K73"/>
      <c r="L73"/>
      <c r="M73"/>
      <c r="N73"/>
      <c r="O73"/>
      <c r="P73"/>
      <c r="Q73"/>
      <c r="R73"/>
      <c r="S73"/>
      <c r="T73"/>
      <c r="U73"/>
      <c r="V73"/>
      <c r="W73"/>
      <c r="X73"/>
      <c r="Y73"/>
      <c r="Z73"/>
      <c r="AA73"/>
      <c r="AB73"/>
      <c r="AC73"/>
      <c r="AD73"/>
      <c r="AE73"/>
      <c r="AF73"/>
      <c r="AG73"/>
      <c r="AH73"/>
      <c r="AI73"/>
      <c r="AJ73"/>
      <c r="AK73"/>
      <c r="AL73"/>
      <c r="AM73"/>
      <c r="AN73"/>
      <c r="AO73"/>
    </row>
    <row r="74" spans="1:41" ht="14.7" customHeight="1">
      <c r="A74" s="138" t="s">
        <v>46</v>
      </c>
      <c r="B74" s="138"/>
      <c r="C74">
        <v>516.5</v>
      </c>
      <c r="D74">
        <v>495.6</v>
      </c>
      <c r="E74">
        <v>0.314</v>
      </c>
      <c r="F74">
        <v>0.314</v>
      </c>
      <c r="G74">
        <v>0</v>
      </c>
      <c r="H74">
        <v>0</v>
      </c>
      <c r="I74">
        <v>296.5</v>
      </c>
      <c r="J74">
        <v>283.2</v>
      </c>
      <c r="K74"/>
      <c r="L74"/>
      <c r="M74"/>
      <c r="N74"/>
      <c r="O74"/>
      <c r="P74"/>
      <c r="Q74"/>
      <c r="R74"/>
      <c r="S74"/>
      <c r="T74"/>
      <c r="U74"/>
      <c r="V74"/>
      <c r="W74"/>
      <c r="X74"/>
      <c r="Y74"/>
      <c r="Z74"/>
      <c r="AA74"/>
      <c r="AB74"/>
      <c r="AC74"/>
      <c r="AD74"/>
      <c r="AE74"/>
      <c r="AF74"/>
      <c r="AG74"/>
      <c r="AH74"/>
      <c r="AI74"/>
      <c r="AJ74"/>
      <c r="AK74"/>
      <c r="AL74"/>
      <c r="AM74"/>
      <c r="AN74"/>
      <c r="AO74"/>
    </row>
    <row r="75" spans="1:41" ht="14.7" customHeight="1">
      <c r="A75" s="138" t="s">
        <v>202</v>
      </c>
      <c r="B75" s="138"/>
      <c r="C75">
        <v>527.70000000000005</v>
      </c>
      <c r="D75">
        <v>496.4</v>
      </c>
      <c r="E75">
        <v>0.38500000000000001</v>
      </c>
      <c r="F75">
        <v>0.371</v>
      </c>
      <c r="G75">
        <v>8.0000000000000002E-3</v>
      </c>
      <c r="H75">
        <v>0</v>
      </c>
      <c r="I75">
        <v>358.8</v>
      </c>
      <c r="J75">
        <v>331.8</v>
      </c>
      <c r="K75"/>
      <c r="L75"/>
      <c r="M75"/>
      <c r="N75"/>
      <c r="O75"/>
      <c r="P75"/>
      <c r="Q75"/>
      <c r="R75"/>
      <c r="S75"/>
      <c r="T75"/>
      <c r="U75"/>
      <c r="V75"/>
      <c r="W75"/>
      <c r="X75"/>
      <c r="Y75"/>
      <c r="Z75"/>
      <c r="AA75"/>
      <c r="AB75"/>
      <c r="AC75"/>
      <c r="AD75"/>
      <c r="AE75"/>
      <c r="AF75"/>
      <c r="AG75"/>
      <c r="AH75"/>
      <c r="AI75"/>
      <c r="AJ75"/>
      <c r="AK75"/>
      <c r="AL75"/>
      <c r="AM75"/>
      <c r="AN75"/>
      <c r="AO75"/>
    </row>
    <row r="76" spans="1:41" ht="14.7" customHeight="1">
      <c r="A76" s="138" t="s">
        <v>307</v>
      </c>
      <c r="B76" s="138"/>
      <c r="C76">
        <v>497.6</v>
      </c>
      <c r="D76">
        <v>456.5</v>
      </c>
      <c r="E76">
        <v>0.48499999999999999</v>
      </c>
      <c r="F76">
        <v>0.50700000000000001</v>
      </c>
      <c r="G76">
        <v>9.9000000000000005E-2</v>
      </c>
      <c r="H76">
        <v>0.13500000000000001</v>
      </c>
      <c r="I76">
        <v>483.4</v>
      </c>
      <c r="J76">
        <v>466</v>
      </c>
      <c r="K76"/>
      <c r="L76"/>
      <c r="M76"/>
      <c r="N76"/>
      <c r="O76"/>
      <c r="P76"/>
      <c r="Q76"/>
      <c r="R76"/>
      <c r="S76"/>
      <c r="T76"/>
      <c r="U76"/>
      <c r="V76"/>
      <c r="W76"/>
      <c r="X76"/>
      <c r="Y76"/>
      <c r="Z76"/>
      <c r="AA76"/>
      <c r="AB76"/>
      <c r="AC76"/>
      <c r="AD76"/>
      <c r="AE76"/>
      <c r="AF76"/>
      <c r="AG76"/>
      <c r="AH76"/>
      <c r="AI76"/>
      <c r="AJ76"/>
      <c r="AK76"/>
      <c r="AL76"/>
      <c r="AM76"/>
      <c r="AN76"/>
      <c r="AO76"/>
    </row>
    <row r="77" spans="1:41" ht="14.7" customHeight="1">
      <c r="A77" s="138" t="s">
        <v>47</v>
      </c>
      <c r="B77" s="138"/>
      <c r="C77">
        <v>415.6</v>
      </c>
      <c r="D77">
        <v>411.8</v>
      </c>
      <c r="E77">
        <v>0.52700000000000002</v>
      </c>
      <c r="F77">
        <v>0.505</v>
      </c>
      <c r="G77">
        <v>0</v>
      </c>
      <c r="H77">
        <v>0</v>
      </c>
      <c r="I77">
        <v>376.4</v>
      </c>
      <c r="J77">
        <v>357.5</v>
      </c>
      <c r="K77"/>
      <c r="L77"/>
      <c r="M77"/>
      <c r="N77"/>
      <c r="O77"/>
      <c r="P77"/>
      <c r="Q77"/>
      <c r="R77"/>
      <c r="S77"/>
      <c r="T77"/>
      <c r="U77"/>
      <c r="V77"/>
      <c r="W77"/>
      <c r="X77"/>
      <c r="Y77"/>
      <c r="Z77"/>
      <c r="AA77"/>
      <c r="AB77"/>
      <c r="AC77"/>
      <c r="AD77"/>
      <c r="AE77"/>
      <c r="AF77"/>
      <c r="AG77"/>
      <c r="AH77"/>
      <c r="AI77"/>
      <c r="AJ77"/>
      <c r="AK77"/>
      <c r="AL77"/>
      <c r="AM77"/>
      <c r="AN77"/>
      <c r="AO77"/>
    </row>
    <row r="78" spans="1:41" ht="14.7" customHeight="1">
      <c r="A78" s="138" t="s">
        <v>265</v>
      </c>
      <c r="B78" s="138"/>
      <c r="C78">
        <v>593.70000000000005</v>
      </c>
      <c r="D78">
        <v>575.1</v>
      </c>
      <c r="E78">
        <v>0.32400000000000001</v>
      </c>
      <c r="F78">
        <v>0.317</v>
      </c>
      <c r="G78">
        <v>0.374</v>
      </c>
      <c r="H78">
        <v>0.42099999999999999</v>
      </c>
      <c r="I78">
        <v>425.9</v>
      </c>
      <c r="J78">
        <v>407.2</v>
      </c>
      <c r="K78"/>
      <c r="L78"/>
      <c r="M78"/>
      <c r="N78"/>
      <c r="O78"/>
      <c r="P78"/>
      <c r="Q78"/>
      <c r="R78"/>
      <c r="S78"/>
      <c r="T78"/>
      <c r="U78"/>
      <c r="V78"/>
      <c r="W78"/>
      <c r="X78"/>
      <c r="Y78"/>
      <c r="Z78"/>
      <c r="AA78"/>
      <c r="AB78"/>
      <c r="AC78"/>
      <c r="AD78"/>
      <c r="AE78"/>
      <c r="AF78"/>
      <c r="AG78"/>
      <c r="AH78"/>
      <c r="AI78"/>
      <c r="AJ78"/>
      <c r="AK78"/>
      <c r="AL78"/>
      <c r="AM78"/>
      <c r="AN78"/>
      <c r="AO78"/>
    </row>
    <row r="79" spans="1:41" ht="14.7" customHeight="1">
      <c r="A79" s="138" t="s">
        <v>48</v>
      </c>
      <c r="B79" s="138"/>
      <c r="C79">
        <v>649</v>
      </c>
      <c r="D79">
        <v>612.9</v>
      </c>
      <c r="E79">
        <v>0.24299999999999999</v>
      </c>
      <c r="F79">
        <v>0.23499999999999999</v>
      </c>
      <c r="G79">
        <v>0</v>
      </c>
      <c r="H79">
        <v>0</v>
      </c>
      <c r="I79">
        <v>354.8</v>
      </c>
      <c r="J79">
        <v>331.2</v>
      </c>
      <c r="K79"/>
      <c r="L79"/>
      <c r="M79"/>
      <c r="N79"/>
      <c r="O79"/>
      <c r="P79"/>
      <c r="Q79"/>
      <c r="R79"/>
      <c r="S79"/>
      <c r="T79"/>
      <c r="U79"/>
      <c r="V79"/>
      <c r="W79"/>
      <c r="X79"/>
      <c r="Y79"/>
      <c r="Z79"/>
      <c r="AA79"/>
      <c r="AB79"/>
      <c r="AC79"/>
      <c r="AD79"/>
      <c r="AE79"/>
      <c r="AF79"/>
      <c r="AG79"/>
      <c r="AH79"/>
      <c r="AI79"/>
      <c r="AJ79"/>
      <c r="AK79"/>
      <c r="AL79"/>
      <c r="AM79"/>
      <c r="AN79"/>
      <c r="AO79"/>
    </row>
    <row r="80" spans="1:41" ht="14.7" customHeight="1">
      <c r="A80" s="138" t="s">
        <v>266</v>
      </c>
      <c r="B80" s="138"/>
      <c r="C80">
        <v>574.79999999999995</v>
      </c>
      <c r="D80">
        <v>534.9</v>
      </c>
      <c r="E80">
        <v>0.373</v>
      </c>
      <c r="F80">
        <v>0.38400000000000001</v>
      </c>
      <c r="G80">
        <v>0.18</v>
      </c>
      <c r="H80">
        <v>0.183</v>
      </c>
      <c r="I80">
        <v>394.4</v>
      </c>
      <c r="J80">
        <v>372.1</v>
      </c>
      <c r="K80"/>
      <c r="L80"/>
      <c r="M80"/>
      <c r="N80"/>
      <c r="O80"/>
      <c r="P80"/>
      <c r="Q80"/>
      <c r="R80"/>
      <c r="S80"/>
      <c r="T80"/>
      <c r="U80"/>
      <c r="V80"/>
      <c r="W80"/>
      <c r="X80"/>
      <c r="Y80"/>
      <c r="Z80"/>
      <c r="AA80"/>
      <c r="AB80"/>
      <c r="AC80"/>
      <c r="AD80"/>
      <c r="AE80"/>
      <c r="AF80"/>
      <c r="AG80"/>
      <c r="AH80"/>
      <c r="AI80"/>
      <c r="AJ80"/>
      <c r="AK80"/>
      <c r="AL80"/>
      <c r="AM80"/>
      <c r="AN80"/>
      <c r="AO80"/>
    </row>
    <row r="81" spans="1:41" ht="14.7" customHeight="1">
      <c r="A81" s="138" t="s">
        <v>308</v>
      </c>
      <c r="B81" s="138"/>
      <c r="C81">
        <v>546</v>
      </c>
      <c r="D81">
        <v>498.6</v>
      </c>
      <c r="E81">
        <v>0.47299999999999998</v>
      </c>
      <c r="F81">
        <v>0.46600000000000003</v>
      </c>
      <c r="G81">
        <v>0.184</v>
      </c>
      <c r="H81">
        <v>0.13700000000000001</v>
      </c>
      <c r="I81">
        <v>484.2</v>
      </c>
      <c r="J81">
        <v>437.1</v>
      </c>
      <c r="K81"/>
      <c r="L81"/>
      <c r="M81"/>
      <c r="N81"/>
      <c r="O81"/>
      <c r="P81"/>
      <c r="Q81"/>
      <c r="R81"/>
      <c r="S81"/>
      <c r="T81"/>
      <c r="U81"/>
      <c r="V81"/>
      <c r="W81"/>
      <c r="X81"/>
      <c r="Y81"/>
      <c r="Z81"/>
      <c r="AA81"/>
      <c r="AB81"/>
      <c r="AC81"/>
      <c r="AD81"/>
      <c r="AE81"/>
      <c r="AF81"/>
      <c r="AG81"/>
      <c r="AH81"/>
      <c r="AI81"/>
      <c r="AJ81"/>
      <c r="AK81"/>
      <c r="AL81"/>
      <c r="AM81"/>
      <c r="AN81"/>
      <c r="AO81"/>
    </row>
    <row r="82" spans="1:41" ht="14.7" customHeight="1">
      <c r="A82" s="138" t="s">
        <v>50</v>
      </c>
      <c r="B82" s="138"/>
      <c r="C82">
        <v>365.6</v>
      </c>
      <c r="D82">
        <v>334.5</v>
      </c>
      <c r="E82">
        <v>0.51500000000000001</v>
      </c>
      <c r="F82">
        <v>0.52700000000000002</v>
      </c>
      <c r="G82">
        <v>0</v>
      </c>
      <c r="H82">
        <v>0</v>
      </c>
      <c r="I82">
        <v>368</v>
      </c>
      <c r="J82">
        <v>346.7</v>
      </c>
      <c r="K82"/>
      <c r="L82"/>
      <c r="M82"/>
      <c r="N82"/>
      <c r="O82"/>
      <c r="P82"/>
      <c r="Q82"/>
      <c r="R82"/>
      <c r="S82"/>
      <c r="T82"/>
      <c r="U82"/>
      <c r="V82"/>
      <c r="W82"/>
      <c r="X82"/>
      <c r="Y82"/>
      <c r="Z82"/>
      <c r="AA82"/>
      <c r="AB82"/>
      <c r="AC82"/>
      <c r="AD82"/>
      <c r="AE82"/>
      <c r="AF82"/>
      <c r="AG82"/>
      <c r="AH82"/>
      <c r="AI82"/>
      <c r="AJ82"/>
      <c r="AK82"/>
      <c r="AL82"/>
      <c r="AM82"/>
      <c r="AN82"/>
      <c r="AO82"/>
    </row>
    <row r="83" spans="1:41" ht="14.7" customHeight="1">
      <c r="A83" s="138" t="s">
        <v>309</v>
      </c>
      <c r="B83" s="138"/>
      <c r="C83">
        <v>428.2</v>
      </c>
      <c r="D83">
        <v>401.5</v>
      </c>
      <c r="E83">
        <v>0.55100000000000005</v>
      </c>
      <c r="F83">
        <v>0.54</v>
      </c>
      <c r="G83">
        <v>4.2999999999999997E-2</v>
      </c>
      <c r="H83">
        <v>3.5000000000000003E-2</v>
      </c>
      <c r="I83">
        <v>449.2</v>
      </c>
      <c r="J83">
        <v>409.2</v>
      </c>
      <c r="K83"/>
      <c r="L83"/>
      <c r="M83"/>
      <c r="N83"/>
      <c r="O83"/>
      <c r="P83"/>
      <c r="Q83"/>
      <c r="R83"/>
      <c r="S83"/>
      <c r="T83"/>
      <c r="U83"/>
      <c r="V83"/>
      <c r="W83"/>
      <c r="X83"/>
      <c r="Y83"/>
      <c r="Z83"/>
      <c r="AA83"/>
      <c r="AB83"/>
      <c r="AC83"/>
      <c r="AD83"/>
      <c r="AE83"/>
      <c r="AF83"/>
      <c r="AG83"/>
      <c r="AH83"/>
      <c r="AI83"/>
      <c r="AJ83"/>
      <c r="AK83"/>
      <c r="AL83"/>
      <c r="AM83"/>
      <c r="AN83"/>
      <c r="AO83"/>
    </row>
    <row r="84" spans="1:41" ht="14.7" customHeight="1">
      <c r="A84" s="138" t="s">
        <v>230</v>
      </c>
      <c r="B84" s="138"/>
      <c r="C84">
        <v>555.6</v>
      </c>
      <c r="D84">
        <v>527.20000000000005</v>
      </c>
      <c r="E84">
        <v>0.44800000000000001</v>
      </c>
      <c r="F84">
        <v>0.436</v>
      </c>
      <c r="G84">
        <v>6.0000000000000001E-3</v>
      </c>
      <c r="H84">
        <v>5.0000000000000001E-3</v>
      </c>
      <c r="I84">
        <v>457.8</v>
      </c>
      <c r="J84">
        <v>426.8</v>
      </c>
      <c r="K84"/>
      <c r="L84"/>
      <c r="M84"/>
      <c r="N84"/>
      <c r="O84"/>
      <c r="P84"/>
      <c r="Q84"/>
      <c r="R84"/>
      <c r="S84"/>
      <c r="T84"/>
      <c r="U84"/>
      <c r="V84"/>
      <c r="W84"/>
      <c r="X84"/>
      <c r="Y84"/>
      <c r="Z84"/>
      <c r="AA84"/>
      <c r="AB84"/>
      <c r="AC84"/>
      <c r="AD84"/>
      <c r="AE84"/>
      <c r="AF84"/>
      <c r="AG84"/>
      <c r="AH84"/>
      <c r="AI84"/>
      <c r="AJ84"/>
      <c r="AK84"/>
      <c r="AL84"/>
      <c r="AM84"/>
      <c r="AN84"/>
      <c r="AO84"/>
    </row>
    <row r="85" spans="1:41" ht="14.7" customHeight="1">
      <c r="A85" s="138" t="s">
        <v>310</v>
      </c>
      <c r="B85" s="138"/>
      <c r="C85">
        <v>403.3</v>
      </c>
      <c r="D85">
        <v>377.9</v>
      </c>
      <c r="E85">
        <v>0.59799999999999998</v>
      </c>
      <c r="F85">
        <v>0.59099999999999997</v>
      </c>
      <c r="G85">
        <v>0.02</v>
      </c>
      <c r="H85">
        <v>2.8000000000000001E-2</v>
      </c>
      <c r="I85">
        <v>477.4</v>
      </c>
      <c r="J85">
        <v>441.4</v>
      </c>
      <c r="K85"/>
      <c r="L85"/>
      <c r="M85"/>
      <c r="N85"/>
      <c r="O85"/>
      <c r="P85"/>
      <c r="Q85"/>
      <c r="R85"/>
      <c r="S85"/>
      <c r="T85"/>
      <c r="U85"/>
      <c r="V85"/>
      <c r="W85"/>
      <c r="X85"/>
      <c r="Y85"/>
      <c r="Z85"/>
      <c r="AA85"/>
      <c r="AB85"/>
      <c r="AC85"/>
      <c r="AD85"/>
      <c r="AE85"/>
      <c r="AF85"/>
      <c r="AG85"/>
      <c r="AH85"/>
      <c r="AI85"/>
      <c r="AJ85"/>
      <c r="AK85"/>
      <c r="AL85"/>
      <c r="AM85"/>
      <c r="AN85"/>
      <c r="AO85"/>
    </row>
    <row r="86" spans="1:41" ht="14.7" customHeight="1">
      <c r="A86" s="138" t="s">
        <v>51</v>
      </c>
      <c r="B86" s="138"/>
      <c r="C86">
        <v>431.5</v>
      </c>
      <c r="D86">
        <v>423.7</v>
      </c>
      <c r="E86">
        <v>0.437</v>
      </c>
      <c r="F86">
        <v>0.432</v>
      </c>
      <c r="G86">
        <v>0</v>
      </c>
      <c r="H86">
        <v>0</v>
      </c>
      <c r="I86">
        <v>357.4</v>
      </c>
      <c r="J86">
        <v>349</v>
      </c>
      <c r="K86"/>
      <c r="L86"/>
      <c r="M86"/>
      <c r="N86"/>
      <c r="O86"/>
      <c r="P86"/>
      <c r="Q86"/>
      <c r="R86"/>
      <c r="S86"/>
      <c r="T86"/>
      <c r="U86"/>
      <c r="V86"/>
      <c r="W86"/>
      <c r="X86"/>
      <c r="Y86"/>
      <c r="Z86"/>
      <c r="AA86"/>
      <c r="AB86"/>
      <c r="AC86"/>
      <c r="AD86"/>
      <c r="AE86"/>
      <c r="AF86"/>
      <c r="AG86"/>
      <c r="AH86"/>
      <c r="AI86"/>
      <c r="AJ86"/>
      <c r="AK86"/>
      <c r="AL86"/>
      <c r="AM86"/>
      <c r="AN86"/>
      <c r="AO86"/>
    </row>
    <row r="87" spans="1:41" ht="14.7" customHeight="1">
      <c r="A87" s="138" t="s">
        <v>231</v>
      </c>
      <c r="B87" s="138"/>
      <c r="C87">
        <v>577.1</v>
      </c>
      <c r="D87">
        <v>542.70000000000005</v>
      </c>
      <c r="E87">
        <v>0.36399999999999999</v>
      </c>
      <c r="F87">
        <v>0.35499999999999998</v>
      </c>
      <c r="G87">
        <v>1.9E-2</v>
      </c>
      <c r="H87">
        <v>4.4999999999999998E-2</v>
      </c>
      <c r="I87">
        <v>393.3</v>
      </c>
      <c r="J87">
        <v>364.3</v>
      </c>
      <c r="K87"/>
      <c r="L87"/>
      <c r="M87"/>
      <c r="N87"/>
      <c r="O87"/>
      <c r="P87"/>
      <c r="Q87"/>
      <c r="R87"/>
      <c r="S87"/>
      <c r="T87"/>
      <c r="U87"/>
      <c r="V87"/>
      <c r="W87"/>
      <c r="X87"/>
      <c r="Y87"/>
      <c r="Z87"/>
      <c r="AA87"/>
      <c r="AB87"/>
      <c r="AC87"/>
      <c r="AD87"/>
      <c r="AE87"/>
      <c r="AF87"/>
      <c r="AG87"/>
      <c r="AH87"/>
      <c r="AI87"/>
      <c r="AJ87"/>
      <c r="AK87"/>
      <c r="AL87"/>
      <c r="AM87"/>
      <c r="AN87"/>
      <c r="AO87"/>
    </row>
    <row r="88" spans="1:41" ht="14.7" customHeight="1">
      <c r="A88" s="138" t="s">
        <v>203</v>
      </c>
      <c r="B88" s="138"/>
      <c r="C88">
        <v>318.8</v>
      </c>
      <c r="D88">
        <v>289.60000000000002</v>
      </c>
      <c r="E88">
        <v>0.47599999999999998</v>
      </c>
      <c r="F88">
        <v>0.48399999999999999</v>
      </c>
      <c r="G88">
        <v>0</v>
      </c>
      <c r="H88">
        <v>0</v>
      </c>
      <c r="I88">
        <v>240.2</v>
      </c>
      <c r="J88">
        <v>224.2</v>
      </c>
      <c r="K88"/>
      <c r="L88"/>
      <c r="M88"/>
      <c r="N88"/>
      <c r="O88"/>
      <c r="P88"/>
      <c r="Q88"/>
      <c r="R88"/>
      <c r="S88"/>
      <c r="T88"/>
      <c r="U88"/>
      <c r="V88"/>
      <c r="W88"/>
      <c r="X88"/>
      <c r="Y88"/>
      <c r="Z88"/>
      <c r="AA88"/>
      <c r="AB88"/>
      <c r="AC88"/>
      <c r="AD88"/>
      <c r="AE88"/>
      <c r="AF88"/>
      <c r="AG88"/>
      <c r="AH88"/>
      <c r="AI88"/>
      <c r="AJ88"/>
      <c r="AK88"/>
      <c r="AL88"/>
      <c r="AM88"/>
      <c r="AN88"/>
      <c r="AO88"/>
    </row>
    <row r="89" spans="1:41" ht="14.7" customHeight="1">
      <c r="A89" s="138" t="s">
        <v>52</v>
      </c>
      <c r="B89" s="138"/>
      <c r="C89">
        <v>362.3</v>
      </c>
      <c r="D89">
        <v>335.9</v>
      </c>
      <c r="E89">
        <v>0.56599999999999995</v>
      </c>
      <c r="F89">
        <v>0.55000000000000004</v>
      </c>
      <c r="G89">
        <v>0</v>
      </c>
      <c r="H89">
        <v>0</v>
      </c>
      <c r="I89">
        <v>372.2</v>
      </c>
      <c r="J89">
        <v>335.2</v>
      </c>
      <c r="K89"/>
      <c r="L89"/>
      <c r="M89"/>
      <c r="N89"/>
      <c r="O89"/>
      <c r="P89"/>
      <c r="Q89"/>
      <c r="R89"/>
      <c r="S89"/>
      <c r="T89"/>
      <c r="U89"/>
      <c r="V89"/>
      <c r="W89"/>
      <c r="X89"/>
      <c r="Y89"/>
      <c r="Z89"/>
      <c r="AA89"/>
      <c r="AB89"/>
      <c r="AC89"/>
      <c r="AD89"/>
      <c r="AE89"/>
      <c r="AF89"/>
      <c r="AG89"/>
      <c r="AH89"/>
      <c r="AI89"/>
      <c r="AJ89"/>
      <c r="AK89"/>
      <c r="AL89"/>
      <c r="AM89"/>
      <c r="AN89"/>
      <c r="AO89"/>
    </row>
    <row r="90" spans="1:41" ht="14.7" customHeight="1">
      <c r="A90" s="138" t="s">
        <v>53</v>
      </c>
      <c r="B90" s="138"/>
      <c r="C90">
        <v>265.5</v>
      </c>
      <c r="D90">
        <v>255.7</v>
      </c>
      <c r="E90">
        <v>0.61</v>
      </c>
      <c r="F90">
        <v>0.59499999999999997</v>
      </c>
      <c r="G90">
        <v>0</v>
      </c>
      <c r="H90">
        <v>0</v>
      </c>
      <c r="I90">
        <v>324.7</v>
      </c>
      <c r="J90">
        <v>300.10000000000002</v>
      </c>
      <c r="K90"/>
      <c r="L90"/>
      <c r="M90"/>
      <c r="N90"/>
      <c r="O90"/>
      <c r="P90"/>
      <c r="Q90"/>
      <c r="R90"/>
      <c r="S90"/>
      <c r="T90"/>
      <c r="U90"/>
      <c r="V90"/>
      <c r="W90"/>
      <c r="X90"/>
      <c r="Y90"/>
      <c r="Z90"/>
      <c r="AA90"/>
      <c r="AB90"/>
      <c r="AC90"/>
      <c r="AD90"/>
      <c r="AE90"/>
      <c r="AF90"/>
      <c r="AG90"/>
      <c r="AH90"/>
      <c r="AI90"/>
      <c r="AJ90"/>
      <c r="AK90"/>
      <c r="AL90"/>
      <c r="AM90"/>
      <c r="AN90"/>
      <c r="AO90"/>
    </row>
    <row r="91" spans="1:41" ht="14.7" customHeight="1">
      <c r="A91" s="138" t="s">
        <v>55</v>
      </c>
      <c r="B91" s="138"/>
      <c r="C91">
        <v>481.9</v>
      </c>
      <c r="D91">
        <v>459.4</v>
      </c>
      <c r="E91">
        <v>0.36699999999999999</v>
      </c>
      <c r="F91">
        <v>0.34300000000000003</v>
      </c>
      <c r="G91">
        <v>0</v>
      </c>
      <c r="H91">
        <v>0</v>
      </c>
      <c r="I91">
        <v>334.3</v>
      </c>
      <c r="J91">
        <v>307.10000000000002</v>
      </c>
      <c r="K91"/>
      <c r="L91"/>
      <c r="M91"/>
      <c r="N91"/>
      <c r="O91"/>
      <c r="P91"/>
      <c r="Q91"/>
      <c r="R91"/>
      <c r="S91"/>
      <c r="T91"/>
      <c r="U91"/>
      <c r="V91"/>
      <c r="W91"/>
      <c r="X91"/>
      <c r="Y91"/>
      <c r="Z91"/>
      <c r="AA91"/>
      <c r="AB91"/>
      <c r="AC91"/>
      <c r="AD91"/>
      <c r="AE91"/>
      <c r="AF91"/>
      <c r="AG91"/>
      <c r="AH91"/>
      <c r="AI91"/>
      <c r="AJ91"/>
      <c r="AK91"/>
      <c r="AL91"/>
      <c r="AM91"/>
      <c r="AN91"/>
      <c r="AO91"/>
    </row>
    <row r="92" spans="1:41" ht="14.7" customHeight="1">
      <c r="A92" s="138" t="s">
        <v>56</v>
      </c>
      <c r="B92" s="138"/>
      <c r="C92">
        <v>468.9</v>
      </c>
      <c r="D92">
        <v>458.2</v>
      </c>
      <c r="E92">
        <v>0.46300000000000002</v>
      </c>
      <c r="F92">
        <v>0.435</v>
      </c>
      <c r="G92">
        <v>0</v>
      </c>
      <c r="H92">
        <v>0</v>
      </c>
      <c r="I92">
        <v>377.1</v>
      </c>
      <c r="J92">
        <v>353.5</v>
      </c>
      <c r="K92"/>
      <c r="L92"/>
      <c r="M92"/>
      <c r="N92"/>
      <c r="O92"/>
      <c r="P92"/>
      <c r="Q92"/>
      <c r="R92"/>
      <c r="S92"/>
      <c r="T92"/>
      <c r="U92"/>
      <c r="V92"/>
      <c r="W92"/>
      <c r="X92"/>
      <c r="Y92"/>
      <c r="Z92"/>
      <c r="AA92"/>
      <c r="AB92"/>
      <c r="AC92"/>
      <c r="AD92"/>
      <c r="AE92"/>
      <c r="AF92"/>
      <c r="AG92"/>
      <c r="AH92"/>
      <c r="AI92"/>
      <c r="AJ92"/>
      <c r="AK92"/>
      <c r="AL92"/>
      <c r="AM92"/>
      <c r="AN92"/>
      <c r="AO92"/>
    </row>
    <row r="93" spans="1:41" ht="14.7" customHeight="1">
      <c r="A93" s="138" t="s">
        <v>57</v>
      </c>
      <c r="B93" s="138"/>
      <c r="C93">
        <v>483.8</v>
      </c>
      <c r="D93">
        <v>450</v>
      </c>
      <c r="E93">
        <v>0.40500000000000003</v>
      </c>
      <c r="F93">
        <v>0.39700000000000002</v>
      </c>
      <c r="G93">
        <v>0</v>
      </c>
      <c r="H93">
        <v>0</v>
      </c>
      <c r="I93">
        <v>402.2</v>
      </c>
      <c r="J93">
        <v>368.4</v>
      </c>
      <c r="K93"/>
      <c r="L93"/>
      <c r="M93"/>
      <c r="N93"/>
      <c r="O93"/>
      <c r="P93"/>
      <c r="Q93"/>
      <c r="R93"/>
      <c r="S93"/>
      <c r="T93"/>
      <c r="U93"/>
      <c r="V93"/>
      <c r="W93"/>
      <c r="X93"/>
      <c r="Y93"/>
      <c r="Z93"/>
      <c r="AA93"/>
      <c r="AB93"/>
      <c r="AC93"/>
      <c r="AD93"/>
      <c r="AE93"/>
      <c r="AF93"/>
      <c r="AG93"/>
      <c r="AH93"/>
      <c r="AI93"/>
      <c r="AJ93"/>
      <c r="AK93"/>
      <c r="AL93"/>
      <c r="AM93"/>
      <c r="AN93"/>
      <c r="AO93"/>
    </row>
    <row r="94" spans="1:41" ht="14.7" customHeight="1">
      <c r="A94" s="138" t="s">
        <v>268</v>
      </c>
      <c r="B94" s="138"/>
      <c r="C94">
        <v>442.4</v>
      </c>
      <c r="D94">
        <v>415.4</v>
      </c>
      <c r="E94">
        <v>0.60099999999999998</v>
      </c>
      <c r="F94">
        <v>0.58399999999999996</v>
      </c>
      <c r="G94">
        <v>1E-3</v>
      </c>
      <c r="H94">
        <v>1E-3</v>
      </c>
      <c r="I94">
        <v>518.6</v>
      </c>
      <c r="J94">
        <v>468.3</v>
      </c>
      <c r="K94"/>
      <c r="L94"/>
      <c r="M94"/>
      <c r="N94"/>
      <c r="O94"/>
      <c r="P94"/>
      <c r="Q94"/>
      <c r="R94"/>
      <c r="S94"/>
      <c r="T94"/>
      <c r="U94"/>
      <c r="V94"/>
      <c r="W94"/>
      <c r="X94"/>
      <c r="Y94"/>
      <c r="Z94"/>
      <c r="AA94"/>
      <c r="AB94"/>
      <c r="AC94"/>
      <c r="AD94"/>
      <c r="AE94"/>
      <c r="AF94"/>
      <c r="AG94"/>
      <c r="AH94"/>
      <c r="AI94"/>
      <c r="AJ94"/>
      <c r="AK94"/>
      <c r="AL94"/>
      <c r="AM94"/>
      <c r="AN94"/>
      <c r="AO94"/>
    </row>
    <row r="95" spans="1:41" ht="14.7" customHeight="1">
      <c r="A95" s="138" t="s">
        <v>59</v>
      </c>
      <c r="B95" s="138"/>
      <c r="C95">
        <v>526.6</v>
      </c>
      <c r="D95">
        <v>504.3</v>
      </c>
      <c r="E95">
        <v>0.41799999999999998</v>
      </c>
      <c r="F95">
        <v>0.38600000000000001</v>
      </c>
      <c r="G95">
        <v>0</v>
      </c>
      <c r="H95">
        <v>0</v>
      </c>
      <c r="I95">
        <v>392.2</v>
      </c>
      <c r="J95">
        <v>358.7</v>
      </c>
      <c r="K95"/>
      <c r="L95"/>
      <c r="M95"/>
      <c r="N95"/>
      <c r="O95"/>
      <c r="P95"/>
      <c r="Q95"/>
      <c r="R95"/>
      <c r="S95"/>
      <c r="T95"/>
      <c r="U95"/>
      <c r="V95"/>
      <c r="W95"/>
      <c r="X95"/>
      <c r="Y95"/>
      <c r="Z95"/>
      <c r="AA95"/>
      <c r="AB95"/>
      <c r="AC95"/>
      <c r="AD95"/>
      <c r="AE95"/>
      <c r="AF95"/>
      <c r="AG95"/>
      <c r="AH95"/>
      <c r="AI95"/>
      <c r="AJ95"/>
      <c r="AK95"/>
      <c r="AL95"/>
      <c r="AM95"/>
      <c r="AN95"/>
      <c r="AO95"/>
    </row>
    <row r="96" spans="1:41" ht="14.7" customHeight="1">
      <c r="A96" s="138" t="s">
        <v>899</v>
      </c>
      <c r="B96" s="138"/>
      <c r="C96">
        <v>507.3</v>
      </c>
      <c r="D96">
        <v>470</v>
      </c>
      <c r="E96">
        <v>0.40400000000000003</v>
      </c>
      <c r="F96">
        <v>0.39100000000000001</v>
      </c>
      <c r="G96">
        <v>0</v>
      </c>
      <c r="H96">
        <v>0</v>
      </c>
      <c r="I96">
        <v>414.8</v>
      </c>
      <c r="J96">
        <v>375.5</v>
      </c>
      <c r="K96"/>
      <c r="L96"/>
      <c r="M96"/>
      <c r="N96"/>
      <c r="O96"/>
      <c r="P96"/>
      <c r="Q96"/>
      <c r="R96"/>
      <c r="S96"/>
      <c r="T96"/>
      <c r="U96"/>
      <c r="V96"/>
      <c r="W96"/>
      <c r="X96"/>
      <c r="Y96"/>
      <c r="Z96"/>
      <c r="AA96"/>
      <c r="AB96"/>
      <c r="AC96"/>
      <c r="AD96"/>
      <c r="AE96"/>
      <c r="AF96"/>
      <c r="AG96"/>
      <c r="AH96"/>
      <c r="AI96"/>
      <c r="AJ96"/>
      <c r="AK96"/>
      <c r="AL96"/>
      <c r="AM96"/>
      <c r="AN96"/>
      <c r="AO96"/>
    </row>
    <row r="97" spans="1:41" ht="14.7" customHeight="1">
      <c r="A97" s="138" t="s">
        <v>311</v>
      </c>
      <c r="B97" s="138"/>
      <c r="C97">
        <v>549.29999999999995</v>
      </c>
      <c r="D97">
        <v>529</v>
      </c>
      <c r="E97">
        <v>0.433</v>
      </c>
      <c r="F97">
        <v>0.41099999999999998</v>
      </c>
      <c r="G97">
        <v>6.0000000000000001E-3</v>
      </c>
      <c r="H97">
        <v>7.0000000000000001E-3</v>
      </c>
      <c r="I97">
        <v>453.6</v>
      </c>
      <c r="J97">
        <v>421</v>
      </c>
      <c r="K97"/>
      <c r="L97"/>
      <c r="M97"/>
      <c r="N97"/>
      <c r="O97"/>
      <c r="P97"/>
      <c r="Q97"/>
      <c r="R97"/>
      <c r="S97"/>
      <c r="T97"/>
      <c r="U97"/>
      <c r="V97"/>
      <c r="W97"/>
      <c r="X97"/>
      <c r="Y97"/>
      <c r="Z97"/>
      <c r="AA97"/>
      <c r="AB97"/>
      <c r="AC97"/>
      <c r="AD97"/>
      <c r="AE97"/>
      <c r="AF97"/>
      <c r="AG97"/>
      <c r="AH97"/>
      <c r="AI97"/>
      <c r="AJ97"/>
      <c r="AK97"/>
      <c r="AL97"/>
      <c r="AM97"/>
      <c r="AN97"/>
      <c r="AO97"/>
    </row>
    <row r="98" spans="1:41" ht="14.7" customHeight="1">
      <c r="A98" s="138" t="s">
        <v>60</v>
      </c>
      <c r="B98" s="138"/>
      <c r="C98">
        <v>431.4</v>
      </c>
      <c r="D98">
        <v>412.8</v>
      </c>
      <c r="E98">
        <v>0.38900000000000001</v>
      </c>
      <c r="F98">
        <v>0.377</v>
      </c>
      <c r="G98">
        <v>0</v>
      </c>
      <c r="H98">
        <v>0</v>
      </c>
      <c r="I98">
        <v>343.5</v>
      </c>
      <c r="J98">
        <v>321.2</v>
      </c>
      <c r="K98"/>
      <c r="L98"/>
      <c r="M98"/>
      <c r="N98"/>
      <c r="O98"/>
      <c r="P98"/>
      <c r="Q98"/>
      <c r="R98"/>
      <c r="S98"/>
      <c r="T98"/>
      <c r="U98"/>
      <c r="V98"/>
      <c r="W98"/>
      <c r="X98"/>
      <c r="Y98"/>
      <c r="Z98"/>
      <c r="AA98"/>
      <c r="AB98"/>
      <c r="AC98"/>
      <c r="AD98"/>
      <c r="AE98"/>
      <c r="AF98"/>
      <c r="AG98"/>
      <c r="AH98"/>
      <c r="AI98"/>
      <c r="AJ98"/>
      <c r="AK98"/>
      <c r="AL98"/>
      <c r="AM98"/>
      <c r="AN98"/>
      <c r="AO98"/>
    </row>
    <row r="99" spans="1:41" ht="14.7" customHeight="1">
      <c r="A99" s="138" t="s">
        <v>61</v>
      </c>
      <c r="B99" s="138"/>
      <c r="C99">
        <v>443.6</v>
      </c>
      <c r="D99">
        <v>431.9</v>
      </c>
      <c r="E99">
        <v>0.439</v>
      </c>
      <c r="F99">
        <v>0.42199999999999999</v>
      </c>
      <c r="G99">
        <v>0</v>
      </c>
      <c r="H99">
        <v>0</v>
      </c>
      <c r="I99">
        <v>342.1</v>
      </c>
      <c r="J99">
        <v>323.2</v>
      </c>
      <c r="K99"/>
      <c r="L99"/>
      <c r="M99"/>
      <c r="N99"/>
      <c r="O99"/>
      <c r="P99"/>
      <c r="Q99"/>
      <c r="R99"/>
      <c r="S99"/>
      <c r="T99"/>
      <c r="U99"/>
      <c r="V99"/>
      <c r="W99"/>
      <c r="X99"/>
      <c r="Y99"/>
      <c r="Z99"/>
      <c r="AA99"/>
      <c r="AB99"/>
      <c r="AC99"/>
      <c r="AD99"/>
      <c r="AE99"/>
      <c r="AF99"/>
      <c r="AG99"/>
      <c r="AH99"/>
      <c r="AI99"/>
      <c r="AJ99"/>
      <c r="AK99"/>
      <c r="AL99"/>
      <c r="AM99"/>
      <c r="AN99"/>
      <c r="AO99"/>
    </row>
    <row r="100" spans="1:41" ht="14.7" customHeight="1">
      <c r="A100" s="138" t="s">
        <v>62</v>
      </c>
      <c r="B100" s="138"/>
      <c r="C100">
        <v>431.1</v>
      </c>
      <c r="D100">
        <v>421.5</v>
      </c>
      <c r="E100">
        <v>0.441</v>
      </c>
      <c r="F100">
        <v>0.44</v>
      </c>
      <c r="G100">
        <v>0</v>
      </c>
      <c r="H100">
        <v>0</v>
      </c>
      <c r="I100">
        <v>384.6</v>
      </c>
      <c r="J100">
        <v>379.8</v>
      </c>
      <c r="K100"/>
      <c r="L100"/>
      <c r="M100"/>
      <c r="N100"/>
      <c r="O100"/>
      <c r="P100"/>
      <c r="Q100"/>
      <c r="R100"/>
      <c r="S100"/>
      <c r="T100"/>
      <c r="U100"/>
      <c r="V100"/>
      <c r="W100"/>
      <c r="X100"/>
      <c r="Y100"/>
      <c r="Z100"/>
      <c r="AA100"/>
      <c r="AB100"/>
      <c r="AC100"/>
      <c r="AD100"/>
      <c r="AE100"/>
      <c r="AF100"/>
      <c r="AG100"/>
      <c r="AH100"/>
      <c r="AI100"/>
      <c r="AJ100"/>
      <c r="AK100"/>
      <c r="AL100"/>
      <c r="AM100"/>
      <c r="AN100"/>
      <c r="AO100"/>
    </row>
    <row r="101" spans="1:41" ht="14.7" customHeight="1">
      <c r="A101" s="138" t="s">
        <v>63</v>
      </c>
      <c r="B101" s="138"/>
      <c r="C101">
        <v>433.7</v>
      </c>
      <c r="D101">
        <v>410.2</v>
      </c>
      <c r="E101">
        <v>0.51300000000000001</v>
      </c>
      <c r="F101">
        <v>0.53500000000000003</v>
      </c>
      <c r="G101">
        <v>0</v>
      </c>
      <c r="H101">
        <v>0</v>
      </c>
      <c r="I101">
        <v>377</v>
      </c>
      <c r="J101">
        <v>374.1</v>
      </c>
      <c r="K101"/>
      <c r="L101"/>
      <c r="M101"/>
      <c r="N101"/>
      <c r="O101"/>
      <c r="P101"/>
      <c r="Q101"/>
      <c r="R101"/>
      <c r="S101"/>
      <c r="T101"/>
      <c r="U101"/>
      <c r="V101"/>
      <c r="W101"/>
      <c r="X101"/>
      <c r="Y101"/>
      <c r="Z101"/>
      <c r="AA101"/>
      <c r="AB101"/>
      <c r="AC101"/>
      <c r="AD101"/>
      <c r="AE101"/>
      <c r="AF101"/>
      <c r="AG101"/>
      <c r="AH101"/>
      <c r="AI101"/>
      <c r="AJ101"/>
      <c r="AK101"/>
      <c r="AL101"/>
      <c r="AM101"/>
      <c r="AN101"/>
      <c r="AO101"/>
    </row>
    <row r="102" spans="1:41" ht="14.7" customHeight="1">
      <c r="A102" s="138" t="s">
        <v>204</v>
      </c>
      <c r="B102" s="138"/>
      <c r="C102">
        <v>597</v>
      </c>
      <c r="D102">
        <v>530.20000000000005</v>
      </c>
      <c r="E102">
        <v>0.309</v>
      </c>
      <c r="F102">
        <v>0.34200000000000003</v>
      </c>
      <c r="G102">
        <v>0</v>
      </c>
      <c r="H102">
        <v>0</v>
      </c>
      <c r="I102">
        <v>331.9</v>
      </c>
      <c r="J102">
        <v>313</v>
      </c>
      <c r="K102"/>
      <c r="L102"/>
      <c r="M102"/>
      <c r="N102"/>
      <c r="O102"/>
      <c r="P102"/>
      <c r="Q102"/>
      <c r="R102"/>
      <c r="S102"/>
      <c r="T102"/>
      <c r="U102"/>
      <c r="V102"/>
      <c r="W102"/>
      <c r="X102"/>
      <c r="Y102"/>
      <c r="Z102"/>
      <c r="AA102"/>
      <c r="AB102"/>
      <c r="AC102"/>
      <c r="AD102"/>
      <c r="AE102"/>
      <c r="AF102"/>
      <c r="AG102"/>
      <c r="AH102"/>
      <c r="AI102"/>
      <c r="AJ102"/>
      <c r="AK102"/>
      <c r="AL102"/>
      <c r="AM102"/>
      <c r="AN102"/>
      <c r="AO102"/>
    </row>
    <row r="103" spans="1:41" ht="14.7" customHeight="1">
      <c r="A103" s="138" t="s">
        <v>64</v>
      </c>
      <c r="B103" s="138"/>
      <c r="C103">
        <v>453.1</v>
      </c>
      <c r="D103">
        <v>432</v>
      </c>
      <c r="E103">
        <v>0.54200000000000004</v>
      </c>
      <c r="F103">
        <v>0.51700000000000002</v>
      </c>
      <c r="G103">
        <v>0</v>
      </c>
      <c r="H103">
        <v>0</v>
      </c>
      <c r="I103">
        <v>421.7</v>
      </c>
      <c r="J103">
        <v>383.1</v>
      </c>
      <c r="K103"/>
      <c r="L103"/>
      <c r="M103"/>
      <c r="N103"/>
      <c r="O103"/>
      <c r="P103"/>
      <c r="Q103"/>
      <c r="R103"/>
      <c r="S103"/>
      <c r="T103"/>
      <c r="U103"/>
      <c r="V103"/>
      <c r="W103"/>
      <c r="X103"/>
      <c r="Y103"/>
      <c r="Z103"/>
      <c r="AA103"/>
      <c r="AB103"/>
      <c r="AC103"/>
      <c r="AD103"/>
      <c r="AE103"/>
      <c r="AF103"/>
      <c r="AG103"/>
      <c r="AH103"/>
      <c r="AI103"/>
      <c r="AJ103"/>
      <c r="AK103"/>
      <c r="AL103"/>
      <c r="AM103"/>
      <c r="AN103"/>
      <c r="AO103"/>
    </row>
    <row r="104" spans="1:41" ht="14.7" customHeight="1">
      <c r="A104" s="138" t="s">
        <v>345</v>
      </c>
      <c r="B104" s="138"/>
      <c r="C104">
        <v>419.5</v>
      </c>
      <c r="D104">
        <v>398.5</v>
      </c>
      <c r="E104">
        <v>0.54300000000000004</v>
      </c>
      <c r="F104">
        <v>0.51800000000000002</v>
      </c>
      <c r="G104">
        <v>0</v>
      </c>
      <c r="H104">
        <v>0</v>
      </c>
      <c r="I104">
        <v>370.8</v>
      </c>
      <c r="J104">
        <v>337</v>
      </c>
      <c r="K104"/>
      <c r="L104"/>
      <c r="M104"/>
      <c r="N104"/>
      <c r="O104"/>
      <c r="P104"/>
      <c r="Q104"/>
      <c r="R104"/>
      <c r="S104"/>
      <c r="T104"/>
      <c r="U104"/>
      <c r="V104"/>
      <c r="W104"/>
      <c r="X104"/>
      <c r="Y104"/>
      <c r="Z104"/>
      <c r="AA104"/>
      <c r="AB104"/>
      <c r="AC104"/>
      <c r="AD104"/>
      <c r="AE104"/>
      <c r="AF104"/>
      <c r="AG104"/>
      <c r="AH104"/>
      <c r="AI104"/>
      <c r="AJ104"/>
      <c r="AK104"/>
      <c r="AL104"/>
      <c r="AM104"/>
      <c r="AN104"/>
      <c r="AO104"/>
    </row>
    <row r="105" spans="1:41" ht="14.7" customHeight="1">
      <c r="A105" s="138" t="s">
        <v>65</v>
      </c>
      <c r="B105" s="138"/>
      <c r="C105">
        <v>517.29999999999995</v>
      </c>
      <c r="D105">
        <v>483</v>
      </c>
      <c r="E105">
        <v>0.41799999999999998</v>
      </c>
      <c r="F105">
        <v>0.39700000000000002</v>
      </c>
      <c r="G105">
        <v>0</v>
      </c>
      <c r="H105">
        <v>0</v>
      </c>
      <c r="I105">
        <v>414.8</v>
      </c>
      <c r="J105">
        <v>375.3</v>
      </c>
      <c r="K105"/>
      <c r="L105"/>
      <c r="M105"/>
      <c r="N105"/>
      <c r="O105"/>
      <c r="P105"/>
      <c r="Q105"/>
      <c r="R105"/>
      <c r="S105"/>
      <c r="T105"/>
      <c r="U105"/>
      <c r="V105"/>
      <c r="W105"/>
      <c r="X105"/>
      <c r="Y105"/>
      <c r="Z105"/>
      <c r="AA105"/>
      <c r="AB105"/>
      <c r="AC105"/>
      <c r="AD105"/>
      <c r="AE105"/>
      <c r="AF105"/>
      <c r="AG105"/>
      <c r="AH105"/>
      <c r="AI105"/>
      <c r="AJ105"/>
      <c r="AK105"/>
      <c r="AL105"/>
      <c r="AM105"/>
      <c r="AN105"/>
      <c r="AO105"/>
    </row>
    <row r="106" spans="1:41" ht="14.7" customHeight="1">
      <c r="A106" s="138" t="s">
        <v>312</v>
      </c>
      <c r="B106" s="138"/>
      <c r="C106">
        <v>516.5</v>
      </c>
      <c r="D106">
        <v>483.6</v>
      </c>
      <c r="E106">
        <v>0.50900000000000001</v>
      </c>
      <c r="F106">
        <v>0.48799999999999999</v>
      </c>
      <c r="G106">
        <v>0.46800000000000003</v>
      </c>
      <c r="H106">
        <v>0.504</v>
      </c>
      <c r="I106">
        <v>460.4</v>
      </c>
      <c r="J106">
        <v>412.8</v>
      </c>
      <c r="K106"/>
      <c r="L106"/>
      <c r="M106"/>
      <c r="N106"/>
      <c r="O106"/>
      <c r="P106"/>
      <c r="Q106"/>
      <c r="R106"/>
      <c r="S106"/>
      <c r="T106"/>
      <c r="U106"/>
      <c r="V106"/>
      <c r="W106"/>
      <c r="X106"/>
      <c r="Y106"/>
      <c r="Z106"/>
      <c r="AA106"/>
      <c r="AB106"/>
      <c r="AC106"/>
      <c r="AD106"/>
      <c r="AE106"/>
      <c r="AF106"/>
      <c r="AG106"/>
      <c r="AH106"/>
      <c r="AI106"/>
      <c r="AJ106"/>
      <c r="AK106"/>
      <c r="AL106"/>
      <c r="AM106"/>
      <c r="AN106"/>
      <c r="AO106"/>
    </row>
    <row r="107" spans="1:41" ht="14.7" customHeight="1">
      <c r="A107" s="138" t="s">
        <v>66</v>
      </c>
      <c r="B107" s="138"/>
      <c r="C107">
        <v>487.8</v>
      </c>
      <c r="D107">
        <v>450.9</v>
      </c>
      <c r="E107">
        <v>0.255</v>
      </c>
      <c r="F107">
        <v>0.245</v>
      </c>
      <c r="G107">
        <v>0</v>
      </c>
      <c r="H107">
        <v>0</v>
      </c>
      <c r="I107">
        <v>301.89999999999998</v>
      </c>
      <c r="J107">
        <v>266.8</v>
      </c>
      <c r="K107"/>
      <c r="L107"/>
      <c r="M107"/>
      <c r="N107"/>
      <c r="O107"/>
      <c r="P107"/>
      <c r="Q107"/>
      <c r="R107"/>
      <c r="S107"/>
      <c r="T107"/>
      <c r="U107"/>
      <c r="V107"/>
      <c r="W107"/>
      <c r="X107"/>
      <c r="Y107"/>
      <c r="Z107"/>
      <c r="AA107"/>
      <c r="AB107"/>
      <c r="AC107"/>
      <c r="AD107"/>
      <c r="AE107"/>
      <c r="AF107"/>
      <c r="AG107"/>
      <c r="AH107"/>
      <c r="AI107"/>
      <c r="AJ107"/>
      <c r="AK107"/>
      <c r="AL107"/>
      <c r="AM107"/>
      <c r="AN107"/>
      <c r="AO107"/>
    </row>
    <row r="108" spans="1:41" ht="14.7" customHeight="1">
      <c r="A108" s="138" t="s">
        <v>67</v>
      </c>
      <c r="B108" s="138"/>
      <c r="C108">
        <v>468.5</v>
      </c>
      <c r="D108">
        <v>447.3</v>
      </c>
      <c r="E108">
        <v>0.35199999999999998</v>
      </c>
      <c r="F108">
        <v>0.35799999999999998</v>
      </c>
      <c r="G108">
        <v>0</v>
      </c>
      <c r="H108">
        <v>0</v>
      </c>
      <c r="I108">
        <v>316.8</v>
      </c>
      <c r="J108">
        <v>307.39999999999998</v>
      </c>
      <c r="K108"/>
      <c r="L108"/>
      <c r="M108"/>
      <c r="N108"/>
      <c r="O108"/>
      <c r="P108"/>
      <c r="Q108"/>
      <c r="R108"/>
      <c r="S108"/>
      <c r="T108"/>
      <c r="U108"/>
      <c r="V108"/>
      <c r="W108"/>
      <c r="X108"/>
      <c r="Y108"/>
      <c r="Z108"/>
      <c r="AA108"/>
      <c r="AB108"/>
      <c r="AC108"/>
      <c r="AD108"/>
      <c r="AE108"/>
      <c r="AF108"/>
      <c r="AG108"/>
      <c r="AH108"/>
      <c r="AI108"/>
      <c r="AJ108"/>
      <c r="AK108"/>
      <c r="AL108"/>
      <c r="AM108"/>
      <c r="AN108"/>
      <c r="AO108"/>
    </row>
    <row r="109" spans="1:41" ht="14.7" customHeight="1">
      <c r="A109" s="138" t="s">
        <v>68</v>
      </c>
      <c r="B109" s="138"/>
      <c r="C109">
        <v>561.5</v>
      </c>
      <c r="D109">
        <v>551.4</v>
      </c>
      <c r="E109">
        <v>0.39800000000000002</v>
      </c>
      <c r="F109">
        <v>0.377</v>
      </c>
      <c r="G109">
        <v>0</v>
      </c>
      <c r="H109">
        <v>0</v>
      </c>
      <c r="I109">
        <v>423.4</v>
      </c>
      <c r="J109">
        <v>403.8</v>
      </c>
      <c r="K109"/>
      <c r="L109"/>
      <c r="M109"/>
      <c r="N109"/>
      <c r="O109"/>
      <c r="P109"/>
      <c r="Q109"/>
      <c r="R109"/>
      <c r="S109"/>
      <c r="T109"/>
      <c r="U109"/>
      <c r="V109"/>
      <c r="W109"/>
      <c r="X109"/>
      <c r="Y109"/>
      <c r="Z109"/>
      <c r="AA109"/>
      <c r="AB109"/>
      <c r="AC109"/>
      <c r="AD109"/>
      <c r="AE109"/>
      <c r="AF109"/>
      <c r="AG109"/>
      <c r="AH109"/>
      <c r="AI109"/>
      <c r="AJ109"/>
      <c r="AK109"/>
      <c r="AL109"/>
      <c r="AM109"/>
      <c r="AN109"/>
      <c r="AO109"/>
    </row>
    <row r="110" spans="1:41" ht="14.7" customHeight="1">
      <c r="A110" s="138" t="s">
        <v>902</v>
      </c>
      <c r="B110" s="138"/>
      <c r="C110">
        <v>424.1</v>
      </c>
      <c r="D110">
        <v>419.4</v>
      </c>
      <c r="E110">
        <v>0.45300000000000001</v>
      </c>
      <c r="F110">
        <v>0.44600000000000001</v>
      </c>
      <c r="G110">
        <v>0</v>
      </c>
      <c r="H110">
        <v>0</v>
      </c>
      <c r="I110">
        <v>369.8</v>
      </c>
      <c r="J110">
        <v>363.2</v>
      </c>
      <c r="K110"/>
      <c r="L110"/>
      <c r="M110"/>
      <c r="N110"/>
      <c r="O110"/>
      <c r="P110"/>
      <c r="Q110"/>
      <c r="R110"/>
      <c r="S110"/>
      <c r="T110"/>
      <c r="U110"/>
      <c r="V110"/>
      <c r="W110"/>
      <c r="X110"/>
      <c r="Y110"/>
      <c r="Z110"/>
      <c r="AA110"/>
      <c r="AB110"/>
      <c r="AC110"/>
      <c r="AD110"/>
      <c r="AE110"/>
      <c r="AF110"/>
      <c r="AG110"/>
      <c r="AH110"/>
      <c r="AI110"/>
      <c r="AJ110"/>
      <c r="AK110"/>
      <c r="AL110"/>
      <c r="AM110"/>
      <c r="AN110"/>
      <c r="AO110"/>
    </row>
    <row r="111" spans="1:41" ht="14.7" customHeight="1">
      <c r="A111" s="138" t="s">
        <v>70</v>
      </c>
      <c r="B111" s="138"/>
      <c r="C111">
        <v>407.5</v>
      </c>
      <c r="D111">
        <v>395.6</v>
      </c>
      <c r="E111">
        <v>0.54300000000000004</v>
      </c>
      <c r="F111">
        <v>0.52400000000000002</v>
      </c>
      <c r="G111">
        <v>0</v>
      </c>
      <c r="H111">
        <v>0</v>
      </c>
      <c r="I111">
        <v>402.1</v>
      </c>
      <c r="J111">
        <v>376.2</v>
      </c>
      <c r="K111"/>
      <c r="L111"/>
      <c r="M111"/>
      <c r="N111"/>
      <c r="O111"/>
      <c r="P111"/>
      <c r="Q111"/>
      <c r="R111"/>
      <c r="S111"/>
      <c r="T111"/>
      <c r="U111"/>
      <c r="V111"/>
      <c r="W111"/>
      <c r="X111"/>
      <c r="Y111"/>
      <c r="Z111"/>
      <c r="AA111"/>
      <c r="AB111"/>
      <c r="AC111"/>
      <c r="AD111"/>
      <c r="AE111"/>
      <c r="AF111"/>
      <c r="AG111"/>
      <c r="AH111"/>
      <c r="AI111"/>
      <c r="AJ111"/>
      <c r="AK111"/>
      <c r="AL111"/>
      <c r="AM111"/>
      <c r="AN111"/>
      <c r="AO111"/>
    </row>
    <row r="112" spans="1:41" ht="14.7" customHeight="1">
      <c r="A112" s="138" t="s">
        <v>71</v>
      </c>
      <c r="B112" s="138"/>
      <c r="C112">
        <v>454.8</v>
      </c>
      <c r="D112">
        <v>460</v>
      </c>
      <c r="E112">
        <v>0.44400000000000001</v>
      </c>
      <c r="F112">
        <v>0.41</v>
      </c>
      <c r="G112">
        <v>0</v>
      </c>
      <c r="H112">
        <v>0</v>
      </c>
      <c r="I112">
        <v>404.3</v>
      </c>
      <c r="J112">
        <v>385.5</v>
      </c>
      <c r="K112"/>
      <c r="L112"/>
      <c r="M112"/>
      <c r="N112"/>
      <c r="O112"/>
      <c r="P112"/>
      <c r="Q112"/>
      <c r="R112"/>
      <c r="S112"/>
      <c r="T112"/>
      <c r="U112"/>
      <c r="V112"/>
      <c r="W112"/>
      <c r="X112"/>
      <c r="Y112"/>
      <c r="Z112"/>
      <c r="AA112"/>
      <c r="AB112"/>
      <c r="AC112"/>
      <c r="AD112"/>
      <c r="AE112"/>
      <c r="AF112"/>
      <c r="AG112"/>
      <c r="AH112"/>
      <c r="AI112"/>
      <c r="AJ112"/>
      <c r="AK112"/>
      <c r="AL112"/>
      <c r="AM112"/>
      <c r="AN112"/>
      <c r="AO112"/>
    </row>
    <row r="113" spans="1:41" ht="14.7" customHeight="1">
      <c r="A113" s="138" t="s">
        <v>232</v>
      </c>
      <c r="B113" s="138"/>
      <c r="C113">
        <v>649.20000000000005</v>
      </c>
      <c r="D113">
        <v>615.5</v>
      </c>
      <c r="E113">
        <v>0.317</v>
      </c>
      <c r="F113">
        <v>0.317</v>
      </c>
      <c r="G113">
        <v>1.9E-2</v>
      </c>
      <c r="H113">
        <v>1.2E-2</v>
      </c>
      <c r="I113">
        <v>457.3</v>
      </c>
      <c r="J113">
        <v>431.8</v>
      </c>
      <c r="K113"/>
      <c r="L113"/>
      <c r="M113"/>
      <c r="N113"/>
      <c r="O113"/>
      <c r="P113"/>
      <c r="Q113"/>
      <c r="R113"/>
      <c r="S113"/>
      <c r="T113"/>
      <c r="U113"/>
      <c r="V113"/>
      <c r="W113"/>
      <c r="X113"/>
      <c r="Y113"/>
      <c r="Z113"/>
      <c r="AA113"/>
      <c r="AB113"/>
      <c r="AC113"/>
      <c r="AD113"/>
      <c r="AE113"/>
      <c r="AF113"/>
      <c r="AG113"/>
      <c r="AH113"/>
      <c r="AI113"/>
      <c r="AJ113"/>
      <c r="AK113"/>
      <c r="AL113"/>
      <c r="AM113"/>
      <c r="AN113"/>
      <c r="AO113"/>
    </row>
    <row r="114" spans="1:41" ht="14.7" customHeight="1">
      <c r="A114" s="138" t="s">
        <v>72</v>
      </c>
      <c r="B114" s="138"/>
      <c r="C114">
        <v>575.29999999999995</v>
      </c>
      <c r="D114">
        <v>534.6</v>
      </c>
      <c r="E114">
        <v>0.33100000000000002</v>
      </c>
      <c r="F114">
        <v>0.32700000000000001</v>
      </c>
      <c r="G114">
        <v>0</v>
      </c>
      <c r="H114">
        <v>0</v>
      </c>
      <c r="I114">
        <v>393.2</v>
      </c>
      <c r="J114">
        <v>365.7</v>
      </c>
      <c r="K114"/>
      <c r="L114"/>
      <c r="M114"/>
      <c r="N114"/>
      <c r="O114"/>
      <c r="P114"/>
      <c r="Q114"/>
      <c r="R114"/>
      <c r="S114"/>
      <c r="T114"/>
      <c r="U114"/>
      <c r="V114"/>
      <c r="W114"/>
      <c r="X114"/>
      <c r="Y114"/>
      <c r="Z114"/>
      <c r="AA114"/>
      <c r="AB114"/>
      <c r="AC114"/>
      <c r="AD114"/>
      <c r="AE114"/>
      <c r="AF114"/>
      <c r="AG114"/>
      <c r="AH114"/>
      <c r="AI114"/>
      <c r="AJ114"/>
      <c r="AK114"/>
      <c r="AL114"/>
      <c r="AM114"/>
      <c r="AN114"/>
      <c r="AO114"/>
    </row>
    <row r="115" spans="1:41" ht="14.7" customHeight="1">
      <c r="A115" s="138" t="s">
        <v>73</v>
      </c>
      <c r="B115" s="138"/>
      <c r="C115">
        <v>456.5</v>
      </c>
      <c r="D115">
        <v>438.2</v>
      </c>
      <c r="E115">
        <v>0.437</v>
      </c>
      <c r="F115">
        <v>0.41799999999999998</v>
      </c>
      <c r="G115">
        <v>0</v>
      </c>
      <c r="H115">
        <v>0</v>
      </c>
      <c r="I115">
        <v>355.8</v>
      </c>
      <c r="J115">
        <v>330.8</v>
      </c>
      <c r="K115"/>
      <c r="L115"/>
      <c r="M115"/>
      <c r="N115"/>
      <c r="O115"/>
      <c r="P115"/>
      <c r="Q115"/>
      <c r="R115"/>
      <c r="S115"/>
      <c r="T115"/>
      <c r="U115"/>
      <c r="V115"/>
      <c r="W115"/>
      <c r="X115"/>
      <c r="Y115"/>
      <c r="Z115"/>
      <c r="AA115"/>
      <c r="AB115"/>
      <c r="AC115"/>
      <c r="AD115"/>
      <c r="AE115"/>
      <c r="AF115"/>
      <c r="AG115"/>
      <c r="AH115"/>
      <c r="AI115"/>
      <c r="AJ115"/>
      <c r="AK115"/>
      <c r="AL115"/>
      <c r="AM115"/>
      <c r="AN115"/>
      <c r="AO115"/>
    </row>
    <row r="116" spans="1:41" ht="14.7" customHeight="1">
      <c r="A116" s="138" t="s">
        <v>313</v>
      </c>
      <c r="B116" s="138"/>
      <c r="C116">
        <v>469.2</v>
      </c>
      <c r="D116">
        <v>431.3</v>
      </c>
      <c r="E116">
        <v>0.50800000000000001</v>
      </c>
      <c r="F116">
        <v>0.51500000000000001</v>
      </c>
      <c r="G116">
        <v>2.9000000000000001E-2</v>
      </c>
      <c r="H116">
        <v>4.0000000000000001E-3</v>
      </c>
      <c r="I116">
        <v>436.7</v>
      </c>
      <c r="J116">
        <v>407.8</v>
      </c>
      <c r="K116"/>
      <c r="L116"/>
      <c r="M116"/>
      <c r="N116"/>
      <c r="O116"/>
      <c r="P116"/>
      <c r="Q116"/>
      <c r="R116"/>
      <c r="S116"/>
      <c r="T116"/>
      <c r="U116"/>
      <c r="V116"/>
      <c r="W116"/>
      <c r="X116"/>
      <c r="Y116"/>
      <c r="Z116"/>
      <c r="AA116"/>
      <c r="AB116"/>
      <c r="AC116"/>
      <c r="AD116"/>
      <c r="AE116"/>
      <c r="AF116"/>
      <c r="AG116"/>
      <c r="AH116"/>
      <c r="AI116"/>
      <c r="AJ116"/>
      <c r="AK116"/>
      <c r="AL116"/>
      <c r="AM116"/>
      <c r="AN116"/>
      <c r="AO116"/>
    </row>
    <row r="117" spans="1:41" ht="14.7" customHeight="1">
      <c r="A117" s="138" t="s">
        <v>74</v>
      </c>
      <c r="B117" s="138"/>
      <c r="C117">
        <v>509.4</v>
      </c>
      <c r="D117">
        <v>456.6</v>
      </c>
      <c r="E117">
        <v>0.27200000000000002</v>
      </c>
      <c r="F117">
        <v>0.27300000000000002</v>
      </c>
      <c r="G117">
        <v>0</v>
      </c>
      <c r="H117">
        <v>0</v>
      </c>
      <c r="I117">
        <v>320.5</v>
      </c>
      <c r="J117">
        <v>287.39999999999998</v>
      </c>
      <c r="K117"/>
      <c r="L117"/>
      <c r="M117"/>
      <c r="N117"/>
      <c r="O117"/>
      <c r="P117"/>
      <c r="Q117"/>
      <c r="R117"/>
      <c r="S117"/>
      <c r="T117"/>
      <c r="U117"/>
      <c r="V117"/>
      <c r="W117"/>
      <c r="X117"/>
      <c r="Y117"/>
      <c r="Z117"/>
      <c r="AA117"/>
      <c r="AB117"/>
      <c r="AC117"/>
      <c r="AD117"/>
      <c r="AE117"/>
      <c r="AF117"/>
      <c r="AG117"/>
      <c r="AH117"/>
      <c r="AI117"/>
      <c r="AJ117"/>
      <c r="AK117"/>
      <c r="AL117"/>
      <c r="AM117"/>
      <c r="AN117"/>
      <c r="AO117"/>
    </row>
    <row r="118" spans="1:41" ht="14.7" customHeight="1">
      <c r="A118" s="138" t="s">
        <v>75</v>
      </c>
      <c r="B118" s="138"/>
      <c r="C118">
        <v>483.5</v>
      </c>
      <c r="D118">
        <v>475.2</v>
      </c>
      <c r="E118">
        <v>0.42399999999999999</v>
      </c>
      <c r="F118">
        <v>0.40400000000000003</v>
      </c>
      <c r="G118">
        <v>0</v>
      </c>
      <c r="H118">
        <v>0</v>
      </c>
      <c r="I118">
        <v>345.9</v>
      </c>
      <c r="J118">
        <v>331.8</v>
      </c>
      <c r="K118"/>
      <c r="L118"/>
      <c r="M118"/>
      <c r="N118"/>
      <c r="O118"/>
      <c r="P118"/>
      <c r="Q118"/>
      <c r="R118"/>
      <c r="S118"/>
      <c r="T118"/>
      <c r="U118"/>
      <c r="V118"/>
      <c r="W118"/>
      <c r="X118"/>
      <c r="Y118"/>
      <c r="Z118"/>
      <c r="AA118"/>
      <c r="AB118"/>
      <c r="AC118"/>
      <c r="AD118"/>
      <c r="AE118"/>
      <c r="AF118"/>
      <c r="AG118"/>
      <c r="AH118"/>
      <c r="AI118"/>
      <c r="AJ118"/>
      <c r="AK118"/>
      <c r="AL118"/>
      <c r="AM118"/>
      <c r="AN118"/>
      <c r="AO118"/>
    </row>
    <row r="119" spans="1:41" ht="14.7" customHeight="1">
      <c r="A119" s="138" t="s">
        <v>76</v>
      </c>
      <c r="B119" s="138"/>
      <c r="C119">
        <v>565.6</v>
      </c>
      <c r="D119">
        <v>529</v>
      </c>
      <c r="E119">
        <v>0.31</v>
      </c>
      <c r="F119">
        <v>0.30399999999999999</v>
      </c>
      <c r="G119">
        <v>0</v>
      </c>
      <c r="H119">
        <v>0</v>
      </c>
      <c r="I119">
        <v>400.3</v>
      </c>
      <c r="J119">
        <v>375.2</v>
      </c>
      <c r="K119"/>
      <c r="L119"/>
      <c r="M119"/>
      <c r="N119"/>
      <c r="O119"/>
      <c r="P119"/>
      <c r="Q119"/>
      <c r="R119"/>
      <c r="S119"/>
      <c r="T119"/>
      <c r="U119"/>
      <c r="V119"/>
      <c r="W119"/>
      <c r="X119"/>
      <c r="Y119"/>
      <c r="Z119"/>
      <c r="AA119"/>
      <c r="AB119"/>
      <c r="AC119"/>
      <c r="AD119"/>
      <c r="AE119"/>
      <c r="AF119"/>
      <c r="AG119"/>
      <c r="AH119"/>
      <c r="AI119"/>
      <c r="AJ119"/>
      <c r="AK119"/>
      <c r="AL119"/>
      <c r="AM119"/>
      <c r="AN119"/>
      <c r="AO119"/>
    </row>
    <row r="120" spans="1:41" ht="14.7" customHeight="1">
      <c r="A120" s="138" t="s">
        <v>205</v>
      </c>
      <c r="B120" s="138"/>
      <c r="C120">
        <v>602.5</v>
      </c>
      <c r="D120">
        <v>576.29999999999995</v>
      </c>
      <c r="E120">
        <v>0.315</v>
      </c>
      <c r="F120">
        <v>0.29199999999999998</v>
      </c>
      <c r="G120">
        <v>2.7E-2</v>
      </c>
      <c r="H120">
        <v>3.0000000000000001E-3</v>
      </c>
      <c r="I120">
        <v>370.6</v>
      </c>
      <c r="J120">
        <v>343.5</v>
      </c>
      <c r="K120"/>
      <c r="L120"/>
      <c r="M120"/>
      <c r="N120"/>
      <c r="O120"/>
      <c r="P120"/>
      <c r="Q120"/>
      <c r="R120"/>
      <c r="S120"/>
      <c r="T120"/>
      <c r="U120"/>
      <c r="V120"/>
      <c r="W120"/>
      <c r="X120"/>
      <c r="Y120"/>
      <c r="Z120"/>
      <c r="AA120"/>
      <c r="AB120"/>
      <c r="AC120"/>
      <c r="AD120"/>
      <c r="AE120"/>
      <c r="AF120"/>
      <c r="AG120"/>
      <c r="AH120"/>
      <c r="AI120"/>
      <c r="AJ120"/>
      <c r="AK120"/>
      <c r="AL120"/>
      <c r="AM120"/>
      <c r="AN120"/>
      <c r="AO120"/>
    </row>
    <row r="121" spans="1:41" ht="14.7" customHeight="1">
      <c r="A121" s="138" t="s">
        <v>77</v>
      </c>
      <c r="B121" s="138"/>
      <c r="C121">
        <v>365.8</v>
      </c>
      <c r="D121">
        <v>360</v>
      </c>
      <c r="E121">
        <v>0.59299999999999997</v>
      </c>
      <c r="F121">
        <v>0.56399999999999995</v>
      </c>
      <c r="G121">
        <v>0</v>
      </c>
      <c r="H121">
        <v>0</v>
      </c>
      <c r="I121">
        <v>376.5</v>
      </c>
      <c r="J121">
        <v>347.3</v>
      </c>
      <c r="K121"/>
      <c r="L121"/>
      <c r="M121"/>
      <c r="N121"/>
      <c r="O121"/>
      <c r="P121"/>
      <c r="Q121"/>
      <c r="R121"/>
      <c r="S121"/>
      <c r="T121"/>
      <c r="U121"/>
      <c r="V121"/>
      <c r="W121"/>
      <c r="X121"/>
      <c r="Y121"/>
      <c r="Z121"/>
      <c r="AA121"/>
      <c r="AB121"/>
      <c r="AC121"/>
      <c r="AD121"/>
      <c r="AE121"/>
      <c r="AF121"/>
      <c r="AG121"/>
      <c r="AH121"/>
      <c r="AI121"/>
      <c r="AJ121"/>
      <c r="AK121"/>
      <c r="AL121"/>
      <c r="AM121"/>
      <c r="AN121"/>
      <c r="AO121"/>
    </row>
    <row r="122" spans="1:41" ht="14.7" customHeight="1">
      <c r="A122" s="138" t="s">
        <v>206</v>
      </c>
      <c r="B122" s="138"/>
      <c r="C122">
        <v>517</v>
      </c>
      <c r="D122">
        <v>511.9</v>
      </c>
      <c r="E122">
        <v>0.29099999999999998</v>
      </c>
      <c r="F122">
        <v>0.26300000000000001</v>
      </c>
      <c r="G122">
        <v>0</v>
      </c>
      <c r="H122">
        <v>0</v>
      </c>
      <c r="I122">
        <v>333.3</v>
      </c>
      <c r="J122">
        <v>316.39999999999998</v>
      </c>
      <c r="K122"/>
      <c r="L122"/>
      <c r="M122"/>
      <c r="N122"/>
      <c r="O122"/>
      <c r="P122"/>
      <c r="Q122"/>
      <c r="R122"/>
      <c r="S122"/>
      <c r="T122"/>
      <c r="U122"/>
      <c r="V122"/>
      <c r="W122"/>
      <c r="X122"/>
      <c r="Y122"/>
      <c r="Z122"/>
      <c r="AA122"/>
      <c r="AB122"/>
      <c r="AC122"/>
      <c r="AD122"/>
      <c r="AE122"/>
      <c r="AF122"/>
      <c r="AG122"/>
      <c r="AH122"/>
      <c r="AI122"/>
      <c r="AJ122"/>
      <c r="AK122"/>
      <c r="AL122"/>
      <c r="AM122"/>
      <c r="AN122"/>
      <c r="AO122"/>
    </row>
    <row r="123" spans="1:41" ht="14.7" customHeight="1">
      <c r="A123" s="138" t="s">
        <v>269</v>
      </c>
      <c r="B123" s="138"/>
      <c r="C123">
        <v>646.20000000000005</v>
      </c>
      <c r="D123">
        <v>598.9</v>
      </c>
      <c r="E123">
        <v>0.36899999999999999</v>
      </c>
      <c r="F123">
        <v>0.35399999999999998</v>
      </c>
      <c r="G123">
        <v>0</v>
      </c>
      <c r="H123">
        <v>6.0000000000000001E-3</v>
      </c>
      <c r="I123">
        <v>466.3</v>
      </c>
      <c r="J123">
        <v>422.3</v>
      </c>
      <c r="K123"/>
      <c r="L123"/>
      <c r="M123"/>
      <c r="N123"/>
      <c r="O123"/>
      <c r="P123"/>
      <c r="Q123"/>
      <c r="R123"/>
      <c r="S123"/>
      <c r="T123"/>
      <c r="U123"/>
      <c r="V123"/>
      <c r="W123"/>
      <c r="X123"/>
      <c r="Y123"/>
      <c r="Z123"/>
      <c r="AA123"/>
      <c r="AB123"/>
      <c r="AC123"/>
      <c r="AD123"/>
      <c r="AE123"/>
      <c r="AF123"/>
      <c r="AG123"/>
      <c r="AH123"/>
      <c r="AI123"/>
      <c r="AJ123"/>
      <c r="AK123"/>
      <c r="AL123"/>
      <c r="AM123"/>
      <c r="AN123"/>
      <c r="AO123"/>
    </row>
    <row r="124" spans="1:41" ht="14.7" customHeight="1">
      <c r="A124" s="138" t="s">
        <v>78</v>
      </c>
      <c r="B124" s="138"/>
      <c r="C124">
        <v>427.8</v>
      </c>
      <c r="D124">
        <v>400.9</v>
      </c>
      <c r="E124">
        <v>0.48199999999999998</v>
      </c>
      <c r="F124">
        <v>0.48399999999999999</v>
      </c>
      <c r="G124">
        <v>0</v>
      </c>
      <c r="H124">
        <v>0</v>
      </c>
      <c r="I124">
        <v>397.4</v>
      </c>
      <c r="J124">
        <v>378.3</v>
      </c>
      <c r="K124"/>
      <c r="L124"/>
      <c r="M124"/>
      <c r="N124"/>
      <c r="O124"/>
      <c r="P124"/>
      <c r="Q124"/>
      <c r="R124"/>
      <c r="S124"/>
      <c r="T124"/>
      <c r="U124"/>
      <c r="V124"/>
      <c r="W124"/>
      <c r="X124"/>
      <c r="Y124"/>
      <c r="Z124"/>
      <c r="AA124"/>
      <c r="AB124"/>
      <c r="AC124"/>
      <c r="AD124"/>
      <c r="AE124"/>
      <c r="AF124"/>
      <c r="AG124"/>
      <c r="AH124"/>
      <c r="AI124"/>
      <c r="AJ124"/>
      <c r="AK124"/>
      <c r="AL124"/>
      <c r="AM124"/>
      <c r="AN124"/>
      <c r="AO124"/>
    </row>
    <row r="125" spans="1:41" ht="14.7" customHeight="1">
      <c r="A125" s="138" t="s">
        <v>337</v>
      </c>
      <c r="B125" s="138"/>
      <c r="C125">
        <v>354.7</v>
      </c>
      <c r="D125">
        <v>334.7</v>
      </c>
      <c r="E125">
        <v>0.26300000000000001</v>
      </c>
      <c r="F125">
        <v>0.25700000000000001</v>
      </c>
      <c r="G125">
        <v>0</v>
      </c>
      <c r="H125">
        <v>0</v>
      </c>
      <c r="I125">
        <v>243</v>
      </c>
      <c r="J125">
        <v>227.6</v>
      </c>
      <c r="K125"/>
      <c r="L125"/>
      <c r="M125"/>
      <c r="N125"/>
      <c r="O125"/>
      <c r="P125"/>
      <c r="Q125"/>
      <c r="R125"/>
      <c r="S125"/>
      <c r="T125"/>
      <c r="U125"/>
      <c r="V125"/>
      <c r="W125"/>
      <c r="X125"/>
      <c r="Y125"/>
      <c r="Z125"/>
      <c r="AA125"/>
      <c r="AB125"/>
      <c r="AC125"/>
      <c r="AD125"/>
      <c r="AE125"/>
      <c r="AF125"/>
      <c r="AG125"/>
      <c r="AH125"/>
      <c r="AI125"/>
      <c r="AJ125"/>
      <c r="AK125"/>
      <c r="AL125"/>
      <c r="AM125"/>
      <c r="AN125"/>
      <c r="AO125"/>
    </row>
    <row r="126" spans="1:41" ht="14.7" customHeight="1">
      <c r="A126" s="138" t="s">
        <v>314</v>
      </c>
      <c r="B126" s="138"/>
      <c r="C126">
        <v>594.9</v>
      </c>
      <c r="D126">
        <v>557.29999999999995</v>
      </c>
      <c r="E126">
        <v>0.38600000000000001</v>
      </c>
      <c r="F126">
        <v>0.38700000000000001</v>
      </c>
      <c r="G126">
        <v>5.0999999999999997E-2</v>
      </c>
      <c r="H126">
        <v>5.8999999999999997E-2</v>
      </c>
      <c r="I126">
        <v>422.4</v>
      </c>
      <c r="J126">
        <v>397.2</v>
      </c>
      <c r="K126"/>
      <c r="L126"/>
      <c r="M126"/>
      <c r="N126"/>
      <c r="O126"/>
      <c r="P126"/>
      <c r="Q126"/>
      <c r="R126"/>
      <c r="S126"/>
      <c r="T126"/>
      <c r="U126"/>
      <c r="V126"/>
      <c r="W126"/>
      <c r="X126"/>
      <c r="Y126"/>
      <c r="Z126"/>
      <c r="AA126"/>
      <c r="AB126"/>
      <c r="AC126"/>
      <c r="AD126"/>
      <c r="AE126"/>
      <c r="AF126"/>
      <c r="AG126"/>
      <c r="AH126"/>
      <c r="AI126"/>
      <c r="AJ126"/>
      <c r="AK126"/>
      <c r="AL126"/>
      <c r="AM126"/>
      <c r="AN126"/>
      <c r="AO126"/>
    </row>
    <row r="127" spans="1:41" ht="14.7" customHeight="1">
      <c r="A127" s="138" t="s">
        <v>79</v>
      </c>
      <c r="B127" s="138"/>
      <c r="C127">
        <v>501.2</v>
      </c>
      <c r="D127">
        <v>464.8</v>
      </c>
      <c r="E127">
        <v>0.44700000000000001</v>
      </c>
      <c r="F127">
        <v>0.436</v>
      </c>
      <c r="G127">
        <v>0</v>
      </c>
      <c r="H127">
        <v>0</v>
      </c>
      <c r="I127">
        <v>392.4</v>
      </c>
      <c r="J127">
        <v>355.4</v>
      </c>
      <c r="K127"/>
      <c r="L127"/>
      <c r="M127"/>
      <c r="N127"/>
      <c r="O127"/>
      <c r="P127"/>
      <c r="Q127"/>
      <c r="R127"/>
      <c r="S127"/>
      <c r="T127"/>
      <c r="U127"/>
      <c r="V127"/>
      <c r="W127"/>
      <c r="X127"/>
      <c r="Y127"/>
      <c r="Z127"/>
      <c r="AA127"/>
      <c r="AB127"/>
      <c r="AC127"/>
      <c r="AD127"/>
      <c r="AE127"/>
      <c r="AF127"/>
      <c r="AG127"/>
      <c r="AH127"/>
      <c r="AI127"/>
      <c r="AJ127"/>
      <c r="AK127"/>
      <c r="AL127"/>
      <c r="AM127"/>
      <c r="AN127"/>
      <c r="AO127"/>
    </row>
    <row r="128" spans="1:41" ht="14.7" customHeight="1">
      <c r="A128" s="138" t="s">
        <v>207</v>
      </c>
      <c r="B128" s="138"/>
      <c r="C128">
        <v>520.4</v>
      </c>
      <c r="D128">
        <v>522.70000000000005</v>
      </c>
      <c r="E128">
        <v>0.30199999999999999</v>
      </c>
      <c r="F128">
        <v>0.27400000000000002</v>
      </c>
      <c r="G128">
        <v>0</v>
      </c>
      <c r="H128">
        <v>0</v>
      </c>
      <c r="I128">
        <v>316.2</v>
      </c>
      <c r="J128">
        <v>310.2</v>
      </c>
      <c r="K128"/>
      <c r="L128"/>
      <c r="M128"/>
      <c r="N128"/>
      <c r="O128"/>
      <c r="P128"/>
      <c r="Q128"/>
      <c r="R128"/>
      <c r="S128"/>
      <c r="T128"/>
      <c r="U128"/>
      <c r="V128"/>
      <c r="W128"/>
      <c r="X128"/>
      <c r="Y128"/>
      <c r="Z128"/>
      <c r="AA128"/>
      <c r="AB128"/>
      <c r="AC128"/>
      <c r="AD128"/>
      <c r="AE128"/>
      <c r="AF128"/>
      <c r="AG128"/>
      <c r="AH128"/>
      <c r="AI128"/>
      <c r="AJ128"/>
      <c r="AK128"/>
      <c r="AL128"/>
      <c r="AM128"/>
      <c r="AN128"/>
      <c r="AO128"/>
    </row>
    <row r="129" spans="1:41" ht="14.7" customHeight="1">
      <c r="A129" s="138" t="s">
        <v>80</v>
      </c>
      <c r="B129" s="138"/>
      <c r="C129">
        <v>454</v>
      </c>
      <c r="D129">
        <v>427.7</v>
      </c>
      <c r="E129">
        <v>0.39700000000000002</v>
      </c>
      <c r="F129">
        <v>0.39300000000000002</v>
      </c>
      <c r="G129">
        <v>0</v>
      </c>
      <c r="H129">
        <v>0</v>
      </c>
      <c r="I129">
        <v>318.7</v>
      </c>
      <c r="J129">
        <v>298</v>
      </c>
      <c r="K129"/>
      <c r="L129"/>
      <c r="M129"/>
      <c r="N129"/>
      <c r="O129"/>
      <c r="P129"/>
      <c r="Q129"/>
      <c r="R129"/>
      <c r="S129"/>
      <c r="T129"/>
      <c r="U129"/>
      <c r="V129"/>
      <c r="W129"/>
      <c r="X129"/>
      <c r="Y129"/>
      <c r="Z129"/>
      <c r="AA129"/>
      <c r="AB129"/>
      <c r="AC129"/>
      <c r="AD129"/>
      <c r="AE129"/>
      <c r="AF129"/>
      <c r="AG129"/>
      <c r="AH129"/>
      <c r="AI129"/>
      <c r="AJ129"/>
      <c r="AK129"/>
      <c r="AL129"/>
      <c r="AM129"/>
      <c r="AN129"/>
      <c r="AO129"/>
    </row>
    <row r="130" spans="1:41" ht="14.7" customHeight="1">
      <c r="A130" s="138" t="s">
        <v>81</v>
      </c>
      <c r="B130" s="138"/>
      <c r="C130">
        <v>420.3</v>
      </c>
      <c r="D130">
        <v>396.7</v>
      </c>
      <c r="E130">
        <v>0.42599999999999999</v>
      </c>
      <c r="F130">
        <v>0.41299999999999998</v>
      </c>
      <c r="G130">
        <v>0</v>
      </c>
      <c r="H130">
        <v>0</v>
      </c>
      <c r="I130">
        <v>336.7</v>
      </c>
      <c r="J130">
        <v>315.5</v>
      </c>
      <c r="K130"/>
      <c r="L130"/>
      <c r="M130"/>
      <c r="N130"/>
      <c r="O130"/>
      <c r="P130"/>
      <c r="Q130"/>
      <c r="R130"/>
      <c r="S130"/>
      <c r="T130"/>
      <c r="U130"/>
      <c r="V130"/>
      <c r="W130"/>
      <c r="X130"/>
      <c r="Y130"/>
      <c r="Z130"/>
      <c r="AA130"/>
      <c r="AB130"/>
      <c r="AC130"/>
      <c r="AD130"/>
      <c r="AE130"/>
      <c r="AF130"/>
      <c r="AG130"/>
      <c r="AH130"/>
      <c r="AI130"/>
      <c r="AJ130"/>
      <c r="AK130"/>
      <c r="AL130"/>
      <c r="AM130"/>
      <c r="AN130"/>
      <c r="AO130"/>
    </row>
    <row r="131" spans="1:41" ht="14.7" customHeight="1">
      <c r="A131" s="138" t="s">
        <v>208</v>
      </c>
      <c r="B131" s="138"/>
      <c r="C131">
        <v>613.9</v>
      </c>
      <c r="D131">
        <v>678.8</v>
      </c>
      <c r="E131">
        <v>0.35699999999999998</v>
      </c>
      <c r="F131">
        <v>0.3</v>
      </c>
      <c r="G131">
        <v>0</v>
      </c>
      <c r="H131">
        <v>0</v>
      </c>
      <c r="I131">
        <v>348.3</v>
      </c>
      <c r="J131">
        <v>356.4</v>
      </c>
      <c r="K131"/>
      <c r="L131"/>
      <c r="M131"/>
      <c r="N131"/>
      <c r="O131"/>
      <c r="P131"/>
      <c r="Q131"/>
      <c r="R131"/>
      <c r="S131"/>
      <c r="T131"/>
      <c r="U131"/>
      <c r="V131"/>
      <c r="W131"/>
      <c r="X131"/>
      <c r="Y131"/>
      <c r="Z131"/>
      <c r="AA131"/>
      <c r="AB131"/>
      <c r="AC131"/>
      <c r="AD131"/>
      <c r="AE131"/>
      <c r="AF131"/>
      <c r="AG131"/>
      <c r="AH131"/>
      <c r="AI131"/>
      <c r="AJ131"/>
      <c r="AK131"/>
      <c r="AL131"/>
      <c r="AM131"/>
      <c r="AN131"/>
      <c r="AO131"/>
    </row>
    <row r="132" spans="1:41" ht="14.7" customHeight="1">
      <c r="A132" s="138" t="s">
        <v>82</v>
      </c>
      <c r="B132" s="138"/>
      <c r="C132">
        <v>494.6</v>
      </c>
      <c r="D132">
        <v>464.1</v>
      </c>
      <c r="E132">
        <v>0.40899999999999997</v>
      </c>
      <c r="F132">
        <v>0.41899999999999998</v>
      </c>
      <c r="G132">
        <v>0</v>
      </c>
      <c r="H132">
        <v>0</v>
      </c>
      <c r="I132">
        <v>348.1</v>
      </c>
      <c r="J132">
        <v>335.4</v>
      </c>
      <c r="K132"/>
      <c r="L132"/>
      <c r="M132"/>
      <c r="N132"/>
      <c r="O132"/>
      <c r="P132"/>
      <c r="Q132"/>
      <c r="R132"/>
      <c r="S132"/>
      <c r="T132"/>
      <c r="U132"/>
      <c r="V132"/>
      <c r="W132"/>
      <c r="X132"/>
      <c r="Y132"/>
      <c r="Z132"/>
      <c r="AA132"/>
      <c r="AB132"/>
      <c r="AC132"/>
      <c r="AD132"/>
      <c r="AE132"/>
      <c r="AF132"/>
      <c r="AG132"/>
      <c r="AH132"/>
      <c r="AI132"/>
      <c r="AJ132"/>
      <c r="AK132"/>
      <c r="AL132"/>
      <c r="AM132"/>
      <c r="AN132"/>
      <c r="AO132"/>
    </row>
    <row r="133" spans="1:41" ht="14.7" customHeight="1">
      <c r="A133" s="138" t="s">
        <v>270</v>
      </c>
      <c r="B133" s="138"/>
      <c r="C133">
        <v>597.1</v>
      </c>
      <c r="D133">
        <v>572.9</v>
      </c>
      <c r="E133">
        <v>0.32600000000000001</v>
      </c>
      <c r="F133">
        <v>0.30099999999999999</v>
      </c>
      <c r="G133">
        <v>1.0999999999999999E-2</v>
      </c>
      <c r="H133">
        <v>5.2999999999999999E-2</v>
      </c>
      <c r="I133">
        <v>427.3</v>
      </c>
      <c r="J133">
        <v>394.1</v>
      </c>
      <c r="K133"/>
      <c r="L133"/>
      <c r="M133"/>
      <c r="N133"/>
      <c r="O133"/>
      <c r="P133"/>
      <c r="Q133"/>
      <c r="R133"/>
      <c r="S133"/>
      <c r="T133"/>
      <c r="U133"/>
      <c r="V133"/>
      <c r="W133"/>
      <c r="X133"/>
      <c r="Y133"/>
      <c r="Z133"/>
      <c r="AA133"/>
      <c r="AB133"/>
      <c r="AC133"/>
      <c r="AD133"/>
      <c r="AE133"/>
      <c r="AF133"/>
      <c r="AG133"/>
      <c r="AH133"/>
      <c r="AI133"/>
      <c r="AJ133"/>
      <c r="AK133"/>
      <c r="AL133"/>
      <c r="AM133"/>
      <c r="AN133"/>
      <c r="AO133"/>
    </row>
    <row r="134" spans="1:41" ht="14.7" customHeight="1">
      <c r="A134" s="138" t="s">
        <v>83</v>
      </c>
      <c r="B134" s="138"/>
      <c r="C134">
        <v>503.3</v>
      </c>
      <c r="D134">
        <v>484.9</v>
      </c>
      <c r="E134">
        <v>0.312</v>
      </c>
      <c r="F134">
        <v>0.28599999999999998</v>
      </c>
      <c r="G134">
        <v>0</v>
      </c>
      <c r="H134">
        <v>0</v>
      </c>
      <c r="I134">
        <v>353.5</v>
      </c>
      <c r="J134">
        <v>330.6</v>
      </c>
      <c r="K134"/>
      <c r="L134"/>
      <c r="M134"/>
      <c r="N134"/>
      <c r="O134"/>
      <c r="P134"/>
      <c r="Q134"/>
      <c r="R134"/>
      <c r="S134"/>
      <c r="T134"/>
      <c r="U134"/>
      <c r="V134"/>
      <c r="W134"/>
      <c r="X134"/>
      <c r="Y134"/>
      <c r="Z134"/>
      <c r="AA134"/>
      <c r="AB134"/>
      <c r="AC134"/>
      <c r="AD134"/>
      <c r="AE134"/>
      <c r="AF134"/>
      <c r="AG134"/>
      <c r="AH134"/>
      <c r="AI134"/>
      <c r="AJ134"/>
      <c r="AK134"/>
      <c r="AL134"/>
      <c r="AM134"/>
      <c r="AN134"/>
      <c r="AO134"/>
    </row>
    <row r="135" spans="1:41" ht="14.7" customHeight="1">
      <c r="A135" s="138" t="s">
        <v>84</v>
      </c>
      <c r="B135" s="138"/>
      <c r="C135">
        <v>532.20000000000005</v>
      </c>
      <c r="D135">
        <v>511.9</v>
      </c>
      <c r="E135">
        <v>0.32600000000000001</v>
      </c>
      <c r="F135">
        <v>0.29899999999999999</v>
      </c>
      <c r="G135">
        <v>0</v>
      </c>
      <c r="H135">
        <v>0</v>
      </c>
      <c r="I135">
        <v>356.8</v>
      </c>
      <c r="J135">
        <v>331.8</v>
      </c>
      <c r="K135"/>
      <c r="L135"/>
      <c r="M135"/>
      <c r="N135"/>
      <c r="O135"/>
      <c r="P135"/>
      <c r="Q135"/>
      <c r="R135"/>
      <c r="S135"/>
      <c r="T135"/>
      <c r="U135"/>
      <c r="V135"/>
      <c r="W135"/>
      <c r="X135"/>
      <c r="Y135"/>
      <c r="Z135"/>
      <c r="AA135"/>
      <c r="AB135"/>
      <c r="AC135"/>
      <c r="AD135"/>
      <c r="AE135"/>
      <c r="AF135"/>
      <c r="AG135"/>
      <c r="AH135"/>
      <c r="AI135"/>
      <c r="AJ135"/>
      <c r="AK135"/>
      <c r="AL135"/>
      <c r="AM135"/>
      <c r="AN135"/>
      <c r="AO135"/>
    </row>
    <row r="136" spans="1:41" ht="14.7" customHeight="1">
      <c r="A136" s="138" t="s">
        <v>209</v>
      </c>
      <c r="B136" s="138"/>
      <c r="C136">
        <v>652.5</v>
      </c>
      <c r="D136">
        <v>609.9</v>
      </c>
      <c r="E136">
        <v>0.36599999999999999</v>
      </c>
      <c r="F136">
        <v>0.36599999999999999</v>
      </c>
      <c r="G136">
        <v>0</v>
      </c>
      <c r="H136">
        <v>0</v>
      </c>
      <c r="I136">
        <v>418.1</v>
      </c>
      <c r="J136">
        <v>389.8</v>
      </c>
      <c r="K136"/>
      <c r="L136"/>
      <c r="M136"/>
      <c r="N136"/>
      <c r="O136"/>
      <c r="P136"/>
      <c r="Q136"/>
      <c r="R136"/>
      <c r="S136"/>
      <c r="T136"/>
      <c r="U136"/>
      <c r="V136"/>
      <c r="W136"/>
      <c r="X136"/>
      <c r="Y136"/>
      <c r="Z136"/>
      <c r="AA136"/>
      <c r="AB136"/>
      <c r="AC136"/>
      <c r="AD136"/>
      <c r="AE136"/>
      <c r="AF136"/>
      <c r="AG136"/>
      <c r="AH136"/>
      <c r="AI136"/>
      <c r="AJ136"/>
      <c r="AK136"/>
      <c r="AL136"/>
      <c r="AM136"/>
      <c r="AN136"/>
      <c r="AO136"/>
    </row>
    <row r="137" spans="1:41" ht="14.7" customHeight="1">
      <c r="A137" s="138" t="s">
        <v>818</v>
      </c>
      <c r="B137" s="138"/>
      <c r="C137">
        <v>509.2</v>
      </c>
      <c r="D137">
        <v>481.2</v>
      </c>
      <c r="E137">
        <v>0.39200000000000002</v>
      </c>
      <c r="F137">
        <v>0.376</v>
      </c>
      <c r="G137">
        <v>0.17699999999999999</v>
      </c>
      <c r="H137">
        <v>6.0000000000000001E-3</v>
      </c>
      <c r="I137">
        <v>392.1</v>
      </c>
      <c r="J137">
        <v>363.4</v>
      </c>
      <c r="K137"/>
      <c r="L137"/>
      <c r="M137"/>
      <c r="N137"/>
      <c r="O137"/>
      <c r="P137"/>
      <c r="Q137"/>
      <c r="R137"/>
      <c r="S137"/>
      <c r="T137"/>
      <c r="U137"/>
      <c r="V137"/>
      <c r="W137"/>
      <c r="X137"/>
      <c r="Y137"/>
      <c r="Z137"/>
      <c r="AA137"/>
      <c r="AB137"/>
      <c r="AC137"/>
      <c r="AD137"/>
      <c r="AE137"/>
      <c r="AF137"/>
      <c r="AG137"/>
      <c r="AH137"/>
      <c r="AI137"/>
      <c r="AJ137"/>
      <c r="AK137"/>
      <c r="AL137"/>
      <c r="AM137"/>
      <c r="AN137"/>
      <c r="AO137"/>
    </row>
    <row r="138" spans="1:41" ht="14.7" customHeight="1">
      <c r="A138" s="138" t="s">
        <v>315</v>
      </c>
      <c r="B138" s="138"/>
      <c r="C138">
        <v>469.6</v>
      </c>
      <c r="D138">
        <v>449.7</v>
      </c>
      <c r="E138">
        <v>0.52700000000000002</v>
      </c>
      <c r="F138">
        <v>0.51200000000000001</v>
      </c>
      <c r="G138">
        <v>0.157</v>
      </c>
      <c r="H138">
        <v>0.107</v>
      </c>
      <c r="I138">
        <v>417.2</v>
      </c>
      <c r="J138">
        <v>389.8</v>
      </c>
      <c r="K138"/>
      <c r="L138"/>
      <c r="M138"/>
      <c r="N138"/>
      <c r="O138"/>
      <c r="P138"/>
      <c r="Q138"/>
      <c r="R138"/>
      <c r="S138"/>
      <c r="T138"/>
      <c r="U138"/>
      <c r="V138"/>
      <c r="W138"/>
      <c r="X138"/>
      <c r="Y138"/>
      <c r="Z138"/>
      <c r="AA138"/>
      <c r="AB138"/>
      <c r="AC138"/>
      <c r="AD138"/>
      <c r="AE138"/>
      <c r="AF138"/>
      <c r="AG138"/>
      <c r="AH138"/>
      <c r="AI138"/>
      <c r="AJ138"/>
      <c r="AK138"/>
      <c r="AL138"/>
      <c r="AM138"/>
      <c r="AN138"/>
      <c r="AO138"/>
    </row>
    <row r="139" spans="1:41" ht="14.7" customHeight="1">
      <c r="A139" s="138" t="s">
        <v>85</v>
      </c>
      <c r="B139" s="138"/>
      <c r="C139">
        <v>487.5</v>
      </c>
      <c r="D139">
        <v>462.9</v>
      </c>
      <c r="E139">
        <v>0.443</v>
      </c>
      <c r="F139">
        <v>0.43099999999999999</v>
      </c>
      <c r="G139">
        <v>0</v>
      </c>
      <c r="H139">
        <v>0</v>
      </c>
      <c r="I139">
        <v>368.7</v>
      </c>
      <c r="J139">
        <v>343.3</v>
      </c>
      <c r="K139"/>
      <c r="L139"/>
      <c r="M139"/>
      <c r="N139"/>
      <c r="O139"/>
      <c r="P139"/>
      <c r="Q139"/>
      <c r="R139"/>
      <c r="S139"/>
      <c r="T139"/>
      <c r="U139"/>
      <c r="V139"/>
      <c r="W139"/>
      <c r="X139"/>
      <c r="Y139"/>
      <c r="Z139"/>
      <c r="AA139"/>
      <c r="AB139"/>
      <c r="AC139"/>
      <c r="AD139"/>
      <c r="AE139"/>
      <c r="AF139"/>
      <c r="AG139"/>
      <c r="AH139"/>
      <c r="AI139"/>
      <c r="AJ139"/>
      <c r="AK139"/>
      <c r="AL139"/>
      <c r="AM139"/>
      <c r="AN139"/>
      <c r="AO139"/>
    </row>
    <row r="140" spans="1:41" ht="14.7" customHeight="1">
      <c r="A140" s="138" t="s">
        <v>86</v>
      </c>
      <c r="B140" s="138"/>
      <c r="C140">
        <v>430.9</v>
      </c>
      <c r="D140">
        <v>402.9</v>
      </c>
      <c r="E140">
        <v>0.47699999999999998</v>
      </c>
      <c r="F140">
        <v>0.48199999999999998</v>
      </c>
      <c r="G140">
        <v>0</v>
      </c>
      <c r="H140">
        <v>0</v>
      </c>
      <c r="I140">
        <v>387.5</v>
      </c>
      <c r="J140">
        <v>369.9</v>
      </c>
      <c r="K140"/>
      <c r="L140"/>
      <c r="M140"/>
      <c r="N140"/>
      <c r="O140"/>
      <c r="P140"/>
      <c r="Q140"/>
      <c r="R140"/>
      <c r="S140"/>
      <c r="T140"/>
      <c r="U140"/>
      <c r="V140"/>
      <c r="W140"/>
      <c r="X140"/>
      <c r="Y140"/>
      <c r="Z140"/>
      <c r="AA140"/>
      <c r="AB140"/>
      <c r="AC140"/>
      <c r="AD140"/>
      <c r="AE140"/>
      <c r="AF140"/>
      <c r="AG140"/>
      <c r="AH140"/>
      <c r="AI140"/>
      <c r="AJ140"/>
      <c r="AK140"/>
      <c r="AL140"/>
      <c r="AM140"/>
      <c r="AN140"/>
      <c r="AO140"/>
    </row>
    <row r="141" spans="1:41" ht="14.7" customHeight="1">
      <c r="A141" s="138" t="s">
        <v>210</v>
      </c>
      <c r="B141" s="138"/>
      <c r="C141">
        <v>574.5</v>
      </c>
      <c r="D141">
        <v>517.20000000000005</v>
      </c>
      <c r="E141">
        <v>0.38200000000000001</v>
      </c>
      <c r="F141">
        <v>0.371</v>
      </c>
      <c r="G141">
        <v>0</v>
      </c>
      <c r="H141">
        <v>0</v>
      </c>
      <c r="I141">
        <v>354.1</v>
      </c>
      <c r="J141">
        <v>310.39999999999998</v>
      </c>
      <c r="K141"/>
      <c r="L141"/>
      <c r="M141"/>
      <c r="N141"/>
      <c r="O141"/>
      <c r="P141"/>
      <c r="Q141"/>
      <c r="R141"/>
      <c r="S141"/>
      <c r="T141"/>
      <c r="U141"/>
      <c r="V141"/>
      <c r="W141"/>
      <c r="X141"/>
      <c r="Y141"/>
      <c r="Z141"/>
      <c r="AA141"/>
      <c r="AB141"/>
      <c r="AC141"/>
      <c r="AD141"/>
      <c r="AE141"/>
      <c r="AF141"/>
      <c r="AG141"/>
      <c r="AH141"/>
      <c r="AI141"/>
      <c r="AJ141"/>
      <c r="AK141"/>
      <c r="AL141"/>
      <c r="AM141"/>
      <c r="AN141"/>
      <c r="AO141"/>
    </row>
    <row r="142" spans="1:41" ht="14.7" customHeight="1">
      <c r="A142" s="138" t="s">
        <v>346</v>
      </c>
      <c r="B142" s="138"/>
      <c r="C142">
        <v>519.29999999999995</v>
      </c>
      <c r="D142">
        <v>486.5</v>
      </c>
      <c r="E142">
        <v>0.42699999999999999</v>
      </c>
      <c r="F142">
        <v>0.41199999999999998</v>
      </c>
      <c r="G142">
        <v>0</v>
      </c>
      <c r="H142">
        <v>0</v>
      </c>
      <c r="I142">
        <v>407.3</v>
      </c>
      <c r="J142">
        <v>373.7</v>
      </c>
      <c r="K142"/>
      <c r="L142"/>
      <c r="M142"/>
      <c r="N142"/>
      <c r="O142"/>
      <c r="P142"/>
      <c r="Q142"/>
      <c r="R142"/>
      <c r="S142"/>
      <c r="T142"/>
      <c r="U142"/>
      <c r="V142"/>
      <c r="W142"/>
      <c r="X142"/>
      <c r="Y142"/>
      <c r="Z142"/>
      <c r="AA142"/>
      <c r="AB142"/>
      <c r="AC142"/>
      <c r="AD142"/>
      <c r="AE142"/>
      <c r="AF142"/>
      <c r="AG142"/>
      <c r="AH142"/>
      <c r="AI142"/>
      <c r="AJ142"/>
      <c r="AK142"/>
      <c r="AL142"/>
      <c r="AM142"/>
      <c r="AN142"/>
      <c r="AO142"/>
    </row>
    <row r="143" spans="1:41" ht="14.7" customHeight="1">
      <c r="A143" s="138" t="s">
        <v>87</v>
      </c>
      <c r="B143" s="138"/>
      <c r="C143">
        <v>407.6</v>
      </c>
      <c r="D143">
        <v>387.5</v>
      </c>
      <c r="E143">
        <v>0.53100000000000003</v>
      </c>
      <c r="F143">
        <v>0.51400000000000001</v>
      </c>
      <c r="G143">
        <v>0</v>
      </c>
      <c r="H143">
        <v>0</v>
      </c>
      <c r="I143">
        <v>381.6</v>
      </c>
      <c r="J143">
        <v>350.5</v>
      </c>
      <c r="K143"/>
      <c r="L143"/>
      <c r="M143"/>
      <c r="N143"/>
      <c r="O143"/>
      <c r="P143"/>
      <c r="Q143"/>
      <c r="R143"/>
      <c r="S143"/>
      <c r="T143"/>
      <c r="U143"/>
      <c r="V143"/>
      <c r="W143"/>
      <c r="X143"/>
      <c r="Y143"/>
      <c r="Z143"/>
      <c r="AA143"/>
      <c r="AB143"/>
      <c r="AC143"/>
      <c r="AD143"/>
      <c r="AE143"/>
      <c r="AF143"/>
      <c r="AG143"/>
      <c r="AH143"/>
      <c r="AI143"/>
      <c r="AJ143"/>
      <c r="AK143"/>
      <c r="AL143"/>
      <c r="AM143"/>
      <c r="AN143"/>
      <c r="AO143"/>
    </row>
    <row r="144" spans="1:41" ht="14.7" customHeight="1">
      <c r="A144" s="138" t="s">
        <v>211</v>
      </c>
      <c r="B144" s="138"/>
      <c r="C144">
        <v>551.5</v>
      </c>
      <c r="D144">
        <v>501.8</v>
      </c>
      <c r="E144">
        <v>0.35899999999999999</v>
      </c>
      <c r="F144">
        <v>0.36199999999999999</v>
      </c>
      <c r="G144">
        <v>0</v>
      </c>
      <c r="H144">
        <v>0</v>
      </c>
      <c r="I144">
        <v>321</v>
      </c>
      <c r="J144">
        <v>296.2</v>
      </c>
      <c r="K144"/>
      <c r="L144"/>
      <c r="M144"/>
      <c r="N144"/>
      <c r="O144"/>
      <c r="P144"/>
      <c r="Q144"/>
      <c r="R144"/>
      <c r="S144"/>
      <c r="T144"/>
      <c r="U144"/>
      <c r="V144"/>
      <c r="W144"/>
      <c r="X144"/>
      <c r="Y144"/>
      <c r="Z144"/>
      <c r="AA144"/>
      <c r="AB144"/>
      <c r="AC144"/>
      <c r="AD144"/>
      <c r="AE144"/>
      <c r="AF144"/>
      <c r="AG144"/>
      <c r="AH144"/>
      <c r="AI144"/>
      <c r="AJ144"/>
      <c r="AK144"/>
      <c r="AL144"/>
      <c r="AM144"/>
      <c r="AN144"/>
      <c r="AO144"/>
    </row>
    <row r="145" spans="1:41" ht="14.7" customHeight="1">
      <c r="A145" s="138" t="s">
        <v>88</v>
      </c>
      <c r="B145" s="138"/>
      <c r="C145">
        <v>401.9</v>
      </c>
      <c r="D145">
        <v>372.8</v>
      </c>
      <c r="E145">
        <v>0.55500000000000005</v>
      </c>
      <c r="F145">
        <v>0.53300000000000003</v>
      </c>
      <c r="G145">
        <v>0</v>
      </c>
      <c r="H145">
        <v>0</v>
      </c>
      <c r="I145">
        <v>400.6</v>
      </c>
      <c r="J145">
        <v>354.6</v>
      </c>
      <c r="K145"/>
      <c r="L145"/>
      <c r="M145"/>
      <c r="N145"/>
      <c r="O145"/>
      <c r="P145"/>
      <c r="Q145"/>
      <c r="R145"/>
      <c r="S145"/>
      <c r="T145"/>
      <c r="U145"/>
      <c r="V145"/>
      <c r="W145"/>
      <c r="X145"/>
      <c r="Y145"/>
      <c r="Z145"/>
      <c r="AA145"/>
      <c r="AB145"/>
      <c r="AC145"/>
      <c r="AD145"/>
      <c r="AE145"/>
      <c r="AF145"/>
      <c r="AG145"/>
      <c r="AH145"/>
      <c r="AI145"/>
      <c r="AJ145"/>
      <c r="AK145"/>
      <c r="AL145"/>
      <c r="AM145"/>
      <c r="AN145"/>
      <c r="AO145"/>
    </row>
    <row r="146" spans="1:41" ht="14.7" customHeight="1">
      <c r="A146" s="138" t="s">
        <v>89</v>
      </c>
      <c r="B146" s="138"/>
      <c r="C146">
        <v>426</v>
      </c>
      <c r="D146">
        <v>435.7</v>
      </c>
      <c r="E146">
        <v>0.33</v>
      </c>
      <c r="F146">
        <v>0.30599999999999999</v>
      </c>
      <c r="G146">
        <v>0</v>
      </c>
      <c r="H146">
        <v>0</v>
      </c>
      <c r="I146">
        <v>289.5</v>
      </c>
      <c r="J146">
        <v>284.5</v>
      </c>
      <c r="K146"/>
      <c r="L146"/>
      <c r="M146"/>
      <c r="N146"/>
      <c r="O146"/>
      <c r="P146"/>
      <c r="Q146"/>
      <c r="R146"/>
      <c r="S146"/>
      <c r="T146"/>
      <c r="U146"/>
      <c r="V146"/>
      <c r="W146"/>
      <c r="X146"/>
      <c r="Y146"/>
      <c r="Z146"/>
      <c r="AA146"/>
      <c r="AB146"/>
      <c r="AC146"/>
      <c r="AD146"/>
      <c r="AE146"/>
      <c r="AF146"/>
      <c r="AG146"/>
      <c r="AH146"/>
      <c r="AI146"/>
      <c r="AJ146"/>
      <c r="AK146"/>
      <c r="AL146"/>
      <c r="AM146"/>
      <c r="AN146"/>
      <c r="AO146"/>
    </row>
    <row r="147" spans="1:41" ht="14.7" customHeight="1">
      <c r="A147" s="138" t="s">
        <v>90</v>
      </c>
      <c r="B147" s="138"/>
      <c r="C147">
        <v>598.9</v>
      </c>
      <c r="D147">
        <v>553.20000000000005</v>
      </c>
      <c r="E147">
        <v>0.32800000000000001</v>
      </c>
      <c r="F147">
        <v>0.314</v>
      </c>
      <c r="G147">
        <v>0</v>
      </c>
      <c r="H147">
        <v>0</v>
      </c>
      <c r="I147">
        <v>394.4</v>
      </c>
      <c r="J147">
        <v>359.1</v>
      </c>
      <c r="K147"/>
      <c r="L147"/>
      <c r="M147"/>
      <c r="N147"/>
      <c r="O147"/>
      <c r="P147"/>
      <c r="Q147"/>
      <c r="R147"/>
      <c r="S147"/>
      <c r="T147"/>
      <c r="U147"/>
      <c r="V147"/>
      <c r="W147"/>
      <c r="X147"/>
      <c r="Y147"/>
      <c r="Z147"/>
      <c r="AA147"/>
      <c r="AB147"/>
      <c r="AC147"/>
      <c r="AD147"/>
      <c r="AE147"/>
      <c r="AF147"/>
      <c r="AG147"/>
      <c r="AH147"/>
      <c r="AI147"/>
      <c r="AJ147"/>
      <c r="AK147"/>
      <c r="AL147"/>
      <c r="AM147"/>
      <c r="AN147"/>
      <c r="AO147"/>
    </row>
    <row r="148" spans="1:41" ht="14.7" customHeight="1">
      <c r="A148" s="138" t="s">
        <v>271</v>
      </c>
      <c r="B148" s="138"/>
      <c r="C148">
        <v>444.8</v>
      </c>
      <c r="D148">
        <v>397.1</v>
      </c>
      <c r="E148">
        <v>0.47899999999999998</v>
      </c>
      <c r="F148">
        <v>0.47699999999999998</v>
      </c>
      <c r="G148">
        <v>6.6000000000000003E-2</v>
      </c>
      <c r="H148">
        <v>0.01</v>
      </c>
      <c r="I148">
        <v>436.5</v>
      </c>
      <c r="J148">
        <v>389.9</v>
      </c>
      <c r="K148"/>
      <c r="L148"/>
      <c r="M148"/>
      <c r="N148"/>
      <c r="O148"/>
      <c r="P148"/>
      <c r="Q148"/>
      <c r="R148"/>
      <c r="S148"/>
      <c r="T148"/>
      <c r="U148"/>
      <c r="V148"/>
      <c r="W148"/>
      <c r="X148"/>
      <c r="Y148"/>
      <c r="Z148"/>
      <c r="AA148"/>
      <c r="AB148"/>
      <c r="AC148"/>
      <c r="AD148"/>
      <c r="AE148"/>
      <c r="AF148"/>
      <c r="AG148"/>
      <c r="AH148"/>
      <c r="AI148"/>
      <c r="AJ148"/>
      <c r="AK148"/>
      <c r="AL148"/>
      <c r="AM148"/>
      <c r="AN148"/>
      <c r="AO148"/>
    </row>
    <row r="149" spans="1:41" ht="14.7" customHeight="1">
      <c r="A149" s="138" t="s">
        <v>2</v>
      </c>
      <c r="B149" s="138"/>
      <c r="C149">
        <v>719.7</v>
      </c>
      <c r="D149">
        <v>827</v>
      </c>
      <c r="E149">
        <v>0.40200000000000002</v>
      </c>
      <c r="F149">
        <v>0.36299999999999999</v>
      </c>
      <c r="G149">
        <v>0</v>
      </c>
      <c r="H149">
        <v>0</v>
      </c>
      <c r="I149">
        <v>559.79999999999995</v>
      </c>
      <c r="J149">
        <v>600.6</v>
      </c>
      <c r="K149"/>
      <c r="L149"/>
      <c r="M149"/>
      <c r="N149"/>
      <c r="O149"/>
      <c r="P149"/>
      <c r="Q149"/>
      <c r="R149"/>
      <c r="S149"/>
      <c r="T149"/>
      <c r="U149"/>
      <c r="V149"/>
      <c r="W149"/>
      <c r="X149"/>
      <c r="Y149"/>
      <c r="Z149"/>
      <c r="AA149"/>
      <c r="AB149"/>
      <c r="AC149"/>
      <c r="AD149"/>
      <c r="AE149"/>
      <c r="AF149"/>
      <c r="AG149"/>
      <c r="AH149"/>
      <c r="AI149"/>
      <c r="AJ149"/>
      <c r="AK149"/>
      <c r="AL149"/>
      <c r="AM149"/>
      <c r="AN149"/>
      <c r="AO149"/>
    </row>
    <row r="150" spans="1:41" ht="14.7" customHeight="1">
      <c r="A150" s="138" t="s">
        <v>212</v>
      </c>
      <c r="B150" s="138"/>
      <c r="C150">
        <v>366.5</v>
      </c>
      <c r="D150">
        <v>349</v>
      </c>
      <c r="E150">
        <v>0.30099999999999999</v>
      </c>
      <c r="F150">
        <v>0.27700000000000002</v>
      </c>
      <c r="G150">
        <v>0</v>
      </c>
      <c r="H150">
        <v>0</v>
      </c>
      <c r="I150">
        <v>266.89999999999998</v>
      </c>
      <c r="J150">
        <v>242.6</v>
      </c>
      <c r="K150"/>
      <c r="L150"/>
      <c r="M150"/>
      <c r="N150"/>
      <c r="O150"/>
      <c r="P150"/>
      <c r="Q150"/>
      <c r="R150"/>
      <c r="S150"/>
      <c r="T150"/>
      <c r="U150"/>
      <c r="V150"/>
      <c r="W150"/>
      <c r="X150"/>
      <c r="Y150"/>
      <c r="Z150"/>
      <c r="AA150"/>
      <c r="AB150"/>
      <c r="AC150"/>
      <c r="AD150"/>
      <c r="AE150"/>
      <c r="AF150"/>
      <c r="AG150"/>
      <c r="AH150"/>
      <c r="AI150"/>
      <c r="AJ150"/>
      <c r="AK150"/>
      <c r="AL150"/>
      <c r="AM150"/>
      <c r="AN150"/>
      <c r="AO150"/>
    </row>
    <row r="151" spans="1:41" ht="14.7" customHeight="1">
      <c r="A151" s="138" t="s">
        <v>338</v>
      </c>
      <c r="B151" s="138"/>
      <c r="C151">
        <v>405.2</v>
      </c>
      <c r="D151">
        <v>381.2</v>
      </c>
      <c r="E151">
        <v>0.23100000000000001</v>
      </c>
      <c r="F151">
        <v>0.23100000000000001</v>
      </c>
      <c r="G151">
        <v>0</v>
      </c>
      <c r="H151">
        <v>0</v>
      </c>
      <c r="I151">
        <v>328</v>
      </c>
      <c r="J151">
        <v>304</v>
      </c>
      <c r="K151"/>
      <c r="L151"/>
      <c r="M151"/>
      <c r="N151"/>
      <c r="O151"/>
      <c r="P151"/>
      <c r="Q151"/>
      <c r="R151"/>
      <c r="S151"/>
      <c r="T151"/>
      <c r="U151"/>
      <c r="V151"/>
      <c r="W151"/>
      <c r="X151"/>
      <c r="Y151"/>
      <c r="Z151"/>
      <c r="AA151"/>
      <c r="AB151"/>
      <c r="AC151"/>
      <c r="AD151"/>
      <c r="AE151"/>
      <c r="AF151"/>
      <c r="AG151"/>
      <c r="AH151"/>
      <c r="AI151"/>
      <c r="AJ151"/>
      <c r="AK151"/>
      <c r="AL151"/>
      <c r="AM151"/>
      <c r="AN151"/>
      <c r="AO151"/>
    </row>
    <row r="152" spans="1:41" ht="14.7" customHeight="1">
      <c r="A152" s="138" t="s">
        <v>316</v>
      </c>
      <c r="B152" s="138"/>
      <c r="C152">
        <v>548.1</v>
      </c>
      <c r="D152">
        <v>530.70000000000005</v>
      </c>
      <c r="E152">
        <v>0.435</v>
      </c>
      <c r="F152">
        <v>0.42099999999999999</v>
      </c>
      <c r="G152">
        <v>1.2E-2</v>
      </c>
      <c r="H152">
        <v>6.0000000000000001E-3</v>
      </c>
      <c r="I152">
        <v>426.4</v>
      </c>
      <c r="J152">
        <v>403.8</v>
      </c>
      <c r="K152"/>
      <c r="L152"/>
      <c r="M152"/>
      <c r="N152"/>
      <c r="O152"/>
      <c r="P152"/>
      <c r="Q152"/>
      <c r="R152"/>
      <c r="S152"/>
      <c r="T152"/>
      <c r="U152"/>
      <c r="V152"/>
      <c r="W152"/>
      <c r="X152"/>
      <c r="Y152"/>
      <c r="Z152"/>
      <c r="AA152"/>
      <c r="AB152"/>
      <c r="AC152"/>
      <c r="AD152"/>
      <c r="AE152"/>
      <c r="AF152"/>
      <c r="AG152"/>
      <c r="AH152"/>
      <c r="AI152"/>
      <c r="AJ152"/>
      <c r="AK152"/>
      <c r="AL152"/>
      <c r="AM152"/>
      <c r="AN152"/>
      <c r="AO152"/>
    </row>
    <row r="153" spans="1:41" ht="14.7" customHeight="1">
      <c r="A153" s="138" t="s">
        <v>378</v>
      </c>
      <c r="B153" s="138"/>
      <c r="C153">
        <v>514.6</v>
      </c>
      <c r="D153">
        <v>464.5</v>
      </c>
      <c r="E153">
        <v>0.40300000000000002</v>
      </c>
      <c r="F153">
        <v>0.41299999999999998</v>
      </c>
      <c r="G153">
        <v>0</v>
      </c>
      <c r="H153">
        <v>0</v>
      </c>
      <c r="I153">
        <v>415.8</v>
      </c>
      <c r="J153">
        <v>380.9</v>
      </c>
      <c r="K153"/>
      <c r="L153"/>
      <c r="M153"/>
      <c r="N153"/>
      <c r="O153"/>
      <c r="P153"/>
      <c r="Q153"/>
      <c r="R153"/>
      <c r="S153"/>
      <c r="T153"/>
      <c r="U153"/>
      <c r="V153"/>
      <c r="W153"/>
      <c r="X153"/>
      <c r="Y153"/>
      <c r="Z153"/>
      <c r="AA153"/>
      <c r="AB153"/>
      <c r="AC153"/>
      <c r="AD153"/>
      <c r="AE153"/>
      <c r="AF153"/>
      <c r="AG153"/>
      <c r="AH153"/>
      <c r="AI153"/>
      <c r="AJ153"/>
      <c r="AK153"/>
      <c r="AL153"/>
      <c r="AM153"/>
      <c r="AN153"/>
      <c r="AO153"/>
    </row>
    <row r="154" spans="1:41" ht="14.7" customHeight="1">
      <c r="A154" s="138" t="s">
        <v>394</v>
      </c>
      <c r="B154" s="138"/>
      <c r="C154">
        <v>454.3</v>
      </c>
      <c r="D154">
        <v>423.8</v>
      </c>
      <c r="E154">
        <v>0.48099999999999998</v>
      </c>
      <c r="F154">
        <v>0.46500000000000002</v>
      </c>
      <c r="G154">
        <v>5.0000000000000001E-3</v>
      </c>
      <c r="H154">
        <v>1E-3</v>
      </c>
      <c r="I154">
        <v>354</v>
      </c>
      <c r="J154">
        <v>324.8</v>
      </c>
      <c r="K154"/>
      <c r="L154"/>
      <c r="M154"/>
      <c r="N154"/>
      <c r="O154"/>
      <c r="P154"/>
      <c r="Q154"/>
      <c r="R154"/>
      <c r="S154"/>
      <c r="T154"/>
      <c r="U154"/>
      <c r="V154"/>
      <c r="W154"/>
      <c r="X154"/>
      <c r="Y154"/>
      <c r="Z154"/>
      <c r="AA154"/>
      <c r="AB154"/>
      <c r="AC154"/>
      <c r="AD154"/>
      <c r="AE154"/>
      <c r="AF154"/>
      <c r="AG154"/>
      <c r="AH154"/>
      <c r="AI154"/>
      <c r="AJ154"/>
      <c r="AK154"/>
      <c r="AL154"/>
      <c r="AM154"/>
      <c r="AN154"/>
      <c r="AO154"/>
    </row>
    <row r="155" spans="1:41" ht="14.7" customHeight="1">
      <c r="A155" s="138" t="s">
        <v>819</v>
      </c>
      <c r="B155" s="138"/>
      <c r="C155">
        <v>463.2</v>
      </c>
      <c r="D155">
        <v>444.1</v>
      </c>
      <c r="E155">
        <v>0.48</v>
      </c>
      <c r="F155">
        <v>0.46600000000000003</v>
      </c>
      <c r="G155">
        <v>7.0000000000000001E-3</v>
      </c>
      <c r="H155">
        <v>1E-3</v>
      </c>
      <c r="I155">
        <v>413.4</v>
      </c>
      <c r="J155">
        <v>384.2</v>
      </c>
      <c r="K155"/>
      <c r="L155"/>
      <c r="M155"/>
      <c r="N155"/>
      <c r="O155"/>
      <c r="P155"/>
      <c r="Q155"/>
      <c r="R155"/>
      <c r="S155"/>
      <c r="T155"/>
      <c r="U155"/>
      <c r="V155"/>
      <c r="W155"/>
      <c r="X155"/>
      <c r="Y155"/>
      <c r="Z155"/>
      <c r="AA155"/>
      <c r="AB155"/>
      <c r="AC155"/>
      <c r="AD155"/>
      <c r="AE155"/>
      <c r="AF155"/>
      <c r="AG155"/>
      <c r="AH155"/>
      <c r="AI155"/>
      <c r="AJ155"/>
      <c r="AK155"/>
      <c r="AL155"/>
      <c r="AM155"/>
      <c r="AN155"/>
      <c r="AO155"/>
    </row>
    <row r="156" spans="1:41" ht="14.7" customHeight="1">
      <c r="A156" s="138" t="s">
        <v>233</v>
      </c>
      <c r="B156" s="138"/>
      <c r="C156">
        <v>620.29999999999995</v>
      </c>
      <c r="D156">
        <v>599.70000000000005</v>
      </c>
      <c r="E156">
        <v>0.26900000000000002</v>
      </c>
      <c r="F156">
        <v>0.26</v>
      </c>
      <c r="G156">
        <v>0.108</v>
      </c>
      <c r="H156">
        <v>9.0999999999999998E-2</v>
      </c>
      <c r="I156">
        <v>371.8</v>
      </c>
      <c r="J156">
        <v>353.7</v>
      </c>
      <c r="K156"/>
      <c r="L156"/>
      <c r="M156"/>
      <c r="N156"/>
      <c r="O156"/>
      <c r="P156"/>
      <c r="Q156"/>
      <c r="R156"/>
      <c r="S156"/>
      <c r="T156"/>
      <c r="U156"/>
      <c r="V156"/>
      <c r="W156"/>
      <c r="X156"/>
      <c r="Y156"/>
      <c r="Z156"/>
      <c r="AA156"/>
      <c r="AB156"/>
      <c r="AC156"/>
      <c r="AD156"/>
      <c r="AE156"/>
      <c r="AF156"/>
      <c r="AG156"/>
      <c r="AH156"/>
      <c r="AI156"/>
      <c r="AJ156"/>
      <c r="AK156"/>
      <c r="AL156"/>
      <c r="AM156"/>
      <c r="AN156"/>
      <c r="AO156"/>
    </row>
    <row r="157" spans="1:41" ht="14.7" customHeight="1">
      <c r="A157" s="138" t="s">
        <v>234</v>
      </c>
      <c r="B157" s="138"/>
      <c r="C157">
        <v>649.9</v>
      </c>
      <c r="D157">
        <v>616.1</v>
      </c>
      <c r="E157">
        <v>0.26500000000000001</v>
      </c>
      <c r="F157">
        <v>0.26300000000000001</v>
      </c>
      <c r="G157">
        <v>0</v>
      </c>
      <c r="H157">
        <v>0</v>
      </c>
      <c r="I157">
        <v>399.8</v>
      </c>
      <c r="J157">
        <v>376</v>
      </c>
      <c r="K157"/>
      <c r="L157"/>
      <c r="M157"/>
      <c r="N157"/>
      <c r="O157"/>
      <c r="P157"/>
      <c r="Q157"/>
      <c r="R157"/>
      <c r="S157"/>
      <c r="T157"/>
      <c r="U157"/>
      <c r="V157"/>
      <c r="W157"/>
      <c r="X157"/>
      <c r="Y157"/>
      <c r="Z157"/>
      <c r="AA157"/>
      <c r="AB157"/>
      <c r="AC157"/>
      <c r="AD157"/>
      <c r="AE157"/>
      <c r="AF157"/>
      <c r="AG157"/>
      <c r="AH157"/>
      <c r="AI157"/>
      <c r="AJ157"/>
      <c r="AK157"/>
      <c r="AL157"/>
      <c r="AM157"/>
      <c r="AN157"/>
      <c r="AO157"/>
    </row>
    <row r="158" spans="1:41" ht="14.7" customHeight="1">
      <c r="A158" s="138" t="s">
        <v>213</v>
      </c>
      <c r="B158" s="138"/>
      <c r="C158">
        <v>320.39999999999998</v>
      </c>
      <c r="D158">
        <v>318.8</v>
      </c>
      <c r="E158">
        <v>0.34499999999999997</v>
      </c>
      <c r="F158">
        <v>0.311</v>
      </c>
      <c r="G158">
        <v>0</v>
      </c>
      <c r="H158">
        <v>0</v>
      </c>
      <c r="I158">
        <v>225.9</v>
      </c>
      <c r="J158">
        <v>215</v>
      </c>
      <c r="K158"/>
      <c r="L158"/>
      <c r="M158"/>
      <c r="N158"/>
      <c r="O158"/>
      <c r="P158"/>
      <c r="Q158"/>
      <c r="R158"/>
      <c r="S158"/>
      <c r="T158"/>
      <c r="U158"/>
      <c r="V158"/>
      <c r="W158"/>
      <c r="X158"/>
      <c r="Y158"/>
      <c r="Z158"/>
      <c r="AA158"/>
      <c r="AB158"/>
      <c r="AC158"/>
      <c r="AD158"/>
      <c r="AE158"/>
      <c r="AF158"/>
      <c r="AG158"/>
      <c r="AH158"/>
      <c r="AI158"/>
      <c r="AJ158"/>
      <c r="AK158"/>
      <c r="AL158"/>
      <c r="AM158"/>
      <c r="AN158"/>
      <c r="AO158"/>
    </row>
    <row r="159" spans="1:41" ht="14.7" customHeight="1">
      <c r="A159" s="138" t="s">
        <v>317</v>
      </c>
      <c r="B159" s="138"/>
      <c r="C159">
        <v>579.70000000000005</v>
      </c>
      <c r="D159">
        <v>528.9</v>
      </c>
      <c r="E159">
        <v>0.41199999999999998</v>
      </c>
      <c r="F159">
        <v>0.42799999999999999</v>
      </c>
      <c r="G159">
        <v>0.36</v>
      </c>
      <c r="H159">
        <v>0.34899999999999998</v>
      </c>
      <c r="I159">
        <v>448.6</v>
      </c>
      <c r="J159">
        <v>418.7</v>
      </c>
      <c r="K159"/>
      <c r="L159"/>
      <c r="M159"/>
      <c r="N159"/>
      <c r="O159"/>
      <c r="P159"/>
      <c r="Q159"/>
      <c r="R159"/>
      <c r="S159"/>
      <c r="T159"/>
      <c r="U159"/>
      <c r="V159"/>
      <c r="W159"/>
      <c r="X159"/>
      <c r="Y159"/>
      <c r="Z159"/>
      <c r="AA159"/>
      <c r="AB159"/>
      <c r="AC159"/>
      <c r="AD159"/>
      <c r="AE159"/>
      <c r="AF159"/>
      <c r="AG159"/>
      <c r="AH159"/>
      <c r="AI159"/>
      <c r="AJ159"/>
      <c r="AK159"/>
      <c r="AL159"/>
      <c r="AM159"/>
      <c r="AN159"/>
      <c r="AO159"/>
    </row>
    <row r="160" spans="1:41" ht="14.7" customHeight="1">
      <c r="A160" s="138" t="s">
        <v>92</v>
      </c>
      <c r="B160" s="138"/>
      <c r="C160">
        <v>477.9</v>
      </c>
      <c r="D160">
        <v>488</v>
      </c>
      <c r="E160">
        <v>0.38500000000000001</v>
      </c>
      <c r="F160">
        <v>0.36199999999999999</v>
      </c>
      <c r="G160">
        <v>0</v>
      </c>
      <c r="H160">
        <v>0</v>
      </c>
      <c r="I160">
        <v>361.5</v>
      </c>
      <c r="J160">
        <v>351.1</v>
      </c>
      <c r="K160"/>
      <c r="L160"/>
      <c r="M160"/>
      <c r="N160"/>
      <c r="O160"/>
      <c r="P160"/>
      <c r="Q160"/>
      <c r="R160"/>
      <c r="S160"/>
      <c r="T160"/>
      <c r="U160"/>
      <c r="V160"/>
      <c r="W160"/>
      <c r="X160"/>
      <c r="Y160"/>
      <c r="Z160"/>
      <c r="AA160"/>
      <c r="AB160"/>
      <c r="AC160"/>
      <c r="AD160"/>
      <c r="AE160"/>
      <c r="AF160"/>
      <c r="AG160"/>
      <c r="AH160"/>
      <c r="AI160"/>
      <c r="AJ160"/>
      <c r="AK160"/>
      <c r="AL160"/>
      <c r="AM160"/>
      <c r="AN160"/>
      <c r="AO160"/>
    </row>
    <row r="161" spans="1:41" ht="14.7" customHeight="1">
      <c r="A161" s="138" t="s">
        <v>235</v>
      </c>
      <c r="B161" s="138"/>
      <c r="C161">
        <v>554.20000000000005</v>
      </c>
      <c r="D161">
        <v>527.9</v>
      </c>
      <c r="E161">
        <v>0.36</v>
      </c>
      <c r="F161">
        <v>0.34899999999999998</v>
      </c>
      <c r="G161">
        <v>8.9999999999999993E-3</v>
      </c>
      <c r="H161">
        <v>7.0000000000000001E-3</v>
      </c>
      <c r="I161">
        <v>388.7</v>
      </c>
      <c r="J161">
        <v>361</v>
      </c>
      <c r="K161"/>
      <c r="L161"/>
      <c r="M161"/>
      <c r="N161"/>
      <c r="O161"/>
      <c r="P161"/>
      <c r="Q161"/>
      <c r="R161"/>
      <c r="S161"/>
      <c r="T161"/>
      <c r="U161"/>
      <c r="V161"/>
      <c r="W161"/>
      <c r="X161"/>
      <c r="Y161"/>
      <c r="Z161"/>
      <c r="AA161"/>
      <c r="AB161"/>
      <c r="AC161"/>
      <c r="AD161"/>
      <c r="AE161"/>
      <c r="AF161"/>
      <c r="AG161"/>
      <c r="AH161"/>
      <c r="AI161"/>
      <c r="AJ161"/>
      <c r="AK161"/>
      <c r="AL161"/>
      <c r="AM161"/>
      <c r="AN161"/>
      <c r="AO161"/>
    </row>
    <row r="162" spans="1:41" ht="14.7" customHeight="1">
      <c r="A162" s="138" t="s">
        <v>272</v>
      </c>
      <c r="B162" s="138"/>
      <c r="C162">
        <v>592.9</v>
      </c>
      <c r="D162">
        <v>521.9</v>
      </c>
      <c r="E162">
        <v>0.36499999999999999</v>
      </c>
      <c r="F162">
        <v>0.39500000000000002</v>
      </c>
      <c r="G162">
        <v>0.35799999999999998</v>
      </c>
      <c r="H162">
        <v>0.32600000000000001</v>
      </c>
      <c r="I162">
        <v>361.4</v>
      </c>
      <c r="J162">
        <v>329.6</v>
      </c>
      <c r="K162"/>
      <c r="L162"/>
      <c r="M162"/>
      <c r="N162"/>
      <c r="O162"/>
      <c r="P162"/>
      <c r="Q162"/>
      <c r="R162"/>
      <c r="S162"/>
      <c r="T162"/>
      <c r="U162"/>
      <c r="V162"/>
      <c r="W162"/>
      <c r="X162"/>
      <c r="Y162"/>
      <c r="Z162"/>
      <c r="AA162"/>
      <c r="AB162"/>
      <c r="AC162"/>
      <c r="AD162"/>
      <c r="AE162"/>
      <c r="AF162"/>
      <c r="AG162"/>
      <c r="AH162"/>
      <c r="AI162"/>
      <c r="AJ162"/>
      <c r="AK162"/>
      <c r="AL162"/>
      <c r="AM162"/>
      <c r="AN162"/>
      <c r="AO162"/>
    </row>
    <row r="163" spans="1:41" ht="14.7" customHeight="1">
      <c r="A163" s="138" t="s">
        <v>318</v>
      </c>
      <c r="B163" s="138"/>
      <c r="C163">
        <v>566.29999999999995</v>
      </c>
      <c r="D163">
        <v>540.1</v>
      </c>
      <c r="E163">
        <v>0.434</v>
      </c>
      <c r="F163">
        <v>0.41799999999999998</v>
      </c>
      <c r="G163">
        <v>0.253</v>
      </c>
      <c r="H163">
        <v>0.23699999999999999</v>
      </c>
      <c r="I163">
        <v>435</v>
      </c>
      <c r="J163">
        <v>402.7</v>
      </c>
      <c r="K163"/>
      <c r="L163"/>
      <c r="M163"/>
      <c r="N163"/>
      <c r="O163"/>
      <c r="P163"/>
      <c r="Q163"/>
      <c r="R163"/>
      <c r="S163"/>
      <c r="T163"/>
      <c r="U163"/>
      <c r="V163"/>
      <c r="W163"/>
      <c r="X163"/>
      <c r="Y163"/>
      <c r="Z163"/>
      <c r="AA163"/>
      <c r="AB163"/>
      <c r="AC163"/>
      <c r="AD163"/>
      <c r="AE163"/>
      <c r="AF163"/>
      <c r="AG163"/>
      <c r="AH163"/>
      <c r="AI163"/>
      <c r="AJ163"/>
      <c r="AK163"/>
      <c r="AL163"/>
      <c r="AM163"/>
      <c r="AN163"/>
      <c r="AO163"/>
    </row>
    <row r="164" spans="1:41" ht="14.7" customHeight="1">
      <c r="A164" s="138" t="s">
        <v>93</v>
      </c>
      <c r="B164" s="138"/>
      <c r="C164">
        <v>444.8</v>
      </c>
      <c r="D164">
        <v>426.3</v>
      </c>
      <c r="E164">
        <v>0.41</v>
      </c>
      <c r="F164">
        <v>0.40400000000000003</v>
      </c>
      <c r="G164">
        <v>0</v>
      </c>
      <c r="H164">
        <v>0</v>
      </c>
      <c r="I164">
        <v>347.4</v>
      </c>
      <c r="J164">
        <v>330.9</v>
      </c>
      <c r="K164"/>
      <c r="L164"/>
      <c r="M164"/>
      <c r="N164"/>
      <c r="O164"/>
      <c r="P164"/>
      <c r="Q164"/>
      <c r="R164"/>
      <c r="S164"/>
      <c r="T164"/>
      <c r="U164"/>
      <c r="V164"/>
      <c r="W164"/>
      <c r="X164"/>
      <c r="Y164"/>
      <c r="Z164"/>
      <c r="AA164"/>
      <c r="AB164"/>
      <c r="AC164"/>
      <c r="AD164"/>
      <c r="AE164"/>
      <c r="AF164"/>
      <c r="AG164"/>
      <c r="AH164"/>
      <c r="AI164"/>
      <c r="AJ164"/>
      <c r="AK164"/>
      <c r="AL164"/>
      <c r="AM164"/>
      <c r="AN164"/>
      <c r="AO164"/>
    </row>
    <row r="165" spans="1:41" ht="14.7" customHeight="1">
      <c r="A165" s="139" t="s">
        <v>214</v>
      </c>
      <c r="B165" s="138"/>
      <c r="C165">
        <v>513.20000000000005</v>
      </c>
      <c r="D165">
        <v>513</v>
      </c>
      <c r="E165">
        <v>0.27200000000000002</v>
      </c>
      <c r="F165">
        <v>0.23</v>
      </c>
      <c r="G165">
        <v>0</v>
      </c>
      <c r="H165">
        <v>0</v>
      </c>
      <c r="I165">
        <v>307.10000000000002</v>
      </c>
      <c r="J165">
        <v>291.3</v>
      </c>
      <c r="K165"/>
      <c r="L165"/>
      <c r="M165"/>
      <c r="N165"/>
      <c r="O165"/>
      <c r="P165"/>
      <c r="Q165"/>
      <c r="R165"/>
      <c r="S165"/>
      <c r="T165"/>
      <c r="U165"/>
      <c r="V165"/>
      <c r="W165"/>
      <c r="X165"/>
      <c r="Y165"/>
      <c r="Z165"/>
      <c r="AA165"/>
      <c r="AB165"/>
      <c r="AC165"/>
      <c r="AD165"/>
      <c r="AE165"/>
      <c r="AF165"/>
      <c r="AG165"/>
      <c r="AH165"/>
      <c r="AI165"/>
      <c r="AJ165"/>
      <c r="AK165"/>
      <c r="AL165"/>
      <c r="AM165"/>
      <c r="AN165"/>
      <c r="AO165"/>
    </row>
    <row r="166" spans="1:41" ht="14.7" customHeight="1">
      <c r="A166" s="138" t="s">
        <v>94</v>
      </c>
      <c r="B166" s="138"/>
      <c r="C166">
        <v>500</v>
      </c>
      <c r="D166">
        <v>455.7</v>
      </c>
      <c r="E166">
        <v>0.45200000000000001</v>
      </c>
      <c r="F166">
        <v>0.443</v>
      </c>
      <c r="G166">
        <v>0</v>
      </c>
      <c r="H166">
        <v>0</v>
      </c>
      <c r="I166">
        <v>404.9</v>
      </c>
      <c r="J166">
        <v>364.2</v>
      </c>
      <c r="K166"/>
      <c r="L166"/>
      <c r="M166"/>
      <c r="N166"/>
      <c r="O166"/>
      <c r="P166"/>
      <c r="Q166"/>
      <c r="R166"/>
      <c r="S166"/>
      <c r="T166"/>
      <c r="U166"/>
      <c r="V166"/>
      <c r="W166"/>
      <c r="X166"/>
      <c r="Y166"/>
      <c r="Z166"/>
      <c r="AA166"/>
      <c r="AB166"/>
      <c r="AC166"/>
      <c r="AD166"/>
      <c r="AE166"/>
      <c r="AF166"/>
      <c r="AG166"/>
      <c r="AH166"/>
      <c r="AI166"/>
      <c r="AJ166"/>
      <c r="AK166"/>
      <c r="AL166"/>
      <c r="AM166"/>
      <c r="AN166"/>
      <c r="AO166"/>
    </row>
    <row r="167" spans="1:41" ht="14.7" customHeight="1">
      <c r="A167" s="138" t="s">
        <v>95</v>
      </c>
      <c r="B167" s="138"/>
      <c r="C167">
        <v>527.70000000000005</v>
      </c>
      <c r="D167">
        <v>500</v>
      </c>
      <c r="E167">
        <v>0.33300000000000002</v>
      </c>
      <c r="F167">
        <v>0.316</v>
      </c>
      <c r="G167">
        <v>0</v>
      </c>
      <c r="H167">
        <v>0</v>
      </c>
      <c r="I167">
        <v>361.4</v>
      </c>
      <c r="J167">
        <v>337.8</v>
      </c>
      <c r="K167"/>
      <c r="L167"/>
      <c r="M167"/>
      <c r="N167"/>
      <c r="O167"/>
      <c r="P167"/>
      <c r="Q167"/>
      <c r="R167"/>
      <c r="S167"/>
      <c r="T167"/>
      <c r="U167"/>
      <c r="V167"/>
      <c r="W167"/>
      <c r="X167"/>
      <c r="Y167"/>
      <c r="Z167"/>
      <c r="AA167"/>
      <c r="AB167"/>
      <c r="AC167"/>
      <c r="AD167"/>
      <c r="AE167"/>
      <c r="AF167"/>
      <c r="AG167"/>
      <c r="AH167"/>
      <c r="AI167"/>
      <c r="AJ167"/>
      <c r="AK167"/>
      <c r="AL167"/>
      <c r="AM167"/>
      <c r="AN167"/>
      <c r="AO167"/>
    </row>
    <row r="168" spans="1:41" ht="14.7" customHeight="1">
      <c r="A168" s="138" t="s">
        <v>319</v>
      </c>
      <c r="B168" s="138"/>
      <c r="C168">
        <v>585.79999999999995</v>
      </c>
      <c r="D168">
        <v>560.4</v>
      </c>
      <c r="E168">
        <v>0.39900000000000002</v>
      </c>
      <c r="F168">
        <v>0.38500000000000001</v>
      </c>
      <c r="G168">
        <v>3.9E-2</v>
      </c>
      <c r="H168">
        <v>3.2000000000000001E-2</v>
      </c>
      <c r="I168">
        <v>450.3</v>
      </c>
      <c r="J168">
        <v>422.5</v>
      </c>
      <c r="K168"/>
      <c r="L168"/>
      <c r="M168"/>
      <c r="N168"/>
      <c r="O168"/>
      <c r="P168"/>
      <c r="Q168"/>
      <c r="R168"/>
      <c r="S168"/>
      <c r="T168"/>
      <c r="U168"/>
      <c r="V168"/>
      <c r="W168"/>
      <c r="X168"/>
      <c r="Y168"/>
      <c r="Z168"/>
      <c r="AA168"/>
      <c r="AB168"/>
      <c r="AC168"/>
      <c r="AD168"/>
      <c r="AE168"/>
      <c r="AF168"/>
      <c r="AG168"/>
      <c r="AH168"/>
      <c r="AI168"/>
      <c r="AJ168"/>
      <c r="AK168"/>
      <c r="AL168"/>
      <c r="AM168"/>
      <c r="AN168"/>
      <c r="AO168"/>
    </row>
    <row r="169" spans="1:41" ht="14.7" customHeight="1">
      <c r="A169" s="138" t="s">
        <v>236</v>
      </c>
      <c r="B169" s="138"/>
      <c r="C169">
        <v>627.20000000000005</v>
      </c>
      <c r="D169">
        <v>633.5</v>
      </c>
      <c r="E169">
        <v>0.22900000000000001</v>
      </c>
      <c r="F169">
        <v>0.17899999999999999</v>
      </c>
      <c r="G169">
        <v>0</v>
      </c>
      <c r="H169">
        <v>0</v>
      </c>
      <c r="I169">
        <v>396</v>
      </c>
      <c r="J169">
        <v>369.6</v>
      </c>
      <c r="K169"/>
      <c r="L169"/>
      <c r="M169"/>
      <c r="N169"/>
      <c r="O169"/>
      <c r="P169"/>
      <c r="Q169"/>
      <c r="R169"/>
      <c r="S169"/>
      <c r="T169"/>
      <c r="U169"/>
      <c r="V169"/>
      <c r="W169"/>
      <c r="X169"/>
      <c r="Y169"/>
      <c r="Z169"/>
      <c r="AA169"/>
      <c r="AB169"/>
      <c r="AC169"/>
      <c r="AD169"/>
      <c r="AE169"/>
      <c r="AF169"/>
      <c r="AG169"/>
      <c r="AH169"/>
      <c r="AI169"/>
      <c r="AJ169"/>
      <c r="AK169"/>
      <c r="AL169"/>
      <c r="AM169"/>
      <c r="AN169"/>
      <c r="AO169"/>
    </row>
    <row r="170" spans="1:41" ht="14.7" customHeight="1">
      <c r="A170" s="138" t="s">
        <v>273</v>
      </c>
      <c r="B170" s="138"/>
      <c r="C170">
        <v>675.3</v>
      </c>
      <c r="D170">
        <v>664.8</v>
      </c>
      <c r="E170">
        <v>0.28599999999999998</v>
      </c>
      <c r="F170">
        <v>0.249</v>
      </c>
      <c r="G170">
        <v>0.186</v>
      </c>
      <c r="H170">
        <v>0.26900000000000002</v>
      </c>
      <c r="I170">
        <v>347.4</v>
      </c>
      <c r="J170">
        <v>328.3</v>
      </c>
      <c r="K170"/>
      <c r="L170"/>
      <c r="M170"/>
      <c r="N170"/>
      <c r="O170"/>
      <c r="P170"/>
      <c r="Q170"/>
      <c r="R170"/>
      <c r="S170"/>
      <c r="T170"/>
      <c r="U170"/>
      <c r="V170"/>
      <c r="W170"/>
      <c r="X170"/>
      <c r="Y170"/>
      <c r="Z170"/>
      <c r="AA170"/>
      <c r="AB170"/>
      <c r="AC170"/>
      <c r="AD170"/>
      <c r="AE170"/>
      <c r="AF170"/>
      <c r="AG170"/>
      <c r="AH170"/>
      <c r="AI170"/>
      <c r="AJ170"/>
      <c r="AK170"/>
      <c r="AL170"/>
      <c r="AM170"/>
      <c r="AN170"/>
      <c r="AO170"/>
    </row>
    <row r="171" spans="1:41" ht="14.7" customHeight="1">
      <c r="A171" s="138" t="s">
        <v>96</v>
      </c>
      <c r="B171" s="138"/>
      <c r="C171">
        <v>383.3</v>
      </c>
      <c r="D171">
        <v>381.9</v>
      </c>
      <c r="E171">
        <v>0.52800000000000002</v>
      </c>
      <c r="F171">
        <v>0.49399999999999999</v>
      </c>
      <c r="G171">
        <v>0</v>
      </c>
      <c r="H171">
        <v>0</v>
      </c>
      <c r="I171">
        <v>347.9</v>
      </c>
      <c r="J171">
        <v>322.2</v>
      </c>
      <c r="K171"/>
      <c r="L171"/>
      <c r="M171"/>
      <c r="N171"/>
      <c r="O171"/>
      <c r="P171"/>
      <c r="Q171"/>
      <c r="R171"/>
      <c r="S171"/>
      <c r="T171"/>
      <c r="U171"/>
      <c r="V171"/>
      <c r="W171"/>
      <c r="X171"/>
      <c r="Y171"/>
      <c r="Z171"/>
      <c r="AA171"/>
      <c r="AB171"/>
      <c r="AC171"/>
      <c r="AD171"/>
      <c r="AE171"/>
      <c r="AF171"/>
      <c r="AG171"/>
      <c r="AH171"/>
      <c r="AI171"/>
      <c r="AJ171"/>
      <c r="AK171"/>
      <c r="AL171"/>
      <c r="AM171"/>
      <c r="AN171"/>
      <c r="AO171"/>
    </row>
    <row r="172" spans="1:41" ht="14.7" customHeight="1">
      <c r="A172" s="138" t="s">
        <v>97</v>
      </c>
      <c r="B172" s="138"/>
      <c r="C172">
        <v>366.9</v>
      </c>
      <c r="D172">
        <v>347.5</v>
      </c>
      <c r="E172">
        <v>0.58299999999999996</v>
      </c>
      <c r="F172">
        <v>0.56699999999999995</v>
      </c>
      <c r="G172">
        <v>0</v>
      </c>
      <c r="H172">
        <v>0</v>
      </c>
      <c r="I172">
        <v>388.1</v>
      </c>
      <c r="J172">
        <v>354.8</v>
      </c>
      <c r="K172"/>
      <c r="L172"/>
      <c r="M172"/>
      <c r="N172"/>
      <c r="O172"/>
      <c r="P172"/>
      <c r="Q172"/>
      <c r="R172"/>
      <c r="S172"/>
      <c r="T172"/>
      <c r="U172"/>
      <c r="V172"/>
      <c r="W172"/>
      <c r="X172"/>
      <c r="Y172"/>
      <c r="Z172"/>
      <c r="AA172"/>
      <c r="AB172"/>
      <c r="AC172"/>
      <c r="AD172"/>
      <c r="AE172"/>
      <c r="AF172"/>
      <c r="AG172"/>
      <c r="AH172"/>
      <c r="AI172"/>
      <c r="AJ172"/>
      <c r="AK172"/>
      <c r="AL172"/>
      <c r="AM172"/>
      <c r="AN172"/>
      <c r="AO172"/>
    </row>
    <row r="173" spans="1:41" ht="14.7" customHeight="1">
      <c r="A173" s="138" t="s">
        <v>98</v>
      </c>
      <c r="B173" s="138"/>
      <c r="C173">
        <v>422.4</v>
      </c>
      <c r="D173">
        <v>393.1</v>
      </c>
      <c r="E173">
        <v>0.41299999999999998</v>
      </c>
      <c r="F173">
        <v>0.41299999999999998</v>
      </c>
      <c r="G173">
        <v>0</v>
      </c>
      <c r="H173">
        <v>0</v>
      </c>
      <c r="I173">
        <v>337.3</v>
      </c>
      <c r="J173">
        <v>312.5</v>
      </c>
      <c r="K173"/>
      <c r="L173"/>
      <c r="M173"/>
      <c r="N173"/>
      <c r="O173"/>
      <c r="P173"/>
      <c r="Q173"/>
      <c r="R173"/>
      <c r="S173"/>
      <c r="T173"/>
      <c r="U173"/>
      <c r="V173"/>
      <c r="W173"/>
      <c r="X173"/>
      <c r="Y173"/>
      <c r="Z173"/>
      <c r="AA173"/>
      <c r="AB173"/>
      <c r="AC173"/>
      <c r="AD173"/>
      <c r="AE173"/>
      <c r="AF173"/>
      <c r="AG173"/>
      <c r="AH173"/>
      <c r="AI173"/>
      <c r="AJ173"/>
      <c r="AK173"/>
      <c r="AL173"/>
      <c r="AM173"/>
      <c r="AN173"/>
      <c r="AO173"/>
    </row>
    <row r="174" spans="1:41" ht="14.7" customHeight="1">
      <c r="A174" s="138" t="s">
        <v>237</v>
      </c>
      <c r="B174" s="138"/>
      <c r="C174">
        <v>416.8</v>
      </c>
      <c r="D174">
        <v>401.3</v>
      </c>
      <c r="E174">
        <v>0.39700000000000002</v>
      </c>
      <c r="F174">
        <v>0.38800000000000001</v>
      </c>
      <c r="G174">
        <v>0</v>
      </c>
      <c r="H174">
        <v>0</v>
      </c>
      <c r="I174">
        <v>305.7</v>
      </c>
      <c r="J174">
        <v>283.7</v>
      </c>
      <c r="K174"/>
      <c r="L174"/>
      <c r="M174"/>
      <c r="N174"/>
      <c r="O174"/>
      <c r="P174"/>
      <c r="Q174"/>
      <c r="R174"/>
      <c r="S174"/>
      <c r="T174"/>
      <c r="U174"/>
      <c r="V174"/>
      <c r="W174"/>
      <c r="X174"/>
      <c r="Y174"/>
      <c r="Z174"/>
      <c r="AA174"/>
      <c r="AB174"/>
      <c r="AC174"/>
      <c r="AD174"/>
      <c r="AE174"/>
      <c r="AF174"/>
      <c r="AG174"/>
      <c r="AH174"/>
      <c r="AI174"/>
      <c r="AJ174"/>
      <c r="AK174"/>
      <c r="AL174"/>
      <c r="AM174"/>
      <c r="AN174"/>
      <c r="AO174"/>
    </row>
    <row r="175" spans="1:41" ht="14.7" customHeight="1">
      <c r="A175" s="138" t="s">
        <v>99</v>
      </c>
      <c r="B175" s="138"/>
      <c r="C175">
        <v>609.70000000000005</v>
      </c>
      <c r="D175">
        <v>586.6</v>
      </c>
      <c r="E175">
        <v>0.32100000000000001</v>
      </c>
      <c r="F175">
        <v>0.30299999999999999</v>
      </c>
      <c r="G175">
        <v>0</v>
      </c>
      <c r="H175">
        <v>0</v>
      </c>
      <c r="I175">
        <v>411.1</v>
      </c>
      <c r="J175">
        <v>386.7</v>
      </c>
      <c r="K175"/>
      <c r="L175"/>
      <c r="M175"/>
      <c r="N175"/>
      <c r="O175"/>
      <c r="P175"/>
      <c r="Q175"/>
      <c r="R175"/>
      <c r="S175"/>
      <c r="T175"/>
      <c r="U175"/>
      <c r="V175"/>
      <c r="W175"/>
      <c r="X175"/>
      <c r="Y175"/>
      <c r="Z175"/>
      <c r="AA175"/>
      <c r="AB175"/>
      <c r="AC175"/>
      <c r="AD175"/>
      <c r="AE175"/>
      <c r="AF175"/>
      <c r="AG175"/>
      <c r="AH175"/>
      <c r="AI175"/>
      <c r="AJ175"/>
      <c r="AK175"/>
      <c r="AL175"/>
      <c r="AM175"/>
      <c r="AN175"/>
      <c r="AO175"/>
    </row>
    <row r="176" spans="1:41" ht="14.7" customHeight="1">
      <c r="A176" s="138" t="s">
        <v>274</v>
      </c>
      <c r="B176" s="138"/>
      <c r="C176">
        <v>616.5</v>
      </c>
      <c r="D176">
        <v>599.5</v>
      </c>
      <c r="E176">
        <v>0.40500000000000003</v>
      </c>
      <c r="F176">
        <v>0.36599999999999999</v>
      </c>
      <c r="G176">
        <v>1.4999999999999999E-2</v>
      </c>
      <c r="H176">
        <v>1E-3</v>
      </c>
      <c r="I176">
        <v>439.9</v>
      </c>
      <c r="J176">
        <v>400.2</v>
      </c>
      <c r="K176"/>
      <c r="L176"/>
      <c r="M176"/>
      <c r="N176"/>
      <c r="O176"/>
      <c r="P176"/>
      <c r="Q176"/>
      <c r="R176"/>
      <c r="S176"/>
      <c r="T176"/>
      <c r="U176"/>
      <c r="V176"/>
      <c r="W176"/>
      <c r="X176"/>
      <c r="Y176"/>
      <c r="Z176"/>
      <c r="AA176"/>
      <c r="AB176"/>
      <c r="AC176"/>
      <c r="AD176"/>
      <c r="AE176"/>
      <c r="AF176"/>
      <c r="AG176"/>
      <c r="AH176"/>
      <c r="AI176"/>
      <c r="AJ176"/>
      <c r="AK176"/>
      <c r="AL176"/>
      <c r="AM176"/>
      <c r="AN176"/>
      <c r="AO176"/>
    </row>
    <row r="177" spans="1:41" ht="14.7" customHeight="1">
      <c r="A177" s="138" t="s">
        <v>100</v>
      </c>
      <c r="B177" s="138"/>
      <c r="C177">
        <v>515.5</v>
      </c>
      <c r="D177">
        <v>482.7</v>
      </c>
      <c r="E177">
        <v>0.435</v>
      </c>
      <c r="F177">
        <v>0.42899999999999999</v>
      </c>
      <c r="G177">
        <v>0</v>
      </c>
      <c r="H177">
        <v>0</v>
      </c>
      <c r="I177">
        <v>420.7</v>
      </c>
      <c r="J177">
        <v>390.3</v>
      </c>
      <c r="K177"/>
      <c r="L177"/>
      <c r="M177"/>
      <c r="N177"/>
      <c r="O177"/>
      <c r="P177"/>
      <c r="Q177"/>
      <c r="R177"/>
      <c r="S177"/>
      <c r="T177"/>
      <c r="U177"/>
      <c r="V177"/>
      <c r="W177"/>
      <c r="X177"/>
      <c r="Y177"/>
      <c r="Z177"/>
      <c r="AA177"/>
      <c r="AB177"/>
      <c r="AC177"/>
      <c r="AD177"/>
      <c r="AE177"/>
      <c r="AF177"/>
      <c r="AG177"/>
      <c r="AH177"/>
      <c r="AI177"/>
      <c r="AJ177"/>
      <c r="AK177"/>
      <c r="AL177"/>
      <c r="AM177"/>
      <c r="AN177"/>
      <c r="AO177"/>
    </row>
    <row r="178" spans="1:41" ht="14.7" customHeight="1">
      <c r="A178" s="138" t="s">
        <v>101</v>
      </c>
      <c r="B178" s="138"/>
      <c r="C178" t="s">
        <v>880</v>
      </c>
      <c r="D178" t="s">
        <v>880</v>
      </c>
      <c r="E178" t="s">
        <v>880</v>
      </c>
      <c r="F178" t="s">
        <v>880</v>
      </c>
      <c r="G178" t="s">
        <v>880</v>
      </c>
      <c r="H178" t="s">
        <v>880</v>
      </c>
      <c r="I178" t="s">
        <v>880</v>
      </c>
      <c r="J178" t="s">
        <v>880</v>
      </c>
      <c r="K178"/>
      <c r="L178"/>
      <c r="M178"/>
      <c r="N178"/>
      <c r="O178"/>
      <c r="P178"/>
      <c r="Q178"/>
      <c r="R178"/>
      <c r="S178"/>
      <c r="T178"/>
      <c r="U178"/>
      <c r="V178"/>
      <c r="W178"/>
      <c r="X178"/>
      <c r="Y178"/>
      <c r="Z178"/>
      <c r="AA178"/>
      <c r="AB178"/>
      <c r="AC178"/>
      <c r="AD178"/>
      <c r="AE178"/>
      <c r="AF178"/>
      <c r="AG178"/>
      <c r="AH178"/>
      <c r="AI178"/>
      <c r="AJ178"/>
      <c r="AK178"/>
      <c r="AL178"/>
      <c r="AM178"/>
      <c r="AN178"/>
      <c r="AO178"/>
    </row>
    <row r="179" spans="1:41" ht="14.7" customHeight="1">
      <c r="A179" s="138" t="s">
        <v>215</v>
      </c>
      <c r="B179" s="138"/>
      <c r="C179">
        <v>476.1</v>
      </c>
      <c r="D179">
        <v>447.4</v>
      </c>
      <c r="E179">
        <v>0.42</v>
      </c>
      <c r="F179">
        <v>0.43</v>
      </c>
      <c r="G179">
        <v>2E-3</v>
      </c>
      <c r="H179">
        <v>2E-3</v>
      </c>
      <c r="I179">
        <v>330.7</v>
      </c>
      <c r="J179">
        <v>319.7</v>
      </c>
      <c r="K179"/>
      <c r="L179"/>
      <c r="M179"/>
      <c r="N179"/>
      <c r="O179"/>
      <c r="P179"/>
      <c r="Q179"/>
      <c r="R179"/>
      <c r="S179"/>
      <c r="T179"/>
      <c r="U179"/>
      <c r="V179"/>
      <c r="W179"/>
      <c r="X179"/>
      <c r="Y179"/>
      <c r="Z179"/>
      <c r="AA179"/>
      <c r="AB179"/>
      <c r="AC179"/>
      <c r="AD179"/>
      <c r="AE179"/>
      <c r="AF179"/>
      <c r="AG179"/>
      <c r="AH179"/>
      <c r="AI179"/>
      <c r="AJ179"/>
      <c r="AK179"/>
      <c r="AL179"/>
      <c r="AM179"/>
      <c r="AN179"/>
      <c r="AO179"/>
    </row>
    <row r="180" spans="1:41" ht="14.7" customHeight="1">
      <c r="A180" s="138" t="s">
        <v>102</v>
      </c>
      <c r="B180" s="138"/>
      <c r="C180">
        <v>362</v>
      </c>
      <c r="D180">
        <v>324.8</v>
      </c>
      <c r="E180">
        <v>0.53700000000000003</v>
      </c>
      <c r="F180">
        <v>0.55400000000000005</v>
      </c>
      <c r="G180">
        <v>0</v>
      </c>
      <c r="H180">
        <v>0</v>
      </c>
      <c r="I180">
        <v>350.7</v>
      </c>
      <c r="J180">
        <v>327.39999999999998</v>
      </c>
      <c r="K180"/>
      <c r="L180"/>
      <c r="M180"/>
      <c r="N180"/>
      <c r="O180"/>
      <c r="P180"/>
      <c r="Q180"/>
      <c r="R180"/>
      <c r="S180"/>
      <c r="T180"/>
      <c r="U180"/>
      <c r="V180"/>
      <c r="W180"/>
      <c r="X180"/>
      <c r="Y180"/>
      <c r="Z180"/>
      <c r="AA180"/>
      <c r="AB180"/>
      <c r="AC180"/>
      <c r="AD180"/>
      <c r="AE180"/>
      <c r="AF180"/>
      <c r="AG180"/>
      <c r="AH180"/>
      <c r="AI180"/>
      <c r="AJ180"/>
      <c r="AK180"/>
      <c r="AL180"/>
      <c r="AM180"/>
      <c r="AN180"/>
      <c r="AO180"/>
    </row>
    <row r="181" spans="1:41" ht="14.7" customHeight="1">
      <c r="A181" s="138" t="s">
        <v>911</v>
      </c>
      <c r="B181" s="138"/>
      <c r="C181">
        <v>497</v>
      </c>
      <c r="D181">
        <v>464.3</v>
      </c>
      <c r="E181">
        <v>0.41</v>
      </c>
      <c r="F181">
        <v>0.39</v>
      </c>
      <c r="G181">
        <v>0</v>
      </c>
      <c r="H181">
        <v>0</v>
      </c>
      <c r="I181">
        <v>384.6</v>
      </c>
      <c r="J181">
        <v>347.5</v>
      </c>
      <c r="K181"/>
      <c r="L181"/>
      <c r="M181"/>
      <c r="N181"/>
      <c r="O181"/>
      <c r="P181"/>
      <c r="Q181"/>
      <c r="R181"/>
      <c r="S181"/>
      <c r="T181"/>
      <c r="U181"/>
      <c r="V181"/>
      <c r="W181"/>
      <c r="X181"/>
      <c r="Y181"/>
      <c r="Z181"/>
      <c r="AA181"/>
      <c r="AB181"/>
      <c r="AC181"/>
      <c r="AD181"/>
      <c r="AE181"/>
      <c r="AF181"/>
      <c r="AG181"/>
      <c r="AH181"/>
      <c r="AI181"/>
      <c r="AJ181"/>
      <c r="AK181"/>
      <c r="AL181"/>
      <c r="AM181"/>
      <c r="AN181"/>
      <c r="AO181"/>
    </row>
    <row r="182" spans="1:41" ht="14.7" customHeight="1">
      <c r="A182" s="138" t="s">
        <v>104</v>
      </c>
      <c r="B182" s="138"/>
      <c r="C182">
        <v>448.5</v>
      </c>
      <c r="D182">
        <v>420.1</v>
      </c>
      <c r="E182">
        <v>0.42799999999999999</v>
      </c>
      <c r="F182">
        <v>0.41799999999999998</v>
      </c>
      <c r="G182">
        <v>0</v>
      </c>
      <c r="H182">
        <v>0</v>
      </c>
      <c r="I182">
        <v>342.9</v>
      </c>
      <c r="J182">
        <v>319.5</v>
      </c>
      <c r="K182"/>
      <c r="L182"/>
      <c r="M182"/>
      <c r="N182"/>
      <c r="O182"/>
      <c r="P182"/>
      <c r="Q182"/>
      <c r="R182"/>
      <c r="S182"/>
      <c r="T182"/>
      <c r="U182"/>
      <c r="V182"/>
      <c r="W182"/>
      <c r="X182"/>
      <c r="Y182"/>
      <c r="Z182"/>
      <c r="AA182"/>
      <c r="AB182"/>
      <c r="AC182"/>
      <c r="AD182"/>
      <c r="AE182"/>
      <c r="AF182"/>
      <c r="AG182"/>
      <c r="AH182"/>
      <c r="AI182"/>
      <c r="AJ182"/>
      <c r="AK182"/>
      <c r="AL182"/>
      <c r="AM182"/>
      <c r="AN182"/>
      <c r="AO182"/>
    </row>
    <row r="183" spans="1:41" ht="14.7" customHeight="1">
      <c r="A183" s="138" t="s">
        <v>275</v>
      </c>
      <c r="B183" s="138"/>
      <c r="C183">
        <v>694.2</v>
      </c>
      <c r="D183">
        <v>759.1</v>
      </c>
      <c r="E183">
        <v>0.29799999999999999</v>
      </c>
      <c r="F183">
        <v>0.23100000000000001</v>
      </c>
      <c r="G183">
        <v>5.5E-2</v>
      </c>
      <c r="H183">
        <v>8.7999999999999995E-2</v>
      </c>
      <c r="I183">
        <v>448.2</v>
      </c>
      <c r="J183">
        <v>437.6</v>
      </c>
      <c r="K183"/>
      <c r="L183"/>
      <c r="M183"/>
      <c r="N183"/>
      <c r="O183"/>
      <c r="P183"/>
      <c r="Q183"/>
      <c r="R183"/>
      <c r="S183"/>
      <c r="T183"/>
      <c r="U183"/>
      <c r="V183"/>
      <c r="W183"/>
      <c r="X183"/>
      <c r="Y183"/>
      <c r="Z183"/>
      <c r="AA183"/>
      <c r="AB183"/>
      <c r="AC183"/>
      <c r="AD183"/>
      <c r="AE183"/>
      <c r="AF183"/>
      <c r="AG183"/>
      <c r="AH183"/>
      <c r="AI183"/>
      <c r="AJ183"/>
      <c r="AK183"/>
      <c r="AL183"/>
      <c r="AM183"/>
      <c r="AN183"/>
      <c r="AO183"/>
    </row>
    <row r="184" spans="1:41" ht="14.7" customHeight="1">
      <c r="A184" s="138" t="s">
        <v>276</v>
      </c>
      <c r="B184" s="138"/>
      <c r="C184">
        <v>490.7</v>
      </c>
      <c r="D184">
        <v>492.9</v>
      </c>
      <c r="E184">
        <v>0.51900000000000002</v>
      </c>
      <c r="F184">
        <v>0.48099999999999998</v>
      </c>
      <c r="G184">
        <v>0.01</v>
      </c>
      <c r="H184">
        <v>6.0000000000000001E-3</v>
      </c>
      <c r="I184">
        <v>420.5</v>
      </c>
      <c r="J184">
        <v>395.2</v>
      </c>
      <c r="K184"/>
      <c r="L184"/>
      <c r="M184"/>
      <c r="N184"/>
      <c r="O184"/>
      <c r="P184"/>
      <c r="Q184"/>
      <c r="R184"/>
      <c r="S184"/>
      <c r="T184"/>
      <c r="U184"/>
      <c r="V184"/>
      <c r="W184"/>
      <c r="X184"/>
      <c r="Y184"/>
      <c r="Z184"/>
      <c r="AA184"/>
      <c r="AB184"/>
      <c r="AC184"/>
      <c r="AD184"/>
      <c r="AE184"/>
      <c r="AF184"/>
      <c r="AG184"/>
      <c r="AH184"/>
      <c r="AI184"/>
      <c r="AJ184"/>
      <c r="AK184"/>
      <c r="AL184"/>
      <c r="AM184"/>
      <c r="AN184"/>
      <c r="AO184"/>
    </row>
    <row r="185" spans="1:41" ht="14.7" customHeight="1">
      <c r="A185" s="138" t="s">
        <v>105</v>
      </c>
      <c r="B185" s="138"/>
      <c r="C185">
        <v>387.8</v>
      </c>
      <c r="D185">
        <v>366.6</v>
      </c>
      <c r="E185">
        <v>0.54200000000000004</v>
      </c>
      <c r="F185">
        <v>0.55100000000000005</v>
      </c>
      <c r="G185">
        <v>0</v>
      </c>
      <c r="H185">
        <v>0</v>
      </c>
      <c r="I185">
        <v>378.3</v>
      </c>
      <c r="J185">
        <v>366</v>
      </c>
      <c r="K185"/>
      <c r="L185"/>
      <c r="M185"/>
      <c r="N185"/>
      <c r="O185"/>
      <c r="P185"/>
      <c r="Q185"/>
      <c r="R185"/>
      <c r="S185"/>
      <c r="T185"/>
      <c r="U185"/>
      <c r="V185"/>
      <c r="W185"/>
      <c r="X185"/>
      <c r="Y185"/>
      <c r="Z185"/>
      <c r="AA185"/>
      <c r="AB185"/>
      <c r="AC185"/>
      <c r="AD185"/>
      <c r="AE185"/>
      <c r="AF185"/>
      <c r="AG185"/>
      <c r="AH185"/>
      <c r="AI185"/>
      <c r="AJ185"/>
      <c r="AK185"/>
      <c r="AL185"/>
      <c r="AM185"/>
      <c r="AN185"/>
      <c r="AO185"/>
    </row>
    <row r="186" spans="1:41" ht="14.7" customHeight="1">
      <c r="A186" s="138" t="s">
        <v>106</v>
      </c>
      <c r="B186" s="138"/>
      <c r="C186">
        <v>484.7</v>
      </c>
      <c r="D186">
        <v>457.4</v>
      </c>
      <c r="E186">
        <v>0.32700000000000001</v>
      </c>
      <c r="F186">
        <v>0.34</v>
      </c>
      <c r="G186">
        <v>0</v>
      </c>
      <c r="H186">
        <v>0</v>
      </c>
      <c r="I186">
        <v>336.9</v>
      </c>
      <c r="J186">
        <v>325.39999999999998</v>
      </c>
      <c r="K186"/>
      <c r="L186"/>
      <c r="M186"/>
      <c r="N186"/>
      <c r="O186"/>
      <c r="P186"/>
      <c r="Q186"/>
      <c r="R186"/>
      <c r="S186"/>
      <c r="T186"/>
      <c r="U186"/>
      <c r="V186"/>
      <c r="W186"/>
      <c r="X186"/>
      <c r="Y186"/>
      <c r="Z186"/>
      <c r="AA186"/>
      <c r="AB186"/>
      <c r="AC186"/>
      <c r="AD186"/>
      <c r="AE186"/>
      <c r="AF186"/>
      <c r="AG186"/>
      <c r="AH186"/>
      <c r="AI186"/>
      <c r="AJ186"/>
      <c r="AK186"/>
      <c r="AL186"/>
      <c r="AM186"/>
      <c r="AN186"/>
      <c r="AO186"/>
    </row>
    <row r="187" spans="1:41" ht="14.7" customHeight="1">
      <c r="A187" s="138" t="s">
        <v>347</v>
      </c>
      <c r="B187" s="138"/>
      <c r="C187">
        <v>549.4</v>
      </c>
      <c r="D187">
        <v>514.9</v>
      </c>
      <c r="E187">
        <v>0.34599999999999997</v>
      </c>
      <c r="F187">
        <v>0.34399999999999997</v>
      </c>
      <c r="G187">
        <v>0</v>
      </c>
      <c r="H187">
        <v>0</v>
      </c>
      <c r="I187">
        <v>386.4</v>
      </c>
      <c r="J187">
        <v>359.6</v>
      </c>
      <c r="K187"/>
      <c r="L187"/>
      <c r="M187"/>
      <c r="N187"/>
      <c r="O187"/>
      <c r="P187"/>
      <c r="Q187"/>
      <c r="R187"/>
      <c r="S187"/>
      <c r="T187"/>
      <c r="U187"/>
      <c r="V187"/>
      <c r="W187"/>
      <c r="X187"/>
      <c r="Y187"/>
      <c r="Z187"/>
      <c r="AA187"/>
      <c r="AB187"/>
      <c r="AC187"/>
      <c r="AD187"/>
      <c r="AE187"/>
      <c r="AF187"/>
      <c r="AG187"/>
      <c r="AH187"/>
      <c r="AI187"/>
      <c r="AJ187"/>
      <c r="AK187"/>
      <c r="AL187"/>
      <c r="AM187"/>
      <c r="AN187"/>
      <c r="AO187"/>
    </row>
    <row r="188" spans="1:41" ht="14.7" customHeight="1">
      <c r="A188" s="138" t="s">
        <v>107</v>
      </c>
      <c r="B188" s="138"/>
      <c r="C188">
        <v>432.9</v>
      </c>
      <c r="D188">
        <v>417.1</v>
      </c>
      <c r="E188">
        <v>0.47499999999999998</v>
      </c>
      <c r="F188">
        <v>0.45800000000000002</v>
      </c>
      <c r="G188">
        <v>0</v>
      </c>
      <c r="H188">
        <v>0</v>
      </c>
      <c r="I188">
        <v>383.5</v>
      </c>
      <c r="J188">
        <v>355.4</v>
      </c>
      <c r="K188"/>
      <c r="L188"/>
      <c r="M188"/>
      <c r="N188"/>
      <c r="O188"/>
      <c r="P188"/>
      <c r="Q188"/>
      <c r="R188"/>
      <c r="S188"/>
      <c r="T188"/>
      <c r="U188"/>
      <c r="V188"/>
      <c r="W188"/>
      <c r="X188"/>
      <c r="Y188"/>
      <c r="Z188"/>
      <c r="AA188"/>
      <c r="AB188"/>
      <c r="AC188"/>
      <c r="AD188"/>
      <c r="AE188"/>
      <c r="AF188"/>
      <c r="AG188"/>
      <c r="AH188"/>
      <c r="AI188"/>
      <c r="AJ188"/>
      <c r="AK188"/>
      <c r="AL188"/>
      <c r="AM188"/>
      <c r="AN188"/>
      <c r="AO188"/>
    </row>
    <row r="189" spans="1:41" ht="14.7" customHeight="1">
      <c r="A189" s="138" t="s">
        <v>238</v>
      </c>
      <c r="B189" s="138"/>
      <c r="C189">
        <v>510.1</v>
      </c>
      <c r="D189">
        <v>567.5</v>
      </c>
      <c r="E189">
        <v>0.36699999999999999</v>
      </c>
      <c r="F189">
        <v>0.25600000000000001</v>
      </c>
      <c r="G189">
        <v>0.14699999999999999</v>
      </c>
      <c r="H189">
        <v>0.42099999999999999</v>
      </c>
      <c r="I189">
        <v>370.9</v>
      </c>
      <c r="J189">
        <v>344.4</v>
      </c>
      <c r="K189"/>
      <c r="L189"/>
      <c r="M189"/>
      <c r="N189"/>
      <c r="O189"/>
      <c r="P189"/>
      <c r="Q189"/>
      <c r="R189"/>
      <c r="S189"/>
      <c r="T189"/>
      <c r="U189"/>
      <c r="V189"/>
      <c r="W189"/>
      <c r="X189"/>
      <c r="Y189"/>
      <c r="Z189"/>
      <c r="AA189"/>
      <c r="AB189"/>
      <c r="AC189"/>
      <c r="AD189"/>
      <c r="AE189"/>
      <c r="AF189"/>
      <c r="AG189"/>
      <c r="AH189"/>
      <c r="AI189"/>
      <c r="AJ189"/>
      <c r="AK189"/>
      <c r="AL189"/>
      <c r="AM189"/>
      <c r="AN189"/>
      <c r="AO189"/>
    </row>
    <row r="190" spans="1:41" ht="14.7" customHeight="1">
      <c r="A190" s="138" t="s">
        <v>216</v>
      </c>
      <c r="B190" s="138"/>
      <c r="C190">
        <v>755.1</v>
      </c>
      <c r="D190">
        <v>694.8</v>
      </c>
      <c r="E190">
        <v>0.248</v>
      </c>
      <c r="F190">
        <v>0.25600000000000001</v>
      </c>
      <c r="G190">
        <v>0</v>
      </c>
      <c r="H190">
        <v>0</v>
      </c>
      <c r="I190">
        <v>358.7</v>
      </c>
      <c r="J190">
        <v>332.3</v>
      </c>
      <c r="K190"/>
      <c r="L190"/>
      <c r="M190"/>
      <c r="N190"/>
      <c r="O190"/>
      <c r="P190"/>
      <c r="Q190"/>
      <c r="R190"/>
      <c r="S190"/>
      <c r="T190"/>
      <c r="U190"/>
      <c r="V190"/>
      <c r="W190"/>
      <c r="X190"/>
      <c r="Y190"/>
      <c r="Z190"/>
      <c r="AA190"/>
      <c r="AB190"/>
      <c r="AC190"/>
      <c r="AD190"/>
      <c r="AE190"/>
      <c r="AF190"/>
      <c r="AG190"/>
      <c r="AH190"/>
      <c r="AI190"/>
      <c r="AJ190"/>
      <c r="AK190"/>
      <c r="AL190"/>
      <c r="AM190"/>
      <c r="AN190"/>
      <c r="AO190"/>
    </row>
    <row r="191" spans="1:41" ht="14.7" customHeight="1">
      <c r="A191" s="138" t="s">
        <v>320</v>
      </c>
      <c r="B191" s="138"/>
      <c r="C191">
        <v>539.6</v>
      </c>
      <c r="D191">
        <v>504.8</v>
      </c>
      <c r="E191">
        <v>0.442</v>
      </c>
      <c r="F191">
        <v>0.43099999999999999</v>
      </c>
      <c r="G191">
        <v>0.127</v>
      </c>
      <c r="H191">
        <v>7.5999999999999998E-2</v>
      </c>
      <c r="I191">
        <v>457.6</v>
      </c>
      <c r="J191">
        <v>419.6</v>
      </c>
      <c r="K191"/>
      <c r="L191"/>
      <c r="M191"/>
      <c r="N191"/>
      <c r="O191"/>
      <c r="P191"/>
      <c r="Q191"/>
      <c r="R191"/>
      <c r="S191"/>
      <c r="T191"/>
      <c r="U191"/>
      <c r="V191"/>
      <c r="W191"/>
      <c r="X191"/>
      <c r="Y191"/>
      <c r="Z191"/>
      <c r="AA191"/>
      <c r="AB191"/>
      <c r="AC191"/>
      <c r="AD191"/>
      <c r="AE191"/>
      <c r="AF191"/>
      <c r="AG191"/>
      <c r="AH191"/>
      <c r="AI191"/>
      <c r="AJ191"/>
      <c r="AK191"/>
      <c r="AL191"/>
      <c r="AM191"/>
      <c r="AN191"/>
      <c r="AO191"/>
    </row>
    <row r="192" spans="1:41" ht="14.7" customHeight="1">
      <c r="A192" s="138" t="s">
        <v>108</v>
      </c>
      <c r="B192" s="138"/>
      <c r="C192">
        <v>423</v>
      </c>
      <c r="D192">
        <v>414.5</v>
      </c>
      <c r="E192">
        <v>0.48199999999999998</v>
      </c>
      <c r="F192">
        <v>0.45600000000000002</v>
      </c>
      <c r="G192">
        <v>0</v>
      </c>
      <c r="H192">
        <v>0</v>
      </c>
      <c r="I192">
        <v>392</v>
      </c>
      <c r="J192">
        <v>366</v>
      </c>
      <c r="K192"/>
      <c r="L192"/>
      <c r="M192"/>
      <c r="N192"/>
      <c r="O192"/>
      <c r="P192"/>
      <c r="Q192"/>
      <c r="R192"/>
      <c r="S192"/>
      <c r="T192"/>
      <c r="U192"/>
      <c r="V192"/>
      <c r="W192"/>
      <c r="X192"/>
      <c r="Y192"/>
      <c r="Z192"/>
      <c r="AA192"/>
      <c r="AB192"/>
      <c r="AC192"/>
      <c r="AD192"/>
      <c r="AE192"/>
      <c r="AF192"/>
      <c r="AG192"/>
      <c r="AH192"/>
      <c r="AI192"/>
      <c r="AJ192"/>
      <c r="AK192"/>
      <c r="AL192"/>
      <c r="AM192"/>
      <c r="AN192"/>
      <c r="AO192"/>
    </row>
    <row r="193" spans="1:196" ht="14.7" customHeight="1">
      <c r="A193" s="138" t="s">
        <v>110</v>
      </c>
      <c r="B193" s="138"/>
      <c r="C193">
        <v>475.4</v>
      </c>
      <c r="D193">
        <v>450.2</v>
      </c>
      <c r="E193">
        <v>0.45300000000000001</v>
      </c>
      <c r="F193">
        <v>0.41</v>
      </c>
      <c r="G193">
        <v>0</v>
      </c>
      <c r="H193">
        <v>0</v>
      </c>
      <c r="I193">
        <v>402.7</v>
      </c>
      <c r="J193">
        <v>353.2</v>
      </c>
      <c r="K193"/>
      <c r="L193"/>
      <c r="M193"/>
      <c r="N193"/>
      <c r="O193"/>
      <c r="P193"/>
      <c r="Q193"/>
      <c r="R193"/>
      <c r="S193"/>
      <c r="T193"/>
      <c r="U193"/>
      <c r="V193"/>
      <c r="W193"/>
      <c r="X193"/>
      <c r="Y193"/>
      <c r="Z193"/>
      <c r="AA193"/>
      <c r="AB193"/>
      <c r="AC193"/>
      <c r="AD193"/>
      <c r="AE193"/>
      <c r="AF193"/>
      <c r="AG193"/>
      <c r="AH193"/>
      <c r="AI193"/>
      <c r="AJ193"/>
      <c r="AK193"/>
      <c r="AL193"/>
      <c r="AM193"/>
      <c r="AN193"/>
      <c r="AO193"/>
    </row>
    <row r="194" spans="1:196" ht="14.7" customHeight="1">
      <c r="A194" s="138" t="s">
        <v>277</v>
      </c>
      <c r="B194" s="138"/>
      <c r="C194">
        <v>602.70000000000005</v>
      </c>
      <c r="D194">
        <v>562.20000000000005</v>
      </c>
      <c r="E194">
        <v>0.38800000000000001</v>
      </c>
      <c r="F194">
        <v>0.379</v>
      </c>
      <c r="G194">
        <v>4.9000000000000002E-2</v>
      </c>
      <c r="H194">
        <v>7.0000000000000001E-3</v>
      </c>
      <c r="I194">
        <v>467.2</v>
      </c>
      <c r="J194">
        <v>430.4</v>
      </c>
      <c r="K194"/>
      <c r="L194"/>
      <c r="M194"/>
      <c r="N194"/>
      <c r="O194"/>
      <c r="P194"/>
      <c r="Q194"/>
      <c r="R194"/>
      <c r="S194"/>
      <c r="T194"/>
      <c r="U194"/>
      <c r="V194"/>
      <c r="W194"/>
      <c r="X194"/>
      <c r="Y194"/>
      <c r="Z194"/>
      <c r="AA194"/>
      <c r="AB194"/>
      <c r="AC194"/>
      <c r="AD194"/>
      <c r="AE194"/>
      <c r="AF194"/>
      <c r="AG194"/>
      <c r="AH194"/>
      <c r="AI194"/>
      <c r="AJ194"/>
      <c r="AK194"/>
      <c r="AL194"/>
      <c r="AM194"/>
      <c r="AN194"/>
      <c r="AO194"/>
    </row>
    <row r="195" spans="1:196" ht="14.7" customHeight="1">
      <c r="A195" s="138" t="s">
        <v>111</v>
      </c>
      <c r="B195" s="138"/>
      <c r="C195">
        <v>347.5</v>
      </c>
      <c r="D195">
        <v>342.4</v>
      </c>
      <c r="E195">
        <v>0.57699999999999996</v>
      </c>
      <c r="F195">
        <v>0.55200000000000005</v>
      </c>
      <c r="G195">
        <v>0</v>
      </c>
      <c r="H195">
        <v>0</v>
      </c>
      <c r="I195">
        <v>362.6</v>
      </c>
      <c r="J195">
        <v>338.1</v>
      </c>
      <c r="K195"/>
      <c r="L195"/>
      <c r="M195"/>
      <c r="N195"/>
      <c r="O195"/>
      <c r="P195"/>
      <c r="Q195"/>
      <c r="R195"/>
      <c r="S195"/>
      <c r="T195"/>
      <c r="U195"/>
      <c r="V195"/>
      <c r="W195"/>
      <c r="X195"/>
      <c r="Y195"/>
      <c r="Z195"/>
      <c r="AA195"/>
      <c r="AB195"/>
      <c r="AC195"/>
      <c r="AD195"/>
      <c r="AE195"/>
      <c r="AF195"/>
      <c r="AG195"/>
      <c r="AH195"/>
      <c r="AI195"/>
      <c r="AJ195"/>
      <c r="AK195"/>
      <c r="AL195"/>
      <c r="AM195"/>
      <c r="AN195"/>
      <c r="AO195"/>
    </row>
    <row r="196" spans="1:196" ht="14.7" customHeight="1">
      <c r="A196" s="138" t="s">
        <v>112</v>
      </c>
      <c r="B196" s="138"/>
      <c r="C196">
        <v>516.5</v>
      </c>
      <c r="D196">
        <v>485.6</v>
      </c>
      <c r="E196">
        <v>0.44</v>
      </c>
      <c r="F196">
        <v>0.42099999999999999</v>
      </c>
      <c r="G196">
        <v>0</v>
      </c>
      <c r="H196">
        <v>0</v>
      </c>
      <c r="I196">
        <v>414.5</v>
      </c>
      <c r="J196">
        <v>377.9</v>
      </c>
      <c r="K196"/>
      <c r="L196"/>
      <c r="M196"/>
      <c r="N196"/>
      <c r="O196"/>
      <c r="P196"/>
      <c r="Q196"/>
      <c r="R196"/>
      <c r="S196"/>
      <c r="T196"/>
      <c r="U196"/>
      <c r="V196"/>
      <c r="W196"/>
      <c r="X196"/>
      <c r="Y196"/>
      <c r="Z196"/>
      <c r="AA196"/>
      <c r="AB196"/>
      <c r="AC196"/>
      <c r="AD196"/>
      <c r="AE196"/>
      <c r="AF196"/>
      <c r="AG196"/>
      <c r="AH196"/>
      <c r="AI196"/>
      <c r="AJ196"/>
      <c r="AK196"/>
      <c r="AL196"/>
      <c r="AM196"/>
      <c r="AN196"/>
      <c r="AO196"/>
    </row>
    <row r="197" spans="1:196" ht="14.7" customHeight="1">
      <c r="A197" s="138" t="s">
        <v>278</v>
      </c>
      <c r="B197" s="138"/>
      <c r="C197">
        <v>539.1</v>
      </c>
      <c r="D197">
        <v>514.4</v>
      </c>
      <c r="E197">
        <v>0.51700000000000002</v>
      </c>
      <c r="F197">
        <v>0.503</v>
      </c>
      <c r="G197">
        <v>5.0000000000000001E-3</v>
      </c>
      <c r="H197">
        <v>1.4E-2</v>
      </c>
      <c r="I197">
        <v>502.3</v>
      </c>
      <c r="J197">
        <v>468.4</v>
      </c>
      <c r="K197"/>
      <c r="L197"/>
      <c r="M197"/>
      <c r="N197"/>
      <c r="O197"/>
      <c r="P197"/>
      <c r="Q197"/>
      <c r="R197"/>
      <c r="S197"/>
      <c r="T197"/>
      <c r="U197"/>
      <c r="V197"/>
      <c r="W197"/>
      <c r="X197"/>
      <c r="Y197"/>
      <c r="Z197"/>
      <c r="AA197"/>
      <c r="AB197"/>
      <c r="AC197"/>
      <c r="AD197"/>
      <c r="AE197"/>
      <c r="AF197"/>
      <c r="AG197"/>
      <c r="AH197"/>
      <c r="AI197"/>
      <c r="AJ197"/>
      <c r="AK197"/>
      <c r="AL197"/>
      <c r="AM197"/>
      <c r="AN197"/>
      <c r="AO197"/>
    </row>
    <row r="198" spans="1:196" ht="14.7" customHeight="1">
      <c r="A198" s="138" t="s">
        <v>113</v>
      </c>
      <c r="B198" s="138"/>
      <c r="C198">
        <v>470.5</v>
      </c>
      <c r="D198">
        <v>426.7</v>
      </c>
      <c r="E198">
        <v>0.42299999999999999</v>
      </c>
      <c r="F198">
        <v>0.43099999999999999</v>
      </c>
      <c r="G198">
        <v>0</v>
      </c>
      <c r="H198">
        <v>0</v>
      </c>
      <c r="I198">
        <v>440.2</v>
      </c>
      <c r="J198">
        <v>405</v>
      </c>
      <c r="K198"/>
      <c r="L198"/>
      <c r="M198"/>
      <c r="N198"/>
      <c r="O198"/>
      <c r="P198"/>
      <c r="Q198"/>
      <c r="R198"/>
      <c r="S198"/>
      <c r="T198"/>
      <c r="U198"/>
      <c r="V198"/>
      <c r="W198"/>
      <c r="X198"/>
      <c r="Y198"/>
      <c r="Z198"/>
      <c r="AA198"/>
      <c r="AB198"/>
      <c r="AC198"/>
      <c r="AD198"/>
      <c r="AE198"/>
      <c r="AF198"/>
      <c r="AG198"/>
      <c r="AH198"/>
      <c r="AI198"/>
      <c r="AJ198"/>
      <c r="AK198"/>
      <c r="AL198"/>
      <c r="AM198"/>
      <c r="AN198"/>
      <c r="AO198"/>
    </row>
    <row r="199" spans="1:196" ht="14.7" customHeight="1">
      <c r="A199" s="138" t="s">
        <v>903</v>
      </c>
      <c r="B199" s="138"/>
      <c r="C199">
        <v>556.79999999999995</v>
      </c>
      <c r="D199">
        <v>526.29999999999995</v>
      </c>
      <c r="E199">
        <v>0.45400000000000001</v>
      </c>
      <c r="F199">
        <v>0.42</v>
      </c>
      <c r="G199">
        <v>0.107</v>
      </c>
      <c r="H199">
        <v>7.8E-2</v>
      </c>
      <c r="I199">
        <v>438.3</v>
      </c>
      <c r="J199">
        <v>392.2</v>
      </c>
      <c r="K199"/>
      <c r="L199"/>
      <c r="M199"/>
      <c r="N199"/>
      <c r="O199"/>
      <c r="P199"/>
      <c r="Q199"/>
      <c r="R199"/>
      <c r="S199"/>
      <c r="T199"/>
      <c r="U199"/>
      <c r="V199"/>
      <c r="W199"/>
      <c r="X199"/>
      <c r="Y199"/>
      <c r="Z199"/>
      <c r="AA199"/>
      <c r="AB199"/>
      <c r="AC199"/>
      <c r="AD199"/>
      <c r="AE199"/>
      <c r="AF199"/>
      <c r="AG199"/>
      <c r="AH199"/>
      <c r="AI199"/>
      <c r="AJ199"/>
      <c r="AK199"/>
      <c r="AL199"/>
      <c r="AM199"/>
      <c r="AN199"/>
      <c r="AO199"/>
    </row>
    <row r="200" spans="1:196" ht="14.7" customHeight="1">
      <c r="A200" s="138" t="s">
        <v>279</v>
      </c>
      <c r="B200" s="138"/>
      <c r="C200">
        <v>400.6</v>
      </c>
      <c r="D200">
        <v>373.6</v>
      </c>
      <c r="E200">
        <v>0.59499999999999997</v>
      </c>
      <c r="F200">
        <v>0.58899999999999997</v>
      </c>
      <c r="G200">
        <v>0.115</v>
      </c>
      <c r="H200">
        <v>7.8E-2</v>
      </c>
      <c r="I200">
        <v>450.8</v>
      </c>
      <c r="J200">
        <v>415</v>
      </c>
      <c r="K200"/>
      <c r="L200"/>
      <c r="M200"/>
      <c r="N200"/>
      <c r="O200"/>
      <c r="P200"/>
      <c r="Q200"/>
      <c r="R200"/>
      <c r="S200"/>
      <c r="T200"/>
      <c r="U200"/>
      <c r="V200"/>
      <c r="W200"/>
      <c r="X200"/>
      <c r="Y200"/>
      <c r="Z200"/>
      <c r="AA200"/>
      <c r="AB200"/>
      <c r="AC200"/>
      <c r="AD200"/>
      <c r="AE200"/>
      <c r="AF200"/>
      <c r="AG200"/>
      <c r="AH200"/>
      <c r="AI200"/>
      <c r="AJ200"/>
      <c r="AK200"/>
      <c r="AL200"/>
      <c r="AM200"/>
      <c r="AN200"/>
      <c r="AO200"/>
    </row>
    <row r="201" spans="1:196" ht="14.7" customHeight="1">
      <c r="A201" s="138" t="s">
        <v>239</v>
      </c>
      <c r="B201" s="138"/>
      <c r="C201">
        <v>580.9</v>
      </c>
      <c r="D201">
        <v>557.29999999999995</v>
      </c>
      <c r="E201">
        <v>0.35199999999999998</v>
      </c>
      <c r="F201">
        <v>0.32</v>
      </c>
      <c r="G201">
        <v>0.05</v>
      </c>
      <c r="H201">
        <v>8.2000000000000003E-2</v>
      </c>
      <c r="I201">
        <v>429.9</v>
      </c>
      <c r="J201">
        <v>394.1</v>
      </c>
      <c r="K201"/>
      <c r="L201"/>
      <c r="M201"/>
      <c r="N201"/>
      <c r="O201"/>
      <c r="P201"/>
      <c r="Q201"/>
      <c r="R201"/>
      <c r="S201"/>
      <c r="T201"/>
      <c r="U201"/>
      <c r="V201"/>
      <c r="W201"/>
      <c r="X201"/>
      <c r="Y201"/>
      <c r="Z201"/>
      <c r="AA201"/>
      <c r="AB201"/>
      <c r="AC201"/>
      <c r="AD201"/>
      <c r="AE201"/>
      <c r="AF201"/>
      <c r="AG201"/>
      <c r="AH201"/>
      <c r="AI201"/>
      <c r="AJ201"/>
      <c r="AK201"/>
      <c r="AL201"/>
      <c r="AM201"/>
      <c r="AN201"/>
      <c r="AO201"/>
    </row>
    <row r="202" spans="1:196" ht="14.7" customHeight="1">
      <c r="A202" s="138" t="s">
        <v>114</v>
      </c>
      <c r="B202" s="138"/>
      <c r="C202">
        <v>612.20000000000005</v>
      </c>
      <c r="D202">
        <v>557.5</v>
      </c>
      <c r="E202">
        <v>0.36299999999999999</v>
      </c>
      <c r="F202">
        <v>0.37</v>
      </c>
      <c r="G202">
        <v>0</v>
      </c>
      <c r="H202">
        <v>0</v>
      </c>
      <c r="I202">
        <v>429.7</v>
      </c>
      <c r="J202">
        <v>395.5</v>
      </c>
      <c r="K202"/>
      <c r="L202"/>
      <c r="M202"/>
      <c r="N202"/>
      <c r="O202"/>
      <c r="P202"/>
      <c r="Q202"/>
      <c r="R202"/>
      <c r="S202"/>
      <c r="T202"/>
      <c r="U202"/>
      <c r="V202"/>
      <c r="W202"/>
      <c r="X202"/>
      <c r="Y202"/>
      <c r="Z202"/>
      <c r="AA202"/>
      <c r="AB202"/>
      <c r="AC202"/>
      <c r="AD202"/>
      <c r="AE202"/>
      <c r="AF202"/>
      <c r="AG202"/>
      <c r="AH202"/>
      <c r="AI202"/>
      <c r="AJ202"/>
      <c r="AK202"/>
      <c r="AL202"/>
      <c r="AM202"/>
      <c r="AN202"/>
      <c r="AO202"/>
    </row>
    <row r="203" spans="1:196" ht="14.7" customHeight="1">
      <c r="A203" s="138" t="s">
        <v>115</v>
      </c>
      <c r="B203" s="138"/>
      <c r="C203">
        <v>487.3</v>
      </c>
      <c r="D203">
        <v>465.1</v>
      </c>
      <c r="E203">
        <v>0.46600000000000003</v>
      </c>
      <c r="F203">
        <v>0.43</v>
      </c>
      <c r="G203">
        <v>0</v>
      </c>
      <c r="H203">
        <v>0</v>
      </c>
      <c r="I203">
        <v>410.1</v>
      </c>
      <c r="J203">
        <v>364.2</v>
      </c>
      <c r="K203"/>
      <c r="L203"/>
      <c r="M203"/>
      <c r="N203"/>
      <c r="O203"/>
      <c r="P203"/>
      <c r="Q203"/>
      <c r="R203"/>
      <c r="S203"/>
      <c r="T203"/>
      <c r="U203"/>
      <c r="V203"/>
      <c r="W203"/>
      <c r="X203"/>
      <c r="Y203"/>
      <c r="Z203"/>
      <c r="AA203"/>
      <c r="AB203"/>
      <c r="AC203"/>
      <c r="AD203"/>
      <c r="AE203"/>
      <c r="AF203"/>
      <c r="AG203"/>
      <c r="AH203"/>
      <c r="AI203"/>
      <c r="AJ203"/>
      <c r="AK203"/>
      <c r="AL203"/>
      <c r="AM203"/>
      <c r="AN203"/>
      <c r="AO203"/>
    </row>
    <row r="204" spans="1:196" ht="14.7" customHeight="1">
      <c r="A204" s="138" t="s">
        <v>321</v>
      </c>
      <c r="B204" s="138"/>
      <c r="C204">
        <v>567.1</v>
      </c>
      <c r="D204">
        <v>525.1</v>
      </c>
      <c r="E204">
        <v>0.44400000000000001</v>
      </c>
      <c r="F204">
        <v>0.436</v>
      </c>
      <c r="G204">
        <v>4.1000000000000002E-2</v>
      </c>
      <c r="H204">
        <v>3.9E-2</v>
      </c>
      <c r="I204">
        <v>489.1</v>
      </c>
      <c r="J204">
        <v>447.6</v>
      </c>
      <c r="K204"/>
      <c r="L204"/>
      <c r="M204"/>
      <c r="N204"/>
      <c r="O204"/>
      <c r="P204"/>
      <c r="Q204"/>
      <c r="R204"/>
      <c r="S204"/>
      <c r="T204"/>
      <c r="U204"/>
      <c r="V204"/>
      <c r="W204"/>
      <c r="X204"/>
      <c r="Y204"/>
      <c r="Z204"/>
      <c r="AA204"/>
      <c r="AB204"/>
      <c r="AC204"/>
      <c r="AD204"/>
      <c r="AE204"/>
      <c r="AF204"/>
      <c r="AG204"/>
      <c r="AH204"/>
      <c r="AI204"/>
      <c r="AJ204"/>
      <c r="AK204"/>
      <c r="AL204"/>
      <c r="AM204"/>
      <c r="AN204"/>
      <c r="AO204"/>
    </row>
    <row r="205" spans="1:196" ht="14.7" customHeight="1">
      <c r="A205" s="138" t="s">
        <v>323</v>
      </c>
      <c r="B205" s="138"/>
      <c r="C205">
        <v>683.8</v>
      </c>
      <c r="D205">
        <v>602.29999999999995</v>
      </c>
      <c r="E205">
        <v>0.32</v>
      </c>
      <c r="F205">
        <v>0.34</v>
      </c>
      <c r="G205">
        <v>0.104</v>
      </c>
      <c r="H205">
        <v>9.8000000000000004E-2</v>
      </c>
      <c r="I205">
        <v>490.1</v>
      </c>
      <c r="J205">
        <v>445</v>
      </c>
      <c r="K205"/>
      <c r="L205"/>
      <c r="M205"/>
      <c r="N205"/>
      <c r="O205"/>
      <c r="P205"/>
      <c r="Q205"/>
      <c r="R205"/>
      <c r="S205"/>
      <c r="T205"/>
      <c r="U205"/>
      <c r="V205"/>
      <c r="W205"/>
      <c r="X205"/>
      <c r="Y205"/>
      <c r="Z205"/>
      <c r="AA205"/>
      <c r="AB205"/>
      <c r="AC205"/>
      <c r="AD205"/>
      <c r="AE205"/>
      <c r="AF205"/>
      <c r="AG205"/>
      <c r="AH205"/>
      <c r="AI205"/>
      <c r="AJ205"/>
      <c r="AK205"/>
      <c r="AL205"/>
      <c r="AM205"/>
      <c r="AN205"/>
      <c r="AO205"/>
    </row>
    <row r="206" spans="1:196" ht="14.7" customHeight="1">
      <c r="A206" s="138" t="s">
        <v>117</v>
      </c>
      <c r="B206" s="138"/>
      <c r="C206">
        <v>416.9</v>
      </c>
      <c r="D206">
        <v>388.5</v>
      </c>
      <c r="E206">
        <v>0.39600000000000002</v>
      </c>
      <c r="F206">
        <v>0.38500000000000001</v>
      </c>
      <c r="G206">
        <v>0</v>
      </c>
      <c r="H206">
        <v>0</v>
      </c>
      <c r="I206">
        <v>329.1</v>
      </c>
      <c r="J206">
        <v>299.5</v>
      </c>
      <c r="K206"/>
      <c r="L206"/>
      <c r="M206"/>
      <c r="N206"/>
      <c r="O206"/>
      <c r="P206"/>
      <c r="Q206"/>
      <c r="R206"/>
      <c r="S206"/>
      <c r="T206"/>
      <c r="U206"/>
      <c r="V206"/>
      <c r="W206"/>
      <c r="X206"/>
      <c r="Y206"/>
      <c r="Z206"/>
      <c r="AA206"/>
      <c r="AB206"/>
      <c r="AC206"/>
      <c r="AD206"/>
      <c r="AE206"/>
      <c r="AF206"/>
      <c r="AG206"/>
      <c r="AH206"/>
      <c r="AI206"/>
      <c r="AJ206"/>
      <c r="AK206"/>
      <c r="AL206"/>
      <c r="AM206"/>
      <c r="AN206"/>
      <c r="AO206"/>
    </row>
    <row r="207" spans="1:196" ht="14.7" customHeight="1">
      <c r="A207" s="163" t="s">
        <v>280</v>
      </c>
      <c r="B207" s="163"/>
      <c r="C207">
        <v>608.70000000000005</v>
      </c>
      <c r="D207">
        <v>577.6</v>
      </c>
      <c r="E207">
        <v>0.253</v>
      </c>
      <c r="F207">
        <v>0.251</v>
      </c>
      <c r="G207">
        <v>0.1</v>
      </c>
      <c r="H207">
        <v>7.5999999999999998E-2</v>
      </c>
      <c r="I207">
        <v>367.5</v>
      </c>
      <c r="J207">
        <v>340.9</v>
      </c>
      <c r="K207"/>
      <c r="L207"/>
      <c r="M207"/>
      <c r="N207"/>
      <c r="O207"/>
      <c r="P207"/>
      <c r="Q207"/>
      <c r="R207"/>
      <c r="S207"/>
      <c r="T207"/>
      <c r="U207"/>
      <c r="V207"/>
      <c r="W207"/>
      <c r="X207"/>
      <c r="Y207"/>
      <c r="Z207"/>
      <c r="AA207"/>
      <c r="AB207"/>
      <c r="AC207"/>
      <c r="AD207"/>
      <c r="AE207"/>
      <c r="AF207"/>
      <c r="AG207"/>
      <c r="AH207"/>
      <c r="AI207"/>
      <c r="AJ207"/>
      <c r="AK207"/>
      <c r="AL207"/>
      <c r="AM207"/>
      <c r="AN207"/>
      <c r="AO207"/>
    </row>
    <row r="208" spans="1:196" s="166" customFormat="1" ht="11.25" customHeight="1">
      <c r="A208" s="1" t="s">
        <v>324</v>
      </c>
      <c r="B208" s="1"/>
      <c r="C208">
        <v>604.29999999999995</v>
      </c>
      <c r="D208">
        <v>566.9</v>
      </c>
      <c r="E208">
        <v>0.42</v>
      </c>
      <c r="F208">
        <v>0.41299999999999998</v>
      </c>
      <c r="G208">
        <v>4.5999999999999999E-2</v>
      </c>
      <c r="H208">
        <v>5.3999999999999999E-2</v>
      </c>
      <c r="I208">
        <v>474.7</v>
      </c>
      <c r="J208">
        <v>440.6</v>
      </c>
      <c r="K208"/>
      <c r="L208"/>
      <c r="M208"/>
      <c r="N208"/>
      <c r="O208"/>
      <c r="P208"/>
      <c r="Q208"/>
      <c r="R208"/>
      <c r="S208"/>
      <c r="T208"/>
      <c r="U208"/>
      <c r="V208"/>
      <c r="W208"/>
      <c r="X208"/>
      <c r="Y208"/>
      <c r="Z208"/>
      <c r="AA208"/>
      <c r="AB208"/>
      <c r="AC208"/>
      <c r="AD208"/>
      <c r="AE208"/>
      <c r="AF208"/>
      <c r="AG208"/>
      <c r="AH208"/>
      <c r="AI208"/>
      <c r="AJ208"/>
      <c r="AK208"/>
      <c r="AL208"/>
      <c r="AM208"/>
      <c r="AN208"/>
      <c r="AO208"/>
      <c r="AP208" s="164"/>
      <c r="AQ208" s="164"/>
      <c r="AR208" s="164"/>
      <c r="AS208" s="164"/>
      <c r="AT208" s="164"/>
      <c r="AU208" s="164"/>
      <c r="AV208" s="164"/>
      <c r="AW208" s="164"/>
      <c r="AX208" s="164"/>
      <c r="AY208" s="164"/>
      <c r="AZ208" s="164"/>
      <c r="BA208" s="164"/>
      <c r="BB208" s="164"/>
      <c r="BC208" s="164"/>
      <c r="BD208" s="164"/>
      <c r="BE208" s="164"/>
      <c r="BF208" s="164"/>
      <c r="BG208" s="164"/>
      <c r="BH208" s="164"/>
      <c r="BI208" s="164"/>
      <c r="BJ208" s="164"/>
      <c r="BK208" s="164"/>
      <c r="BL208" s="165"/>
      <c r="BM208" s="165"/>
      <c r="BN208" s="165"/>
      <c r="BO208" s="164"/>
      <c r="BP208" s="164"/>
      <c r="BQ208" s="164"/>
      <c r="BR208" s="164"/>
      <c r="BS208" s="164"/>
      <c r="BT208" s="164"/>
      <c r="BU208" s="164"/>
      <c r="BV208" s="164"/>
      <c r="BW208" s="164"/>
      <c r="BX208" s="164"/>
      <c r="BY208" s="164"/>
      <c r="BZ208" s="164"/>
      <c r="CA208" s="164"/>
      <c r="CB208" s="164"/>
      <c r="CC208" s="164"/>
      <c r="CD208" s="164"/>
      <c r="CE208" s="164"/>
      <c r="CF208" s="164"/>
      <c r="CG208" s="164"/>
      <c r="CH208" s="164"/>
      <c r="CI208" s="164"/>
      <c r="CJ208" s="164"/>
      <c r="CK208" s="164"/>
      <c r="CL208" s="164"/>
      <c r="CM208" s="164"/>
      <c r="CN208" s="164"/>
      <c r="CO208" s="164"/>
      <c r="CP208" s="164"/>
      <c r="CQ208" s="164"/>
      <c r="CR208" s="164"/>
      <c r="CS208" s="164"/>
      <c r="CT208" s="164"/>
      <c r="CU208" s="164"/>
      <c r="CV208" s="164"/>
      <c r="CW208" s="164"/>
      <c r="CX208" s="164"/>
      <c r="CY208" s="164"/>
      <c r="CZ208" s="164"/>
      <c r="DA208" s="164"/>
      <c r="DB208" s="164"/>
      <c r="DC208" s="164"/>
      <c r="DD208" s="164"/>
      <c r="DE208" s="164"/>
      <c r="DF208" s="164"/>
      <c r="DG208" s="164"/>
      <c r="DH208" s="164"/>
      <c r="DI208" s="164"/>
      <c r="DJ208" s="164"/>
      <c r="DK208" s="164"/>
      <c r="DL208" s="164"/>
      <c r="DM208" s="164"/>
      <c r="DN208" s="164"/>
      <c r="DO208" s="164"/>
      <c r="DP208" s="164"/>
      <c r="DQ208" s="164"/>
      <c r="DR208" s="164"/>
      <c r="DS208" s="164"/>
      <c r="DT208" s="164"/>
      <c r="DU208" s="164"/>
      <c r="DV208" s="164"/>
      <c r="DW208" s="164"/>
      <c r="DX208" s="164"/>
      <c r="DY208" s="164"/>
      <c r="DZ208" s="164"/>
      <c r="EA208" s="164"/>
      <c r="EB208" s="164"/>
      <c r="EC208" s="164"/>
      <c r="ED208" s="164"/>
      <c r="EE208" s="164"/>
      <c r="EF208" s="164"/>
      <c r="EG208" s="164"/>
      <c r="EH208" s="164"/>
      <c r="EI208" s="164"/>
      <c r="EJ208" s="164"/>
      <c r="EK208" s="164"/>
      <c r="EL208" s="164"/>
      <c r="EM208" s="164"/>
      <c r="EN208" s="164"/>
      <c r="EO208" s="164"/>
      <c r="EP208" s="164"/>
      <c r="EQ208" s="164"/>
      <c r="ER208" s="164"/>
      <c r="ES208" s="164"/>
      <c r="ET208" s="164"/>
      <c r="EU208" s="164"/>
      <c r="EV208" s="164"/>
      <c r="EW208" s="164"/>
      <c r="EX208" s="164"/>
      <c r="EY208" s="164"/>
      <c r="EZ208" s="164"/>
      <c r="FA208" s="164"/>
      <c r="FB208" s="164"/>
      <c r="FC208" s="164"/>
      <c r="FD208" s="164"/>
      <c r="FE208" s="164"/>
      <c r="FF208" s="164"/>
      <c r="FG208" s="164"/>
      <c r="FH208" s="164"/>
      <c r="FI208" s="164"/>
      <c r="FJ208" s="164"/>
      <c r="FK208" s="164"/>
      <c r="FL208" s="164"/>
      <c r="FM208" s="164"/>
      <c r="FN208" s="164"/>
      <c r="FO208" s="164"/>
      <c r="FP208" s="164"/>
      <c r="FQ208" s="164"/>
      <c r="FR208" s="164"/>
      <c r="FS208" s="164"/>
      <c r="FT208" s="165"/>
      <c r="FU208" s="164"/>
      <c r="FV208" s="164"/>
      <c r="FW208" s="164"/>
      <c r="FX208" s="164"/>
      <c r="FY208" s="164"/>
      <c r="FZ208" s="164"/>
      <c r="GA208" s="164"/>
      <c r="GB208" s="164"/>
      <c r="GC208" s="164"/>
      <c r="GD208" s="164"/>
      <c r="GE208" s="164"/>
      <c r="GF208" s="164"/>
      <c r="GG208" s="164"/>
      <c r="GH208" s="164"/>
      <c r="GI208" s="164"/>
      <c r="GJ208" s="164"/>
      <c r="GK208" s="164"/>
      <c r="GL208" s="164"/>
      <c r="GM208" s="164"/>
      <c r="GN208" s="164"/>
    </row>
    <row r="209" spans="1:41" ht="14.7" customHeight="1">
      <c r="A209" s="121" t="s">
        <v>348</v>
      </c>
      <c r="B209" s="154"/>
      <c r="C209">
        <v>535</v>
      </c>
      <c r="D209">
        <v>501.7</v>
      </c>
      <c r="E209">
        <v>0.38600000000000001</v>
      </c>
      <c r="F209">
        <v>0.35399999999999998</v>
      </c>
      <c r="G209">
        <v>0</v>
      </c>
      <c r="H209">
        <v>0</v>
      </c>
      <c r="I209">
        <v>382.7</v>
      </c>
      <c r="J209">
        <v>343.9</v>
      </c>
      <c r="K209"/>
      <c r="L209"/>
      <c r="M209"/>
      <c r="N209"/>
      <c r="O209"/>
      <c r="P209"/>
      <c r="Q209"/>
      <c r="R209"/>
      <c r="S209"/>
      <c r="T209"/>
      <c r="U209"/>
      <c r="V209"/>
      <c r="W209"/>
      <c r="X209"/>
      <c r="Y209"/>
      <c r="Z209"/>
      <c r="AA209"/>
      <c r="AB209"/>
      <c r="AC209"/>
      <c r="AD209"/>
      <c r="AE209"/>
      <c r="AF209"/>
      <c r="AG209"/>
      <c r="AH209"/>
      <c r="AI209"/>
      <c r="AJ209"/>
      <c r="AK209"/>
      <c r="AL209"/>
      <c r="AM209"/>
      <c r="AN209"/>
      <c r="AO209"/>
    </row>
    <row r="210" spans="1:41" ht="14.7" customHeight="1">
      <c r="A210" s="149" t="s">
        <v>349</v>
      </c>
      <c r="B210" s="154"/>
      <c r="C210">
        <v>456.7</v>
      </c>
      <c r="D210">
        <v>428.6</v>
      </c>
      <c r="E210">
        <v>0.42299999999999999</v>
      </c>
      <c r="F210">
        <v>0.39500000000000002</v>
      </c>
      <c r="G210">
        <v>0</v>
      </c>
      <c r="H210">
        <v>0</v>
      </c>
      <c r="I210">
        <v>326.10000000000002</v>
      </c>
      <c r="J210">
        <v>292.2</v>
      </c>
      <c r="K210"/>
      <c r="L210"/>
      <c r="M210"/>
      <c r="N210"/>
      <c r="O210"/>
      <c r="P210"/>
      <c r="Q210"/>
      <c r="R210"/>
      <c r="S210"/>
      <c r="T210"/>
      <c r="U210"/>
      <c r="V210"/>
      <c r="W210"/>
      <c r="X210"/>
      <c r="Y210"/>
      <c r="Z210"/>
      <c r="AA210"/>
      <c r="AB210"/>
      <c r="AC210"/>
      <c r="AD210"/>
      <c r="AE210"/>
      <c r="AF210"/>
      <c r="AG210"/>
      <c r="AH210"/>
      <c r="AI210"/>
      <c r="AJ210"/>
      <c r="AK210"/>
      <c r="AL210"/>
      <c r="AM210"/>
      <c r="AN210"/>
      <c r="AO210"/>
    </row>
    <row r="211" spans="1:41" ht="14.7" customHeight="1">
      <c r="A211" s="121" t="s">
        <v>240</v>
      </c>
      <c r="B211" s="154"/>
      <c r="C211">
        <v>414.5</v>
      </c>
      <c r="D211">
        <v>397.3</v>
      </c>
      <c r="E211">
        <v>0.46500000000000002</v>
      </c>
      <c r="F211">
        <v>0.45600000000000002</v>
      </c>
      <c r="G211">
        <v>0</v>
      </c>
      <c r="H211">
        <v>0</v>
      </c>
      <c r="I211">
        <v>313</v>
      </c>
      <c r="J211">
        <v>294.5</v>
      </c>
      <c r="K211"/>
      <c r="L211"/>
      <c r="M211"/>
      <c r="N211"/>
      <c r="O211"/>
      <c r="P211"/>
      <c r="Q211"/>
      <c r="R211"/>
      <c r="S211"/>
      <c r="T211"/>
      <c r="U211"/>
      <c r="V211"/>
      <c r="W211"/>
      <c r="X211"/>
      <c r="Y211"/>
      <c r="Z211"/>
      <c r="AA211"/>
      <c r="AB211"/>
      <c r="AC211"/>
      <c r="AD211"/>
      <c r="AE211"/>
      <c r="AF211"/>
      <c r="AG211"/>
      <c r="AH211"/>
      <c r="AI211"/>
      <c r="AJ211"/>
      <c r="AK211"/>
      <c r="AL211"/>
      <c r="AM211"/>
      <c r="AN211"/>
      <c r="AO211"/>
    </row>
    <row r="212" spans="1:41" ht="14.7" customHeight="1">
      <c r="A212" s="121" t="s">
        <v>118</v>
      </c>
      <c r="B212" s="154"/>
      <c r="C212">
        <v>343.5</v>
      </c>
      <c r="D212">
        <v>327</v>
      </c>
      <c r="E212">
        <v>0.51200000000000001</v>
      </c>
      <c r="F212">
        <v>0.48599999999999999</v>
      </c>
      <c r="G212">
        <v>0</v>
      </c>
      <c r="H212">
        <v>0</v>
      </c>
      <c r="I212">
        <v>276.3</v>
      </c>
      <c r="J212">
        <v>247.1</v>
      </c>
      <c r="K212"/>
      <c r="L212"/>
      <c r="M212"/>
      <c r="N212"/>
      <c r="O212"/>
      <c r="P212"/>
      <c r="Q212"/>
      <c r="R212"/>
      <c r="S212"/>
      <c r="T212"/>
      <c r="U212"/>
      <c r="V212"/>
      <c r="W212"/>
      <c r="X212"/>
      <c r="Y212"/>
      <c r="Z212"/>
      <c r="AA212"/>
      <c r="AB212"/>
      <c r="AC212"/>
      <c r="AD212"/>
      <c r="AE212"/>
      <c r="AF212"/>
      <c r="AG212"/>
      <c r="AH212"/>
      <c r="AI212"/>
      <c r="AJ212"/>
      <c r="AK212"/>
      <c r="AL212"/>
      <c r="AM212"/>
      <c r="AN212"/>
      <c r="AO212"/>
    </row>
    <row r="213" spans="1:41" ht="14.7" customHeight="1">
      <c r="A213" s="121" t="s">
        <v>325</v>
      </c>
      <c r="B213" s="154"/>
      <c r="C213">
        <v>406.2</v>
      </c>
      <c r="D213">
        <v>378.8</v>
      </c>
      <c r="E213">
        <v>0.58199999999999996</v>
      </c>
      <c r="F213">
        <v>0.57199999999999995</v>
      </c>
      <c r="G213">
        <v>3.6999999999999998E-2</v>
      </c>
      <c r="H213">
        <v>3.3000000000000002E-2</v>
      </c>
      <c r="I213">
        <v>412.9</v>
      </c>
      <c r="J213">
        <v>376</v>
      </c>
      <c r="K213"/>
      <c r="L213"/>
      <c r="M213"/>
      <c r="N213"/>
      <c r="O213"/>
      <c r="P213"/>
      <c r="Q213"/>
      <c r="R213"/>
      <c r="S213"/>
      <c r="T213"/>
      <c r="U213"/>
      <c r="V213"/>
      <c r="W213"/>
      <c r="X213"/>
      <c r="Y213"/>
      <c r="Z213"/>
      <c r="AA213"/>
      <c r="AB213"/>
      <c r="AC213"/>
      <c r="AD213"/>
      <c r="AE213"/>
      <c r="AF213"/>
      <c r="AG213"/>
      <c r="AH213"/>
      <c r="AI213"/>
      <c r="AJ213"/>
      <c r="AK213"/>
      <c r="AL213"/>
      <c r="AM213"/>
      <c r="AN213"/>
      <c r="AO213"/>
    </row>
    <row r="214" spans="1:41" ht="14.7" customHeight="1">
      <c r="A214" s="121" t="s">
        <v>119</v>
      </c>
      <c r="B214" s="154"/>
      <c r="C214">
        <v>590.9</v>
      </c>
      <c r="D214">
        <v>564.5</v>
      </c>
      <c r="E214">
        <v>0.31</v>
      </c>
      <c r="F214">
        <v>0.29599999999999999</v>
      </c>
      <c r="G214">
        <v>0</v>
      </c>
      <c r="H214">
        <v>0</v>
      </c>
      <c r="I214">
        <v>365</v>
      </c>
      <c r="J214">
        <v>342.5</v>
      </c>
      <c r="K214"/>
      <c r="L214"/>
      <c r="M214"/>
      <c r="N214"/>
      <c r="O214"/>
      <c r="P214"/>
      <c r="Q214"/>
      <c r="R214"/>
      <c r="S214"/>
      <c r="T214"/>
      <c r="U214"/>
      <c r="V214"/>
      <c r="W214"/>
      <c r="X214"/>
      <c r="Y214"/>
      <c r="Z214"/>
      <c r="AA214"/>
      <c r="AB214"/>
      <c r="AC214"/>
      <c r="AD214"/>
      <c r="AE214"/>
      <c r="AF214"/>
      <c r="AG214"/>
      <c r="AH214"/>
      <c r="AI214"/>
      <c r="AJ214"/>
      <c r="AK214"/>
      <c r="AL214"/>
      <c r="AM214"/>
      <c r="AN214"/>
      <c r="AO214"/>
    </row>
    <row r="215" spans="1:41" ht="14.7" customHeight="1">
      <c r="A215" s="121" t="s">
        <v>281</v>
      </c>
      <c r="B215" s="154"/>
      <c r="C215">
        <v>593.5</v>
      </c>
      <c r="D215">
        <v>549.70000000000005</v>
      </c>
      <c r="E215">
        <v>0.38900000000000001</v>
      </c>
      <c r="F215">
        <v>0.40100000000000002</v>
      </c>
      <c r="G215">
        <v>7.0000000000000001E-3</v>
      </c>
      <c r="H215">
        <v>4.0000000000000001E-3</v>
      </c>
      <c r="I215">
        <v>396.8</v>
      </c>
      <c r="J215">
        <v>375.8</v>
      </c>
      <c r="K215"/>
      <c r="L215"/>
      <c r="M215"/>
      <c r="N215"/>
      <c r="O215"/>
      <c r="P215"/>
      <c r="Q215"/>
      <c r="R215"/>
      <c r="S215"/>
      <c r="T215"/>
      <c r="U215"/>
      <c r="V215"/>
      <c r="W215"/>
      <c r="X215"/>
      <c r="Y215"/>
      <c r="Z215"/>
      <c r="AA215"/>
      <c r="AB215"/>
      <c r="AC215"/>
      <c r="AD215"/>
      <c r="AE215"/>
      <c r="AF215"/>
      <c r="AG215"/>
      <c r="AH215"/>
      <c r="AI215"/>
      <c r="AJ215"/>
      <c r="AK215"/>
      <c r="AL215"/>
      <c r="AM215"/>
      <c r="AN215"/>
      <c r="AO215"/>
    </row>
    <row r="216" spans="1:41" ht="14.7" customHeight="1">
      <c r="A216" s="121" t="s">
        <v>282</v>
      </c>
      <c r="B216" s="154"/>
      <c r="C216">
        <v>575.4</v>
      </c>
      <c r="D216">
        <v>551.79999999999995</v>
      </c>
      <c r="E216">
        <v>0.34499999999999997</v>
      </c>
      <c r="F216">
        <v>0.32200000000000001</v>
      </c>
      <c r="G216">
        <v>1E-3</v>
      </c>
      <c r="H216">
        <v>1E-3</v>
      </c>
      <c r="I216">
        <v>406.2</v>
      </c>
      <c r="J216">
        <v>374.6</v>
      </c>
      <c r="K216"/>
      <c r="L216"/>
      <c r="M216"/>
      <c r="N216"/>
      <c r="O216"/>
      <c r="P216"/>
      <c r="Q216"/>
      <c r="R216"/>
      <c r="S216"/>
      <c r="T216"/>
      <c r="U216"/>
      <c r="V216"/>
      <c r="W216"/>
      <c r="X216"/>
      <c r="Y216"/>
      <c r="Z216"/>
      <c r="AA216"/>
      <c r="AB216"/>
      <c r="AC216"/>
      <c r="AD216"/>
      <c r="AE216"/>
      <c r="AF216"/>
      <c r="AG216"/>
      <c r="AH216"/>
      <c r="AI216"/>
      <c r="AJ216"/>
      <c r="AK216"/>
      <c r="AL216"/>
      <c r="AM216"/>
      <c r="AN216"/>
      <c r="AO216"/>
    </row>
    <row r="217" spans="1:41" ht="14.7" customHeight="1">
      <c r="A217" s="121" t="s">
        <v>284</v>
      </c>
      <c r="B217" s="154"/>
      <c r="C217">
        <v>568.20000000000005</v>
      </c>
      <c r="D217">
        <v>536.9</v>
      </c>
      <c r="E217">
        <v>0.27100000000000002</v>
      </c>
      <c r="F217">
        <v>0.27700000000000002</v>
      </c>
      <c r="G217">
        <v>3.4000000000000002E-2</v>
      </c>
      <c r="H217">
        <v>3.6999999999999998E-2</v>
      </c>
      <c r="I217">
        <v>349.2</v>
      </c>
      <c r="J217">
        <v>332</v>
      </c>
      <c r="K217"/>
      <c r="L217"/>
      <c r="M217"/>
      <c r="N217"/>
      <c r="O217"/>
      <c r="P217"/>
      <c r="Q217"/>
      <c r="R217"/>
      <c r="S217"/>
      <c r="T217"/>
      <c r="U217"/>
      <c r="V217"/>
      <c r="W217"/>
      <c r="X217"/>
      <c r="Y217"/>
      <c r="Z217"/>
      <c r="AA217"/>
      <c r="AB217"/>
      <c r="AC217"/>
      <c r="AD217"/>
      <c r="AE217"/>
      <c r="AF217"/>
      <c r="AG217"/>
      <c r="AH217"/>
      <c r="AI217"/>
      <c r="AJ217"/>
      <c r="AK217"/>
      <c r="AL217"/>
      <c r="AM217"/>
      <c r="AN217"/>
      <c r="AO217"/>
    </row>
    <row r="218" spans="1:41" ht="14.7" customHeight="1">
      <c r="A218" s="121" t="s">
        <v>120</v>
      </c>
      <c r="B218" s="154"/>
      <c r="C218">
        <v>560</v>
      </c>
      <c r="D218">
        <v>535.79999999999995</v>
      </c>
      <c r="E218">
        <v>0.32300000000000001</v>
      </c>
      <c r="F218">
        <v>0.307</v>
      </c>
      <c r="G218">
        <v>0</v>
      </c>
      <c r="H218">
        <v>0</v>
      </c>
      <c r="I218">
        <v>369.5</v>
      </c>
      <c r="J218">
        <v>342.1</v>
      </c>
      <c r="K218"/>
      <c r="L218"/>
      <c r="M218"/>
      <c r="N218"/>
      <c r="O218"/>
      <c r="P218"/>
      <c r="Q218"/>
      <c r="R218"/>
      <c r="S218"/>
      <c r="T218"/>
      <c r="U218"/>
      <c r="V218"/>
      <c r="W218"/>
      <c r="X218"/>
      <c r="Y218"/>
      <c r="Z218"/>
      <c r="AA218"/>
      <c r="AB218"/>
      <c r="AC218"/>
      <c r="AD218"/>
      <c r="AE218"/>
      <c r="AF218"/>
      <c r="AG218"/>
      <c r="AH218"/>
      <c r="AI218"/>
      <c r="AJ218"/>
      <c r="AK218"/>
      <c r="AL218"/>
      <c r="AM218"/>
      <c r="AN218"/>
      <c r="AO218"/>
    </row>
    <row r="219" spans="1:41" ht="14.7" customHeight="1">
      <c r="A219" s="121" t="s">
        <v>285</v>
      </c>
      <c r="B219" s="154"/>
      <c r="C219">
        <v>364.8</v>
      </c>
      <c r="D219">
        <v>353</v>
      </c>
      <c r="E219">
        <v>0.51500000000000001</v>
      </c>
      <c r="F219">
        <v>0.495</v>
      </c>
      <c r="G219">
        <v>0.10100000000000001</v>
      </c>
      <c r="H219">
        <v>0.13400000000000001</v>
      </c>
      <c r="I219">
        <v>323.7</v>
      </c>
      <c r="J219">
        <v>302</v>
      </c>
      <c r="K219"/>
      <c r="L219"/>
      <c r="M219"/>
      <c r="N219"/>
      <c r="O219"/>
      <c r="P219"/>
      <c r="Q219"/>
      <c r="R219"/>
      <c r="S219"/>
      <c r="T219"/>
      <c r="U219"/>
      <c r="V219"/>
      <c r="W219"/>
      <c r="X219"/>
      <c r="Y219"/>
      <c r="Z219"/>
      <c r="AA219"/>
      <c r="AB219"/>
      <c r="AC219"/>
      <c r="AD219"/>
      <c r="AE219"/>
      <c r="AF219"/>
      <c r="AG219"/>
      <c r="AH219"/>
      <c r="AI219"/>
      <c r="AJ219"/>
      <c r="AK219"/>
      <c r="AL219"/>
      <c r="AM219"/>
      <c r="AN219"/>
      <c r="AO219"/>
    </row>
    <row r="220" spans="1:41" ht="14.7" customHeight="1">
      <c r="A220" s="121" t="s">
        <v>217</v>
      </c>
      <c r="B220" s="154"/>
      <c r="C220">
        <v>661.2</v>
      </c>
      <c r="D220">
        <v>634.20000000000005</v>
      </c>
      <c r="E220">
        <v>0.30499999999999999</v>
      </c>
      <c r="F220">
        <v>0.308</v>
      </c>
      <c r="G220">
        <v>0</v>
      </c>
      <c r="H220">
        <v>0</v>
      </c>
      <c r="I220">
        <v>328.6</v>
      </c>
      <c r="J220">
        <v>316.5</v>
      </c>
      <c r="K220"/>
      <c r="L220"/>
      <c r="M220"/>
      <c r="N220"/>
      <c r="O220"/>
      <c r="P220"/>
      <c r="Q220"/>
      <c r="R220"/>
      <c r="S220"/>
      <c r="T220"/>
      <c r="U220"/>
      <c r="V220"/>
      <c r="W220"/>
      <c r="X220"/>
      <c r="Y220"/>
      <c r="Z220"/>
      <c r="AA220"/>
      <c r="AB220"/>
      <c r="AC220"/>
      <c r="AD220"/>
      <c r="AE220"/>
      <c r="AF220"/>
      <c r="AG220"/>
      <c r="AH220"/>
      <c r="AI220"/>
      <c r="AJ220"/>
      <c r="AK220"/>
      <c r="AL220"/>
      <c r="AM220"/>
      <c r="AN220"/>
      <c r="AO220"/>
    </row>
    <row r="221" spans="1:41" ht="14.7" customHeight="1">
      <c r="A221" s="121" t="s">
        <v>811</v>
      </c>
      <c r="B221" s="154"/>
      <c r="C221">
        <v>545.1</v>
      </c>
      <c r="D221">
        <v>568.29999999999995</v>
      </c>
      <c r="E221">
        <v>0.38200000000000001</v>
      </c>
      <c r="F221">
        <v>0.30199999999999999</v>
      </c>
      <c r="G221">
        <v>5.0000000000000001E-3</v>
      </c>
      <c r="H221">
        <v>5.0999999999999997E-2</v>
      </c>
      <c r="I221">
        <v>423.6</v>
      </c>
      <c r="J221">
        <v>392.1</v>
      </c>
      <c r="K221"/>
      <c r="L221"/>
      <c r="M221"/>
      <c r="N221"/>
      <c r="O221"/>
      <c r="P221"/>
      <c r="Q221"/>
      <c r="R221"/>
      <c r="S221"/>
      <c r="T221"/>
      <c r="U221"/>
      <c r="V221"/>
      <c r="W221"/>
      <c r="X221"/>
      <c r="Y221"/>
      <c r="Z221"/>
      <c r="AA221"/>
      <c r="AB221"/>
      <c r="AC221"/>
      <c r="AD221"/>
      <c r="AE221"/>
      <c r="AF221"/>
      <c r="AG221"/>
      <c r="AH221"/>
      <c r="AI221"/>
      <c r="AJ221"/>
      <c r="AK221"/>
      <c r="AL221"/>
      <c r="AM221"/>
      <c r="AN221"/>
      <c r="AO221"/>
    </row>
    <row r="222" spans="1:41" ht="14.7" customHeight="1">
      <c r="A222" s="121" t="s">
        <v>122</v>
      </c>
      <c r="B222" s="154"/>
      <c r="C222">
        <v>539</v>
      </c>
      <c r="D222">
        <v>521.5</v>
      </c>
      <c r="E222">
        <v>0.28299999999999997</v>
      </c>
      <c r="F222">
        <v>0.27400000000000002</v>
      </c>
      <c r="G222">
        <v>0</v>
      </c>
      <c r="H222">
        <v>0</v>
      </c>
      <c r="I222">
        <v>324.7</v>
      </c>
      <c r="J222">
        <v>311</v>
      </c>
      <c r="K222"/>
      <c r="L222"/>
      <c r="M222"/>
      <c r="N222"/>
      <c r="O222"/>
      <c r="P222"/>
      <c r="Q222"/>
      <c r="R222"/>
      <c r="S222"/>
      <c r="T222"/>
      <c r="U222"/>
      <c r="V222"/>
      <c r="W222"/>
      <c r="X222"/>
      <c r="Y222"/>
      <c r="Z222"/>
      <c r="AA222"/>
      <c r="AB222"/>
      <c r="AC222"/>
      <c r="AD222"/>
      <c r="AE222"/>
      <c r="AF222"/>
      <c r="AG222"/>
      <c r="AH222"/>
      <c r="AI222"/>
      <c r="AJ222"/>
      <c r="AK222"/>
      <c r="AL222"/>
      <c r="AM222"/>
      <c r="AN222"/>
      <c r="AO222"/>
    </row>
    <row r="223" spans="1:41" ht="14.7" customHeight="1">
      <c r="A223" s="121" t="s">
        <v>350</v>
      </c>
      <c r="B223" s="154"/>
      <c r="C223">
        <v>393.1</v>
      </c>
      <c r="D223">
        <v>375.1</v>
      </c>
      <c r="E223">
        <v>0.55600000000000005</v>
      </c>
      <c r="F223">
        <v>0.54200000000000004</v>
      </c>
      <c r="G223">
        <v>0</v>
      </c>
      <c r="H223">
        <v>0</v>
      </c>
      <c r="I223">
        <v>367.4</v>
      </c>
      <c r="J223">
        <v>339.7</v>
      </c>
      <c r="K223"/>
      <c r="L223"/>
      <c r="M223"/>
      <c r="N223"/>
      <c r="O223"/>
      <c r="P223"/>
      <c r="Q223"/>
      <c r="R223"/>
      <c r="S223"/>
      <c r="T223"/>
      <c r="U223"/>
      <c r="V223"/>
      <c r="W223"/>
      <c r="X223"/>
      <c r="Y223"/>
      <c r="Z223"/>
      <c r="AA223"/>
      <c r="AB223"/>
      <c r="AC223"/>
      <c r="AD223"/>
      <c r="AE223"/>
      <c r="AF223"/>
      <c r="AG223"/>
      <c r="AH223"/>
      <c r="AI223"/>
      <c r="AJ223"/>
      <c r="AK223"/>
      <c r="AL223"/>
      <c r="AM223"/>
      <c r="AN223"/>
      <c r="AO223"/>
    </row>
    <row r="224" spans="1:41" ht="14.7" customHeight="1">
      <c r="A224" s="121" t="s">
        <v>123</v>
      </c>
      <c r="B224" s="154"/>
      <c r="C224">
        <v>547.4</v>
      </c>
      <c r="D224">
        <v>521.79999999999995</v>
      </c>
      <c r="E224">
        <v>0.376</v>
      </c>
      <c r="F224">
        <v>0.36499999999999999</v>
      </c>
      <c r="G224">
        <v>0</v>
      </c>
      <c r="H224">
        <v>0</v>
      </c>
      <c r="I224">
        <v>403.8</v>
      </c>
      <c r="J224">
        <v>377.6</v>
      </c>
      <c r="K224"/>
      <c r="L224"/>
      <c r="M224"/>
      <c r="N224"/>
      <c r="O224"/>
      <c r="P224"/>
      <c r="Q224"/>
      <c r="R224"/>
      <c r="S224"/>
      <c r="T224"/>
      <c r="U224"/>
      <c r="V224"/>
      <c r="W224"/>
      <c r="X224"/>
      <c r="Y224"/>
      <c r="Z224"/>
      <c r="AA224"/>
      <c r="AB224"/>
      <c r="AC224"/>
      <c r="AD224"/>
      <c r="AE224"/>
      <c r="AF224"/>
      <c r="AG224"/>
      <c r="AH224"/>
      <c r="AI224"/>
      <c r="AJ224"/>
      <c r="AK224"/>
      <c r="AL224"/>
      <c r="AM224"/>
      <c r="AN224"/>
      <c r="AO224"/>
    </row>
    <row r="225" spans="1:41" ht="14.7" customHeight="1">
      <c r="A225" s="121" t="s">
        <v>395</v>
      </c>
      <c r="B225" s="154"/>
      <c r="C225">
        <v>508.5</v>
      </c>
      <c r="D225">
        <v>497.6</v>
      </c>
      <c r="E225">
        <v>0.40799999999999997</v>
      </c>
      <c r="F225">
        <v>0.40300000000000002</v>
      </c>
      <c r="G225">
        <v>0</v>
      </c>
      <c r="H225">
        <v>0</v>
      </c>
      <c r="I225">
        <v>372.1</v>
      </c>
      <c r="J225">
        <v>362.4</v>
      </c>
      <c r="K225"/>
      <c r="L225"/>
      <c r="M225"/>
      <c r="N225"/>
      <c r="O225"/>
      <c r="P225"/>
      <c r="Q225"/>
      <c r="R225"/>
      <c r="S225"/>
      <c r="T225"/>
      <c r="U225"/>
      <c r="V225"/>
      <c r="W225"/>
      <c r="X225"/>
      <c r="Y225"/>
      <c r="Z225"/>
      <c r="AA225"/>
      <c r="AB225"/>
      <c r="AC225"/>
      <c r="AD225"/>
      <c r="AE225"/>
      <c r="AF225"/>
      <c r="AG225"/>
      <c r="AH225"/>
      <c r="AI225"/>
      <c r="AJ225"/>
      <c r="AK225"/>
      <c r="AL225"/>
      <c r="AM225"/>
      <c r="AN225"/>
      <c r="AO225"/>
    </row>
    <row r="226" spans="1:41" ht="14.7" customHeight="1">
      <c r="A226" s="121" t="s">
        <v>124</v>
      </c>
      <c r="B226" s="154"/>
      <c r="C226">
        <v>483.3</v>
      </c>
      <c r="D226">
        <v>461</v>
      </c>
      <c r="E226">
        <v>0.40500000000000003</v>
      </c>
      <c r="F226">
        <v>0.38700000000000001</v>
      </c>
      <c r="G226">
        <v>0</v>
      </c>
      <c r="H226">
        <v>0</v>
      </c>
      <c r="I226">
        <v>383.6</v>
      </c>
      <c r="J226">
        <v>356.5</v>
      </c>
      <c r="K226"/>
      <c r="L226"/>
      <c r="M226"/>
      <c r="N226"/>
      <c r="O226"/>
      <c r="P226"/>
      <c r="Q226"/>
      <c r="R226"/>
      <c r="S226"/>
      <c r="T226"/>
      <c r="U226"/>
      <c r="V226"/>
      <c r="W226"/>
      <c r="X226"/>
      <c r="Y226"/>
      <c r="Z226"/>
      <c r="AA226"/>
      <c r="AB226"/>
      <c r="AC226"/>
      <c r="AD226"/>
      <c r="AE226"/>
      <c r="AF226"/>
      <c r="AG226"/>
      <c r="AH226"/>
      <c r="AI226"/>
      <c r="AJ226"/>
      <c r="AK226"/>
      <c r="AL226"/>
      <c r="AM226"/>
      <c r="AN226"/>
      <c r="AO226"/>
    </row>
    <row r="227" spans="1:41" ht="14.7" customHeight="1">
      <c r="A227" s="121" t="s">
        <v>241</v>
      </c>
      <c r="B227" s="154"/>
      <c r="C227">
        <v>380.7</v>
      </c>
      <c r="D227">
        <v>384.5</v>
      </c>
      <c r="E227">
        <v>0.50600000000000001</v>
      </c>
      <c r="F227">
        <v>0.47099999999999997</v>
      </c>
      <c r="G227">
        <v>0</v>
      </c>
      <c r="H227">
        <v>0</v>
      </c>
      <c r="I227">
        <v>331</v>
      </c>
      <c r="J227">
        <v>309.7</v>
      </c>
      <c r="K227"/>
      <c r="L227"/>
      <c r="M227"/>
      <c r="N227"/>
      <c r="O227"/>
      <c r="P227"/>
      <c r="Q227"/>
      <c r="R227"/>
      <c r="S227"/>
      <c r="T227"/>
      <c r="U227"/>
      <c r="V227"/>
      <c r="W227"/>
      <c r="X227"/>
      <c r="Y227"/>
      <c r="Z227"/>
      <c r="AA227"/>
      <c r="AB227"/>
      <c r="AC227"/>
      <c r="AD227"/>
      <c r="AE227"/>
      <c r="AF227"/>
      <c r="AG227"/>
      <c r="AH227"/>
      <c r="AI227"/>
      <c r="AJ227"/>
      <c r="AK227"/>
      <c r="AL227"/>
      <c r="AM227"/>
      <c r="AN227"/>
      <c r="AO227"/>
    </row>
    <row r="228" spans="1:41" ht="14.7" customHeight="1">
      <c r="A228" s="121" t="s">
        <v>125</v>
      </c>
      <c r="B228" s="154"/>
      <c r="C228">
        <v>380.1</v>
      </c>
      <c r="D228">
        <v>367</v>
      </c>
      <c r="E228">
        <v>0.59899999999999998</v>
      </c>
      <c r="F228">
        <v>0.58699999999999997</v>
      </c>
      <c r="G228">
        <v>0</v>
      </c>
      <c r="H228">
        <v>0</v>
      </c>
      <c r="I228">
        <v>407.3</v>
      </c>
      <c r="J228">
        <v>382.8</v>
      </c>
      <c r="K228"/>
      <c r="L228"/>
      <c r="M228"/>
      <c r="N228"/>
      <c r="O228"/>
      <c r="P228"/>
      <c r="Q228"/>
      <c r="R228"/>
      <c r="S228"/>
      <c r="T228"/>
      <c r="U228"/>
      <c r="V228"/>
      <c r="W228"/>
      <c r="X228"/>
      <c r="Y228"/>
      <c r="Z228"/>
      <c r="AA228"/>
      <c r="AB228"/>
      <c r="AC228"/>
      <c r="AD228"/>
      <c r="AE228"/>
      <c r="AF228"/>
      <c r="AG228"/>
      <c r="AH228"/>
      <c r="AI228"/>
      <c r="AJ228"/>
      <c r="AK228"/>
      <c r="AL228"/>
      <c r="AM228"/>
      <c r="AN228"/>
      <c r="AO228"/>
    </row>
    <row r="229" spans="1:41" ht="14.7" customHeight="1">
      <c r="A229" s="121" t="s">
        <v>126</v>
      </c>
      <c r="B229" s="154"/>
      <c r="C229">
        <v>533.79999999999995</v>
      </c>
      <c r="D229">
        <v>508.7</v>
      </c>
      <c r="E229">
        <v>0.32900000000000001</v>
      </c>
      <c r="F229">
        <v>0.315</v>
      </c>
      <c r="G229">
        <v>0</v>
      </c>
      <c r="H229">
        <v>0</v>
      </c>
      <c r="I229">
        <v>362.2</v>
      </c>
      <c r="J229">
        <v>339.5</v>
      </c>
      <c r="K229"/>
      <c r="L229"/>
      <c r="M229"/>
      <c r="N229"/>
      <c r="O229"/>
      <c r="P229"/>
      <c r="Q229"/>
      <c r="R229"/>
      <c r="S229"/>
      <c r="T229"/>
      <c r="U229"/>
      <c r="V229"/>
      <c r="W229"/>
      <c r="X229"/>
      <c r="Y229"/>
      <c r="Z229"/>
      <c r="AA229"/>
      <c r="AB229"/>
      <c r="AC229"/>
      <c r="AD229"/>
      <c r="AE229"/>
      <c r="AF229"/>
      <c r="AG229"/>
      <c r="AH229"/>
      <c r="AI229"/>
      <c r="AJ229"/>
      <c r="AK229"/>
      <c r="AL229"/>
      <c r="AM229"/>
      <c r="AN229"/>
      <c r="AO229"/>
    </row>
    <row r="230" spans="1:41" ht="14.7" customHeight="1">
      <c r="A230" s="121" t="s">
        <v>127</v>
      </c>
      <c r="B230" s="154"/>
      <c r="C230">
        <v>466.6</v>
      </c>
      <c r="D230">
        <v>443.9</v>
      </c>
      <c r="E230">
        <v>0.46500000000000002</v>
      </c>
      <c r="F230">
        <v>0.44500000000000001</v>
      </c>
      <c r="G230">
        <v>0</v>
      </c>
      <c r="H230">
        <v>0</v>
      </c>
      <c r="I230">
        <v>426.6</v>
      </c>
      <c r="J230">
        <v>391.9</v>
      </c>
      <c r="K230"/>
      <c r="L230"/>
      <c r="M230"/>
      <c r="N230"/>
      <c r="O230"/>
      <c r="P230"/>
      <c r="Q230"/>
      <c r="R230"/>
      <c r="S230"/>
      <c r="T230"/>
      <c r="U230"/>
      <c r="V230"/>
      <c r="W230"/>
      <c r="X230"/>
      <c r="Y230"/>
      <c r="Z230"/>
      <c r="AA230"/>
      <c r="AB230"/>
      <c r="AC230"/>
      <c r="AD230"/>
      <c r="AE230"/>
      <c r="AF230"/>
      <c r="AG230"/>
      <c r="AH230"/>
      <c r="AI230"/>
      <c r="AJ230"/>
      <c r="AK230"/>
      <c r="AL230"/>
      <c r="AM230"/>
      <c r="AN230"/>
      <c r="AO230"/>
    </row>
    <row r="231" spans="1:41" ht="14.7" customHeight="1">
      <c r="A231" s="121" t="s">
        <v>242</v>
      </c>
      <c r="B231" s="154"/>
      <c r="C231">
        <v>495</v>
      </c>
      <c r="D231">
        <v>473</v>
      </c>
      <c r="E231">
        <v>0.45</v>
      </c>
      <c r="F231">
        <v>0.44500000000000001</v>
      </c>
      <c r="G231">
        <v>6.0000000000000001E-3</v>
      </c>
      <c r="H231">
        <v>4.0000000000000001E-3</v>
      </c>
      <c r="I231">
        <v>404.7</v>
      </c>
      <c r="J231">
        <v>382.8</v>
      </c>
      <c r="K231"/>
      <c r="L231"/>
      <c r="M231"/>
      <c r="N231"/>
      <c r="O231"/>
      <c r="P231"/>
      <c r="Q231"/>
      <c r="R231"/>
      <c r="S231"/>
      <c r="T231"/>
      <c r="U231"/>
      <c r="V231"/>
      <c r="W231"/>
      <c r="X231"/>
      <c r="Y231"/>
      <c r="Z231"/>
      <c r="AA231"/>
      <c r="AB231"/>
      <c r="AC231"/>
      <c r="AD231"/>
      <c r="AE231"/>
      <c r="AF231"/>
      <c r="AG231"/>
      <c r="AH231"/>
      <c r="AI231"/>
      <c r="AJ231"/>
      <c r="AK231"/>
      <c r="AL231"/>
      <c r="AM231"/>
      <c r="AN231"/>
      <c r="AO231"/>
    </row>
    <row r="232" spans="1:41" ht="14.7" customHeight="1">
      <c r="A232" s="121" t="s">
        <v>128</v>
      </c>
      <c r="B232" s="154"/>
      <c r="C232">
        <v>482.4</v>
      </c>
      <c r="D232">
        <v>430.1</v>
      </c>
      <c r="E232">
        <v>0.432</v>
      </c>
      <c r="F232">
        <v>0.432</v>
      </c>
      <c r="G232">
        <v>0</v>
      </c>
      <c r="H232">
        <v>0</v>
      </c>
      <c r="I232">
        <v>366.1</v>
      </c>
      <c r="J232">
        <v>326.39999999999998</v>
      </c>
      <c r="K232"/>
      <c r="L232"/>
      <c r="M232"/>
      <c r="N232"/>
      <c r="O232"/>
      <c r="P232"/>
      <c r="Q232"/>
      <c r="R232"/>
      <c r="S232"/>
      <c r="T232"/>
      <c r="U232"/>
      <c r="V232"/>
      <c r="W232"/>
      <c r="X232"/>
      <c r="Y232"/>
      <c r="Z232"/>
      <c r="AA232"/>
      <c r="AB232"/>
      <c r="AC232"/>
      <c r="AD232"/>
      <c r="AE232"/>
      <c r="AF232"/>
      <c r="AG232"/>
      <c r="AH232"/>
      <c r="AI232"/>
      <c r="AJ232"/>
      <c r="AK232"/>
      <c r="AL232"/>
      <c r="AM232"/>
      <c r="AN232"/>
      <c r="AO232"/>
    </row>
    <row r="233" spans="1:41" ht="14.7" customHeight="1">
      <c r="A233" s="121" t="s">
        <v>129</v>
      </c>
      <c r="B233" s="153"/>
      <c r="C233">
        <v>382.5</v>
      </c>
      <c r="D233">
        <v>385.2</v>
      </c>
      <c r="E233">
        <v>0.496</v>
      </c>
      <c r="F233">
        <v>0.47899999999999998</v>
      </c>
      <c r="G233">
        <v>0</v>
      </c>
      <c r="H233">
        <v>0</v>
      </c>
      <c r="I233">
        <v>328.3</v>
      </c>
      <c r="J233">
        <v>322.7</v>
      </c>
      <c r="K233"/>
      <c r="L233"/>
      <c r="M233"/>
      <c r="N233"/>
      <c r="O233"/>
      <c r="P233"/>
      <c r="Q233"/>
      <c r="R233"/>
      <c r="S233"/>
      <c r="T233"/>
      <c r="U233"/>
      <c r="V233"/>
      <c r="W233"/>
      <c r="X233"/>
      <c r="Y233"/>
      <c r="Z233"/>
      <c r="AA233"/>
      <c r="AB233"/>
      <c r="AC233"/>
      <c r="AD233"/>
      <c r="AE233"/>
      <c r="AF233"/>
      <c r="AG233"/>
      <c r="AH233"/>
      <c r="AI233"/>
      <c r="AJ233"/>
      <c r="AK233"/>
      <c r="AL233"/>
      <c r="AM233"/>
      <c r="AN233"/>
      <c r="AO233"/>
    </row>
    <row r="234" spans="1:41" ht="14.7" customHeight="1">
      <c r="A234" s="121" t="s">
        <v>130</v>
      </c>
      <c r="B234" s="154"/>
      <c r="C234">
        <v>478.2</v>
      </c>
      <c r="D234">
        <v>452.6</v>
      </c>
      <c r="E234">
        <v>0.48</v>
      </c>
      <c r="F234">
        <v>0.45500000000000002</v>
      </c>
      <c r="G234">
        <v>0</v>
      </c>
      <c r="H234">
        <v>0</v>
      </c>
      <c r="I234">
        <v>403</v>
      </c>
      <c r="J234">
        <v>365.4</v>
      </c>
      <c r="K234"/>
      <c r="L234"/>
      <c r="M234"/>
      <c r="N234"/>
      <c r="O234"/>
      <c r="P234"/>
      <c r="Q234"/>
      <c r="R234"/>
      <c r="S234"/>
      <c r="T234"/>
      <c r="U234"/>
      <c r="V234"/>
      <c r="W234"/>
      <c r="X234"/>
      <c r="Y234"/>
      <c r="Z234"/>
      <c r="AA234"/>
      <c r="AB234"/>
      <c r="AC234"/>
      <c r="AD234"/>
      <c r="AE234"/>
      <c r="AF234"/>
      <c r="AG234"/>
      <c r="AH234"/>
      <c r="AI234"/>
      <c r="AJ234"/>
      <c r="AK234"/>
      <c r="AL234"/>
      <c r="AM234"/>
      <c r="AN234"/>
      <c r="AO234"/>
    </row>
    <row r="235" spans="1:41" ht="14.7" customHeight="1">
      <c r="A235" s="121" t="s">
        <v>131</v>
      </c>
      <c r="B235" s="154"/>
      <c r="C235">
        <v>507.8</v>
      </c>
      <c r="D235">
        <v>426</v>
      </c>
      <c r="E235">
        <v>0.36799999999999999</v>
      </c>
      <c r="F235">
        <v>0.41699999999999998</v>
      </c>
      <c r="G235">
        <v>0</v>
      </c>
      <c r="H235">
        <v>0</v>
      </c>
      <c r="I235">
        <v>332.5</v>
      </c>
      <c r="J235">
        <v>302.2</v>
      </c>
      <c r="K235"/>
      <c r="L235"/>
      <c r="M235"/>
      <c r="N235"/>
      <c r="O235"/>
      <c r="P235"/>
      <c r="Q235"/>
      <c r="R235"/>
      <c r="S235"/>
      <c r="T235"/>
      <c r="U235"/>
      <c r="V235"/>
      <c r="W235"/>
      <c r="X235"/>
      <c r="Y235"/>
      <c r="Z235"/>
      <c r="AA235"/>
      <c r="AB235"/>
      <c r="AC235"/>
      <c r="AD235"/>
      <c r="AE235"/>
      <c r="AF235"/>
      <c r="AG235"/>
      <c r="AH235"/>
      <c r="AI235"/>
      <c r="AJ235"/>
      <c r="AK235"/>
      <c r="AL235"/>
      <c r="AM235"/>
      <c r="AN235"/>
      <c r="AO235"/>
    </row>
    <row r="236" spans="1:41" ht="14.7" customHeight="1">
      <c r="A236" s="121" t="s">
        <v>286</v>
      </c>
      <c r="B236" s="154"/>
      <c r="C236">
        <v>552.1</v>
      </c>
      <c r="D236">
        <v>529.20000000000005</v>
      </c>
      <c r="E236">
        <v>0.51400000000000001</v>
      </c>
      <c r="F236">
        <v>0.50900000000000001</v>
      </c>
      <c r="G236">
        <v>0</v>
      </c>
      <c r="H236">
        <v>0</v>
      </c>
      <c r="I236">
        <v>488.4</v>
      </c>
      <c r="J236">
        <v>468.3</v>
      </c>
      <c r="K236"/>
      <c r="L236"/>
      <c r="M236"/>
      <c r="N236"/>
      <c r="O236"/>
      <c r="P236"/>
      <c r="Q236"/>
      <c r="R236"/>
      <c r="S236"/>
      <c r="T236"/>
      <c r="U236"/>
      <c r="V236"/>
      <c r="W236"/>
      <c r="X236"/>
      <c r="Y236"/>
      <c r="Z236"/>
      <c r="AA236"/>
      <c r="AB236"/>
      <c r="AC236"/>
      <c r="AD236"/>
      <c r="AE236"/>
      <c r="AF236"/>
      <c r="AG236"/>
      <c r="AH236"/>
      <c r="AI236"/>
      <c r="AJ236"/>
      <c r="AK236"/>
      <c r="AL236"/>
      <c r="AM236"/>
      <c r="AN236"/>
      <c r="AO236"/>
    </row>
    <row r="237" spans="1:41" ht="14.7" customHeight="1">
      <c r="A237" s="121" t="s">
        <v>132</v>
      </c>
      <c r="B237" s="154"/>
      <c r="C237">
        <v>461.9</v>
      </c>
      <c r="D237">
        <v>464.6</v>
      </c>
      <c r="E237">
        <v>0.46</v>
      </c>
      <c r="F237">
        <v>0.43099999999999999</v>
      </c>
      <c r="G237">
        <v>0</v>
      </c>
      <c r="H237">
        <v>0</v>
      </c>
      <c r="I237">
        <v>418.2</v>
      </c>
      <c r="J237">
        <v>403.8</v>
      </c>
      <c r="K237"/>
      <c r="L237"/>
      <c r="M237"/>
      <c r="N237"/>
      <c r="O237"/>
      <c r="P237"/>
      <c r="Q237"/>
      <c r="R237"/>
      <c r="S237"/>
      <c r="T237"/>
      <c r="U237"/>
      <c r="V237"/>
      <c r="W237"/>
      <c r="X237"/>
      <c r="Y237"/>
      <c r="Z237"/>
      <c r="AA237"/>
      <c r="AB237"/>
      <c r="AC237"/>
      <c r="AD237"/>
      <c r="AE237"/>
      <c r="AF237"/>
      <c r="AG237"/>
      <c r="AH237"/>
      <c r="AI237"/>
      <c r="AJ237"/>
      <c r="AK237"/>
      <c r="AL237"/>
      <c r="AM237"/>
      <c r="AN237"/>
      <c r="AO237"/>
    </row>
    <row r="238" spans="1:41" ht="14.7" customHeight="1">
      <c r="A238" s="121" t="s">
        <v>243</v>
      </c>
      <c r="B238" s="154"/>
      <c r="C238">
        <v>347.6</v>
      </c>
      <c r="D238">
        <v>316.2</v>
      </c>
      <c r="E238">
        <v>0.47899999999999998</v>
      </c>
      <c r="F238">
        <v>0.47599999999999998</v>
      </c>
      <c r="G238">
        <v>0</v>
      </c>
      <c r="H238">
        <v>0</v>
      </c>
      <c r="I238">
        <v>314.5</v>
      </c>
      <c r="J238">
        <v>284.5</v>
      </c>
      <c r="K238"/>
      <c r="L238"/>
      <c r="M238"/>
      <c r="N238"/>
      <c r="O238"/>
      <c r="P238"/>
      <c r="Q238"/>
      <c r="R238"/>
      <c r="S238"/>
      <c r="T238"/>
      <c r="U238"/>
      <c r="V238"/>
      <c r="W238"/>
      <c r="X238"/>
      <c r="Y238"/>
      <c r="Z238"/>
      <c r="AA238"/>
      <c r="AB238"/>
      <c r="AC238"/>
      <c r="AD238"/>
      <c r="AE238"/>
      <c r="AF238"/>
      <c r="AG238"/>
      <c r="AH238"/>
      <c r="AI238"/>
      <c r="AJ238"/>
      <c r="AK238"/>
      <c r="AL238"/>
      <c r="AM238"/>
      <c r="AN238"/>
      <c r="AO238"/>
    </row>
    <row r="239" spans="1:41" ht="14.7" customHeight="1">
      <c r="A239" t="s">
        <v>244</v>
      </c>
      <c r="B239" s="154"/>
      <c r="C239">
        <v>688.4</v>
      </c>
      <c r="D239">
        <v>626.70000000000005</v>
      </c>
      <c r="E239">
        <v>0.27300000000000002</v>
      </c>
      <c r="F239">
        <v>0.29199999999999998</v>
      </c>
      <c r="G239">
        <v>0.107</v>
      </c>
      <c r="H239">
        <v>3.4000000000000002E-2</v>
      </c>
      <c r="I239">
        <v>374.2</v>
      </c>
      <c r="J239">
        <v>348.9</v>
      </c>
      <c r="K239"/>
      <c r="L239"/>
      <c r="M239"/>
      <c r="N239"/>
      <c r="O239"/>
      <c r="P239"/>
      <c r="Q239"/>
      <c r="R239"/>
      <c r="S239"/>
      <c r="T239"/>
      <c r="U239"/>
      <c r="V239"/>
      <c r="W239"/>
      <c r="X239"/>
      <c r="Y239"/>
      <c r="Z239"/>
      <c r="AA239"/>
      <c r="AB239"/>
      <c r="AC239"/>
      <c r="AD239"/>
      <c r="AE239"/>
      <c r="AF239"/>
      <c r="AG239"/>
      <c r="AH239"/>
      <c r="AI239"/>
      <c r="AJ239"/>
      <c r="AK239"/>
      <c r="AL239"/>
      <c r="AM239"/>
      <c r="AN239"/>
      <c r="AO239"/>
    </row>
    <row r="240" spans="1:41" ht="14.7" customHeight="1">
      <c r="A240" t="s">
        <v>133</v>
      </c>
      <c r="B240" s="154"/>
      <c r="C240">
        <v>504.3</v>
      </c>
      <c r="D240">
        <v>439.3</v>
      </c>
      <c r="E240">
        <v>0.35899999999999999</v>
      </c>
      <c r="F240">
        <v>0.37</v>
      </c>
      <c r="G240">
        <v>0</v>
      </c>
      <c r="H240">
        <v>0</v>
      </c>
      <c r="I240">
        <v>420.4</v>
      </c>
      <c r="J240">
        <v>373.6</v>
      </c>
      <c r="K240"/>
      <c r="L240"/>
      <c r="M240"/>
      <c r="N240"/>
      <c r="O240"/>
      <c r="P240"/>
      <c r="Q240"/>
      <c r="R240"/>
      <c r="S240"/>
      <c r="T240"/>
      <c r="U240"/>
      <c r="V240"/>
      <c r="W240"/>
      <c r="X240"/>
      <c r="Y240"/>
      <c r="Z240"/>
      <c r="AA240"/>
      <c r="AB240"/>
      <c r="AC240"/>
      <c r="AD240"/>
      <c r="AE240"/>
      <c r="AF240"/>
      <c r="AG240"/>
      <c r="AH240"/>
      <c r="AI240"/>
      <c r="AJ240"/>
      <c r="AK240"/>
      <c r="AL240"/>
      <c r="AM240"/>
      <c r="AN240"/>
      <c r="AO240"/>
    </row>
    <row r="241" spans="1:41" ht="14.7" customHeight="1">
      <c r="A241" s="121" t="s">
        <v>134</v>
      </c>
      <c r="B241" s="154"/>
      <c r="C241" t="s">
        <v>880</v>
      </c>
      <c r="D241" t="s">
        <v>880</v>
      </c>
      <c r="E241" t="s">
        <v>880</v>
      </c>
      <c r="F241" t="s">
        <v>880</v>
      </c>
      <c r="G241" t="s">
        <v>880</v>
      </c>
      <c r="H241" t="s">
        <v>880</v>
      </c>
      <c r="I241" t="s">
        <v>880</v>
      </c>
      <c r="J241" t="s">
        <v>880</v>
      </c>
      <c r="K241"/>
      <c r="L241"/>
      <c r="M241"/>
      <c r="N241"/>
      <c r="O241"/>
      <c r="P241"/>
      <c r="Q241"/>
      <c r="R241"/>
      <c r="S241"/>
      <c r="T241"/>
      <c r="U241"/>
      <c r="V241"/>
      <c r="W241"/>
      <c r="X241"/>
      <c r="Y241"/>
      <c r="Z241"/>
      <c r="AA241"/>
      <c r="AB241"/>
      <c r="AC241"/>
      <c r="AD241"/>
      <c r="AE241"/>
      <c r="AF241"/>
      <c r="AG241"/>
      <c r="AH241"/>
      <c r="AI241"/>
      <c r="AJ241"/>
      <c r="AK241"/>
      <c r="AL241"/>
      <c r="AM241"/>
      <c r="AN241"/>
      <c r="AO241"/>
    </row>
    <row r="242" spans="1:41" ht="14.7" customHeight="1">
      <c r="A242" s="121" t="s">
        <v>245</v>
      </c>
      <c r="B242" s="154"/>
      <c r="C242">
        <v>612.20000000000005</v>
      </c>
      <c r="D242">
        <v>555.9</v>
      </c>
      <c r="E242">
        <v>0.33200000000000002</v>
      </c>
      <c r="F242">
        <v>0.33</v>
      </c>
      <c r="G242">
        <v>0</v>
      </c>
      <c r="H242">
        <v>0</v>
      </c>
      <c r="I242">
        <v>424</v>
      </c>
      <c r="J242">
        <v>384.3</v>
      </c>
      <c r="K242"/>
      <c r="L242"/>
      <c r="M242"/>
      <c r="N242"/>
      <c r="O242"/>
      <c r="P242"/>
      <c r="Q242"/>
      <c r="R242"/>
      <c r="S242"/>
      <c r="T242"/>
      <c r="U242"/>
      <c r="V242"/>
      <c r="W242"/>
      <c r="X242"/>
      <c r="Y242"/>
      <c r="Z242"/>
      <c r="AA242"/>
      <c r="AB242"/>
      <c r="AC242"/>
      <c r="AD242"/>
      <c r="AE242"/>
      <c r="AF242"/>
      <c r="AG242"/>
      <c r="AH242"/>
      <c r="AI242"/>
      <c r="AJ242"/>
      <c r="AK242"/>
      <c r="AL242"/>
      <c r="AM242"/>
      <c r="AN242"/>
      <c r="AO242"/>
    </row>
    <row r="243" spans="1:41" ht="14.7" customHeight="1">
      <c r="A243" s="121" t="s">
        <v>135</v>
      </c>
      <c r="B243" s="154"/>
      <c r="C243">
        <v>563.20000000000005</v>
      </c>
      <c r="D243">
        <v>530</v>
      </c>
      <c r="E243">
        <v>0.438</v>
      </c>
      <c r="F243">
        <v>0.42199999999999999</v>
      </c>
      <c r="G243">
        <v>0</v>
      </c>
      <c r="H243">
        <v>0</v>
      </c>
      <c r="I243">
        <v>448.7</v>
      </c>
      <c r="J243">
        <v>414.7</v>
      </c>
      <c r="K243"/>
      <c r="L243"/>
      <c r="M243"/>
      <c r="N243"/>
      <c r="O243"/>
      <c r="P243"/>
      <c r="Q243"/>
      <c r="R243"/>
      <c r="S243"/>
      <c r="T243"/>
      <c r="U243"/>
      <c r="V243"/>
      <c r="W243"/>
      <c r="X243"/>
      <c r="Y243"/>
      <c r="Z243"/>
      <c r="AA243"/>
      <c r="AB243"/>
      <c r="AC243"/>
      <c r="AD243"/>
      <c r="AE243"/>
      <c r="AF243"/>
      <c r="AG243"/>
      <c r="AH243"/>
      <c r="AI243"/>
      <c r="AJ243"/>
      <c r="AK243"/>
      <c r="AL243"/>
      <c r="AM243"/>
      <c r="AN243"/>
      <c r="AO243"/>
    </row>
    <row r="244" spans="1:41" ht="14.7" customHeight="1">
      <c r="A244" s="121" t="s">
        <v>136</v>
      </c>
      <c r="B244" s="154"/>
      <c r="C244">
        <v>578</v>
      </c>
      <c r="D244">
        <v>570.9</v>
      </c>
      <c r="E244">
        <v>0.38800000000000001</v>
      </c>
      <c r="F244">
        <v>0.35499999999999998</v>
      </c>
      <c r="G244">
        <v>0</v>
      </c>
      <c r="H244">
        <v>0</v>
      </c>
      <c r="I244">
        <v>403.5</v>
      </c>
      <c r="J244">
        <v>379.3</v>
      </c>
      <c r="K244"/>
      <c r="L244"/>
      <c r="M244"/>
      <c r="N244"/>
      <c r="O244"/>
      <c r="P244"/>
      <c r="Q244"/>
      <c r="R244"/>
      <c r="S244"/>
      <c r="T244"/>
      <c r="U244"/>
      <c r="V244"/>
      <c r="W244"/>
      <c r="X244"/>
      <c r="Y244"/>
      <c r="Z244"/>
      <c r="AA244"/>
      <c r="AB244"/>
      <c r="AC244"/>
      <c r="AD244"/>
      <c r="AE244"/>
      <c r="AF244"/>
      <c r="AG244"/>
      <c r="AH244"/>
      <c r="AI244"/>
      <c r="AJ244"/>
      <c r="AK244"/>
      <c r="AL244"/>
      <c r="AM244"/>
      <c r="AN244"/>
      <c r="AO244"/>
    </row>
    <row r="245" spans="1:41" ht="14.7" customHeight="1">
      <c r="A245" s="121" t="s">
        <v>246</v>
      </c>
      <c r="B245" s="154"/>
      <c r="C245">
        <v>509.1</v>
      </c>
      <c r="D245">
        <v>478.7</v>
      </c>
      <c r="E245">
        <v>0.32100000000000001</v>
      </c>
      <c r="F245">
        <v>0.32</v>
      </c>
      <c r="G245">
        <v>8.0000000000000002E-3</v>
      </c>
      <c r="H245">
        <v>8.0000000000000002E-3</v>
      </c>
      <c r="I245">
        <v>347.7</v>
      </c>
      <c r="J245">
        <v>321.3</v>
      </c>
      <c r="K245"/>
      <c r="L245"/>
      <c r="M245"/>
      <c r="N245"/>
      <c r="O245"/>
      <c r="P245"/>
      <c r="Q245"/>
      <c r="R245"/>
      <c r="S245"/>
      <c r="T245"/>
      <c r="U245"/>
      <c r="V245"/>
      <c r="W245"/>
      <c r="X245"/>
      <c r="Y245"/>
      <c r="Z245"/>
      <c r="AA245"/>
      <c r="AB245"/>
      <c r="AC245"/>
      <c r="AD245"/>
      <c r="AE245"/>
      <c r="AF245"/>
      <c r="AG245"/>
      <c r="AH245"/>
      <c r="AI245"/>
      <c r="AJ245"/>
      <c r="AK245"/>
      <c r="AL245"/>
      <c r="AM245"/>
      <c r="AN245"/>
      <c r="AO245"/>
    </row>
    <row r="246" spans="1:41" ht="14.7" customHeight="1">
      <c r="A246" s="121" t="s">
        <v>326</v>
      </c>
      <c r="B246" s="154"/>
      <c r="C246">
        <v>542.70000000000005</v>
      </c>
      <c r="D246">
        <v>502</v>
      </c>
      <c r="E246">
        <v>0.52800000000000002</v>
      </c>
      <c r="F246">
        <v>0.52100000000000002</v>
      </c>
      <c r="G246">
        <v>2.1999999999999999E-2</v>
      </c>
      <c r="H246">
        <v>1.2E-2</v>
      </c>
      <c r="I246">
        <v>523.70000000000005</v>
      </c>
      <c r="J246">
        <v>479.3</v>
      </c>
      <c r="K246"/>
      <c r="L246"/>
      <c r="M246"/>
      <c r="N246"/>
      <c r="O246"/>
      <c r="P246"/>
      <c r="Q246"/>
      <c r="R246"/>
      <c r="S246"/>
      <c r="T246"/>
      <c r="U246"/>
      <c r="V246"/>
      <c r="W246"/>
      <c r="X246"/>
      <c r="Y246"/>
      <c r="Z246"/>
      <c r="AA246"/>
      <c r="AB246"/>
      <c r="AC246"/>
      <c r="AD246"/>
      <c r="AE246"/>
      <c r="AF246"/>
      <c r="AG246"/>
      <c r="AH246"/>
      <c r="AI246"/>
      <c r="AJ246"/>
      <c r="AK246"/>
      <c r="AL246"/>
      <c r="AM246"/>
      <c r="AN246"/>
      <c r="AO246"/>
    </row>
    <row r="247" spans="1:41" ht="14.7" customHeight="1">
      <c r="A247" s="121" t="s">
        <v>287</v>
      </c>
      <c r="B247" s="154"/>
      <c r="C247">
        <v>693.7</v>
      </c>
      <c r="D247">
        <v>660.8</v>
      </c>
      <c r="E247">
        <v>0.26700000000000002</v>
      </c>
      <c r="F247">
        <v>0.251</v>
      </c>
      <c r="G247">
        <v>0</v>
      </c>
      <c r="H247">
        <v>0</v>
      </c>
      <c r="I247">
        <v>333</v>
      </c>
      <c r="J247">
        <v>310.8</v>
      </c>
      <c r="K247"/>
      <c r="L247"/>
      <c r="M247"/>
      <c r="N247"/>
      <c r="O247"/>
      <c r="P247"/>
      <c r="Q247"/>
      <c r="R247"/>
      <c r="S247"/>
      <c r="T247"/>
      <c r="U247"/>
      <c r="V247"/>
      <c r="W247"/>
      <c r="X247"/>
      <c r="Y247"/>
      <c r="Z247"/>
      <c r="AA247"/>
      <c r="AB247"/>
      <c r="AC247"/>
      <c r="AD247"/>
      <c r="AE247"/>
      <c r="AF247"/>
      <c r="AG247"/>
      <c r="AH247"/>
      <c r="AI247"/>
      <c r="AJ247"/>
      <c r="AK247"/>
      <c r="AL247"/>
      <c r="AM247"/>
      <c r="AN247"/>
      <c r="AO247"/>
    </row>
    <row r="248" spans="1:41" ht="14.7" customHeight="1">
      <c r="A248" s="121" t="s">
        <v>247</v>
      </c>
      <c r="B248" s="154"/>
      <c r="C248">
        <v>624.9</v>
      </c>
      <c r="D248">
        <v>541.4</v>
      </c>
      <c r="E248">
        <v>0.35199999999999998</v>
      </c>
      <c r="F248">
        <v>0.41499999999999998</v>
      </c>
      <c r="G248">
        <v>7.5999999999999998E-2</v>
      </c>
      <c r="H248">
        <v>0.04</v>
      </c>
      <c r="I248">
        <v>420.3</v>
      </c>
      <c r="J248">
        <v>403.9</v>
      </c>
      <c r="K248"/>
      <c r="L248"/>
      <c r="M248"/>
      <c r="N248"/>
      <c r="O248"/>
      <c r="P248"/>
      <c r="Q248"/>
      <c r="R248"/>
      <c r="S248"/>
      <c r="T248"/>
      <c r="U248"/>
      <c r="V248"/>
      <c r="W248"/>
      <c r="X248"/>
      <c r="Y248"/>
      <c r="Z248"/>
      <c r="AA248"/>
      <c r="AB248"/>
      <c r="AC248"/>
      <c r="AD248"/>
      <c r="AE248"/>
      <c r="AF248"/>
      <c r="AG248"/>
      <c r="AH248"/>
      <c r="AI248"/>
      <c r="AJ248"/>
      <c r="AK248"/>
      <c r="AL248"/>
      <c r="AM248"/>
      <c r="AN248"/>
      <c r="AO248"/>
    </row>
    <row r="249" spans="1:41" ht="14.7" customHeight="1">
      <c r="A249" s="121" t="s">
        <v>327</v>
      </c>
      <c r="B249" s="154"/>
      <c r="C249" t="s">
        <v>880</v>
      </c>
      <c r="D249" t="s">
        <v>880</v>
      </c>
      <c r="E249" t="s">
        <v>880</v>
      </c>
      <c r="F249" t="s">
        <v>880</v>
      </c>
      <c r="G249" t="s">
        <v>880</v>
      </c>
      <c r="H249" t="s">
        <v>880</v>
      </c>
      <c r="I249" t="s">
        <v>880</v>
      </c>
      <c r="J249" t="s">
        <v>880</v>
      </c>
      <c r="K249"/>
      <c r="L249"/>
      <c r="M249"/>
      <c r="N249"/>
      <c r="O249"/>
      <c r="P249"/>
      <c r="Q249"/>
      <c r="R249"/>
      <c r="S249"/>
      <c r="T249"/>
      <c r="U249"/>
      <c r="V249"/>
      <c r="W249"/>
      <c r="X249"/>
      <c r="Y249"/>
      <c r="Z249"/>
      <c r="AA249"/>
      <c r="AB249"/>
      <c r="AC249"/>
      <c r="AD249"/>
      <c r="AE249"/>
      <c r="AF249"/>
      <c r="AG249"/>
      <c r="AH249"/>
      <c r="AI249"/>
      <c r="AJ249"/>
      <c r="AK249"/>
      <c r="AL249"/>
      <c r="AM249"/>
      <c r="AN249"/>
      <c r="AO249"/>
    </row>
    <row r="250" spans="1:41" ht="14.7" customHeight="1">
      <c r="A250" s="121" t="s">
        <v>904</v>
      </c>
      <c r="B250" s="154"/>
      <c r="C250" t="s">
        <v>880</v>
      </c>
      <c r="D250" t="s">
        <v>880</v>
      </c>
      <c r="E250" t="s">
        <v>880</v>
      </c>
      <c r="F250" t="s">
        <v>880</v>
      </c>
      <c r="G250" t="s">
        <v>880</v>
      </c>
      <c r="H250" t="s">
        <v>880</v>
      </c>
      <c r="I250" t="s">
        <v>880</v>
      </c>
      <c r="J250" t="s">
        <v>880</v>
      </c>
      <c r="K250"/>
      <c r="L250"/>
      <c r="M250"/>
      <c r="N250"/>
      <c r="O250"/>
      <c r="P250"/>
      <c r="Q250"/>
      <c r="R250"/>
      <c r="S250"/>
      <c r="T250"/>
      <c r="U250"/>
      <c r="V250"/>
      <c r="W250"/>
      <c r="X250"/>
      <c r="Y250"/>
      <c r="Z250"/>
      <c r="AA250"/>
      <c r="AB250"/>
      <c r="AC250"/>
      <c r="AD250"/>
      <c r="AE250"/>
      <c r="AF250"/>
      <c r="AG250"/>
      <c r="AH250"/>
      <c r="AI250"/>
      <c r="AJ250"/>
      <c r="AK250"/>
      <c r="AL250"/>
      <c r="AM250"/>
      <c r="AN250"/>
      <c r="AO250"/>
    </row>
    <row r="251" spans="1:41" ht="14.7" customHeight="1">
      <c r="A251" s="121" t="s">
        <v>912</v>
      </c>
      <c r="B251" s="154"/>
      <c r="C251">
        <v>422.9</v>
      </c>
      <c r="D251">
        <v>404.5</v>
      </c>
      <c r="E251">
        <v>0.48899999999999999</v>
      </c>
      <c r="F251">
        <v>0.46899999999999997</v>
      </c>
      <c r="G251">
        <v>0</v>
      </c>
      <c r="H251">
        <v>0</v>
      </c>
      <c r="I251">
        <v>348.5</v>
      </c>
      <c r="J251">
        <v>321.2</v>
      </c>
      <c r="K251"/>
      <c r="L251"/>
      <c r="M251"/>
      <c r="N251"/>
      <c r="O251"/>
      <c r="P251"/>
      <c r="Q251"/>
      <c r="R251"/>
      <c r="S251"/>
      <c r="T251"/>
      <c r="U251"/>
      <c r="V251"/>
      <c r="W251"/>
      <c r="X251"/>
      <c r="Y251"/>
      <c r="Z251"/>
      <c r="AA251"/>
      <c r="AB251"/>
      <c r="AC251"/>
      <c r="AD251"/>
      <c r="AE251"/>
      <c r="AF251"/>
      <c r="AG251"/>
      <c r="AH251"/>
      <c r="AI251"/>
      <c r="AJ251"/>
      <c r="AK251"/>
      <c r="AL251"/>
      <c r="AM251"/>
      <c r="AN251"/>
      <c r="AO251"/>
    </row>
    <row r="252" spans="1:41" ht="14.7" customHeight="1">
      <c r="A252" s="121" t="s">
        <v>140</v>
      </c>
      <c r="B252" s="154"/>
      <c r="C252">
        <v>487</v>
      </c>
      <c r="D252">
        <v>469.5</v>
      </c>
      <c r="E252">
        <v>0.46700000000000003</v>
      </c>
      <c r="F252">
        <v>0.436</v>
      </c>
      <c r="G252">
        <v>0</v>
      </c>
      <c r="H252">
        <v>0</v>
      </c>
      <c r="I252">
        <v>406.8</v>
      </c>
      <c r="J252">
        <v>368</v>
      </c>
      <c r="K252"/>
      <c r="L252"/>
      <c r="M252"/>
      <c r="N252"/>
      <c r="O252"/>
      <c r="P252"/>
      <c r="Q252"/>
      <c r="R252"/>
      <c r="S252"/>
      <c r="T252"/>
      <c r="U252"/>
      <c r="V252"/>
      <c r="W252"/>
      <c r="X252"/>
      <c r="Y252"/>
      <c r="Z252"/>
      <c r="AA252"/>
      <c r="AB252"/>
      <c r="AC252"/>
      <c r="AD252"/>
      <c r="AE252"/>
      <c r="AF252"/>
      <c r="AG252"/>
      <c r="AH252"/>
      <c r="AI252"/>
      <c r="AJ252"/>
      <c r="AK252"/>
      <c r="AL252"/>
      <c r="AM252"/>
      <c r="AN252"/>
      <c r="AO252"/>
    </row>
    <row r="253" spans="1:41" ht="14.7" customHeight="1">
      <c r="A253" s="121" t="s">
        <v>288</v>
      </c>
      <c r="B253" s="154"/>
      <c r="C253">
        <v>396.7</v>
      </c>
      <c r="D253">
        <v>377.7</v>
      </c>
      <c r="E253">
        <v>0.59899999999999998</v>
      </c>
      <c r="F253">
        <v>0.58599999999999997</v>
      </c>
      <c r="G253">
        <v>8.3000000000000004E-2</v>
      </c>
      <c r="H253">
        <v>3.4000000000000002E-2</v>
      </c>
      <c r="I253">
        <v>420.8</v>
      </c>
      <c r="J253">
        <v>388.7</v>
      </c>
      <c r="K253"/>
      <c r="L253"/>
      <c r="M253"/>
      <c r="N253"/>
      <c r="O253"/>
      <c r="P253"/>
      <c r="Q253"/>
      <c r="R253"/>
      <c r="S253"/>
      <c r="T253"/>
      <c r="U253"/>
      <c r="V253"/>
      <c r="W253"/>
      <c r="X253"/>
      <c r="Y253"/>
      <c r="Z253"/>
      <c r="AA253"/>
      <c r="AB253"/>
      <c r="AC253"/>
      <c r="AD253"/>
      <c r="AE253"/>
      <c r="AF253"/>
      <c r="AG253"/>
      <c r="AH253"/>
      <c r="AI253"/>
      <c r="AJ253"/>
      <c r="AK253"/>
      <c r="AL253"/>
      <c r="AM253"/>
      <c r="AN253"/>
      <c r="AO253"/>
    </row>
    <row r="254" spans="1:41" ht="14.7" customHeight="1">
      <c r="A254" s="121" t="s">
        <v>141</v>
      </c>
      <c r="B254" s="154"/>
      <c r="C254">
        <v>372.4</v>
      </c>
      <c r="D254">
        <v>361.6</v>
      </c>
      <c r="E254">
        <v>0.46700000000000003</v>
      </c>
      <c r="F254">
        <v>0.44800000000000001</v>
      </c>
      <c r="G254">
        <v>0</v>
      </c>
      <c r="H254">
        <v>0</v>
      </c>
      <c r="I254">
        <v>355</v>
      </c>
      <c r="J254">
        <v>337.1</v>
      </c>
      <c r="K254"/>
      <c r="L254"/>
      <c r="M254"/>
      <c r="N254"/>
      <c r="O254"/>
      <c r="P254"/>
      <c r="Q254"/>
      <c r="R254"/>
      <c r="S254"/>
      <c r="T254"/>
      <c r="U254"/>
      <c r="V254"/>
      <c r="W254"/>
      <c r="X254"/>
      <c r="Y254"/>
      <c r="Z254"/>
      <c r="AA254"/>
      <c r="AB254"/>
      <c r="AC254"/>
      <c r="AD254"/>
      <c r="AE254"/>
      <c r="AF254"/>
      <c r="AG254"/>
      <c r="AH254"/>
      <c r="AI254"/>
      <c r="AJ254"/>
      <c r="AK254"/>
      <c r="AL254"/>
      <c r="AM254"/>
      <c r="AN254"/>
      <c r="AO254"/>
    </row>
    <row r="255" spans="1:41" ht="14.7" customHeight="1">
      <c r="A255" s="121" t="s">
        <v>142</v>
      </c>
      <c r="B255" s="154"/>
      <c r="C255">
        <v>605.6</v>
      </c>
      <c r="D255">
        <v>555.4</v>
      </c>
      <c r="E255">
        <v>0.312</v>
      </c>
      <c r="F255">
        <v>0.31</v>
      </c>
      <c r="G255">
        <v>0</v>
      </c>
      <c r="H255">
        <v>0</v>
      </c>
      <c r="I255">
        <v>394.6</v>
      </c>
      <c r="J255">
        <v>361.5</v>
      </c>
      <c r="K255"/>
      <c r="L255"/>
      <c r="M255"/>
      <c r="N255"/>
      <c r="O255"/>
      <c r="P255"/>
      <c r="Q255"/>
      <c r="R255"/>
      <c r="S255"/>
      <c r="T255"/>
      <c r="U255"/>
      <c r="V255"/>
      <c r="W255"/>
      <c r="X255"/>
      <c r="Y255"/>
      <c r="Z255"/>
      <c r="AA255"/>
      <c r="AB255"/>
      <c r="AC255"/>
      <c r="AD255"/>
      <c r="AE255"/>
      <c r="AF255"/>
      <c r="AG255"/>
      <c r="AH255"/>
      <c r="AI255"/>
      <c r="AJ255"/>
      <c r="AK255"/>
      <c r="AL255"/>
      <c r="AM255"/>
      <c r="AN255"/>
      <c r="AO255"/>
    </row>
    <row r="256" spans="1:41" ht="14.7" customHeight="1">
      <c r="A256" s="121" t="s">
        <v>143</v>
      </c>
      <c r="B256" s="154"/>
      <c r="C256">
        <v>513.5</v>
      </c>
      <c r="D256">
        <v>485.9</v>
      </c>
      <c r="E256">
        <v>0.39700000000000002</v>
      </c>
      <c r="F256">
        <v>0.38400000000000001</v>
      </c>
      <c r="G256">
        <v>0</v>
      </c>
      <c r="H256">
        <v>0</v>
      </c>
      <c r="I256">
        <v>390.3</v>
      </c>
      <c r="J256">
        <v>363.2</v>
      </c>
      <c r="K256"/>
      <c r="L256"/>
      <c r="M256"/>
      <c r="N256"/>
      <c r="O256"/>
      <c r="P256"/>
      <c r="Q256"/>
      <c r="R256"/>
      <c r="S256"/>
      <c r="T256"/>
      <c r="U256"/>
      <c r="V256"/>
      <c r="W256"/>
      <c r="X256"/>
      <c r="Y256"/>
      <c r="Z256"/>
      <c r="AA256"/>
      <c r="AB256"/>
      <c r="AC256"/>
      <c r="AD256"/>
      <c r="AE256"/>
      <c r="AF256"/>
      <c r="AG256"/>
      <c r="AH256"/>
      <c r="AI256"/>
      <c r="AJ256"/>
      <c r="AK256"/>
      <c r="AL256"/>
      <c r="AM256"/>
      <c r="AN256"/>
      <c r="AO256"/>
    </row>
    <row r="257" spans="1:41" ht="14.7" customHeight="1">
      <c r="A257" s="121" t="s">
        <v>144</v>
      </c>
      <c r="B257" s="154"/>
      <c r="C257">
        <v>462.9</v>
      </c>
      <c r="D257">
        <v>456.3</v>
      </c>
      <c r="E257">
        <v>0.45</v>
      </c>
      <c r="F257">
        <v>0.437</v>
      </c>
      <c r="G257">
        <v>0</v>
      </c>
      <c r="H257">
        <v>0</v>
      </c>
      <c r="I257">
        <v>433</v>
      </c>
      <c r="J257">
        <v>419</v>
      </c>
      <c r="K257"/>
      <c r="L257"/>
      <c r="M257"/>
      <c r="N257"/>
      <c r="O257"/>
      <c r="P257"/>
      <c r="Q257"/>
      <c r="R257"/>
      <c r="S257"/>
      <c r="T257"/>
      <c r="U257"/>
      <c r="V257"/>
      <c r="W257"/>
      <c r="X257"/>
      <c r="Y257"/>
      <c r="Z257"/>
      <c r="AA257"/>
      <c r="AB257"/>
      <c r="AC257"/>
      <c r="AD257"/>
      <c r="AE257"/>
      <c r="AF257"/>
      <c r="AG257"/>
      <c r="AH257"/>
      <c r="AI257"/>
      <c r="AJ257"/>
      <c r="AK257"/>
      <c r="AL257"/>
      <c r="AM257"/>
      <c r="AN257"/>
      <c r="AO257"/>
    </row>
    <row r="258" spans="1:41" ht="14.7" customHeight="1">
      <c r="A258" s="121" t="s">
        <v>145</v>
      </c>
      <c r="B258" s="154"/>
      <c r="C258">
        <v>491.2</v>
      </c>
      <c r="D258">
        <v>468.5</v>
      </c>
      <c r="E258">
        <v>0.43099999999999999</v>
      </c>
      <c r="F258">
        <v>0.40699999999999997</v>
      </c>
      <c r="G258">
        <v>0</v>
      </c>
      <c r="H258">
        <v>0</v>
      </c>
      <c r="I258">
        <v>392.3</v>
      </c>
      <c r="J258">
        <v>358.4</v>
      </c>
      <c r="K258"/>
      <c r="L258"/>
      <c r="M258"/>
      <c r="N258"/>
      <c r="O258"/>
      <c r="P258"/>
      <c r="Q258"/>
      <c r="R258"/>
      <c r="S258"/>
      <c r="T258"/>
      <c r="U258"/>
      <c r="V258"/>
      <c r="W258"/>
      <c r="X258"/>
      <c r="Y258"/>
      <c r="Z258"/>
      <c r="AA258"/>
      <c r="AB258"/>
      <c r="AC258"/>
      <c r="AD258"/>
      <c r="AE258"/>
      <c r="AF258"/>
      <c r="AG258"/>
      <c r="AH258"/>
      <c r="AI258"/>
      <c r="AJ258"/>
      <c r="AK258"/>
      <c r="AL258"/>
      <c r="AM258"/>
      <c r="AN258"/>
      <c r="AO258"/>
    </row>
    <row r="259" spans="1:41" ht="14.7" customHeight="1">
      <c r="A259" s="121" t="s">
        <v>147</v>
      </c>
      <c r="B259" s="154"/>
      <c r="C259">
        <v>313.60000000000002</v>
      </c>
      <c r="D259">
        <v>303.8</v>
      </c>
      <c r="E259">
        <v>0.627</v>
      </c>
      <c r="F259">
        <v>0.61599999999999999</v>
      </c>
      <c r="G259">
        <v>0</v>
      </c>
      <c r="H259">
        <v>0</v>
      </c>
      <c r="I259">
        <v>360</v>
      </c>
      <c r="J259">
        <v>340.1</v>
      </c>
      <c r="K259"/>
      <c r="L259"/>
      <c r="M259"/>
      <c r="N259"/>
      <c r="O259"/>
      <c r="P259"/>
      <c r="Q259"/>
      <c r="R259"/>
      <c r="S259"/>
      <c r="T259"/>
      <c r="U259"/>
      <c r="V259"/>
      <c r="W259"/>
      <c r="X259"/>
      <c r="Y259"/>
      <c r="Z259"/>
      <c r="AA259"/>
      <c r="AB259"/>
      <c r="AC259"/>
      <c r="AD259"/>
      <c r="AE259"/>
      <c r="AF259"/>
      <c r="AG259"/>
      <c r="AH259"/>
      <c r="AI259"/>
      <c r="AJ259"/>
      <c r="AK259"/>
      <c r="AL259"/>
      <c r="AM259"/>
      <c r="AN259"/>
      <c r="AO259"/>
    </row>
    <row r="260" spans="1:41" ht="14.7" customHeight="1">
      <c r="A260" s="121" t="s">
        <v>148</v>
      </c>
      <c r="B260" s="154"/>
      <c r="C260">
        <v>462.7</v>
      </c>
      <c r="D260">
        <v>431.5</v>
      </c>
      <c r="E260">
        <v>0.45500000000000002</v>
      </c>
      <c r="F260">
        <v>0.45600000000000002</v>
      </c>
      <c r="G260">
        <v>0</v>
      </c>
      <c r="H260">
        <v>0</v>
      </c>
      <c r="I260">
        <v>388.8</v>
      </c>
      <c r="J260">
        <v>363.2</v>
      </c>
      <c r="K260"/>
      <c r="L260"/>
      <c r="M260"/>
      <c r="N260"/>
      <c r="O260"/>
      <c r="P260"/>
      <c r="Q260"/>
      <c r="R260"/>
      <c r="S260"/>
      <c r="T260"/>
      <c r="U260"/>
      <c r="V260"/>
      <c r="W260"/>
      <c r="X260"/>
      <c r="Y260"/>
      <c r="Z260"/>
      <c r="AA260"/>
      <c r="AB260"/>
      <c r="AC260"/>
      <c r="AD260"/>
      <c r="AE260"/>
      <c r="AF260"/>
      <c r="AG260"/>
      <c r="AH260"/>
      <c r="AI260"/>
      <c r="AJ260"/>
      <c r="AK260"/>
      <c r="AL260"/>
      <c r="AM260"/>
      <c r="AN260"/>
      <c r="AO260"/>
    </row>
    <row r="261" spans="1:41" ht="14.7" customHeight="1">
      <c r="A261" t="s">
        <v>149</v>
      </c>
      <c r="B261" s="154"/>
      <c r="C261" t="s">
        <v>880</v>
      </c>
      <c r="D261" t="s">
        <v>880</v>
      </c>
      <c r="E261" t="s">
        <v>880</v>
      </c>
      <c r="F261" t="s">
        <v>880</v>
      </c>
      <c r="G261" t="s">
        <v>880</v>
      </c>
      <c r="H261" t="s">
        <v>880</v>
      </c>
      <c r="I261" t="s">
        <v>880</v>
      </c>
      <c r="J261" t="s">
        <v>880</v>
      </c>
      <c r="K261"/>
      <c r="L261"/>
      <c r="M261"/>
      <c r="N261"/>
      <c r="O261"/>
      <c r="P261"/>
      <c r="Q261"/>
      <c r="R261"/>
      <c r="S261"/>
      <c r="T261"/>
      <c r="U261"/>
      <c r="V261"/>
      <c r="W261"/>
      <c r="X261"/>
      <c r="Y261"/>
      <c r="Z261"/>
      <c r="AA261"/>
      <c r="AB261"/>
      <c r="AC261"/>
      <c r="AD261"/>
      <c r="AE261"/>
      <c r="AF261"/>
      <c r="AG261"/>
      <c r="AH261"/>
      <c r="AI261"/>
      <c r="AJ261"/>
      <c r="AK261"/>
      <c r="AL261"/>
      <c r="AM261"/>
      <c r="AN261"/>
      <c r="AO261"/>
    </row>
    <row r="262" spans="1:41" ht="14.7" customHeight="1">
      <c r="A262" s="121" t="s">
        <v>150</v>
      </c>
      <c r="B262" s="154"/>
      <c r="C262">
        <v>501.1</v>
      </c>
      <c r="D262">
        <v>468.6</v>
      </c>
      <c r="E262">
        <v>0.45500000000000002</v>
      </c>
      <c r="F262">
        <v>0.439</v>
      </c>
      <c r="G262">
        <v>0</v>
      </c>
      <c r="H262">
        <v>0</v>
      </c>
      <c r="I262">
        <v>400.2</v>
      </c>
      <c r="J262">
        <v>365.6</v>
      </c>
      <c r="K262"/>
      <c r="L262"/>
      <c r="M262"/>
      <c r="N262"/>
      <c r="O262"/>
      <c r="P262"/>
      <c r="Q262"/>
      <c r="R262"/>
      <c r="S262"/>
      <c r="T262"/>
      <c r="U262"/>
      <c r="V262"/>
      <c r="W262"/>
      <c r="X262"/>
      <c r="Y262"/>
      <c r="Z262"/>
      <c r="AA262"/>
      <c r="AB262"/>
      <c r="AC262"/>
      <c r="AD262"/>
      <c r="AE262"/>
      <c r="AF262"/>
      <c r="AG262"/>
      <c r="AH262"/>
      <c r="AI262"/>
      <c r="AJ262"/>
      <c r="AK262"/>
      <c r="AL262"/>
      <c r="AM262"/>
      <c r="AN262"/>
      <c r="AO262"/>
    </row>
    <row r="263" spans="1:41" ht="14.7" customHeight="1">
      <c r="A263" s="121" t="s">
        <v>248</v>
      </c>
      <c r="B263" s="154"/>
      <c r="C263">
        <v>623</v>
      </c>
      <c r="D263">
        <v>590.6</v>
      </c>
      <c r="E263">
        <v>0.32400000000000001</v>
      </c>
      <c r="F263">
        <v>0.31</v>
      </c>
      <c r="G263">
        <v>8.0000000000000002E-3</v>
      </c>
      <c r="H263">
        <v>8.9999999999999993E-3</v>
      </c>
      <c r="I263">
        <v>451.2</v>
      </c>
      <c r="J263">
        <v>418.3</v>
      </c>
      <c r="K263"/>
      <c r="L263"/>
      <c r="M263"/>
      <c r="N263"/>
      <c r="O263"/>
      <c r="P263"/>
      <c r="Q263"/>
      <c r="R263"/>
      <c r="S263"/>
      <c r="T263"/>
      <c r="U263"/>
      <c r="V263"/>
      <c r="W263"/>
      <c r="X263"/>
      <c r="Y263"/>
      <c r="Z263"/>
      <c r="AA263"/>
      <c r="AB263"/>
      <c r="AC263"/>
      <c r="AD263"/>
      <c r="AE263"/>
      <c r="AF263"/>
      <c r="AG263"/>
      <c r="AH263"/>
      <c r="AI263"/>
      <c r="AJ263"/>
      <c r="AK263"/>
      <c r="AL263"/>
      <c r="AM263"/>
      <c r="AN263"/>
      <c r="AO263"/>
    </row>
    <row r="264" spans="1:41" ht="14.7" customHeight="1">
      <c r="A264" t="s">
        <v>289</v>
      </c>
      <c r="B264" s="154"/>
      <c r="C264">
        <v>587</v>
      </c>
      <c r="D264">
        <v>570</v>
      </c>
      <c r="E264">
        <v>0.27700000000000002</v>
      </c>
      <c r="F264">
        <v>0.27400000000000002</v>
      </c>
      <c r="G264">
        <v>6.5000000000000002E-2</v>
      </c>
      <c r="H264">
        <v>4.2999999999999997E-2</v>
      </c>
      <c r="I264">
        <v>359.7</v>
      </c>
      <c r="J264">
        <v>340.8</v>
      </c>
      <c r="K264"/>
      <c r="L264"/>
      <c r="M264"/>
      <c r="N264"/>
      <c r="O264"/>
      <c r="P264"/>
      <c r="Q264"/>
      <c r="R264"/>
      <c r="S264"/>
      <c r="T264"/>
      <c r="U264"/>
      <c r="V264"/>
      <c r="W264"/>
      <c r="X264"/>
      <c r="Y264"/>
      <c r="Z264"/>
      <c r="AA264"/>
      <c r="AB264"/>
      <c r="AC264"/>
      <c r="AD264"/>
      <c r="AE264"/>
      <c r="AF264"/>
      <c r="AG264"/>
      <c r="AH264"/>
      <c r="AI264"/>
      <c r="AJ264"/>
      <c r="AK264"/>
      <c r="AL264"/>
      <c r="AM264"/>
      <c r="AN264"/>
      <c r="AO264"/>
    </row>
    <row r="265" spans="1:41" ht="14.7" customHeight="1">
      <c r="A265" s="121" t="s">
        <v>290</v>
      </c>
      <c r="B265" s="154"/>
      <c r="C265">
        <v>538.79999999999995</v>
      </c>
      <c r="D265">
        <v>509.6</v>
      </c>
      <c r="E265">
        <v>0.43</v>
      </c>
      <c r="F265">
        <v>0.41099999999999998</v>
      </c>
      <c r="G265">
        <v>0.53800000000000003</v>
      </c>
      <c r="H265">
        <v>0.433</v>
      </c>
      <c r="I265">
        <v>432</v>
      </c>
      <c r="J265">
        <v>396.8</v>
      </c>
      <c r="K265"/>
      <c r="L265"/>
      <c r="M265"/>
      <c r="N265"/>
      <c r="O265"/>
      <c r="P265"/>
      <c r="Q265"/>
      <c r="R265"/>
      <c r="S265"/>
      <c r="T265"/>
      <c r="U265"/>
      <c r="V265"/>
      <c r="W265"/>
      <c r="X265"/>
      <c r="Y265"/>
      <c r="Z265"/>
      <c r="AA265"/>
      <c r="AB265"/>
      <c r="AC265"/>
      <c r="AD265"/>
      <c r="AE265"/>
      <c r="AF265"/>
      <c r="AG265"/>
      <c r="AH265"/>
      <c r="AI265"/>
      <c r="AJ265"/>
      <c r="AK265"/>
      <c r="AL265"/>
      <c r="AM265"/>
      <c r="AN265"/>
      <c r="AO265"/>
    </row>
    <row r="266" spans="1:41" ht="14.7" customHeight="1">
      <c r="A266" t="s">
        <v>218</v>
      </c>
      <c r="B266" s="154"/>
      <c r="C266">
        <v>495</v>
      </c>
      <c r="D266">
        <v>490.6</v>
      </c>
      <c r="E266">
        <v>0.35699999999999998</v>
      </c>
      <c r="F266">
        <v>0.32</v>
      </c>
      <c r="G266">
        <v>4.0000000000000001E-3</v>
      </c>
      <c r="H266">
        <v>3.0000000000000001E-3</v>
      </c>
      <c r="I266">
        <v>363</v>
      </c>
      <c r="J266">
        <v>339.7</v>
      </c>
      <c r="K266"/>
      <c r="L266"/>
      <c r="M266"/>
      <c r="N266"/>
      <c r="O266"/>
      <c r="P266"/>
      <c r="Q266"/>
      <c r="R266"/>
      <c r="S266"/>
      <c r="T266"/>
      <c r="U266"/>
      <c r="V266"/>
      <c r="W266"/>
      <c r="X266"/>
      <c r="Y266"/>
      <c r="Z266"/>
      <c r="AA266"/>
      <c r="AB266"/>
      <c r="AC266"/>
      <c r="AD266"/>
      <c r="AE266"/>
      <c r="AF266"/>
      <c r="AG266"/>
      <c r="AH266"/>
      <c r="AI266"/>
      <c r="AJ266"/>
      <c r="AK266"/>
      <c r="AL266"/>
      <c r="AM266"/>
      <c r="AN266"/>
      <c r="AO266"/>
    </row>
    <row r="267" spans="1:41" ht="14.7" customHeight="1">
      <c r="A267" s="121" t="s">
        <v>151</v>
      </c>
      <c r="B267" s="154"/>
      <c r="C267">
        <v>446.9</v>
      </c>
      <c r="D267">
        <v>437.5</v>
      </c>
      <c r="E267">
        <v>0.46400000000000002</v>
      </c>
      <c r="F267">
        <v>0.43</v>
      </c>
      <c r="G267">
        <v>0</v>
      </c>
      <c r="H267">
        <v>0</v>
      </c>
      <c r="I267">
        <v>354.3</v>
      </c>
      <c r="J267">
        <v>326.8</v>
      </c>
      <c r="K267"/>
      <c r="L267"/>
      <c r="M267"/>
      <c r="N267"/>
      <c r="O267"/>
      <c r="P267"/>
      <c r="Q267"/>
      <c r="R267"/>
      <c r="S267"/>
      <c r="T267"/>
      <c r="U267"/>
      <c r="V267"/>
      <c r="W267"/>
      <c r="X267"/>
      <c r="Y267"/>
      <c r="Z267"/>
      <c r="AA267"/>
      <c r="AB267"/>
      <c r="AC267"/>
      <c r="AD267"/>
      <c r="AE267"/>
      <c r="AF267"/>
      <c r="AG267"/>
      <c r="AH267"/>
      <c r="AI267"/>
      <c r="AJ267"/>
      <c r="AK267"/>
      <c r="AL267"/>
      <c r="AM267"/>
      <c r="AN267"/>
      <c r="AO267"/>
    </row>
    <row r="268" spans="1:41" ht="14.7" customHeight="1">
      <c r="A268" s="121" t="s">
        <v>152</v>
      </c>
      <c r="B268" s="154"/>
      <c r="C268">
        <v>319.39999999999998</v>
      </c>
      <c r="D268">
        <v>316.2</v>
      </c>
      <c r="E268">
        <v>0.624</v>
      </c>
      <c r="F268">
        <v>0.60099999999999998</v>
      </c>
      <c r="G268">
        <v>0</v>
      </c>
      <c r="H268">
        <v>0</v>
      </c>
      <c r="I268">
        <v>356.8</v>
      </c>
      <c r="J268">
        <v>335.3</v>
      </c>
      <c r="K268"/>
      <c r="L268"/>
      <c r="M268"/>
      <c r="N268"/>
      <c r="O268"/>
      <c r="P268"/>
      <c r="Q268"/>
      <c r="R268"/>
      <c r="S268"/>
      <c r="T268"/>
      <c r="U268"/>
      <c r="V268"/>
      <c r="W268"/>
      <c r="X268"/>
      <c r="Y268"/>
      <c r="Z268"/>
      <c r="AA268"/>
      <c r="AB268"/>
      <c r="AC268"/>
      <c r="AD268"/>
      <c r="AE268"/>
      <c r="AF268"/>
      <c r="AG268"/>
      <c r="AH268"/>
      <c r="AI268"/>
      <c r="AJ268"/>
      <c r="AK268"/>
      <c r="AL268"/>
      <c r="AM268"/>
      <c r="AN268"/>
      <c r="AO268"/>
    </row>
    <row r="269" spans="1:41" ht="14.7" customHeight="1">
      <c r="A269" s="121" t="s">
        <v>249</v>
      </c>
      <c r="B269" s="154"/>
      <c r="C269">
        <v>505.1</v>
      </c>
      <c r="D269">
        <v>485.6</v>
      </c>
      <c r="E269">
        <v>0.36799999999999999</v>
      </c>
      <c r="F269">
        <v>0.34</v>
      </c>
      <c r="G269">
        <v>0</v>
      </c>
      <c r="H269">
        <v>0</v>
      </c>
      <c r="I269">
        <v>371.4</v>
      </c>
      <c r="J269">
        <v>340.6</v>
      </c>
      <c r="K269"/>
      <c r="L269"/>
      <c r="M269"/>
      <c r="N269"/>
      <c r="O269"/>
      <c r="P269"/>
      <c r="Q269"/>
      <c r="R269"/>
      <c r="S269"/>
      <c r="T269"/>
      <c r="U269"/>
      <c r="V269"/>
      <c r="W269"/>
      <c r="X269"/>
      <c r="Y269"/>
      <c r="Z269"/>
      <c r="AA269"/>
      <c r="AB269"/>
      <c r="AC269"/>
      <c r="AD269"/>
      <c r="AE269"/>
      <c r="AF269"/>
      <c r="AG269"/>
      <c r="AH269"/>
      <c r="AI269"/>
      <c r="AJ269"/>
      <c r="AK269"/>
      <c r="AL269"/>
      <c r="AM269"/>
      <c r="AN269"/>
      <c r="AO269"/>
    </row>
    <row r="270" spans="1:41" ht="14.7" customHeight="1">
      <c r="A270" t="s">
        <v>154</v>
      </c>
      <c r="B270" s="154"/>
      <c r="C270">
        <v>467.6</v>
      </c>
      <c r="D270">
        <v>449.4</v>
      </c>
      <c r="E270">
        <v>0.46400000000000002</v>
      </c>
      <c r="F270">
        <v>0.44600000000000001</v>
      </c>
      <c r="G270">
        <v>0</v>
      </c>
      <c r="H270">
        <v>0</v>
      </c>
      <c r="I270">
        <v>398.5</v>
      </c>
      <c r="J270">
        <v>369.7</v>
      </c>
      <c r="K270"/>
      <c r="L270"/>
      <c r="M270"/>
      <c r="N270"/>
      <c r="O270"/>
      <c r="P270"/>
      <c r="Q270"/>
      <c r="R270"/>
      <c r="S270"/>
      <c r="T270"/>
      <c r="U270"/>
      <c r="V270"/>
      <c r="W270"/>
      <c r="X270"/>
      <c r="Y270"/>
      <c r="Z270"/>
      <c r="AA270"/>
      <c r="AB270"/>
      <c r="AC270"/>
      <c r="AD270"/>
      <c r="AE270"/>
      <c r="AF270"/>
      <c r="AG270"/>
      <c r="AH270"/>
      <c r="AI270"/>
      <c r="AJ270"/>
      <c r="AK270"/>
      <c r="AL270"/>
      <c r="AM270"/>
      <c r="AN270"/>
      <c r="AO270"/>
    </row>
    <row r="271" spans="1:41" ht="14.7" customHeight="1">
      <c r="A271" t="s">
        <v>328</v>
      </c>
      <c r="B271" s="154"/>
      <c r="C271">
        <v>588.79999999999995</v>
      </c>
      <c r="D271">
        <v>548.79999999999995</v>
      </c>
      <c r="E271">
        <v>0.44700000000000001</v>
      </c>
      <c r="F271">
        <v>0.439</v>
      </c>
      <c r="G271">
        <v>2.1000000000000001E-2</v>
      </c>
      <c r="H271">
        <v>7.0000000000000001E-3</v>
      </c>
      <c r="I271">
        <v>476.7</v>
      </c>
      <c r="J271">
        <v>438.8</v>
      </c>
      <c r="K271"/>
      <c r="L271"/>
      <c r="M271"/>
      <c r="N271"/>
      <c r="O271"/>
      <c r="P271"/>
      <c r="Q271"/>
      <c r="R271"/>
      <c r="S271"/>
      <c r="T271"/>
      <c r="U271"/>
      <c r="V271"/>
      <c r="W271"/>
      <c r="X271"/>
      <c r="Y271"/>
      <c r="Z271"/>
      <c r="AA271"/>
      <c r="AB271"/>
      <c r="AC271"/>
      <c r="AD271"/>
      <c r="AE271"/>
      <c r="AF271"/>
      <c r="AG271"/>
      <c r="AH271"/>
      <c r="AI271"/>
      <c r="AJ271"/>
      <c r="AK271"/>
      <c r="AL271"/>
      <c r="AM271"/>
      <c r="AN271"/>
      <c r="AO271"/>
    </row>
    <row r="272" spans="1:41" ht="14.7" customHeight="1">
      <c r="A272" s="121" t="s">
        <v>155</v>
      </c>
      <c r="B272" s="154"/>
      <c r="C272">
        <v>410</v>
      </c>
      <c r="D272">
        <v>384.2</v>
      </c>
      <c r="E272">
        <v>0.54500000000000004</v>
      </c>
      <c r="F272">
        <v>0.53200000000000003</v>
      </c>
      <c r="G272">
        <v>0</v>
      </c>
      <c r="H272">
        <v>0</v>
      </c>
      <c r="I272">
        <v>418</v>
      </c>
      <c r="J272">
        <v>383.1</v>
      </c>
      <c r="K272"/>
      <c r="L272"/>
      <c r="M272"/>
      <c r="N272"/>
      <c r="O272"/>
      <c r="P272"/>
      <c r="Q272"/>
      <c r="R272"/>
      <c r="S272"/>
      <c r="T272"/>
      <c r="U272"/>
      <c r="V272"/>
      <c r="W272"/>
      <c r="X272"/>
      <c r="Y272"/>
      <c r="Z272"/>
      <c r="AA272"/>
      <c r="AB272"/>
      <c r="AC272"/>
      <c r="AD272"/>
      <c r="AE272"/>
      <c r="AF272"/>
      <c r="AG272"/>
      <c r="AH272"/>
      <c r="AI272"/>
      <c r="AJ272"/>
      <c r="AK272"/>
      <c r="AL272"/>
      <c r="AM272"/>
      <c r="AN272"/>
      <c r="AO272"/>
    </row>
    <row r="273" spans="1:41" ht="14.7" customHeight="1">
      <c r="A273" s="121" t="s">
        <v>156</v>
      </c>
      <c r="B273" s="154"/>
      <c r="C273">
        <v>518</v>
      </c>
      <c r="D273">
        <v>495</v>
      </c>
      <c r="E273">
        <v>0.39700000000000002</v>
      </c>
      <c r="F273">
        <v>0.37</v>
      </c>
      <c r="G273">
        <v>0</v>
      </c>
      <c r="H273">
        <v>0</v>
      </c>
      <c r="I273">
        <v>364.6</v>
      </c>
      <c r="J273">
        <v>333.2</v>
      </c>
      <c r="K273"/>
      <c r="L273"/>
      <c r="M273"/>
      <c r="N273"/>
      <c r="O273"/>
      <c r="P273"/>
      <c r="Q273"/>
      <c r="R273"/>
      <c r="S273"/>
      <c r="T273"/>
      <c r="U273"/>
      <c r="V273"/>
      <c r="W273"/>
      <c r="X273"/>
      <c r="Y273"/>
      <c r="Z273"/>
      <c r="AA273"/>
      <c r="AB273"/>
      <c r="AC273"/>
      <c r="AD273"/>
      <c r="AE273"/>
      <c r="AF273"/>
      <c r="AG273"/>
      <c r="AH273"/>
      <c r="AI273"/>
      <c r="AJ273"/>
      <c r="AK273"/>
      <c r="AL273"/>
      <c r="AM273"/>
      <c r="AN273"/>
      <c r="AO273"/>
    </row>
    <row r="274" spans="1:41" ht="14.7" customHeight="1">
      <c r="A274" s="121" t="s">
        <v>250</v>
      </c>
      <c r="B274" s="154"/>
      <c r="C274">
        <v>313.3</v>
      </c>
      <c r="D274">
        <v>300.2</v>
      </c>
      <c r="E274">
        <v>0.60299999999999998</v>
      </c>
      <c r="F274">
        <v>0.59299999999999997</v>
      </c>
      <c r="G274">
        <v>0</v>
      </c>
      <c r="H274">
        <v>0</v>
      </c>
      <c r="I274">
        <v>352.7</v>
      </c>
      <c r="J274">
        <v>328.7</v>
      </c>
      <c r="K274"/>
      <c r="L274"/>
      <c r="M274"/>
      <c r="N274"/>
      <c r="O274"/>
      <c r="P274"/>
      <c r="Q274"/>
      <c r="R274"/>
      <c r="S274"/>
      <c r="T274"/>
      <c r="U274"/>
      <c r="V274"/>
      <c r="W274"/>
      <c r="X274"/>
      <c r="Y274"/>
      <c r="Z274"/>
      <c r="AA274"/>
      <c r="AB274"/>
      <c r="AC274"/>
      <c r="AD274"/>
      <c r="AE274"/>
      <c r="AF274"/>
      <c r="AG274"/>
      <c r="AH274"/>
      <c r="AI274"/>
      <c r="AJ274"/>
      <c r="AK274"/>
      <c r="AL274"/>
      <c r="AM274"/>
      <c r="AN274"/>
      <c r="AO274"/>
    </row>
    <row r="275" spans="1:41" ht="14.7" customHeight="1">
      <c r="A275" s="121" t="s">
        <v>291</v>
      </c>
      <c r="B275" s="154"/>
      <c r="C275">
        <v>735.1</v>
      </c>
      <c r="D275">
        <v>693.5</v>
      </c>
      <c r="E275">
        <v>0.25700000000000001</v>
      </c>
      <c r="F275">
        <v>0.252</v>
      </c>
      <c r="G275">
        <v>3.0000000000000001E-3</v>
      </c>
      <c r="H275">
        <v>5.8999999999999997E-2</v>
      </c>
      <c r="I275">
        <v>446.9</v>
      </c>
      <c r="J275">
        <v>415.3</v>
      </c>
      <c r="K275"/>
      <c r="L275"/>
      <c r="M275"/>
      <c r="N275"/>
      <c r="O275"/>
      <c r="P275"/>
      <c r="Q275"/>
      <c r="R275"/>
      <c r="S275"/>
      <c r="T275"/>
      <c r="U275"/>
      <c r="V275"/>
      <c r="W275"/>
      <c r="X275"/>
      <c r="Y275"/>
      <c r="Z275"/>
      <c r="AA275"/>
      <c r="AB275"/>
      <c r="AC275"/>
      <c r="AD275"/>
      <c r="AE275"/>
      <c r="AF275"/>
      <c r="AG275"/>
      <c r="AH275"/>
      <c r="AI275"/>
      <c r="AJ275"/>
      <c r="AK275"/>
      <c r="AL275"/>
      <c r="AM275"/>
      <c r="AN275"/>
      <c r="AO275"/>
    </row>
    <row r="276" spans="1:41" ht="14.7" customHeight="1">
      <c r="A276" s="121" t="s">
        <v>292</v>
      </c>
      <c r="B276" s="154"/>
      <c r="C276">
        <v>589.20000000000005</v>
      </c>
      <c r="D276">
        <v>555.9</v>
      </c>
      <c r="E276">
        <v>0.34499999999999997</v>
      </c>
      <c r="F276">
        <v>0.33700000000000002</v>
      </c>
      <c r="G276">
        <v>3.9E-2</v>
      </c>
      <c r="H276">
        <v>1.2999999999999999E-2</v>
      </c>
      <c r="I276">
        <v>413.1</v>
      </c>
      <c r="J276">
        <v>384.5</v>
      </c>
      <c r="K276"/>
      <c r="L276"/>
      <c r="M276"/>
      <c r="N276"/>
      <c r="O276"/>
      <c r="P276"/>
      <c r="Q276"/>
      <c r="R276"/>
      <c r="S276"/>
      <c r="T276"/>
      <c r="U276"/>
      <c r="V276"/>
      <c r="W276"/>
      <c r="X276"/>
      <c r="Y276"/>
      <c r="Z276"/>
      <c r="AA276"/>
      <c r="AB276"/>
      <c r="AC276"/>
      <c r="AD276"/>
      <c r="AE276"/>
      <c r="AF276"/>
      <c r="AG276"/>
      <c r="AH276"/>
      <c r="AI276"/>
      <c r="AJ276"/>
      <c r="AK276"/>
      <c r="AL276"/>
      <c r="AM276"/>
      <c r="AN276"/>
      <c r="AO276"/>
    </row>
    <row r="277" spans="1:41" ht="14.7" customHeight="1">
      <c r="A277" s="121" t="s">
        <v>157</v>
      </c>
      <c r="B277" s="154"/>
      <c r="C277">
        <v>405.7</v>
      </c>
      <c r="D277">
        <v>319.60000000000002</v>
      </c>
      <c r="E277">
        <v>0.55500000000000005</v>
      </c>
      <c r="F277">
        <v>0.6</v>
      </c>
      <c r="G277">
        <v>0</v>
      </c>
      <c r="H277">
        <v>0</v>
      </c>
      <c r="I277">
        <v>426.9</v>
      </c>
      <c r="J277">
        <v>376.7</v>
      </c>
      <c r="K277"/>
      <c r="L277"/>
      <c r="M277"/>
      <c r="N277"/>
      <c r="O277"/>
      <c r="P277"/>
      <c r="Q277"/>
      <c r="R277"/>
      <c r="S277"/>
      <c r="T277"/>
      <c r="U277"/>
      <c r="V277"/>
      <c r="W277"/>
      <c r="X277"/>
      <c r="Y277"/>
      <c r="Z277"/>
      <c r="AA277"/>
      <c r="AB277"/>
      <c r="AC277"/>
      <c r="AD277"/>
      <c r="AE277"/>
      <c r="AF277"/>
      <c r="AG277"/>
      <c r="AH277"/>
      <c r="AI277"/>
      <c r="AJ277"/>
      <c r="AK277"/>
      <c r="AL277"/>
      <c r="AM277"/>
      <c r="AN277"/>
      <c r="AO277"/>
    </row>
    <row r="278" spans="1:41" ht="14.7" customHeight="1">
      <c r="A278" t="s">
        <v>158</v>
      </c>
      <c r="B278" s="154"/>
      <c r="C278">
        <v>296.89999999999998</v>
      </c>
      <c r="D278">
        <v>293.3</v>
      </c>
      <c r="E278">
        <v>0.58199999999999996</v>
      </c>
      <c r="F278">
        <v>0.56599999999999995</v>
      </c>
      <c r="G278">
        <v>0</v>
      </c>
      <c r="H278">
        <v>0</v>
      </c>
      <c r="I278">
        <v>320</v>
      </c>
      <c r="J278">
        <v>302.60000000000002</v>
      </c>
      <c r="K278"/>
      <c r="L278"/>
      <c r="M278"/>
      <c r="N278"/>
      <c r="O278"/>
      <c r="P278"/>
      <c r="Q278"/>
      <c r="R278"/>
      <c r="S278"/>
      <c r="T278"/>
      <c r="U278"/>
      <c r="V278"/>
      <c r="W278"/>
      <c r="X278"/>
      <c r="Y278"/>
      <c r="Z278"/>
      <c r="AA278"/>
      <c r="AB278"/>
      <c r="AC278"/>
      <c r="AD278"/>
      <c r="AE278"/>
      <c r="AF278"/>
      <c r="AG278"/>
      <c r="AH278"/>
      <c r="AI278"/>
      <c r="AJ278"/>
      <c r="AK278"/>
      <c r="AL278"/>
      <c r="AM278"/>
      <c r="AN278"/>
      <c r="AO278"/>
    </row>
    <row r="279" spans="1:41" ht="14.7" customHeight="1">
      <c r="A279" s="121" t="s">
        <v>329</v>
      </c>
      <c r="B279" s="154"/>
      <c r="C279">
        <v>595.20000000000005</v>
      </c>
      <c r="D279">
        <v>557.70000000000005</v>
      </c>
      <c r="E279">
        <v>0.39600000000000002</v>
      </c>
      <c r="F279">
        <v>0.38200000000000001</v>
      </c>
      <c r="G279">
        <v>2.5999999999999999E-2</v>
      </c>
      <c r="H279">
        <v>2.5000000000000001E-2</v>
      </c>
      <c r="I279">
        <v>455.2</v>
      </c>
      <c r="J279">
        <v>418.1</v>
      </c>
      <c r="K279"/>
      <c r="L279"/>
      <c r="M279"/>
      <c r="N279"/>
      <c r="O279"/>
      <c r="P279"/>
      <c r="Q279"/>
      <c r="R279"/>
      <c r="S279"/>
      <c r="T279"/>
      <c r="U279"/>
      <c r="V279"/>
      <c r="W279"/>
      <c r="X279"/>
      <c r="Y279"/>
      <c r="Z279"/>
      <c r="AA279"/>
      <c r="AB279"/>
      <c r="AC279"/>
      <c r="AD279"/>
      <c r="AE279"/>
      <c r="AF279"/>
      <c r="AG279"/>
      <c r="AH279"/>
      <c r="AI279"/>
      <c r="AJ279"/>
      <c r="AK279"/>
      <c r="AL279"/>
      <c r="AM279"/>
      <c r="AN279"/>
      <c r="AO279"/>
    </row>
    <row r="280" spans="1:41" ht="14.7" customHeight="1">
      <c r="A280" s="121" t="s">
        <v>251</v>
      </c>
      <c r="B280" s="154"/>
      <c r="C280">
        <v>625.4</v>
      </c>
      <c r="D280">
        <v>581.79999999999995</v>
      </c>
      <c r="E280">
        <v>0.29799999999999999</v>
      </c>
      <c r="F280">
        <v>0.30199999999999999</v>
      </c>
      <c r="G280">
        <v>4.0000000000000001E-3</v>
      </c>
      <c r="H280">
        <v>2E-3</v>
      </c>
      <c r="I280">
        <v>429.3</v>
      </c>
      <c r="J280">
        <v>399.6</v>
      </c>
      <c r="K280"/>
      <c r="L280"/>
      <c r="M280"/>
      <c r="N280"/>
      <c r="O280"/>
      <c r="P280"/>
      <c r="Q280"/>
      <c r="R280"/>
      <c r="S280"/>
      <c r="T280"/>
      <c r="U280"/>
      <c r="V280"/>
      <c r="W280"/>
      <c r="X280"/>
      <c r="Y280"/>
      <c r="Z280"/>
      <c r="AA280"/>
      <c r="AB280"/>
      <c r="AC280"/>
      <c r="AD280"/>
      <c r="AE280"/>
      <c r="AF280"/>
      <c r="AG280"/>
      <c r="AH280"/>
      <c r="AI280"/>
      <c r="AJ280"/>
      <c r="AK280"/>
      <c r="AL280"/>
      <c r="AM280"/>
      <c r="AN280"/>
      <c r="AO280"/>
    </row>
    <row r="281" spans="1:41" ht="14.7" customHeight="1">
      <c r="A281" t="s">
        <v>330</v>
      </c>
      <c r="B281" s="154"/>
      <c r="C281">
        <v>466.2</v>
      </c>
      <c r="D281">
        <v>441.6</v>
      </c>
      <c r="E281">
        <v>0.54400000000000004</v>
      </c>
      <c r="F281">
        <v>0.54</v>
      </c>
      <c r="G281">
        <v>0.151</v>
      </c>
      <c r="H281">
        <v>4.3999999999999997E-2</v>
      </c>
      <c r="I281">
        <v>431.7</v>
      </c>
      <c r="J281">
        <v>406.3</v>
      </c>
      <c r="K281"/>
      <c r="L281"/>
      <c r="M281"/>
      <c r="N281"/>
      <c r="O281"/>
      <c r="P281"/>
      <c r="Q281"/>
      <c r="R281"/>
      <c r="S281"/>
      <c r="T281"/>
      <c r="U281"/>
      <c r="V281"/>
      <c r="W281"/>
      <c r="X281"/>
      <c r="Y281"/>
      <c r="Z281"/>
      <c r="AA281"/>
      <c r="AB281"/>
      <c r="AC281"/>
      <c r="AD281"/>
      <c r="AE281"/>
      <c r="AF281"/>
      <c r="AG281"/>
      <c r="AH281"/>
      <c r="AI281"/>
      <c r="AJ281"/>
      <c r="AK281"/>
      <c r="AL281"/>
      <c r="AM281"/>
      <c r="AN281"/>
      <c r="AO281"/>
    </row>
    <row r="282" spans="1:41" ht="14.7" customHeight="1">
      <c r="A282" s="121" t="s">
        <v>160</v>
      </c>
      <c r="B282" s="154"/>
      <c r="C282">
        <v>342.9</v>
      </c>
      <c r="D282">
        <v>333.9</v>
      </c>
      <c r="E282">
        <v>0.59199999999999997</v>
      </c>
      <c r="F282">
        <v>0.59299999999999997</v>
      </c>
      <c r="G282">
        <v>0</v>
      </c>
      <c r="H282">
        <v>0</v>
      </c>
      <c r="I282">
        <v>352</v>
      </c>
      <c r="J282">
        <v>343.7</v>
      </c>
      <c r="K282"/>
      <c r="L282"/>
      <c r="M282"/>
      <c r="N282"/>
      <c r="O282"/>
      <c r="P282"/>
      <c r="Q282"/>
      <c r="R282"/>
      <c r="S282"/>
      <c r="T282"/>
      <c r="U282"/>
      <c r="V282"/>
      <c r="W282"/>
      <c r="X282"/>
      <c r="Y282"/>
      <c r="Z282"/>
      <c r="AA282"/>
      <c r="AB282"/>
      <c r="AC282"/>
      <c r="AD282"/>
      <c r="AE282"/>
      <c r="AF282"/>
      <c r="AG282"/>
      <c r="AH282"/>
      <c r="AI282"/>
      <c r="AJ282"/>
      <c r="AK282"/>
      <c r="AL282"/>
      <c r="AM282"/>
      <c r="AN282"/>
      <c r="AO282"/>
    </row>
    <row r="283" spans="1:41" ht="14.7" customHeight="1">
      <c r="A283" s="121" t="s">
        <v>219</v>
      </c>
      <c r="B283" s="154"/>
      <c r="C283">
        <v>463.2</v>
      </c>
      <c r="D283">
        <v>439.1</v>
      </c>
      <c r="E283">
        <v>0.443</v>
      </c>
      <c r="F283">
        <v>0.433</v>
      </c>
      <c r="G283">
        <v>7.0000000000000001E-3</v>
      </c>
      <c r="H283">
        <v>0</v>
      </c>
      <c r="I283">
        <v>338.3</v>
      </c>
      <c r="J283">
        <v>315.3</v>
      </c>
      <c r="K283"/>
      <c r="L283"/>
      <c r="M283"/>
      <c r="N283"/>
      <c r="O283"/>
      <c r="P283"/>
      <c r="Q283"/>
      <c r="R283"/>
      <c r="S283"/>
      <c r="T283"/>
      <c r="U283"/>
      <c r="V283"/>
      <c r="W283"/>
      <c r="X283"/>
      <c r="Y283"/>
      <c r="Z283"/>
      <c r="AA283"/>
      <c r="AB283"/>
      <c r="AC283"/>
      <c r="AD283"/>
      <c r="AE283"/>
      <c r="AF283"/>
      <c r="AG283"/>
      <c r="AH283"/>
      <c r="AI283"/>
      <c r="AJ283"/>
      <c r="AK283"/>
      <c r="AL283"/>
      <c r="AM283"/>
      <c r="AN283"/>
      <c r="AO283"/>
    </row>
    <row r="284" spans="1:41" ht="14.7" customHeight="1">
      <c r="A284" s="121" t="s">
        <v>161</v>
      </c>
      <c r="B284" s="154"/>
      <c r="C284">
        <v>519.6</v>
      </c>
      <c r="D284">
        <v>481.7</v>
      </c>
      <c r="E284">
        <v>0.41699999999999998</v>
      </c>
      <c r="F284">
        <v>0.40100000000000002</v>
      </c>
      <c r="G284">
        <v>0</v>
      </c>
      <c r="H284">
        <v>0</v>
      </c>
      <c r="I284">
        <v>382.6</v>
      </c>
      <c r="J284">
        <v>343.8</v>
      </c>
      <c r="K284"/>
      <c r="L284"/>
      <c r="M284"/>
      <c r="N284"/>
      <c r="O284"/>
      <c r="P284"/>
      <c r="Q284"/>
      <c r="R284"/>
      <c r="S284"/>
      <c r="T284"/>
      <c r="U284"/>
      <c r="V284"/>
      <c r="W284"/>
      <c r="X284"/>
      <c r="Y284"/>
      <c r="Z284"/>
      <c r="AA284"/>
      <c r="AB284"/>
      <c r="AC284"/>
      <c r="AD284"/>
      <c r="AE284"/>
      <c r="AF284"/>
      <c r="AG284"/>
      <c r="AH284"/>
      <c r="AI284"/>
      <c r="AJ284"/>
      <c r="AK284"/>
      <c r="AL284"/>
      <c r="AM284"/>
      <c r="AN284"/>
      <c r="AO284"/>
    </row>
    <row r="285" spans="1:41" ht="14.7" customHeight="1">
      <c r="A285" s="121" t="s">
        <v>293</v>
      </c>
      <c r="B285" s="154"/>
      <c r="C285">
        <v>608.20000000000005</v>
      </c>
      <c r="D285">
        <v>578.1</v>
      </c>
      <c r="E285">
        <v>0.36499999999999999</v>
      </c>
      <c r="F285">
        <v>0.33300000000000002</v>
      </c>
      <c r="G285">
        <v>8.7999999999999995E-2</v>
      </c>
      <c r="H285">
        <v>8.0000000000000002E-3</v>
      </c>
      <c r="I285">
        <v>403.9</v>
      </c>
      <c r="J285">
        <v>362.9</v>
      </c>
      <c r="K285"/>
      <c r="L285"/>
      <c r="M285"/>
      <c r="N285"/>
      <c r="O285"/>
      <c r="P285"/>
      <c r="Q285"/>
      <c r="R285"/>
      <c r="S285"/>
      <c r="T285"/>
      <c r="U285"/>
      <c r="V285"/>
      <c r="W285"/>
      <c r="X285"/>
      <c r="Y285"/>
      <c r="Z285"/>
      <c r="AA285"/>
      <c r="AB285"/>
      <c r="AC285"/>
      <c r="AD285"/>
      <c r="AE285"/>
      <c r="AF285"/>
      <c r="AG285"/>
      <c r="AH285"/>
      <c r="AI285"/>
      <c r="AJ285"/>
      <c r="AK285"/>
      <c r="AL285"/>
      <c r="AM285"/>
      <c r="AN285"/>
      <c r="AO285"/>
    </row>
    <row r="286" spans="1:41" ht="14.7" customHeight="1">
      <c r="A286" s="121" t="s">
        <v>252</v>
      </c>
      <c r="B286" s="154"/>
      <c r="C286">
        <v>342</v>
      </c>
      <c r="D286">
        <v>330.1</v>
      </c>
      <c r="E286">
        <v>0.52600000000000002</v>
      </c>
      <c r="F286">
        <v>0.50900000000000001</v>
      </c>
      <c r="G286">
        <v>0</v>
      </c>
      <c r="H286">
        <v>0</v>
      </c>
      <c r="I286">
        <v>325.2</v>
      </c>
      <c r="J286">
        <v>302.60000000000002</v>
      </c>
      <c r="K286"/>
      <c r="L286"/>
      <c r="M286"/>
      <c r="N286"/>
      <c r="O286"/>
      <c r="P286"/>
      <c r="Q286"/>
      <c r="R286"/>
      <c r="S286"/>
      <c r="T286"/>
      <c r="U286"/>
      <c r="V286"/>
      <c r="W286"/>
      <c r="X286"/>
      <c r="Y286"/>
      <c r="Z286"/>
      <c r="AA286"/>
      <c r="AB286"/>
      <c r="AC286"/>
      <c r="AD286"/>
      <c r="AE286"/>
      <c r="AF286"/>
      <c r="AG286"/>
      <c r="AH286"/>
      <c r="AI286"/>
      <c r="AJ286"/>
      <c r="AK286"/>
      <c r="AL286"/>
      <c r="AM286"/>
      <c r="AN286"/>
      <c r="AO286"/>
    </row>
    <row r="287" spans="1:41" ht="14.7" customHeight="1">
      <c r="A287" s="121" t="s">
        <v>162</v>
      </c>
      <c r="B287" s="154"/>
      <c r="C287">
        <v>551.70000000000005</v>
      </c>
      <c r="D287">
        <v>518</v>
      </c>
      <c r="E287">
        <v>0.38100000000000001</v>
      </c>
      <c r="F287">
        <v>0.35399999999999998</v>
      </c>
      <c r="G287">
        <v>0</v>
      </c>
      <c r="H287">
        <v>0</v>
      </c>
      <c r="I287">
        <v>386.1</v>
      </c>
      <c r="J287">
        <v>347.5</v>
      </c>
      <c r="K287"/>
      <c r="L287"/>
      <c r="M287"/>
      <c r="N287"/>
      <c r="O287"/>
      <c r="P287"/>
      <c r="Q287"/>
      <c r="R287"/>
      <c r="S287"/>
      <c r="T287"/>
      <c r="U287"/>
      <c r="V287"/>
      <c r="W287"/>
      <c r="X287"/>
      <c r="Y287"/>
      <c r="Z287"/>
      <c r="AA287"/>
      <c r="AB287"/>
      <c r="AC287"/>
      <c r="AD287"/>
      <c r="AE287"/>
      <c r="AF287"/>
      <c r="AG287"/>
      <c r="AH287"/>
      <c r="AI287"/>
      <c r="AJ287"/>
      <c r="AK287"/>
      <c r="AL287"/>
      <c r="AM287"/>
      <c r="AN287"/>
      <c r="AO287"/>
    </row>
    <row r="288" spans="1:41" ht="14.7" customHeight="1">
      <c r="A288" s="121" t="s">
        <v>163</v>
      </c>
      <c r="B288" s="154"/>
      <c r="C288">
        <v>361.9</v>
      </c>
      <c r="D288">
        <v>353</v>
      </c>
      <c r="E288">
        <v>0.59899999999999998</v>
      </c>
      <c r="F288">
        <v>0.57799999999999996</v>
      </c>
      <c r="G288">
        <v>0</v>
      </c>
      <c r="H288">
        <v>0</v>
      </c>
      <c r="I288">
        <v>383.7</v>
      </c>
      <c r="J288">
        <v>356.4</v>
      </c>
      <c r="K288"/>
      <c r="L288"/>
      <c r="M288"/>
      <c r="N288"/>
      <c r="O288"/>
      <c r="P288"/>
      <c r="Q288"/>
      <c r="R288"/>
      <c r="S288"/>
      <c r="T288"/>
      <c r="U288"/>
      <c r="V288"/>
      <c r="W288"/>
      <c r="X288"/>
      <c r="Y288"/>
      <c r="Z288"/>
      <c r="AA288"/>
      <c r="AB288"/>
      <c r="AC288"/>
      <c r="AD288"/>
      <c r="AE288"/>
      <c r="AF288"/>
      <c r="AG288"/>
      <c r="AH288"/>
      <c r="AI288"/>
      <c r="AJ288"/>
      <c r="AK288"/>
      <c r="AL288"/>
      <c r="AM288"/>
      <c r="AN288"/>
      <c r="AO288"/>
    </row>
    <row r="289" spans="1:41" ht="14.7" customHeight="1">
      <c r="A289" s="121" t="s">
        <v>165</v>
      </c>
      <c r="B289" s="154"/>
      <c r="C289">
        <v>356.5</v>
      </c>
      <c r="D289">
        <v>347</v>
      </c>
      <c r="E289">
        <v>0.55600000000000005</v>
      </c>
      <c r="F289">
        <v>0.53800000000000003</v>
      </c>
      <c r="G289">
        <v>0</v>
      </c>
      <c r="H289">
        <v>0</v>
      </c>
      <c r="I289">
        <v>376.2</v>
      </c>
      <c r="J289">
        <v>353.2</v>
      </c>
      <c r="K289"/>
      <c r="L289"/>
      <c r="M289"/>
      <c r="N289"/>
      <c r="O289"/>
      <c r="P289"/>
      <c r="Q289"/>
      <c r="R289"/>
      <c r="S289"/>
      <c r="T289"/>
      <c r="U289"/>
      <c r="V289"/>
      <c r="W289"/>
      <c r="X289"/>
      <c r="Y289"/>
      <c r="Z289"/>
      <c r="AA289"/>
      <c r="AB289"/>
      <c r="AC289"/>
      <c r="AD289"/>
      <c r="AE289"/>
      <c r="AF289"/>
      <c r="AG289"/>
      <c r="AH289"/>
      <c r="AI289"/>
      <c r="AJ289"/>
      <c r="AK289"/>
      <c r="AL289"/>
      <c r="AM289"/>
      <c r="AN289"/>
      <c r="AO289"/>
    </row>
    <row r="290" spans="1:41" ht="14.7" customHeight="1">
      <c r="A290" s="121" t="s">
        <v>815</v>
      </c>
      <c r="B290" s="154"/>
      <c r="C290">
        <v>566.4</v>
      </c>
      <c r="D290">
        <v>529.29999999999995</v>
      </c>
      <c r="E290">
        <v>0.49099999999999999</v>
      </c>
      <c r="F290">
        <v>0.48199999999999998</v>
      </c>
      <c r="G290">
        <v>5.0000000000000001E-3</v>
      </c>
      <c r="H290">
        <v>7.0000000000000001E-3</v>
      </c>
      <c r="I290">
        <v>482</v>
      </c>
      <c r="J290">
        <v>442.3</v>
      </c>
      <c r="K290"/>
      <c r="L290"/>
      <c r="M290"/>
      <c r="N290"/>
      <c r="O290"/>
      <c r="P290"/>
      <c r="Q290"/>
      <c r="R290"/>
      <c r="S290"/>
      <c r="T290"/>
      <c r="U290"/>
      <c r="V290"/>
      <c r="W290"/>
      <c r="X290"/>
      <c r="Y290"/>
      <c r="Z290"/>
      <c r="AA290"/>
      <c r="AB290"/>
      <c r="AC290"/>
      <c r="AD290"/>
      <c r="AE290"/>
      <c r="AF290"/>
      <c r="AG290"/>
      <c r="AH290"/>
      <c r="AI290"/>
      <c r="AJ290"/>
      <c r="AK290"/>
      <c r="AL290"/>
      <c r="AM290"/>
      <c r="AN290"/>
      <c r="AO290"/>
    </row>
    <row r="291" spans="1:41" ht="14.7" customHeight="1">
      <c r="A291" s="121" t="s">
        <v>166</v>
      </c>
      <c r="B291" s="154"/>
      <c r="C291">
        <v>430.6</v>
      </c>
      <c r="D291">
        <v>419.6</v>
      </c>
      <c r="E291">
        <v>0.40400000000000003</v>
      </c>
      <c r="F291">
        <v>0.38600000000000001</v>
      </c>
      <c r="G291">
        <v>0</v>
      </c>
      <c r="H291">
        <v>0</v>
      </c>
      <c r="I291">
        <v>354.2</v>
      </c>
      <c r="J291">
        <v>333.5</v>
      </c>
      <c r="K291"/>
      <c r="L291"/>
      <c r="M291"/>
      <c r="N291"/>
      <c r="O291"/>
      <c r="P291"/>
      <c r="Q291"/>
      <c r="R291"/>
      <c r="S291"/>
      <c r="T291"/>
      <c r="U291"/>
      <c r="V291"/>
      <c r="W291"/>
      <c r="X291"/>
      <c r="Y291"/>
      <c r="Z291"/>
      <c r="AA291"/>
      <c r="AB291"/>
      <c r="AC291"/>
      <c r="AD291"/>
      <c r="AE291"/>
      <c r="AF291"/>
      <c r="AG291"/>
      <c r="AH291"/>
      <c r="AI291"/>
      <c r="AJ291"/>
      <c r="AK291"/>
      <c r="AL291"/>
      <c r="AM291"/>
      <c r="AN291"/>
      <c r="AO291"/>
    </row>
    <row r="292" spans="1:41" ht="14.7" customHeight="1">
      <c r="A292" s="121" t="s">
        <v>167</v>
      </c>
      <c r="B292" s="154"/>
      <c r="C292">
        <v>497.2</v>
      </c>
      <c r="D292">
        <v>472.2</v>
      </c>
      <c r="E292">
        <v>0.38500000000000001</v>
      </c>
      <c r="F292">
        <v>0.374</v>
      </c>
      <c r="G292">
        <v>0</v>
      </c>
      <c r="H292">
        <v>0</v>
      </c>
      <c r="I292">
        <v>355.4</v>
      </c>
      <c r="J292">
        <v>331.1</v>
      </c>
      <c r="K292"/>
      <c r="L292"/>
      <c r="M292"/>
      <c r="N292"/>
      <c r="O292"/>
      <c r="P292"/>
      <c r="Q292"/>
      <c r="R292"/>
      <c r="S292"/>
      <c r="T292"/>
      <c r="U292"/>
      <c r="V292"/>
      <c r="W292"/>
      <c r="X292"/>
      <c r="Y292"/>
      <c r="Z292"/>
      <c r="AA292"/>
      <c r="AB292"/>
      <c r="AC292"/>
      <c r="AD292"/>
      <c r="AE292"/>
      <c r="AF292"/>
      <c r="AG292"/>
      <c r="AH292"/>
      <c r="AI292"/>
      <c r="AJ292"/>
      <c r="AK292"/>
      <c r="AL292"/>
      <c r="AM292"/>
      <c r="AN292"/>
      <c r="AO292"/>
    </row>
    <row r="293" spans="1:41" ht="14.7" customHeight="1">
      <c r="A293" t="s">
        <v>168</v>
      </c>
      <c r="B293" s="154"/>
      <c r="C293">
        <v>395.1</v>
      </c>
      <c r="D293">
        <v>388.9</v>
      </c>
      <c r="E293">
        <v>0.54100000000000004</v>
      </c>
      <c r="F293">
        <v>0.51800000000000002</v>
      </c>
      <c r="G293">
        <v>0</v>
      </c>
      <c r="H293">
        <v>0</v>
      </c>
      <c r="I293">
        <v>390</v>
      </c>
      <c r="J293">
        <v>366.7</v>
      </c>
      <c r="K293"/>
      <c r="L293"/>
      <c r="M293"/>
      <c r="N293"/>
      <c r="O293"/>
      <c r="P293"/>
      <c r="Q293"/>
      <c r="R293"/>
      <c r="S293"/>
      <c r="T293"/>
      <c r="U293"/>
      <c r="V293"/>
      <c r="W293"/>
      <c r="X293"/>
      <c r="Y293"/>
      <c r="Z293"/>
      <c r="AA293"/>
      <c r="AB293"/>
      <c r="AC293"/>
      <c r="AD293"/>
      <c r="AE293"/>
      <c r="AF293"/>
      <c r="AG293"/>
      <c r="AH293"/>
      <c r="AI293"/>
      <c r="AJ293"/>
      <c r="AK293"/>
      <c r="AL293"/>
      <c r="AM293"/>
      <c r="AN293"/>
      <c r="AO293"/>
    </row>
    <row r="294" spans="1:41" ht="14.7" customHeight="1">
      <c r="A294" s="121" t="s">
        <v>169</v>
      </c>
      <c r="B294" s="154"/>
      <c r="C294">
        <v>507.5</v>
      </c>
      <c r="D294">
        <v>461.3</v>
      </c>
      <c r="E294">
        <v>0.34399999999999997</v>
      </c>
      <c r="F294">
        <v>0.35399999999999998</v>
      </c>
      <c r="G294">
        <v>0</v>
      </c>
      <c r="H294">
        <v>0</v>
      </c>
      <c r="I294">
        <v>375.5</v>
      </c>
      <c r="J294">
        <v>349.1</v>
      </c>
      <c r="K294"/>
      <c r="L294"/>
      <c r="M294"/>
      <c r="N294"/>
      <c r="O294"/>
      <c r="P294"/>
      <c r="Q294"/>
      <c r="R294"/>
      <c r="S294"/>
      <c r="T294"/>
      <c r="U294"/>
      <c r="V294"/>
      <c r="W294"/>
      <c r="X294"/>
      <c r="Y294"/>
      <c r="Z294"/>
      <c r="AA294"/>
      <c r="AB294"/>
      <c r="AC294"/>
      <c r="AD294"/>
      <c r="AE294"/>
      <c r="AF294"/>
      <c r="AG294"/>
      <c r="AH294"/>
      <c r="AI294"/>
      <c r="AJ294"/>
      <c r="AK294"/>
      <c r="AL294"/>
      <c r="AM294"/>
      <c r="AN294"/>
      <c r="AO294"/>
    </row>
    <row r="295" spans="1:41" ht="14.7" customHeight="1">
      <c r="A295" s="121" t="s">
        <v>170</v>
      </c>
      <c r="B295" s="154"/>
      <c r="C295">
        <v>320.7</v>
      </c>
      <c r="D295">
        <v>318.2</v>
      </c>
      <c r="E295">
        <v>0.63500000000000001</v>
      </c>
      <c r="F295">
        <v>0.61499999999999999</v>
      </c>
      <c r="G295">
        <v>0</v>
      </c>
      <c r="H295">
        <v>0</v>
      </c>
      <c r="I295">
        <v>359.6</v>
      </c>
      <c r="J295">
        <v>339.4</v>
      </c>
      <c r="K295"/>
      <c r="L295"/>
      <c r="M295"/>
      <c r="N295"/>
      <c r="O295"/>
      <c r="P295"/>
      <c r="Q295"/>
      <c r="R295"/>
      <c r="S295"/>
      <c r="T295"/>
      <c r="U295"/>
      <c r="V295"/>
      <c r="W295"/>
      <c r="X295"/>
      <c r="Y295"/>
      <c r="Z295"/>
      <c r="AA295"/>
      <c r="AB295"/>
      <c r="AC295"/>
      <c r="AD295"/>
      <c r="AE295"/>
      <c r="AF295"/>
      <c r="AG295"/>
      <c r="AH295"/>
      <c r="AI295"/>
      <c r="AJ295"/>
      <c r="AK295"/>
      <c r="AL295"/>
      <c r="AM295"/>
      <c r="AN295"/>
      <c r="AO295"/>
    </row>
    <row r="296" spans="1:41" ht="14.7" customHeight="1">
      <c r="A296" t="s">
        <v>294</v>
      </c>
      <c r="B296" s="154"/>
      <c r="C296">
        <v>730.7</v>
      </c>
      <c r="D296">
        <v>698.2</v>
      </c>
      <c r="E296">
        <v>0.28699999999999998</v>
      </c>
      <c r="F296">
        <v>0.28499999999999998</v>
      </c>
      <c r="G296">
        <v>1.2999999999999999E-2</v>
      </c>
      <c r="H296">
        <v>1E-3</v>
      </c>
      <c r="I296">
        <v>402</v>
      </c>
      <c r="J296">
        <v>382.9</v>
      </c>
      <c r="K296"/>
      <c r="L296"/>
      <c r="M296"/>
      <c r="N296"/>
      <c r="O296"/>
      <c r="P296"/>
      <c r="Q296"/>
      <c r="R296"/>
      <c r="S296"/>
      <c r="T296"/>
      <c r="U296"/>
      <c r="V296"/>
      <c r="W296"/>
      <c r="X296"/>
      <c r="Y296"/>
      <c r="Z296"/>
      <c r="AA296"/>
      <c r="AB296"/>
      <c r="AC296"/>
      <c r="AD296"/>
      <c r="AE296"/>
      <c r="AF296"/>
      <c r="AG296"/>
      <c r="AH296"/>
      <c r="AI296"/>
      <c r="AJ296"/>
      <c r="AK296"/>
      <c r="AL296"/>
      <c r="AM296"/>
      <c r="AN296"/>
      <c r="AO296"/>
    </row>
    <row r="297" spans="1:41" ht="14.7" customHeight="1">
      <c r="A297" s="121" t="s">
        <v>351</v>
      </c>
      <c r="B297" s="154"/>
      <c r="C297">
        <v>468.3</v>
      </c>
      <c r="D297">
        <v>456.6</v>
      </c>
      <c r="E297">
        <v>0.44900000000000001</v>
      </c>
      <c r="F297">
        <v>0.47799999999999998</v>
      </c>
      <c r="G297">
        <v>0</v>
      </c>
      <c r="H297">
        <v>0</v>
      </c>
      <c r="I297">
        <v>358.8</v>
      </c>
      <c r="J297">
        <v>369.1</v>
      </c>
      <c r="K297"/>
      <c r="L297"/>
      <c r="M297"/>
      <c r="N297"/>
      <c r="O297"/>
      <c r="P297"/>
      <c r="Q297"/>
      <c r="R297"/>
      <c r="S297"/>
      <c r="T297"/>
      <c r="U297"/>
      <c r="V297"/>
      <c r="W297"/>
      <c r="X297"/>
      <c r="Y297"/>
      <c r="Z297"/>
      <c r="AA297"/>
      <c r="AB297"/>
      <c r="AC297"/>
      <c r="AD297"/>
      <c r="AE297"/>
      <c r="AF297"/>
      <c r="AG297"/>
      <c r="AH297"/>
      <c r="AI297"/>
      <c r="AJ297"/>
      <c r="AK297"/>
      <c r="AL297"/>
      <c r="AM297"/>
      <c r="AN297"/>
      <c r="AO297"/>
    </row>
    <row r="298" spans="1:41" ht="14.7" customHeight="1">
      <c r="A298" t="s">
        <v>295</v>
      </c>
      <c r="B298" s="154"/>
      <c r="C298">
        <v>539</v>
      </c>
      <c r="D298">
        <v>497</v>
      </c>
      <c r="E298">
        <v>0.371</v>
      </c>
      <c r="F298">
        <v>0.38200000000000001</v>
      </c>
      <c r="G298">
        <v>0</v>
      </c>
      <c r="H298">
        <v>0</v>
      </c>
      <c r="I298">
        <v>417.6</v>
      </c>
      <c r="J298">
        <v>393.1</v>
      </c>
      <c r="K298"/>
      <c r="L298"/>
      <c r="M298"/>
      <c r="N298"/>
      <c r="O298"/>
      <c r="P298"/>
      <c r="Q298"/>
      <c r="R298"/>
      <c r="S298"/>
      <c r="T298"/>
      <c r="U298"/>
      <c r="V298"/>
      <c r="W298"/>
      <c r="X298"/>
      <c r="Y298"/>
      <c r="Z298"/>
      <c r="AA298"/>
      <c r="AB298"/>
      <c r="AC298"/>
      <c r="AD298"/>
      <c r="AE298"/>
      <c r="AF298"/>
      <c r="AG298"/>
      <c r="AH298"/>
      <c r="AI298"/>
      <c r="AJ298"/>
      <c r="AK298"/>
      <c r="AL298"/>
      <c r="AM298"/>
      <c r="AN298"/>
      <c r="AO298"/>
    </row>
    <row r="299" spans="1:41" ht="14.7" customHeight="1">
      <c r="A299" s="121" t="s">
        <v>171</v>
      </c>
      <c r="B299" s="154"/>
      <c r="C299">
        <v>347.9</v>
      </c>
      <c r="D299">
        <v>329.8</v>
      </c>
      <c r="E299">
        <v>0.53900000000000003</v>
      </c>
      <c r="F299">
        <v>0.52600000000000002</v>
      </c>
      <c r="G299">
        <v>0</v>
      </c>
      <c r="H299">
        <v>0</v>
      </c>
      <c r="I299">
        <v>364.9</v>
      </c>
      <c r="J299">
        <v>338.9</v>
      </c>
      <c r="K299"/>
      <c r="L299"/>
      <c r="M299"/>
      <c r="N299"/>
      <c r="O299"/>
      <c r="P299"/>
      <c r="Q299"/>
      <c r="R299"/>
      <c r="S299"/>
      <c r="T299"/>
      <c r="U299"/>
      <c r="V299"/>
      <c r="W299"/>
      <c r="X299"/>
      <c r="Y299"/>
      <c r="Z299"/>
      <c r="AA299"/>
      <c r="AB299"/>
      <c r="AC299"/>
      <c r="AD299"/>
      <c r="AE299"/>
      <c r="AF299"/>
      <c r="AG299"/>
      <c r="AH299"/>
      <c r="AI299"/>
      <c r="AJ299"/>
      <c r="AK299"/>
      <c r="AL299"/>
      <c r="AM299"/>
      <c r="AN299"/>
      <c r="AO299"/>
    </row>
    <row r="300" spans="1:41" ht="14.7" customHeight="1">
      <c r="A300" s="121" t="s">
        <v>220</v>
      </c>
      <c r="B300" s="154"/>
      <c r="C300">
        <v>491.3</v>
      </c>
      <c r="D300">
        <v>522.79999999999995</v>
      </c>
      <c r="E300">
        <v>0.19700000000000001</v>
      </c>
      <c r="F300">
        <v>0.17699999999999999</v>
      </c>
      <c r="G300">
        <v>0</v>
      </c>
      <c r="H300">
        <v>0</v>
      </c>
      <c r="I300">
        <v>281.10000000000002</v>
      </c>
      <c r="J300">
        <v>284.10000000000002</v>
      </c>
      <c r="K300"/>
      <c r="L300"/>
      <c r="M300"/>
      <c r="N300"/>
      <c r="O300"/>
      <c r="P300"/>
      <c r="Q300"/>
      <c r="R300"/>
      <c r="S300"/>
      <c r="T300"/>
      <c r="U300"/>
      <c r="V300"/>
      <c r="W300"/>
      <c r="X300"/>
      <c r="Y300"/>
      <c r="Z300"/>
      <c r="AA300"/>
      <c r="AB300"/>
      <c r="AC300"/>
      <c r="AD300"/>
      <c r="AE300"/>
      <c r="AF300"/>
      <c r="AG300"/>
      <c r="AH300"/>
      <c r="AI300"/>
      <c r="AJ300"/>
      <c r="AK300"/>
      <c r="AL300"/>
      <c r="AM300"/>
      <c r="AN300"/>
      <c r="AO300"/>
    </row>
    <row r="301" spans="1:41" ht="14.7" customHeight="1">
      <c r="A301" s="121" t="s">
        <v>253</v>
      </c>
      <c r="B301" s="153"/>
      <c r="C301">
        <v>324.89999999999998</v>
      </c>
      <c r="D301">
        <v>305.2</v>
      </c>
      <c r="E301">
        <v>0.58799999999999997</v>
      </c>
      <c r="F301">
        <v>0.58399999999999996</v>
      </c>
      <c r="G301">
        <v>0</v>
      </c>
      <c r="H301">
        <v>0</v>
      </c>
      <c r="I301">
        <v>342.6</v>
      </c>
      <c r="J301">
        <v>320.5</v>
      </c>
      <c r="K301"/>
      <c r="L301"/>
      <c r="M301"/>
      <c r="N301"/>
      <c r="O301"/>
      <c r="P301"/>
      <c r="Q301"/>
      <c r="R301"/>
      <c r="S301"/>
      <c r="T301"/>
      <c r="U301"/>
      <c r="V301"/>
      <c r="W301"/>
      <c r="X301"/>
      <c r="Y301"/>
      <c r="Z301"/>
      <c r="AA301"/>
      <c r="AB301"/>
      <c r="AC301"/>
      <c r="AD301"/>
      <c r="AE301"/>
      <c r="AF301"/>
      <c r="AG301"/>
      <c r="AH301"/>
      <c r="AI301"/>
      <c r="AJ301"/>
      <c r="AK301"/>
      <c r="AL301"/>
      <c r="AM301"/>
      <c r="AN301"/>
      <c r="AO301"/>
    </row>
    <row r="302" spans="1:41" ht="14.7" customHeight="1">
      <c r="A302" t="s">
        <v>172</v>
      </c>
      <c r="B302" s="154"/>
      <c r="C302">
        <v>439.7</v>
      </c>
      <c r="D302">
        <v>408.1</v>
      </c>
      <c r="E302">
        <v>0.47799999999999998</v>
      </c>
      <c r="F302">
        <v>0.47799999999999998</v>
      </c>
      <c r="G302">
        <v>0</v>
      </c>
      <c r="H302">
        <v>0</v>
      </c>
      <c r="I302">
        <v>372.4</v>
      </c>
      <c r="J302">
        <v>349.3</v>
      </c>
      <c r="K302"/>
      <c r="L302"/>
      <c r="M302"/>
      <c r="N302"/>
      <c r="O302"/>
      <c r="P302"/>
      <c r="Q302"/>
      <c r="R302"/>
      <c r="S302"/>
      <c r="T302"/>
      <c r="U302"/>
      <c r="V302"/>
      <c r="W302"/>
      <c r="X302"/>
      <c r="Y302"/>
      <c r="Z302"/>
      <c r="AA302"/>
      <c r="AB302"/>
      <c r="AC302"/>
      <c r="AD302"/>
      <c r="AE302"/>
      <c r="AF302"/>
      <c r="AG302"/>
      <c r="AH302"/>
      <c r="AI302"/>
      <c r="AJ302"/>
      <c r="AK302"/>
      <c r="AL302"/>
      <c r="AM302"/>
      <c r="AN302"/>
      <c r="AO302"/>
    </row>
    <row r="303" spans="1:41" ht="14.7" customHeight="1">
      <c r="A303" t="s">
        <v>173</v>
      </c>
      <c r="B303" s="154"/>
      <c r="C303">
        <v>420.8</v>
      </c>
      <c r="D303">
        <v>425.9</v>
      </c>
      <c r="E303">
        <v>0.51800000000000002</v>
      </c>
      <c r="F303">
        <v>0.48099999999999998</v>
      </c>
      <c r="G303">
        <v>0</v>
      </c>
      <c r="H303">
        <v>0</v>
      </c>
      <c r="I303">
        <v>370.6</v>
      </c>
      <c r="J303">
        <v>349.4</v>
      </c>
      <c r="K303"/>
      <c r="L303"/>
      <c r="M303"/>
      <c r="N303"/>
      <c r="O303"/>
      <c r="P303"/>
      <c r="Q303"/>
      <c r="R303"/>
      <c r="S303"/>
      <c r="T303"/>
      <c r="U303"/>
      <c r="V303"/>
      <c r="W303"/>
      <c r="X303"/>
      <c r="Y303"/>
      <c r="Z303"/>
      <c r="AA303"/>
      <c r="AB303"/>
      <c r="AC303"/>
      <c r="AD303"/>
      <c r="AE303"/>
      <c r="AF303"/>
      <c r="AG303"/>
      <c r="AH303"/>
      <c r="AI303"/>
      <c r="AJ303"/>
      <c r="AK303"/>
      <c r="AL303"/>
      <c r="AM303"/>
      <c r="AN303"/>
      <c r="AO303"/>
    </row>
    <row r="304" spans="1:41" ht="14.7" customHeight="1">
      <c r="A304" t="s">
        <v>174</v>
      </c>
      <c r="B304" s="154"/>
      <c r="C304">
        <v>303.39999999999998</v>
      </c>
      <c r="D304">
        <v>292.89999999999998</v>
      </c>
      <c r="E304">
        <v>0.61899999999999999</v>
      </c>
      <c r="F304">
        <v>0.60899999999999999</v>
      </c>
      <c r="G304">
        <v>0</v>
      </c>
      <c r="H304">
        <v>0</v>
      </c>
      <c r="I304">
        <v>347.2</v>
      </c>
      <c r="J304">
        <v>328.7</v>
      </c>
      <c r="K304"/>
      <c r="L304"/>
      <c r="M304"/>
      <c r="N304"/>
      <c r="O304"/>
      <c r="P304"/>
      <c r="Q304"/>
      <c r="R304"/>
      <c r="S304"/>
      <c r="T304"/>
      <c r="U304"/>
      <c r="V304"/>
      <c r="W304"/>
      <c r="X304"/>
      <c r="Y304"/>
      <c r="Z304"/>
      <c r="AA304"/>
      <c r="AB304"/>
      <c r="AC304"/>
      <c r="AD304"/>
      <c r="AE304"/>
      <c r="AF304"/>
      <c r="AG304"/>
      <c r="AH304"/>
      <c r="AI304"/>
      <c r="AJ304"/>
      <c r="AK304"/>
      <c r="AL304"/>
      <c r="AM304"/>
      <c r="AN304"/>
      <c r="AO304"/>
    </row>
    <row r="305" spans="1:41" ht="14.7" customHeight="1">
      <c r="A305" s="121" t="s">
        <v>254</v>
      </c>
      <c r="B305" s="154"/>
      <c r="C305">
        <v>507.5</v>
      </c>
      <c r="D305">
        <v>483.5</v>
      </c>
      <c r="E305">
        <v>0.49199999999999999</v>
      </c>
      <c r="F305">
        <v>0.47499999999999998</v>
      </c>
      <c r="G305">
        <v>0.10100000000000001</v>
      </c>
      <c r="H305">
        <v>9.9000000000000005E-2</v>
      </c>
      <c r="I305">
        <v>455.6</v>
      </c>
      <c r="J305">
        <v>419.6</v>
      </c>
      <c r="K305"/>
      <c r="L305"/>
      <c r="M305"/>
      <c r="N305"/>
      <c r="O305"/>
      <c r="P305"/>
      <c r="Q305"/>
      <c r="R305"/>
      <c r="S305"/>
      <c r="T305"/>
      <c r="U305"/>
      <c r="V305"/>
      <c r="W305"/>
      <c r="X305"/>
      <c r="Y305"/>
      <c r="Z305"/>
      <c r="AA305"/>
      <c r="AB305"/>
      <c r="AC305"/>
      <c r="AD305"/>
      <c r="AE305"/>
      <c r="AF305"/>
      <c r="AG305"/>
      <c r="AH305"/>
      <c r="AI305"/>
      <c r="AJ305"/>
      <c r="AK305"/>
      <c r="AL305"/>
      <c r="AM305"/>
      <c r="AN305"/>
      <c r="AO305"/>
    </row>
    <row r="306" spans="1:41" ht="14.7" customHeight="1">
      <c r="A306" s="121" t="s">
        <v>255</v>
      </c>
      <c r="B306" s="154"/>
      <c r="C306">
        <v>663</v>
      </c>
      <c r="D306">
        <v>620.79999999999995</v>
      </c>
      <c r="E306">
        <v>0.33600000000000002</v>
      </c>
      <c r="F306">
        <v>0.32800000000000001</v>
      </c>
      <c r="G306">
        <v>9.5000000000000001E-2</v>
      </c>
      <c r="H306">
        <v>7.1999999999999995E-2</v>
      </c>
      <c r="I306">
        <v>410.9</v>
      </c>
      <c r="J306">
        <v>379</v>
      </c>
      <c r="K306"/>
      <c r="L306"/>
      <c r="M306"/>
      <c r="N306"/>
      <c r="O306"/>
      <c r="P306"/>
      <c r="Q306"/>
      <c r="R306"/>
      <c r="S306"/>
      <c r="T306"/>
      <c r="U306"/>
      <c r="V306"/>
      <c r="W306"/>
      <c r="X306"/>
      <c r="Y306"/>
      <c r="Z306"/>
      <c r="AA306"/>
      <c r="AB306"/>
      <c r="AC306"/>
      <c r="AD306"/>
      <c r="AE306"/>
      <c r="AF306"/>
      <c r="AG306"/>
      <c r="AH306"/>
      <c r="AI306"/>
      <c r="AJ306"/>
      <c r="AK306"/>
      <c r="AL306"/>
      <c r="AM306"/>
      <c r="AN306"/>
      <c r="AO306"/>
    </row>
    <row r="307" spans="1:41" ht="14.7" customHeight="1">
      <c r="A307" t="s">
        <v>221</v>
      </c>
      <c r="B307" s="154"/>
      <c r="C307">
        <v>630.4</v>
      </c>
      <c r="D307">
        <v>550.1</v>
      </c>
      <c r="E307">
        <v>0.32</v>
      </c>
      <c r="F307">
        <v>0.32800000000000001</v>
      </c>
      <c r="G307">
        <v>0</v>
      </c>
      <c r="H307">
        <v>0</v>
      </c>
      <c r="I307">
        <v>360.9</v>
      </c>
      <c r="J307">
        <v>318.2</v>
      </c>
      <c r="K307"/>
      <c r="L307"/>
      <c r="M307"/>
      <c r="N307"/>
      <c r="O307"/>
      <c r="P307"/>
      <c r="Q307"/>
      <c r="R307"/>
      <c r="S307"/>
      <c r="T307"/>
      <c r="U307"/>
      <c r="V307"/>
      <c r="W307"/>
      <c r="X307"/>
      <c r="Y307"/>
      <c r="Z307"/>
      <c r="AA307"/>
      <c r="AB307"/>
      <c r="AC307"/>
      <c r="AD307"/>
      <c r="AE307"/>
      <c r="AF307"/>
      <c r="AG307"/>
      <c r="AH307"/>
      <c r="AI307"/>
      <c r="AJ307"/>
      <c r="AK307"/>
      <c r="AL307"/>
      <c r="AM307"/>
      <c r="AN307"/>
      <c r="AO307"/>
    </row>
    <row r="308" spans="1:41" ht="14.7" customHeight="1">
      <c r="A308" s="121" t="s">
        <v>222</v>
      </c>
      <c r="B308" s="154"/>
      <c r="C308">
        <v>509.6</v>
      </c>
      <c r="D308">
        <v>476.1</v>
      </c>
      <c r="E308">
        <v>0.22900000000000001</v>
      </c>
      <c r="F308">
        <v>0.224</v>
      </c>
      <c r="G308">
        <v>0</v>
      </c>
      <c r="H308">
        <v>0</v>
      </c>
      <c r="I308">
        <v>302.5</v>
      </c>
      <c r="J308">
        <v>285.5</v>
      </c>
      <c r="K308"/>
      <c r="L308"/>
      <c r="M308"/>
      <c r="N308"/>
      <c r="O308"/>
      <c r="P308"/>
      <c r="Q308"/>
      <c r="R308"/>
      <c r="S308"/>
      <c r="T308"/>
      <c r="U308"/>
      <c r="V308"/>
      <c r="W308"/>
      <c r="X308"/>
      <c r="Y308"/>
      <c r="Z308"/>
      <c r="AA308"/>
      <c r="AB308"/>
      <c r="AC308"/>
      <c r="AD308"/>
      <c r="AE308"/>
      <c r="AF308"/>
      <c r="AG308"/>
      <c r="AH308"/>
      <c r="AI308"/>
      <c r="AJ308"/>
      <c r="AK308"/>
      <c r="AL308"/>
      <c r="AM308"/>
      <c r="AN308"/>
      <c r="AO308"/>
    </row>
    <row r="309" spans="1:41" ht="14.7" customHeight="1">
      <c r="A309" s="121" t="s">
        <v>296</v>
      </c>
      <c r="B309" s="154"/>
      <c r="C309">
        <v>577.79999999999995</v>
      </c>
      <c r="D309">
        <v>517.6</v>
      </c>
      <c r="E309">
        <v>0.42099999999999999</v>
      </c>
      <c r="F309">
        <v>0.442</v>
      </c>
      <c r="G309">
        <v>1.7999999999999999E-2</v>
      </c>
      <c r="H309">
        <v>5.5E-2</v>
      </c>
      <c r="I309">
        <v>442.2</v>
      </c>
      <c r="J309">
        <v>411.3</v>
      </c>
      <c r="K309"/>
      <c r="L309"/>
      <c r="M309"/>
      <c r="N309"/>
      <c r="O309"/>
      <c r="P309"/>
      <c r="Q309"/>
      <c r="R309"/>
      <c r="S309"/>
      <c r="T309"/>
      <c r="U309"/>
      <c r="V309"/>
      <c r="W309"/>
      <c r="X309"/>
      <c r="Y309"/>
      <c r="Z309"/>
      <c r="AA309"/>
      <c r="AB309"/>
      <c r="AC309"/>
      <c r="AD309"/>
      <c r="AE309"/>
      <c r="AF309"/>
      <c r="AG309"/>
      <c r="AH309"/>
      <c r="AI309"/>
      <c r="AJ309"/>
      <c r="AK309"/>
      <c r="AL309"/>
      <c r="AM309"/>
      <c r="AN309"/>
      <c r="AO309"/>
    </row>
    <row r="310" spans="1:41" ht="14.7" customHeight="1">
      <c r="A310" s="121" t="s">
        <v>175</v>
      </c>
      <c r="B310" s="154"/>
      <c r="C310">
        <v>378</v>
      </c>
      <c r="D310">
        <v>359.9</v>
      </c>
      <c r="E310">
        <v>0.54</v>
      </c>
      <c r="F310">
        <v>0.53400000000000003</v>
      </c>
      <c r="G310">
        <v>0</v>
      </c>
      <c r="H310">
        <v>0</v>
      </c>
      <c r="I310">
        <v>373.3</v>
      </c>
      <c r="J310">
        <v>348.9</v>
      </c>
      <c r="K310"/>
      <c r="L310"/>
      <c r="M310"/>
      <c r="N310"/>
      <c r="O310"/>
      <c r="P310"/>
      <c r="Q310"/>
      <c r="R310"/>
      <c r="S310"/>
      <c r="T310"/>
      <c r="U310"/>
      <c r="V310"/>
      <c r="W310"/>
      <c r="X310"/>
      <c r="Y310"/>
      <c r="Z310"/>
      <c r="AA310"/>
      <c r="AB310"/>
      <c r="AC310"/>
      <c r="AD310"/>
      <c r="AE310"/>
      <c r="AF310"/>
      <c r="AG310"/>
      <c r="AH310"/>
      <c r="AI310"/>
      <c r="AJ310"/>
      <c r="AK310"/>
      <c r="AL310"/>
      <c r="AM310"/>
      <c r="AN310"/>
      <c r="AO310"/>
    </row>
    <row r="311" spans="1:41" ht="14.7" customHeight="1">
      <c r="A311" s="121" t="s">
        <v>331</v>
      </c>
      <c r="B311" s="154"/>
      <c r="C311">
        <v>508</v>
      </c>
      <c r="D311">
        <v>449.8</v>
      </c>
      <c r="E311">
        <v>0.47899999999999998</v>
      </c>
      <c r="F311">
        <v>0.48</v>
      </c>
      <c r="G311">
        <v>0.14799999999999999</v>
      </c>
      <c r="H311">
        <v>9.4E-2</v>
      </c>
      <c r="I311">
        <v>437.1</v>
      </c>
      <c r="J311">
        <v>389.3</v>
      </c>
      <c r="K311"/>
      <c r="L311"/>
      <c r="M311"/>
      <c r="N311"/>
      <c r="O311"/>
      <c r="P311"/>
      <c r="Q311"/>
      <c r="R311"/>
      <c r="S311"/>
      <c r="T311"/>
      <c r="U311"/>
      <c r="V311"/>
      <c r="W311"/>
      <c r="X311"/>
      <c r="Y311"/>
      <c r="Z311"/>
      <c r="AA311"/>
      <c r="AB311"/>
      <c r="AC311"/>
      <c r="AD311"/>
      <c r="AE311"/>
      <c r="AF311"/>
      <c r="AG311"/>
      <c r="AH311"/>
      <c r="AI311"/>
      <c r="AJ311"/>
      <c r="AK311"/>
      <c r="AL311"/>
      <c r="AM311"/>
      <c r="AN311"/>
      <c r="AO311"/>
    </row>
    <row r="312" spans="1:41" ht="14.7" customHeight="1">
      <c r="A312" s="121" t="s">
        <v>176</v>
      </c>
      <c r="B312" s="154"/>
      <c r="C312">
        <v>380.6</v>
      </c>
      <c r="D312">
        <v>373</v>
      </c>
      <c r="E312">
        <v>0.51700000000000002</v>
      </c>
      <c r="F312">
        <v>0.502</v>
      </c>
      <c r="G312">
        <v>0</v>
      </c>
      <c r="H312">
        <v>0</v>
      </c>
      <c r="I312">
        <v>315.89999999999998</v>
      </c>
      <c r="J312">
        <v>305.10000000000002</v>
      </c>
      <c r="K312"/>
      <c r="L312"/>
      <c r="M312"/>
      <c r="N312"/>
      <c r="O312"/>
      <c r="P312"/>
      <c r="Q312"/>
      <c r="R312"/>
      <c r="S312"/>
      <c r="T312"/>
      <c r="U312"/>
      <c r="V312"/>
      <c r="W312"/>
      <c r="X312"/>
      <c r="Y312"/>
      <c r="Z312"/>
      <c r="AA312"/>
      <c r="AB312"/>
      <c r="AC312"/>
      <c r="AD312"/>
      <c r="AE312"/>
      <c r="AF312"/>
      <c r="AG312"/>
      <c r="AH312"/>
      <c r="AI312"/>
      <c r="AJ312"/>
      <c r="AK312"/>
      <c r="AL312"/>
      <c r="AM312"/>
      <c r="AN312"/>
      <c r="AO312"/>
    </row>
    <row r="313" spans="1:41" ht="14.7" customHeight="1">
      <c r="A313" s="121" t="s">
        <v>178</v>
      </c>
      <c r="B313" s="154"/>
      <c r="C313">
        <v>348.6</v>
      </c>
      <c r="D313">
        <v>337.4</v>
      </c>
      <c r="E313">
        <v>0.58899999999999997</v>
      </c>
      <c r="F313">
        <v>0.57799999999999996</v>
      </c>
      <c r="G313">
        <v>0</v>
      </c>
      <c r="H313">
        <v>0</v>
      </c>
      <c r="I313">
        <v>364.9</v>
      </c>
      <c r="J313">
        <v>345.7</v>
      </c>
      <c r="K313"/>
      <c r="L313"/>
      <c r="M313"/>
      <c r="N313"/>
      <c r="O313"/>
      <c r="P313"/>
      <c r="Q313"/>
      <c r="R313"/>
      <c r="S313"/>
      <c r="T313"/>
      <c r="U313"/>
      <c r="V313"/>
      <c r="W313"/>
      <c r="X313"/>
      <c r="Y313"/>
      <c r="Z313"/>
      <c r="AA313"/>
      <c r="AB313"/>
      <c r="AC313"/>
      <c r="AD313"/>
      <c r="AE313"/>
      <c r="AF313"/>
      <c r="AG313"/>
      <c r="AH313"/>
      <c r="AI313"/>
      <c r="AJ313"/>
      <c r="AK313"/>
      <c r="AL313"/>
      <c r="AM313"/>
      <c r="AN313"/>
      <c r="AO313"/>
    </row>
    <row r="314" spans="1:41" ht="14.7" customHeight="1">
      <c r="A314" s="121" t="s">
        <v>179</v>
      </c>
      <c r="B314" s="153"/>
      <c r="C314">
        <v>446.8</v>
      </c>
      <c r="D314">
        <v>418.1</v>
      </c>
      <c r="E314">
        <v>0.48899999999999999</v>
      </c>
      <c r="F314">
        <v>0.45</v>
      </c>
      <c r="G314">
        <v>0</v>
      </c>
      <c r="H314">
        <v>0</v>
      </c>
      <c r="I314">
        <v>393.5</v>
      </c>
      <c r="J314">
        <v>341.6</v>
      </c>
      <c r="K314"/>
      <c r="L314"/>
      <c r="M314"/>
      <c r="N314"/>
      <c r="O314"/>
      <c r="P314"/>
      <c r="Q314"/>
      <c r="R314"/>
      <c r="S314"/>
      <c r="T314"/>
      <c r="U314"/>
      <c r="V314"/>
      <c r="W314"/>
      <c r="X314"/>
      <c r="Y314"/>
      <c r="Z314"/>
      <c r="AA314"/>
      <c r="AB314"/>
      <c r="AC314"/>
      <c r="AD314"/>
      <c r="AE314"/>
      <c r="AF314"/>
      <c r="AG314"/>
      <c r="AH314"/>
      <c r="AI314"/>
      <c r="AJ314"/>
      <c r="AK314"/>
      <c r="AL314"/>
      <c r="AM314"/>
      <c r="AN314"/>
      <c r="AO314"/>
    </row>
    <row r="315" spans="1:41" ht="14.7" customHeight="1">
      <c r="A315" s="121" t="s">
        <v>181</v>
      </c>
      <c r="B315" s="154"/>
      <c r="C315">
        <v>405.4</v>
      </c>
      <c r="D315">
        <v>396.4</v>
      </c>
      <c r="E315">
        <v>0.50600000000000001</v>
      </c>
      <c r="F315">
        <v>0.47599999999999998</v>
      </c>
      <c r="G315">
        <v>0</v>
      </c>
      <c r="H315">
        <v>0</v>
      </c>
      <c r="I315">
        <v>342</v>
      </c>
      <c r="J315">
        <v>316.2</v>
      </c>
      <c r="K315"/>
      <c r="L315"/>
      <c r="M315"/>
      <c r="N315"/>
      <c r="O315"/>
      <c r="P315"/>
      <c r="Q315"/>
      <c r="R315"/>
      <c r="S315"/>
      <c r="T315"/>
      <c r="U315"/>
      <c r="V315"/>
      <c r="W315"/>
      <c r="X315"/>
      <c r="Y315"/>
      <c r="Z315"/>
      <c r="AA315"/>
      <c r="AB315"/>
      <c r="AC315"/>
      <c r="AD315"/>
      <c r="AE315"/>
      <c r="AF315"/>
      <c r="AG315"/>
      <c r="AH315"/>
      <c r="AI315"/>
      <c r="AJ315"/>
      <c r="AK315"/>
      <c r="AL315"/>
      <c r="AM315"/>
      <c r="AN315"/>
      <c r="AO315"/>
    </row>
    <row r="316" spans="1:41" ht="14.7" customHeight="1">
      <c r="A316" s="121" t="s">
        <v>297</v>
      </c>
      <c r="B316" s="154"/>
      <c r="C316">
        <v>536.9</v>
      </c>
      <c r="D316">
        <v>489.4</v>
      </c>
      <c r="E316">
        <v>0.49</v>
      </c>
      <c r="F316">
        <v>0.498</v>
      </c>
      <c r="G316">
        <v>7.3999999999999996E-2</v>
      </c>
      <c r="H316">
        <v>6.4000000000000001E-2</v>
      </c>
      <c r="I316">
        <v>456.6</v>
      </c>
      <c r="J316">
        <v>426.5</v>
      </c>
      <c r="K316"/>
      <c r="L316"/>
      <c r="M316"/>
      <c r="N316"/>
      <c r="O316"/>
      <c r="P316"/>
      <c r="Q316"/>
      <c r="R316"/>
      <c r="S316"/>
      <c r="T316"/>
      <c r="U316"/>
      <c r="V316"/>
      <c r="W316"/>
      <c r="X316"/>
      <c r="Y316"/>
      <c r="Z316"/>
      <c r="AA316"/>
      <c r="AB316"/>
      <c r="AC316"/>
      <c r="AD316"/>
      <c r="AE316"/>
      <c r="AF316"/>
      <c r="AG316"/>
      <c r="AH316"/>
      <c r="AI316"/>
      <c r="AJ316"/>
      <c r="AK316"/>
      <c r="AL316"/>
      <c r="AM316"/>
      <c r="AN316"/>
      <c r="AO316"/>
    </row>
    <row r="317" spans="1:41" ht="14.7" customHeight="1">
      <c r="A317" s="121" t="s">
        <v>182</v>
      </c>
      <c r="B317" s="154"/>
      <c r="C317">
        <v>317.7</v>
      </c>
      <c r="D317">
        <v>307.8</v>
      </c>
      <c r="E317">
        <v>0.54100000000000004</v>
      </c>
      <c r="F317">
        <v>0.53900000000000003</v>
      </c>
      <c r="G317">
        <v>0</v>
      </c>
      <c r="H317">
        <v>0</v>
      </c>
      <c r="I317">
        <v>315.60000000000002</v>
      </c>
      <c r="J317">
        <v>307.5</v>
      </c>
      <c r="K317"/>
      <c r="L317"/>
      <c r="M317"/>
      <c r="N317"/>
      <c r="O317"/>
      <c r="P317"/>
      <c r="Q317"/>
      <c r="R317"/>
      <c r="S317"/>
      <c r="T317"/>
      <c r="U317"/>
      <c r="V317"/>
      <c r="W317"/>
      <c r="X317"/>
      <c r="Y317"/>
      <c r="Z317"/>
      <c r="AA317"/>
      <c r="AB317"/>
      <c r="AC317"/>
      <c r="AD317"/>
      <c r="AE317"/>
      <c r="AF317"/>
      <c r="AG317"/>
      <c r="AH317"/>
      <c r="AI317"/>
      <c r="AJ317"/>
      <c r="AK317"/>
      <c r="AL317"/>
      <c r="AM317"/>
      <c r="AN317"/>
      <c r="AO317"/>
    </row>
    <row r="318" spans="1:41" ht="14.7" customHeight="1">
      <c r="A318" s="121" t="s">
        <v>184</v>
      </c>
      <c r="B318" s="154"/>
      <c r="C318">
        <v>504.6</v>
      </c>
      <c r="D318">
        <v>496.9</v>
      </c>
      <c r="E318">
        <v>0.47499999999999998</v>
      </c>
      <c r="F318">
        <v>0.44500000000000001</v>
      </c>
      <c r="G318">
        <v>0</v>
      </c>
      <c r="H318">
        <v>0</v>
      </c>
      <c r="I318">
        <v>420.9</v>
      </c>
      <c r="J318">
        <v>389.1</v>
      </c>
      <c r="K318"/>
      <c r="L318"/>
      <c r="M318"/>
      <c r="N318"/>
      <c r="O318"/>
      <c r="P318"/>
      <c r="Q318"/>
      <c r="R318"/>
      <c r="S318"/>
      <c r="T318"/>
      <c r="U318"/>
      <c r="V318"/>
      <c r="W318"/>
      <c r="X318"/>
      <c r="Y318"/>
      <c r="Z318"/>
      <c r="AA318"/>
      <c r="AB318"/>
      <c r="AC318"/>
      <c r="AD318"/>
      <c r="AE318"/>
      <c r="AF318"/>
      <c r="AG318"/>
      <c r="AH318"/>
      <c r="AI318"/>
      <c r="AJ318"/>
      <c r="AK318"/>
      <c r="AL318"/>
      <c r="AM318"/>
      <c r="AN318"/>
      <c r="AO318"/>
    </row>
    <row r="319" spans="1:41" ht="14.7" customHeight="1">
      <c r="A319" t="s">
        <v>185</v>
      </c>
      <c r="B319" s="154"/>
      <c r="C319">
        <v>543.9</v>
      </c>
      <c r="D319">
        <v>490.9</v>
      </c>
      <c r="E319">
        <v>0.41099999999999998</v>
      </c>
      <c r="F319">
        <v>0.39600000000000002</v>
      </c>
      <c r="G319">
        <v>0</v>
      </c>
      <c r="H319">
        <v>0</v>
      </c>
      <c r="I319">
        <v>434.4</v>
      </c>
      <c r="J319">
        <v>382.8</v>
      </c>
      <c r="K319"/>
      <c r="L319"/>
      <c r="M319"/>
      <c r="N319"/>
      <c r="O319"/>
      <c r="P319"/>
      <c r="Q319"/>
      <c r="R319"/>
      <c r="S319"/>
      <c r="T319"/>
      <c r="U319"/>
      <c r="V319"/>
      <c r="W319"/>
      <c r="X319"/>
      <c r="Y319"/>
      <c r="Z319"/>
      <c r="AA319"/>
      <c r="AB319"/>
      <c r="AC319"/>
      <c r="AD319"/>
      <c r="AE319"/>
      <c r="AF319"/>
      <c r="AG319"/>
      <c r="AH319"/>
      <c r="AI319"/>
      <c r="AJ319"/>
      <c r="AK319"/>
      <c r="AL319"/>
      <c r="AM319"/>
      <c r="AN319"/>
      <c r="AO319"/>
    </row>
    <row r="320" spans="1:41" ht="14.7" customHeight="1">
      <c r="A320" t="s">
        <v>905</v>
      </c>
      <c r="B320" s="154"/>
      <c r="C320">
        <v>553.20000000000005</v>
      </c>
      <c r="D320">
        <v>531.9</v>
      </c>
      <c r="E320">
        <v>0.47599999999999998</v>
      </c>
      <c r="F320">
        <v>0.44500000000000001</v>
      </c>
      <c r="G320">
        <v>9.5000000000000001E-2</v>
      </c>
      <c r="H320">
        <v>9.0999999999999998E-2</v>
      </c>
      <c r="I320">
        <v>444.2</v>
      </c>
      <c r="J320">
        <v>405.7</v>
      </c>
      <c r="K320"/>
      <c r="L320"/>
      <c r="M320"/>
      <c r="N320"/>
      <c r="O320"/>
      <c r="P320"/>
      <c r="Q320"/>
      <c r="R320"/>
      <c r="S320"/>
      <c r="T320"/>
      <c r="U320"/>
      <c r="V320"/>
      <c r="W320"/>
      <c r="X320"/>
      <c r="Y320"/>
      <c r="Z320"/>
      <c r="AA320"/>
      <c r="AB320"/>
      <c r="AC320"/>
      <c r="AD320"/>
      <c r="AE320"/>
      <c r="AF320"/>
      <c r="AG320"/>
      <c r="AH320"/>
      <c r="AI320"/>
      <c r="AJ320"/>
      <c r="AK320"/>
      <c r="AL320"/>
      <c r="AM320"/>
      <c r="AN320"/>
      <c r="AO320"/>
    </row>
    <row r="321" spans="1:41" ht="14.7" customHeight="1">
      <c r="A321" t="s">
        <v>186</v>
      </c>
      <c r="B321" s="154"/>
      <c r="C321">
        <v>369.6</v>
      </c>
      <c r="D321">
        <v>341.5</v>
      </c>
      <c r="E321">
        <v>0.57699999999999996</v>
      </c>
      <c r="F321">
        <v>0.56799999999999995</v>
      </c>
      <c r="G321">
        <v>0</v>
      </c>
      <c r="H321">
        <v>0</v>
      </c>
      <c r="I321">
        <v>394.3</v>
      </c>
      <c r="J321">
        <v>357.5</v>
      </c>
      <c r="K321"/>
      <c r="L321"/>
      <c r="M321"/>
      <c r="N321"/>
      <c r="O321"/>
      <c r="P321"/>
      <c r="Q321"/>
      <c r="R321"/>
      <c r="S321"/>
      <c r="T321"/>
      <c r="U321"/>
      <c r="V321"/>
      <c r="W321"/>
      <c r="X321"/>
      <c r="Y321"/>
      <c r="Z321"/>
      <c r="AA321"/>
      <c r="AB321"/>
      <c r="AC321"/>
      <c r="AD321"/>
      <c r="AE321"/>
      <c r="AF321"/>
      <c r="AG321"/>
      <c r="AH321"/>
      <c r="AI321"/>
      <c r="AJ321"/>
      <c r="AK321"/>
      <c r="AL321"/>
      <c r="AM321"/>
      <c r="AN321"/>
      <c r="AO321"/>
    </row>
    <row r="322" spans="1:41" ht="14.7" customHeight="1">
      <c r="A322" s="121" t="s">
        <v>900</v>
      </c>
      <c r="B322" s="154"/>
      <c r="C322">
        <v>546.9</v>
      </c>
      <c r="D322">
        <v>504.4</v>
      </c>
      <c r="E322">
        <v>0.36499999999999999</v>
      </c>
      <c r="F322">
        <v>0.35899999999999999</v>
      </c>
      <c r="G322">
        <v>0</v>
      </c>
      <c r="H322">
        <v>0</v>
      </c>
      <c r="I322">
        <v>390.8</v>
      </c>
      <c r="J322">
        <v>358.7</v>
      </c>
      <c r="K322"/>
      <c r="L322"/>
      <c r="M322"/>
      <c r="N322"/>
      <c r="O322"/>
      <c r="P322"/>
      <c r="Q322"/>
      <c r="R322"/>
      <c r="S322"/>
      <c r="T322"/>
      <c r="U322"/>
      <c r="V322"/>
      <c r="W322"/>
      <c r="X322"/>
      <c r="Y322"/>
      <c r="Z322"/>
      <c r="AA322"/>
      <c r="AB322"/>
      <c r="AC322"/>
      <c r="AD322"/>
      <c r="AE322"/>
      <c r="AF322"/>
      <c r="AG322"/>
      <c r="AH322"/>
      <c r="AI322"/>
      <c r="AJ322"/>
      <c r="AK322"/>
      <c r="AL322"/>
      <c r="AM322"/>
      <c r="AN322"/>
      <c r="AO322"/>
    </row>
    <row r="323" spans="1:41" ht="14.7" customHeight="1">
      <c r="A323" s="121" t="s">
        <v>332</v>
      </c>
      <c r="B323" s="154"/>
      <c r="C323">
        <v>462.8</v>
      </c>
      <c r="D323">
        <v>430.2</v>
      </c>
      <c r="E323">
        <v>0.53700000000000003</v>
      </c>
      <c r="F323">
        <v>0.53700000000000003</v>
      </c>
      <c r="G323">
        <v>7.0000000000000007E-2</v>
      </c>
      <c r="H323">
        <v>0.04</v>
      </c>
      <c r="I323">
        <v>444.5</v>
      </c>
      <c r="J323">
        <v>414.2</v>
      </c>
      <c r="K323"/>
      <c r="L323"/>
      <c r="M323"/>
      <c r="N323"/>
      <c r="O323"/>
      <c r="P323"/>
      <c r="Q323"/>
      <c r="R323"/>
      <c r="S323"/>
      <c r="T323"/>
      <c r="U323"/>
      <c r="V323"/>
      <c r="W323"/>
      <c r="X323"/>
      <c r="Y323"/>
      <c r="Z323"/>
      <c r="AA323"/>
      <c r="AB323"/>
      <c r="AC323"/>
      <c r="AD323"/>
      <c r="AE323"/>
      <c r="AF323"/>
      <c r="AG323"/>
      <c r="AH323"/>
      <c r="AI323"/>
      <c r="AJ323"/>
      <c r="AK323"/>
      <c r="AL323"/>
      <c r="AM323"/>
      <c r="AN323"/>
      <c r="AO323"/>
    </row>
    <row r="324" spans="1:41" ht="14.7" customHeight="1">
      <c r="A324" t="s">
        <v>188</v>
      </c>
      <c r="B324" s="154"/>
      <c r="C324">
        <v>445.5</v>
      </c>
      <c r="D324">
        <v>471.1</v>
      </c>
      <c r="E324">
        <v>0.20899999999999999</v>
      </c>
      <c r="F324">
        <v>0.246</v>
      </c>
      <c r="G324">
        <v>0</v>
      </c>
      <c r="H324">
        <v>0</v>
      </c>
      <c r="I324">
        <v>354.8</v>
      </c>
      <c r="J324">
        <v>385.9</v>
      </c>
      <c r="K324"/>
      <c r="L324"/>
      <c r="M324"/>
      <c r="N324"/>
      <c r="O324"/>
      <c r="P324"/>
      <c r="Q324"/>
      <c r="R324"/>
      <c r="S324"/>
      <c r="T324"/>
      <c r="U324"/>
      <c r="V324"/>
      <c r="W324"/>
      <c r="X324"/>
      <c r="Y324"/>
      <c r="Z324"/>
      <c r="AA324"/>
      <c r="AB324"/>
      <c r="AC324"/>
      <c r="AD324"/>
      <c r="AE324"/>
      <c r="AF324"/>
      <c r="AG324"/>
      <c r="AH324"/>
      <c r="AI324"/>
      <c r="AJ324"/>
      <c r="AK324"/>
      <c r="AL324"/>
      <c r="AM324"/>
      <c r="AN324"/>
      <c r="AO324"/>
    </row>
    <row r="325" spans="1:41" ht="14.7" customHeight="1">
      <c r="A325" s="121" t="s">
        <v>256</v>
      </c>
      <c r="B325" s="154"/>
      <c r="C325">
        <v>441.9</v>
      </c>
      <c r="D325">
        <v>426.9</v>
      </c>
      <c r="E325">
        <v>0.53</v>
      </c>
      <c r="F325">
        <v>0.51500000000000001</v>
      </c>
      <c r="G325">
        <v>2.7E-2</v>
      </c>
      <c r="H325">
        <v>2.7E-2</v>
      </c>
      <c r="I325">
        <v>426.8</v>
      </c>
      <c r="J325">
        <v>398.7</v>
      </c>
      <c r="K325"/>
      <c r="L325"/>
      <c r="M325"/>
      <c r="N325"/>
      <c r="O325"/>
      <c r="P325"/>
      <c r="Q325"/>
      <c r="R325"/>
      <c r="S325"/>
      <c r="T325"/>
      <c r="U325"/>
      <c r="V325"/>
      <c r="W325"/>
      <c r="X325"/>
      <c r="Y325"/>
      <c r="Z325"/>
      <c r="AA325"/>
      <c r="AB325"/>
      <c r="AC325"/>
      <c r="AD325"/>
      <c r="AE325"/>
      <c r="AF325"/>
      <c r="AG325"/>
      <c r="AH325"/>
      <c r="AI325"/>
      <c r="AJ325"/>
      <c r="AK325"/>
      <c r="AL325"/>
      <c r="AM325"/>
      <c r="AN325"/>
      <c r="AO325"/>
    </row>
    <row r="326" spans="1:41" ht="14.7" customHeight="1">
      <c r="A326" s="121" t="s">
        <v>298</v>
      </c>
      <c r="B326" s="154"/>
      <c r="C326">
        <v>553.70000000000005</v>
      </c>
      <c r="D326">
        <v>542.4</v>
      </c>
      <c r="E326">
        <v>0.42199999999999999</v>
      </c>
      <c r="F326">
        <v>0.4</v>
      </c>
      <c r="G326">
        <v>0.191</v>
      </c>
      <c r="H326">
        <v>0.161</v>
      </c>
      <c r="I326">
        <v>424.2</v>
      </c>
      <c r="J326">
        <v>401.7</v>
      </c>
      <c r="K326"/>
      <c r="L326"/>
      <c r="M326"/>
      <c r="N326"/>
      <c r="O326"/>
      <c r="P326"/>
      <c r="Q326"/>
      <c r="R326"/>
      <c r="S326"/>
      <c r="T326"/>
      <c r="U326"/>
      <c r="V326"/>
      <c r="W326"/>
      <c r="X326"/>
      <c r="Y326"/>
      <c r="Z326"/>
      <c r="AA326"/>
      <c r="AB326"/>
      <c r="AC326"/>
      <c r="AD326"/>
      <c r="AE326"/>
      <c r="AF326"/>
      <c r="AG326"/>
      <c r="AH326"/>
      <c r="AI326"/>
      <c r="AJ326"/>
      <c r="AK326"/>
      <c r="AL326"/>
      <c r="AM326"/>
      <c r="AN326"/>
      <c r="AO326"/>
    </row>
    <row r="327" spans="1:41" ht="14.7" customHeight="1">
      <c r="A327" s="121" t="s">
        <v>189</v>
      </c>
      <c r="B327" s="154"/>
      <c r="C327">
        <v>462.2</v>
      </c>
      <c r="D327">
        <v>445.9</v>
      </c>
      <c r="E327">
        <v>0.40600000000000003</v>
      </c>
      <c r="F327">
        <v>0.39500000000000002</v>
      </c>
      <c r="G327">
        <v>0</v>
      </c>
      <c r="H327">
        <v>0</v>
      </c>
      <c r="I327">
        <v>337.9</v>
      </c>
      <c r="J327">
        <v>320.2</v>
      </c>
      <c r="K327"/>
      <c r="L327"/>
      <c r="M327"/>
      <c r="N327"/>
      <c r="O327"/>
      <c r="P327"/>
      <c r="Q327"/>
      <c r="R327"/>
      <c r="S327"/>
      <c r="T327"/>
      <c r="U327"/>
      <c r="V327"/>
      <c r="W327"/>
      <c r="X327"/>
      <c r="Y327"/>
      <c r="Z327"/>
      <c r="AA327"/>
      <c r="AB327"/>
      <c r="AC327"/>
      <c r="AD327"/>
      <c r="AE327"/>
      <c r="AF327"/>
      <c r="AG327"/>
      <c r="AH327"/>
      <c r="AI327"/>
      <c r="AJ327"/>
      <c r="AK327"/>
      <c r="AL327"/>
      <c r="AM327"/>
      <c r="AN327"/>
      <c r="AO327"/>
    </row>
    <row r="328" spans="1:41" ht="14.7" customHeight="1">
      <c r="A328" t="s">
        <v>816</v>
      </c>
      <c r="B328" s="154"/>
      <c r="C328">
        <v>487.7</v>
      </c>
      <c r="D328">
        <v>470.6</v>
      </c>
      <c r="E328">
        <v>0.504</v>
      </c>
      <c r="F328">
        <v>0.47099999999999997</v>
      </c>
      <c r="G328">
        <v>0</v>
      </c>
      <c r="H328">
        <v>0</v>
      </c>
      <c r="I328">
        <v>420.9</v>
      </c>
      <c r="J328">
        <v>380.5</v>
      </c>
      <c r="K328"/>
      <c r="L328"/>
      <c r="M328"/>
      <c r="N328"/>
      <c r="O328"/>
      <c r="P328"/>
      <c r="Q328"/>
      <c r="R328"/>
      <c r="S328"/>
      <c r="T328"/>
      <c r="U328"/>
      <c r="V328"/>
      <c r="W328"/>
      <c r="X328"/>
      <c r="Y328"/>
      <c r="Z328"/>
      <c r="AA328"/>
      <c r="AB328"/>
      <c r="AC328"/>
      <c r="AD328"/>
      <c r="AE328"/>
      <c r="AF328"/>
      <c r="AG328"/>
      <c r="AH328"/>
      <c r="AI328"/>
      <c r="AJ328"/>
      <c r="AK328"/>
      <c r="AL328"/>
      <c r="AM328"/>
      <c r="AN328"/>
      <c r="AO328"/>
    </row>
    <row r="329" spans="1:41" ht="14.7" customHeight="1">
      <c r="A329" s="121" t="s">
        <v>257</v>
      </c>
      <c r="B329" s="154"/>
      <c r="C329">
        <v>574.29999999999995</v>
      </c>
      <c r="D329">
        <v>534</v>
      </c>
      <c r="E329">
        <v>0.32300000000000001</v>
      </c>
      <c r="F329">
        <v>0.312</v>
      </c>
      <c r="G329">
        <v>0</v>
      </c>
      <c r="H329">
        <v>0</v>
      </c>
      <c r="I329">
        <v>398.2</v>
      </c>
      <c r="J329">
        <v>363.6</v>
      </c>
      <c r="K329"/>
      <c r="L329"/>
      <c r="M329"/>
      <c r="N329"/>
      <c r="O329"/>
      <c r="P329"/>
      <c r="Q329"/>
      <c r="R329"/>
      <c r="S329"/>
      <c r="T329"/>
      <c r="U329"/>
      <c r="V329"/>
      <c r="W329"/>
      <c r="X329"/>
      <c r="Y329"/>
      <c r="Z329"/>
      <c r="AA329"/>
      <c r="AB329"/>
      <c r="AC329"/>
      <c r="AD329"/>
      <c r="AE329"/>
      <c r="AF329"/>
      <c r="AG329"/>
      <c r="AH329"/>
      <c r="AI329"/>
      <c r="AJ329"/>
      <c r="AK329"/>
      <c r="AL329"/>
      <c r="AM329"/>
      <c r="AN329"/>
      <c r="AO329"/>
    </row>
    <row r="330" spans="1:41" ht="14.7" customHeight="1">
      <c r="A330" s="121" t="s">
        <v>190</v>
      </c>
      <c r="B330" s="154"/>
      <c r="C330">
        <v>396.3</v>
      </c>
      <c r="D330">
        <v>359.7</v>
      </c>
      <c r="E330">
        <v>0.51500000000000001</v>
      </c>
      <c r="F330">
        <v>0.55800000000000005</v>
      </c>
      <c r="G330">
        <v>0</v>
      </c>
      <c r="H330">
        <v>0</v>
      </c>
      <c r="I330">
        <v>341.3</v>
      </c>
      <c r="J330">
        <v>344.3</v>
      </c>
      <c r="K330"/>
      <c r="L330"/>
      <c r="M330"/>
      <c r="N330"/>
      <c r="O330"/>
      <c r="P330"/>
      <c r="Q330"/>
      <c r="R330"/>
      <c r="S330"/>
      <c r="T330"/>
      <c r="U330"/>
      <c r="V330"/>
      <c r="W330"/>
      <c r="X330"/>
      <c r="Y330"/>
      <c r="Z330"/>
      <c r="AA330"/>
      <c r="AB330"/>
      <c r="AC330"/>
      <c r="AD330"/>
      <c r="AE330"/>
      <c r="AF330"/>
      <c r="AG330"/>
      <c r="AH330"/>
      <c r="AI330"/>
      <c r="AJ330"/>
      <c r="AK330"/>
      <c r="AL330"/>
      <c r="AM330"/>
      <c r="AN330"/>
      <c r="AO330"/>
    </row>
    <row r="331" spans="1:41" ht="14.7" customHeight="1">
      <c r="A331" s="121" t="s">
        <v>299</v>
      </c>
      <c r="B331" s="154"/>
      <c r="C331">
        <v>449.8</v>
      </c>
      <c r="D331">
        <v>420.4</v>
      </c>
      <c r="E331">
        <v>0.54200000000000004</v>
      </c>
      <c r="F331">
        <v>0.52900000000000003</v>
      </c>
      <c r="G331">
        <v>5.6000000000000001E-2</v>
      </c>
      <c r="H331">
        <v>6.4000000000000001E-2</v>
      </c>
      <c r="I331">
        <v>399</v>
      </c>
      <c r="J331">
        <v>361.1</v>
      </c>
      <c r="K331"/>
      <c r="L331"/>
      <c r="M331"/>
      <c r="N331"/>
      <c r="O331"/>
      <c r="P331"/>
      <c r="Q331"/>
      <c r="R331"/>
      <c r="S331"/>
      <c r="T331"/>
      <c r="U331"/>
      <c r="V331"/>
      <c r="W331"/>
      <c r="X331"/>
      <c r="Y331"/>
      <c r="Z331"/>
      <c r="AA331"/>
      <c r="AB331"/>
      <c r="AC331"/>
      <c r="AD331"/>
      <c r="AE331"/>
      <c r="AF331"/>
      <c r="AG331"/>
      <c r="AH331"/>
      <c r="AI331"/>
      <c r="AJ331"/>
      <c r="AK331"/>
      <c r="AL331"/>
      <c r="AM331"/>
      <c r="AN331"/>
      <c r="AO331"/>
    </row>
    <row r="332" spans="1:41" ht="14.7" customHeight="1">
      <c r="A332" t="s">
        <v>258</v>
      </c>
      <c r="B332" s="154"/>
      <c r="C332">
        <v>570.4</v>
      </c>
      <c r="D332">
        <v>549.4</v>
      </c>
      <c r="E332">
        <v>0.373</v>
      </c>
      <c r="F332">
        <v>0.36599999999999999</v>
      </c>
      <c r="G332">
        <v>2.7E-2</v>
      </c>
      <c r="H332">
        <v>0.03</v>
      </c>
      <c r="I332">
        <v>387.4</v>
      </c>
      <c r="J332">
        <v>366.3</v>
      </c>
      <c r="K332"/>
      <c r="L332"/>
      <c r="M332"/>
      <c r="N332"/>
      <c r="O332"/>
      <c r="P332"/>
      <c r="Q332"/>
      <c r="R332"/>
      <c r="S332"/>
      <c r="T332"/>
      <c r="U332"/>
      <c r="V332"/>
      <c r="W332"/>
      <c r="X332"/>
      <c r="Y332"/>
      <c r="Z332"/>
      <c r="AA332"/>
      <c r="AB332"/>
      <c r="AC332"/>
      <c r="AD332"/>
      <c r="AE332"/>
      <c r="AF332"/>
      <c r="AG332"/>
      <c r="AH332"/>
      <c r="AI332"/>
      <c r="AJ332"/>
      <c r="AK332"/>
      <c r="AL332"/>
      <c r="AM332"/>
      <c r="AN332"/>
      <c r="AO332"/>
    </row>
    <row r="333" spans="1:41" ht="14.7" customHeight="1">
      <c r="A333" s="121" t="s">
        <v>191</v>
      </c>
      <c r="B333" s="154"/>
      <c r="C333">
        <v>448.5</v>
      </c>
      <c r="D333">
        <v>431.4</v>
      </c>
      <c r="E333">
        <v>0.36299999999999999</v>
      </c>
      <c r="F333">
        <v>0.35</v>
      </c>
      <c r="G333">
        <v>0</v>
      </c>
      <c r="H333">
        <v>0</v>
      </c>
      <c r="I333">
        <v>320</v>
      </c>
      <c r="J333">
        <v>301.8</v>
      </c>
      <c r="K333"/>
      <c r="L333"/>
      <c r="M333"/>
      <c r="N333"/>
      <c r="O333"/>
      <c r="P333"/>
      <c r="Q333"/>
      <c r="R333"/>
      <c r="S333"/>
      <c r="T333"/>
      <c r="U333"/>
      <c r="V333"/>
      <c r="W333"/>
      <c r="X333"/>
      <c r="Y333"/>
      <c r="Z333"/>
      <c r="AA333"/>
      <c r="AB333"/>
      <c r="AC333"/>
      <c r="AD333"/>
      <c r="AE333"/>
      <c r="AF333"/>
      <c r="AG333"/>
      <c r="AH333"/>
      <c r="AI333"/>
      <c r="AJ333"/>
      <c r="AK333"/>
      <c r="AL333"/>
      <c r="AM333"/>
      <c r="AN333"/>
      <c r="AO333"/>
    </row>
    <row r="334" spans="1:41" ht="14.7" customHeight="1">
      <c r="A334" s="121" t="s">
        <v>333</v>
      </c>
      <c r="B334" s="154"/>
      <c r="C334" s="122">
        <v>599.6</v>
      </c>
      <c r="D334" s="122">
        <v>547.9</v>
      </c>
      <c r="E334" s="122">
        <v>0.42399999999999999</v>
      </c>
      <c r="F334" s="122">
        <v>0.42099999999999999</v>
      </c>
      <c r="G334" s="122">
        <v>0.128</v>
      </c>
      <c r="H334" s="122">
        <v>0.127</v>
      </c>
      <c r="I334" s="122">
        <v>469.5</v>
      </c>
      <c r="J334" s="122">
        <v>426.9</v>
      </c>
      <c r="K334" s="122"/>
      <c r="L334" s="122"/>
      <c r="M334" s="122"/>
      <c r="N334" s="122"/>
      <c r="O334" s="122"/>
      <c r="P334" s="122"/>
      <c r="Q334" s="122"/>
      <c r="R334" s="122"/>
      <c r="S334" s="122"/>
      <c r="T334" s="122"/>
      <c r="U334" s="122"/>
      <c r="V334" s="122"/>
      <c r="W334" s="122"/>
      <c r="X334" s="122"/>
      <c r="Y334" s="122"/>
      <c r="Z334" s="122"/>
      <c r="AA334" s="122"/>
      <c r="AB334" s="122"/>
      <c r="AC334" s="122"/>
      <c r="AD334" s="122"/>
      <c r="AE334" s="122"/>
      <c r="AF334" s="122"/>
      <c r="AG334" s="122"/>
      <c r="AH334" s="122"/>
      <c r="AI334" s="122"/>
      <c r="AJ334" s="122"/>
      <c r="AK334" s="122"/>
      <c r="AL334" s="122"/>
      <c r="AM334" s="122"/>
      <c r="AN334" s="122"/>
      <c r="AO334" s="122"/>
    </row>
    <row r="335" spans="1:41" ht="14.7" customHeight="1">
      <c r="A335" s="121" t="s">
        <v>192</v>
      </c>
      <c r="B335" s="154"/>
      <c r="C335" s="122">
        <v>430.4</v>
      </c>
      <c r="D335" s="122">
        <v>428.8</v>
      </c>
      <c r="E335" s="122">
        <v>0.436</v>
      </c>
      <c r="F335" s="122">
        <v>0.41799999999999998</v>
      </c>
      <c r="G335" s="122">
        <v>0</v>
      </c>
      <c r="H335" s="122">
        <v>0</v>
      </c>
      <c r="I335" s="122">
        <v>351</v>
      </c>
      <c r="J335" s="122">
        <v>339.4</v>
      </c>
      <c r="K335" s="122"/>
      <c r="L335" s="122"/>
      <c r="M335" s="122"/>
      <c r="N335" s="122"/>
      <c r="O335" s="122"/>
      <c r="P335" s="122"/>
      <c r="Q335" s="122"/>
      <c r="R335" s="122"/>
      <c r="S335" s="122"/>
      <c r="T335" s="122"/>
      <c r="U335" s="122"/>
      <c r="V335" s="122"/>
      <c r="W335" s="122"/>
      <c r="X335" s="122"/>
      <c r="Y335" s="122"/>
      <c r="Z335" s="122"/>
      <c r="AA335" s="122"/>
      <c r="AB335" s="122"/>
      <c r="AC335" s="122"/>
      <c r="AD335" s="122"/>
      <c r="AE335" s="122"/>
      <c r="AF335" s="122"/>
      <c r="AG335" s="122"/>
      <c r="AH335" s="122"/>
      <c r="AI335" s="122"/>
      <c r="AJ335" s="122"/>
      <c r="AK335" s="122"/>
      <c r="AL335" s="122"/>
      <c r="AM335" s="122"/>
      <c r="AN335" s="122"/>
      <c r="AO335" s="122"/>
    </row>
    <row r="336" spans="1:41" ht="14.7" customHeight="1">
      <c r="A336" s="121" t="s">
        <v>193</v>
      </c>
      <c r="B336" s="154"/>
      <c r="C336" s="122">
        <v>478.5</v>
      </c>
      <c r="D336" s="122">
        <v>448.5</v>
      </c>
      <c r="E336" s="122">
        <v>0.436</v>
      </c>
      <c r="F336" s="122">
        <v>0.432</v>
      </c>
      <c r="G336" s="122">
        <v>0</v>
      </c>
      <c r="H336" s="122">
        <v>0</v>
      </c>
      <c r="I336" s="122">
        <v>384.6</v>
      </c>
      <c r="J336" s="122">
        <v>358</v>
      </c>
      <c r="K336" s="122"/>
      <c r="L336" s="122"/>
      <c r="M336" s="122"/>
      <c r="N336" s="122"/>
      <c r="O336" s="122"/>
      <c r="P336" s="122"/>
      <c r="Q336" s="122"/>
      <c r="R336" s="122"/>
      <c r="S336" s="122"/>
      <c r="T336" s="122"/>
      <c r="U336" s="122"/>
      <c r="V336" s="122"/>
      <c r="W336" s="122"/>
      <c r="X336" s="122"/>
      <c r="Y336" s="122"/>
      <c r="Z336" s="122"/>
      <c r="AA336" s="122"/>
      <c r="AB336" s="122"/>
      <c r="AC336" s="122"/>
      <c r="AD336" s="122"/>
      <c r="AE336" s="122"/>
      <c r="AF336" s="122"/>
      <c r="AG336" s="122"/>
      <c r="AH336" s="122"/>
      <c r="AI336" s="122"/>
      <c r="AJ336" s="122"/>
      <c r="AK336" s="122"/>
      <c r="AL336" s="122"/>
      <c r="AM336" s="122"/>
      <c r="AN336" s="122"/>
      <c r="AO336" s="122"/>
    </row>
    <row r="337" spans="1:41" ht="14.7" customHeight="1">
      <c r="A337" t="s">
        <v>195</v>
      </c>
      <c r="B337" s="154"/>
      <c r="C337" s="122">
        <v>441.3</v>
      </c>
      <c r="D337" s="122">
        <v>463.6</v>
      </c>
      <c r="E337" s="122">
        <v>0.45700000000000002</v>
      </c>
      <c r="F337" s="122">
        <v>0.40300000000000002</v>
      </c>
      <c r="G337" s="122">
        <v>0</v>
      </c>
      <c r="H337" s="122">
        <v>0</v>
      </c>
      <c r="I337" s="122">
        <v>389.9</v>
      </c>
      <c r="J337" s="122">
        <v>369</v>
      </c>
      <c r="K337" s="122"/>
      <c r="L337" s="122"/>
      <c r="M337" s="122"/>
      <c r="N337" s="122"/>
      <c r="O337" s="122"/>
      <c r="P337" s="122"/>
      <c r="Q337" s="122"/>
      <c r="R337" s="122"/>
      <c r="S337" s="122"/>
      <c r="T337" s="122"/>
      <c r="U337" s="122"/>
      <c r="V337" s="122"/>
      <c r="W337" s="122"/>
      <c r="X337" s="122"/>
      <c r="Y337" s="122"/>
      <c r="Z337" s="122"/>
      <c r="AA337" s="122"/>
      <c r="AB337" s="122"/>
      <c r="AC337" s="122"/>
      <c r="AD337" s="122"/>
      <c r="AE337" s="122"/>
      <c r="AF337" s="122"/>
      <c r="AG337" s="122"/>
      <c r="AH337" s="122"/>
      <c r="AI337" s="122"/>
      <c r="AJ337" s="122"/>
      <c r="AK337" s="122"/>
      <c r="AL337" s="122"/>
      <c r="AM337" s="122"/>
      <c r="AN337" s="122"/>
      <c r="AO337" s="122"/>
    </row>
    <row r="338" spans="1:41" ht="14.7" customHeight="1">
      <c r="A338" t="s">
        <v>196</v>
      </c>
      <c r="B338" s="154"/>
      <c r="C338" s="122">
        <v>535</v>
      </c>
      <c r="D338" s="122">
        <v>483.9</v>
      </c>
      <c r="E338" s="122">
        <v>0.33700000000000002</v>
      </c>
      <c r="F338" s="122">
        <v>0.33100000000000002</v>
      </c>
      <c r="G338" s="122">
        <v>0</v>
      </c>
      <c r="H338" s="122">
        <v>0</v>
      </c>
      <c r="I338" s="122">
        <v>379.9</v>
      </c>
      <c r="J338" s="122">
        <v>341.6</v>
      </c>
      <c r="K338" s="122"/>
      <c r="L338" s="122"/>
      <c r="M338" s="122"/>
      <c r="N338" s="122"/>
      <c r="O338" s="122"/>
      <c r="P338" s="122"/>
      <c r="Q338" s="122"/>
      <c r="R338" s="122"/>
      <c r="S338" s="122"/>
      <c r="T338" s="122"/>
      <c r="U338" s="122"/>
      <c r="V338" s="122"/>
      <c r="W338" s="122"/>
      <c r="X338" s="122"/>
      <c r="Y338" s="122"/>
      <c r="Z338" s="122"/>
      <c r="AA338" s="122"/>
      <c r="AB338" s="122"/>
      <c r="AC338" s="122"/>
      <c r="AD338" s="122"/>
      <c r="AE338" s="122"/>
      <c r="AF338" s="122"/>
      <c r="AG338" s="122"/>
      <c r="AH338" s="122"/>
      <c r="AI338" s="122"/>
      <c r="AJ338" s="122"/>
      <c r="AK338" s="122"/>
      <c r="AL338" s="122"/>
      <c r="AM338" s="122"/>
      <c r="AN338" s="122"/>
      <c r="AO338" s="122"/>
    </row>
    <row r="339" spans="1:41" ht="14.7" customHeight="1">
      <c r="A339" s="121" t="s">
        <v>300</v>
      </c>
      <c r="B339" s="153"/>
      <c r="C339" s="122">
        <v>512.5</v>
      </c>
      <c r="D339" s="122">
        <v>499.4</v>
      </c>
      <c r="E339" s="122">
        <v>0.432</v>
      </c>
      <c r="F339" s="122">
        <v>0.41599999999999998</v>
      </c>
      <c r="G339" s="122">
        <v>0.05</v>
      </c>
      <c r="H339" s="122">
        <v>2.9000000000000001E-2</v>
      </c>
      <c r="I339" s="122">
        <v>411</v>
      </c>
      <c r="J339" s="122">
        <v>384.8</v>
      </c>
      <c r="K339" s="122"/>
      <c r="L339" s="122"/>
      <c r="M339" s="122"/>
      <c r="N339" s="122"/>
      <c r="O339" s="122"/>
      <c r="P339" s="122"/>
      <c r="Q339" s="122"/>
      <c r="R339" s="122"/>
      <c r="S339" s="122"/>
      <c r="T339" s="122"/>
      <c r="U339" s="122"/>
      <c r="V339" s="122"/>
      <c r="W339" s="122"/>
      <c r="X339" s="122"/>
      <c r="Y339" s="122"/>
      <c r="Z339" s="122"/>
      <c r="AA339" s="122"/>
      <c r="AB339" s="122"/>
      <c r="AC339" s="122"/>
      <c r="AD339" s="122"/>
      <c r="AE339" s="122"/>
      <c r="AF339" s="122"/>
      <c r="AG339" s="122"/>
      <c r="AH339" s="122"/>
      <c r="AI339" s="122"/>
      <c r="AJ339" s="122"/>
      <c r="AK339" s="122"/>
      <c r="AL339" s="122"/>
      <c r="AM339" s="122"/>
      <c r="AN339" s="122"/>
      <c r="AO339" s="122"/>
    </row>
    <row r="340" spans="1:41">
      <c r="A340" s="152"/>
      <c r="B340" s="123"/>
      <c r="C340" s="155"/>
      <c r="D340" s="123"/>
      <c r="E340" s="155"/>
      <c r="F340" s="155"/>
      <c r="G340" s="123"/>
      <c r="H340" s="123"/>
      <c r="I340" s="123"/>
      <c r="J340" s="123"/>
      <c r="K340" s="123"/>
      <c r="L340" s="123"/>
      <c r="M340" s="123"/>
      <c r="N340" s="123"/>
      <c r="O340" s="123"/>
      <c r="P340" s="123"/>
      <c r="Q340" s="123"/>
      <c r="R340" s="123"/>
      <c r="S340" s="123"/>
      <c r="T340" s="123"/>
      <c r="U340" s="123"/>
      <c r="V340" s="123"/>
      <c r="W340" s="123"/>
      <c r="X340" s="123"/>
      <c r="Y340" s="134"/>
    </row>
    <row r="341" spans="1:41" ht="12.75" customHeight="1">
      <c r="A341" s="152"/>
      <c r="B341" s="152"/>
      <c r="C341" s="155"/>
      <c r="D341" s="123"/>
      <c r="E341" s="155"/>
      <c r="F341" s="155"/>
      <c r="G341" s="123"/>
      <c r="H341" s="123"/>
      <c r="I341" s="123"/>
      <c r="J341" s="123"/>
      <c r="K341" s="123"/>
      <c r="L341" s="123"/>
      <c r="M341" s="123"/>
      <c r="N341" s="123"/>
      <c r="O341" s="123"/>
      <c r="P341" s="123"/>
      <c r="Q341" s="123"/>
      <c r="R341" s="123"/>
      <c r="S341" s="123"/>
      <c r="T341" s="123"/>
      <c r="U341" s="123"/>
      <c r="V341" s="123"/>
      <c r="W341" s="123"/>
      <c r="X341" s="123"/>
      <c r="Y341" s="134"/>
    </row>
    <row r="342" spans="1:41">
      <c r="A342" s="134"/>
      <c r="B342" s="134"/>
      <c r="C342" s="134"/>
      <c r="D342" s="134"/>
      <c r="E342" s="134"/>
      <c r="F342" s="134"/>
      <c r="G342" s="134"/>
      <c r="H342" s="134"/>
      <c r="I342" s="134"/>
      <c r="J342" s="134"/>
      <c r="K342" s="134"/>
      <c r="L342" s="134"/>
      <c r="M342" s="134"/>
      <c r="N342" s="134"/>
      <c r="O342" s="134"/>
      <c r="P342" s="134"/>
      <c r="Q342" s="134"/>
      <c r="R342" s="134"/>
      <c r="S342" s="134"/>
      <c r="T342" s="134"/>
      <c r="U342" s="134"/>
      <c r="V342" s="134"/>
      <c r="W342" s="134"/>
      <c r="X342" s="134"/>
      <c r="Y342" s="134"/>
    </row>
    <row r="343" spans="1:41">
      <c r="A343" s="31"/>
      <c r="B343" s="123"/>
      <c r="C343" s="134"/>
      <c r="D343" s="123"/>
      <c r="E343" s="134"/>
      <c r="F343" s="134"/>
      <c r="G343" s="123"/>
      <c r="H343" s="123"/>
      <c r="I343" s="123"/>
      <c r="J343" s="123"/>
      <c r="K343" s="123"/>
      <c r="L343" s="123"/>
      <c r="M343" s="123"/>
      <c r="N343" s="123"/>
      <c r="O343" s="123"/>
      <c r="P343" s="123"/>
      <c r="Q343" s="123"/>
      <c r="R343" s="123"/>
      <c r="S343" s="123"/>
      <c r="T343" s="124"/>
      <c r="U343" s="125"/>
      <c r="V343" s="134"/>
      <c r="W343" s="134"/>
      <c r="X343" s="134"/>
      <c r="Y343" s="134"/>
    </row>
    <row r="344" spans="1:41">
      <c r="A344" s="31"/>
      <c r="B344" s="123"/>
      <c r="C344" s="123"/>
      <c r="D344" s="123"/>
      <c r="E344" s="123"/>
      <c r="F344" s="123"/>
      <c r="G344" s="123"/>
      <c r="H344" s="123"/>
      <c r="I344" s="123"/>
      <c r="J344" s="123"/>
      <c r="K344" s="123"/>
      <c r="L344" s="123"/>
      <c r="M344" s="123"/>
      <c r="N344" s="123"/>
      <c r="O344" s="123"/>
      <c r="P344" s="123"/>
      <c r="Q344" s="123"/>
      <c r="R344" s="123"/>
      <c r="S344" s="123"/>
      <c r="T344" s="124"/>
      <c r="U344" s="125"/>
      <c r="V344" s="134"/>
      <c r="W344" s="134"/>
      <c r="X344" s="134"/>
      <c r="Y344" s="134"/>
    </row>
    <row r="345" spans="1:41">
      <c r="A345" s="31"/>
      <c r="B345" s="134"/>
      <c r="C345" s="123"/>
      <c r="D345" s="134"/>
      <c r="E345" s="123"/>
      <c r="F345" s="123"/>
      <c r="G345" s="134"/>
      <c r="H345" s="134"/>
      <c r="I345" s="134"/>
      <c r="J345" s="134"/>
      <c r="K345" s="134"/>
      <c r="L345" s="134"/>
      <c r="M345" s="134"/>
      <c r="N345" s="134"/>
      <c r="O345" s="134"/>
      <c r="P345" s="134"/>
      <c r="Q345" s="134"/>
      <c r="R345" s="134"/>
      <c r="S345" s="134"/>
      <c r="T345" s="134"/>
      <c r="U345" s="134"/>
      <c r="V345" s="134"/>
      <c r="W345" s="134"/>
      <c r="X345" s="134"/>
      <c r="Y345" s="134"/>
    </row>
    <row r="346" spans="1:41">
      <c r="A346" s="31"/>
      <c r="B346" s="134"/>
      <c r="C346" s="123"/>
      <c r="D346" s="134"/>
      <c r="E346" s="123"/>
      <c r="F346" s="123"/>
      <c r="G346" s="134"/>
      <c r="H346" s="134"/>
      <c r="I346" s="134"/>
      <c r="J346" s="134"/>
      <c r="K346" s="134"/>
      <c r="L346" s="134"/>
      <c r="M346" s="134"/>
      <c r="N346" s="134"/>
      <c r="O346" s="134"/>
      <c r="P346" s="134"/>
      <c r="Q346" s="134"/>
      <c r="R346" s="134"/>
      <c r="S346" s="134"/>
      <c r="T346" s="134"/>
      <c r="U346" s="134"/>
      <c r="V346" s="134"/>
      <c r="W346" s="134"/>
      <c r="X346" s="134"/>
      <c r="Y346" s="134"/>
    </row>
    <row r="347" spans="1:41">
      <c r="A347" s="31"/>
      <c r="B347" s="134"/>
      <c r="C347" s="134"/>
      <c r="D347" s="134"/>
      <c r="E347" s="134"/>
      <c r="F347" s="134"/>
      <c r="G347" s="134"/>
      <c r="H347" s="134"/>
      <c r="I347" s="134"/>
      <c r="J347" s="134"/>
      <c r="K347" s="134"/>
      <c r="L347" s="134"/>
      <c r="M347" s="134"/>
      <c r="N347" s="134"/>
      <c r="O347" s="134"/>
      <c r="P347" s="134"/>
      <c r="Q347" s="134"/>
      <c r="R347" s="134"/>
      <c r="S347" s="134"/>
      <c r="T347" s="134"/>
      <c r="U347" s="134"/>
      <c r="V347" s="134"/>
      <c r="W347" s="134"/>
      <c r="X347" s="134"/>
      <c r="Y347" s="134"/>
    </row>
    <row r="348" spans="1:41">
      <c r="A348" s="31"/>
      <c r="B348" s="134"/>
      <c r="C348" s="123"/>
      <c r="D348" s="134"/>
      <c r="E348" s="123"/>
      <c r="F348" s="123"/>
      <c r="G348" s="134"/>
      <c r="H348" s="134"/>
      <c r="I348" s="134"/>
      <c r="J348" s="134"/>
      <c r="K348" s="134"/>
      <c r="L348" s="134"/>
      <c r="M348" s="134"/>
      <c r="N348" s="134"/>
      <c r="O348" s="134"/>
      <c r="P348" s="134"/>
      <c r="Q348" s="134"/>
      <c r="R348" s="134"/>
      <c r="S348" s="134"/>
      <c r="T348" s="134"/>
      <c r="U348" s="134"/>
      <c r="V348" s="134"/>
      <c r="W348" s="134"/>
      <c r="X348" s="134"/>
      <c r="Y348" s="134"/>
    </row>
    <row r="349" spans="1:41">
      <c r="A349" s="31"/>
      <c r="B349" s="134"/>
      <c r="C349" s="123"/>
      <c r="D349" s="134"/>
      <c r="E349" s="123"/>
      <c r="F349" s="123"/>
      <c r="G349" s="134"/>
      <c r="H349" s="134"/>
      <c r="I349" s="134"/>
      <c r="J349" s="134"/>
      <c r="K349" s="134"/>
      <c r="L349" s="134"/>
      <c r="M349" s="134"/>
      <c r="N349" s="134"/>
      <c r="O349" s="134"/>
      <c r="P349" s="134"/>
      <c r="Q349" s="134"/>
      <c r="R349" s="134"/>
      <c r="S349" s="134"/>
      <c r="T349" s="134"/>
      <c r="U349" s="134"/>
      <c r="V349" s="134"/>
      <c r="W349" s="134"/>
      <c r="X349" s="134"/>
      <c r="Y349" s="134"/>
    </row>
    <row r="350" spans="1:41" ht="14.4">
      <c r="A350" s="32"/>
      <c r="B350" s="134"/>
      <c r="C350" s="134"/>
      <c r="D350" s="134"/>
      <c r="E350" s="134"/>
      <c r="F350" s="134"/>
      <c r="G350" s="134"/>
      <c r="H350" s="134"/>
      <c r="I350" s="134"/>
      <c r="J350" s="134"/>
      <c r="K350" s="134"/>
      <c r="L350" s="134"/>
      <c r="M350" s="134"/>
      <c r="N350" s="134"/>
      <c r="O350" s="134"/>
      <c r="P350" s="134"/>
      <c r="Q350" s="134"/>
      <c r="R350" s="134"/>
      <c r="S350" s="134"/>
      <c r="T350" s="134"/>
      <c r="U350" s="134"/>
      <c r="V350" s="134"/>
      <c r="W350" s="134"/>
      <c r="X350" s="134"/>
      <c r="Y350" s="134"/>
    </row>
    <row r="351" spans="1:41" ht="14.4">
      <c r="A351" s="32"/>
      <c r="B351" s="134"/>
      <c r="C351" s="134"/>
      <c r="D351" s="134"/>
      <c r="E351" s="134"/>
      <c r="F351" s="134"/>
      <c r="G351" s="134"/>
      <c r="H351" s="134"/>
      <c r="I351" s="134"/>
      <c r="J351" s="134"/>
      <c r="K351" s="134"/>
      <c r="L351" s="134"/>
      <c r="M351" s="134"/>
      <c r="N351" s="134"/>
      <c r="O351" s="134"/>
      <c r="P351" s="134"/>
      <c r="Q351" s="134"/>
      <c r="R351" s="134"/>
      <c r="S351" s="134"/>
      <c r="T351" s="134"/>
      <c r="U351" s="134"/>
      <c r="V351" s="134"/>
      <c r="W351" s="134"/>
      <c r="X351" s="134"/>
      <c r="Y351" s="134"/>
    </row>
    <row r="352" spans="1:41" ht="14.4">
      <c r="A352" s="32"/>
      <c r="B352" s="134"/>
      <c r="C352" s="134"/>
      <c r="D352" s="134"/>
      <c r="E352" s="134"/>
      <c r="F352" s="134"/>
      <c r="G352" s="134"/>
      <c r="H352" s="134"/>
      <c r="I352" s="134"/>
      <c r="J352" s="134"/>
      <c r="K352" s="134"/>
      <c r="L352" s="134"/>
      <c r="M352" s="134"/>
      <c r="N352" s="134"/>
      <c r="O352" s="134"/>
      <c r="P352" s="134"/>
      <c r="Q352" s="134"/>
      <c r="R352" s="134"/>
      <c r="S352" s="134"/>
      <c r="T352" s="134"/>
      <c r="U352" s="134"/>
      <c r="V352" s="134"/>
      <c r="W352" s="134"/>
      <c r="X352" s="134"/>
      <c r="Y352" s="134"/>
    </row>
    <row r="353" spans="1:25" ht="14.4">
      <c r="A353" s="32"/>
      <c r="B353" s="134"/>
      <c r="C353" s="134"/>
      <c r="D353" s="134"/>
      <c r="E353" s="134"/>
      <c r="F353" s="134"/>
      <c r="G353" s="134"/>
      <c r="H353" s="134"/>
      <c r="I353" s="134"/>
      <c r="J353" s="134"/>
      <c r="K353" s="134"/>
      <c r="L353" s="134"/>
      <c r="M353" s="134"/>
      <c r="N353" s="134"/>
      <c r="O353" s="134"/>
      <c r="P353" s="134"/>
      <c r="Q353" s="134"/>
      <c r="R353" s="134"/>
      <c r="S353" s="134"/>
      <c r="T353" s="134"/>
      <c r="U353" s="134"/>
      <c r="V353" s="134"/>
      <c r="W353" s="134"/>
      <c r="X353" s="134"/>
      <c r="Y353" s="134"/>
    </row>
    <row r="354" spans="1:25" ht="14.4">
      <c r="A354" s="32"/>
      <c r="B354" s="134"/>
      <c r="C354" s="134"/>
      <c r="D354" s="134"/>
      <c r="E354" s="134"/>
      <c r="F354" s="134"/>
      <c r="G354" s="134"/>
      <c r="H354" s="134"/>
      <c r="I354" s="134"/>
      <c r="J354" s="134"/>
      <c r="K354" s="134"/>
      <c r="L354" s="134"/>
      <c r="M354" s="134"/>
      <c r="N354" s="134"/>
      <c r="O354" s="134"/>
      <c r="P354" s="134"/>
      <c r="Q354" s="134"/>
      <c r="R354" s="134"/>
      <c r="S354" s="134"/>
      <c r="T354" s="134"/>
      <c r="U354" s="134"/>
      <c r="V354" s="134"/>
      <c r="W354" s="134"/>
      <c r="X354" s="134"/>
      <c r="Y354" s="134"/>
    </row>
    <row r="355" spans="1:25" ht="14.4">
      <c r="A355" s="32"/>
      <c r="B355" s="134"/>
      <c r="C355" s="134"/>
      <c r="D355" s="134"/>
      <c r="E355" s="134"/>
      <c r="F355" s="134"/>
      <c r="G355" s="134"/>
      <c r="H355" s="134"/>
      <c r="I355" s="134"/>
      <c r="J355" s="134"/>
      <c r="K355" s="134"/>
      <c r="L355" s="134"/>
      <c r="M355" s="134"/>
      <c r="N355" s="134"/>
      <c r="O355" s="134"/>
      <c r="P355" s="134"/>
      <c r="Q355" s="134"/>
      <c r="R355" s="134"/>
      <c r="S355" s="134"/>
      <c r="T355" s="134"/>
      <c r="U355" s="134"/>
      <c r="V355" s="134"/>
      <c r="W355" s="134"/>
      <c r="X355" s="134"/>
      <c r="Y355" s="134"/>
    </row>
    <row r="356" spans="1:25" ht="14.4">
      <c r="A356" s="32"/>
      <c r="B356" s="134"/>
      <c r="C356" s="134"/>
      <c r="D356" s="134"/>
      <c r="E356" s="134"/>
      <c r="F356" s="134"/>
      <c r="G356" s="134"/>
      <c r="H356" s="134"/>
      <c r="I356" s="134"/>
      <c r="J356" s="134"/>
      <c r="K356" s="134"/>
      <c r="L356" s="134"/>
      <c r="M356" s="134"/>
      <c r="N356" s="134"/>
      <c r="O356" s="134"/>
      <c r="P356" s="134"/>
      <c r="Q356" s="134"/>
      <c r="R356" s="134"/>
      <c r="S356" s="134"/>
      <c r="T356" s="134"/>
      <c r="U356" s="134"/>
      <c r="V356" s="134"/>
      <c r="W356" s="134"/>
      <c r="X356" s="134"/>
      <c r="Y356" s="134"/>
    </row>
    <row r="357" spans="1:25" ht="14.4">
      <c r="A357" s="32"/>
      <c r="B357" s="134"/>
      <c r="C357" s="134"/>
      <c r="D357" s="134"/>
      <c r="E357" s="134"/>
      <c r="F357" s="134"/>
      <c r="G357" s="134"/>
      <c r="H357" s="134"/>
      <c r="I357" s="134"/>
      <c r="J357" s="134"/>
      <c r="K357" s="134"/>
      <c r="L357" s="134"/>
      <c r="M357" s="134"/>
      <c r="N357" s="134"/>
      <c r="O357" s="134"/>
      <c r="P357" s="134"/>
      <c r="Q357" s="134"/>
      <c r="R357" s="134"/>
      <c r="S357" s="134"/>
      <c r="T357" s="134"/>
      <c r="U357" s="134"/>
      <c r="V357" s="134"/>
      <c r="W357" s="134"/>
      <c r="X357" s="134"/>
      <c r="Y357" s="134"/>
    </row>
    <row r="358" spans="1:25" ht="14.4">
      <c r="A358" s="126"/>
      <c r="B358" s="134"/>
      <c r="C358" s="134"/>
      <c r="D358" s="134"/>
      <c r="E358" s="134"/>
      <c r="F358" s="134"/>
      <c r="G358" s="134"/>
      <c r="H358" s="134"/>
      <c r="I358" s="134"/>
      <c r="J358" s="134"/>
      <c r="K358" s="134"/>
      <c r="L358" s="134"/>
      <c r="M358" s="134"/>
      <c r="N358" s="134"/>
      <c r="O358" s="134"/>
      <c r="P358" s="134"/>
      <c r="Q358" s="134"/>
      <c r="R358" s="134"/>
      <c r="S358" s="134"/>
      <c r="T358" s="134"/>
      <c r="U358" s="134"/>
      <c r="V358" s="134"/>
      <c r="W358" s="134"/>
      <c r="X358" s="134"/>
      <c r="Y358" s="134"/>
    </row>
    <row r="359" spans="1:25" ht="14.4">
      <c r="A359" s="32"/>
      <c r="B359" s="134"/>
      <c r="C359" s="134"/>
      <c r="D359" s="134"/>
      <c r="E359" s="134"/>
      <c r="F359" s="134"/>
      <c r="G359" s="134"/>
      <c r="H359" s="134"/>
      <c r="I359" s="134"/>
      <c r="J359" s="134"/>
      <c r="K359" s="134"/>
      <c r="L359" s="134"/>
      <c r="M359" s="134"/>
      <c r="N359" s="134"/>
      <c r="O359" s="134"/>
      <c r="P359" s="134"/>
      <c r="Q359" s="134"/>
      <c r="R359" s="134"/>
      <c r="S359" s="134"/>
      <c r="T359" s="134"/>
      <c r="U359" s="134"/>
      <c r="V359" s="134"/>
      <c r="W359" s="134"/>
      <c r="X359" s="134"/>
      <c r="Y359" s="134"/>
    </row>
    <row r="360" spans="1:25" ht="14.4">
      <c r="A360" s="32"/>
      <c r="B360" s="134"/>
      <c r="C360" s="134"/>
      <c r="D360" s="134"/>
      <c r="E360" s="134"/>
      <c r="F360" s="134"/>
      <c r="G360" s="134"/>
      <c r="H360" s="134"/>
      <c r="I360" s="134"/>
      <c r="J360" s="134"/>
      <c r="K360" s="134"/>
      <c r="L360" s="134"/>
      <c r="M360" s="134"/>
      <c r="N360" s="134"/>
      <c r="O360" s="134"/>
      <c r="P360" s="134"/>
      <c r="Q360" s="134"/>
      <c r="R360" s="134"/>
      <c r="S360" s="134"/>
      <c r="T360" s="134"/>
      <c r="U360" s="134"/>
      <c r="V360" s="134"/>
      <c r="W360" s="134"/>
      <c r="X360" s="134"/>
      <c r="Y360" s="134"/>
    </row>
    <row r="361" spans="1:25" ht="14.4">
      <c r="A361" s="32"/>
      <c r="B361" s="134"/>
      <c r="C361" s="134"/>
      <c r="D361" s="134"/>
      <c r="E361" s="134"/>
      <c r="F361" s="134"/>
      <c r="G361" s="134"/>
      <c r="H361" s="134"/>
      <c r="I361" s="134"/>
      <c r="J361" s="134"/>
      <c r="K361" s="134"/>
      <c r="L361" s="134"/>
      <c r="M361" s="134"/>
      <c r="N361" s="134"/>
      <c r="O361" s="134"/>
      <c r="P361" s="134"/>
      <c r="Q361" s="134"/>
      <c r="R361" s="134"/>
      <c r="S361" s="134"/>
      <c r="T361" s="134"/>
      <c r="U361" s="134"/>
      <c r="V361" s="134"/>
      <c r="W361" s="134"/>
      <c r="X361" s="134"/>
      <c r="Y361" s="134"/>
    </row>
    <row r="362" spans="1:25" ht="14.4">
      <c r="A362" s="32"/>
      <c r="B362" s="134"/>
      <c r="C362" s="134"/>
      <c r="D362" s="134"/>
      <c r="E362" s="134"/>
      <c r="F362" s="134"/>
      <c r="G362" s="134"/>
      <c r="H362" s="134"/>
      <c r="I362" s="134"/>
      <c r="J362" s="134"/>
      <c r="K362" s="134"/>
      <c r="L362" s="134"/>
      <c r="M362" s="134"/>
      <c r="N362" s="134"/>
      <c r="O362" s="134"/>
      <c r="P362" s="134"/>
      <c r="Q362" s="134"/>
      <c r="R362" s="134"/>
      <c r="S362" s="134"/>
      <c r="T362" s="134"/>
      <c r="U362" s="134"/>
      <c r="V362" s="134"/>
      <c r="W362" s="134"/>
      <c r="X362" s="134"/>
      <c r="Y362" s="134"/>
    </row>
    <row r="363" spans="1:25" ht="14.4">
      <c r="A363" s="32"/>
      <c r="B363" s="134"/>
      <c r="C363" s="134"/>
      <c r="D363" s="134"/>
      <c r="E363" s="134"/>
      <c r="F363" s="134"/>
      <c r="G363" s="134"/>
      <c r="H363" s="134"/>
      <c r="I363" s="134"/>
      <c r="J363" s="134"/>
      <c r="K363" s="134"/>
      <c r="L363" s="134"/>
      <c r="M363" s="134"/>
      <c r="N363" s="134"/>
      <c r="O363" s="134"/>
      <c r="P363" s="134"/>
      <c r="Q363" s="134"/>
      <c r="R363" s="134"/>
      <c r="S363" s="134"/>
      <c r="T363" s="134"/>
      <c r="U363" s="134"/>
      <c r="V363" s="134"/>
      <c r="W363" s="134"/>
      <c r="X363" s="134"/>
      <c r="Y363" s="134"/>
    </row>
    <row r="364" spans="1:25" ht="14.4">
      <c r="A364" s="32"/>
      <c r="B364" s="134"/>
      <c r="C364" s="134"/>
      <c r="D364" s="134"/>
      <c r="E364" s="134"/>
      <c r="F364" s="134"/>
      <c r="G364" s="134"/>
      <c r="H364" s="134"/>
      <c r="I364" s="134"/>
      <c r="J364" s="134"/>
      <c r="K364" s="134"/>
      <c r="L364" s="134"/>
      <c r="M364" s="134"/>
      <c r="N364" s="134"/>
      <c r="O364" s="134"/>
      <c r="P364" s="134"/>
      <c r="Q364" s="134"/>
      <c r="R364" s="134"/>
      <c r="S364" s="134"/>
      <c r="T364" s="134"/>
      <c r="U364" s="134"/>
      <c r="V364" s="134"/>
      <c r="W364" s="134"/>
      <c r="X364" s="134"/>
      <c r="Y364" s="134"/>
    </row>
    <row r="365" spans="1:25" ht="14.4">
      <c r="A365" s="32"/>
      <c r="B365" s="134"/>
      <c r="C365" s="134"/>
      <c r="D365" s="134"/>
      <c r="E365" s="134"/>
      <c r="F365" s="134"/>
      <c r="G365" s="134"/>
      <c r="H365" s="134"/>
      <c r="I365" s="134"/>
      <c r="J365" s="134"/>
      <c r="K365" s="134"/>
      <c r="L365" s="134"/>
      <c r="M365" s="134"/>
      <c r="N365" s="134"/>
      <c r="O365" s="134"/>
      <c r="P365" s="134"/>
      <c r="Q365" s="134"/>
      <c r="R365" s="134"/>
      <c r="S365" s="134"/>
      <c r="T365" s="134"/>
      <c r="U365" s="134"/>
      <c r="V365" s="134"/>
      <c r="W365" s="134"/>
      <c r="X365" s="134"/>
      <c r="Y365" s="134"/>
    </row>
    <row r="366" spans="1:25" ht="14.4">
      <c r="A366" s="32"/>
      <c r="B366" s="134"/>
      <c r="C366" s="134"/>
      <c r="D366" s="134"/>
      <c r="E366" s="134"/>
      <c r="F366" s="134"/>
      <c r="G366" s="134"/>
      <c r="H366" s="134"/>
      <c r="I366" s="134"/>
      <c r="J366" s="134"/>
      <c r="K366" s="134"/>
      <c r="L366" s="134"/>
      <c r="M366" s="134"/>
      <c r="N366" s="134"/>
      <c r="O366" s="134"/>
      <c r="P366" s="134"/>
      <c r="Q366" s="134"/>
      <c r="R366" s="134"/>
      <c r="S366" s="134"/>
      <c r="T366" s="134"/>
      <c r="U366" s="134"/>
      <c r="V366" s="134"/>
      <c r="W366" s="134"/>
      <c r="X366" s="134"/>
      <c r="Y366" s="134"/>
    </row>
    <row r="367" spans="1:25" ht="14.4">
      <c r="A367" s="32"/>
      <c r="B367" s="134"/>
      <c r="C367" s="134"/>
      <c r="D367" s="134"/>
      <c r="E367" s="134"/>
      <c r="F367" s="134"/>
      <c r="G367" s="134"/>
      <c r="H367" s="134"/>
      <c r="I367" s="134"/>
      <c r="J367" s="134"/>
      <c r="K367" s="134"/>
      <c r="L367" s="134"/>
      <c r="M367" s="134"/>
      <c r="N367" s="134"/>
      <c r="O367" s="134"/>
      <c r="P367" s="134"/>
      <c r="Q367" s="134"/>
      <c r="R367" s="134"/>
      <c r="S367" s="134"/>
      <c r="T367" s="134"/>
      <c r="U367" s="134"/>
      <c r="V367" s="134"/>
      <c r="W367" s="134"/>
      <c r="X367" s="134"/>
      <c r="Y367" s="134"/>
    </row>
    <row r="368" spans="1:25" ht="14.4">
      <c r="A368" s="32"/>
      <c r="B368" s="134"/>
      <c r="C368" s="134"/>
      <c r="D368" s="134"/>
      <c r="E368" s="134"/>
      <c r="F368" s="134"/>
      <c r="G368" s="134"/>
      <c r="H368" s="134"/>
      <c r="I368" s="134"/>
      <c r="J368" s="134"/>
      <c r="K368" s="134"/>
      <c r="L368" s="134"/>
      <c r="M368" s="134"/>
      <c r="N368" s="134"/>
      <c r="O368" s="134"/>
      <c r="P368" s="134"/>
      <c r="Q368" s="134"/>
      <c r="R368" s="134"/>
      <c r="S368" s="134"/>
      <c r="T368" s="134"/>
      <c r="U368" s="134"/>
      <c r="V368" s="134"/>
      <c r="W368" s="134"/>
      <c r="X368" s="134"/>
      <c r="Y368" s="134"/>
    </row>
    <row r="369" spans="1:25" ht="14.4">
      <c r="A369" s="32"/>
      <c r="B369" s="134"/>
      <c r="C369" s="134"/>
      <c r="D369" s="134"/>
      <c r="E369" s="134"/>
      <c r="F369" s="134"/>
      <c r="G369" s="134"/>
      <c r="H369" s="134"/>
      <c r="I369" s="134"/>
      <c r="J369" s="134"/>
      <c r="K369" s="134"/>
      <c r="L369" s="134"/>
      <c r="M369" s="134"/>
      <c r="N369" s="134"/>
      <c r="O369" s="134"/>
      <c r="P369" s="134"/>
      <c r="Q369" s="134"/>
      <c r="R369" s="134"/>
      <c r="S369" s="134"/>
      <c r="T369" s="134"/>
      <c r="U369" s="134"/>
      <c r="V369" s="134"/>
      <c r="W369" s="134"/>
      <c r="X369" s="134"/>
      <c r="Y369" s="134"/>
    </row>
    <row r="370" spans="1:25">
      <c r="A370" s="134"/>
      <c r="B370" s="134"/>
      <c r="C370" s="134"/>
      <c r="D370" s="134"/>
      <c r="E370" s="134"/>
      <c r="F370" s="134"/>
      <c r="G370" s="134"/>
      <c r="H370" s="134"/>
      <c r="I370" s="134"/>
      <c r="J370" s="134"/>
      <c r="K370" s="134"/>
      <c r="L370" s="134"/>
      <c r="M370" s="134"/>
      <c r="N370" s="134"/>
      <c r="O370" s="134"/>
      <c r="P370" s="134"/>
      <c r="Q370" s="134"/>
      <c r="R370" s="134"/>
      <c r="S370" s="134"/>
      <c r="T370" s="134"/>
      <c r="U370" s="134"/>
      <c r="V370" s="134"/>
      <c r="W370" s="134"/>
      <c r="X370" s="134"/>
      <c r="Y370" s="134"/>
    </row>
    <row r="371" spans="1:25">
      <c r="A371" s="134"/>
      <c r="B371" s="134"/>
      <c r="C371" s="134"/>
      <c r="D371" s="134"/>
      <c r="E371" s="134"/>
      <c r="F371" s="134"/>
      <c r="G371" s="134"/>
      <c r="H371" s="134"/>
      <c r="I371" s="134"/>
      <c r="J371" s="134"/>
      <c r="K371" s="134"/>
      <c r="L371" s="134"/>
      <c r="M371" s="134"/>
      <c r="N371" s="134"/>
      <c r="O371" s="134"/>
      <c r="P371" s="134"/>
      <c r="Q371" s="134"/>
      <c r="R371" s="134"/>
      <c r="S371" s="134"/>
      <c r="T371" s="134"/>
      <c r="U371" s="134"/>
      <c r="V371" s="134"/>
      <c r="W371" s="134"/>
      <c r="X371" s="134"/>
      <c r="Y371" s="134"/>
    </row>
    <row r="372" spans="1:25">
      <c r="A372" s="134"/>
      <c r="B372" s="134"/>
      <c r="C372" s="134"/>
      <c r="D372" s="134"/>
      <c r="E372" s="134"/>
      <c r="F372" s="134"/>
      <c r="G372" s="134"/>
      <c r="H372" s="134"/>
      <c r="I372" s="134"/>
      <c r="J372" s="134"/>
      <c r="K372" s="134"/>
      <c r="L372" s="134"/>
      <c r="M372" s="134"/>
      <c r="N372" s="134"/>
      <c r="O372" s="134"/>
      <c r="P372" s="134"/>
      <c r="Q372" s="134"/>
      <c r="R372" s="134"/>
      <c r="S372" s="134"/>
      <c r="T372" s="134"/>
      <c r="U372" s="134"/>
      <c r="V372" s="134"/>
      <c r="W372" s="134"/>
      <c r="X372" s="134"/>
      <c r="Y372" s="134"/>
    </row>
    <row r="373" spans="1:25">
      <c r="A373" s="134"/>
      <c r="B373" s="134"/>
      <c r="C373" s="134"/>
      <c r="D373" s="134"/>
      <c r="E373" s="134"/>
      <c r="F373" s="134"/>
      <c r="G373" s="134"/>
      <c r="H373" s="134"/>
      <c r="I373" s="134"/>
      <c r="J373" s="134"/>
      <c r="K373" s="134"/>
      <c r="L373" s="134"/>
      <c r="M373" s="134"/>
      <c r="N373" s="134"/>
      <c r="O373" s="134"/>
      <c r="P373" s="134"/>
      <c r="Q373" s="134"/>
      <c r="R373" s="134"/>
      <c r="S373" s="134"/>
      <c r="T373" s="134"/>
      <c r="U373" s="134"/>
      <c r="V373" s="134"/>
      <c r="W373" s="134"/>
      <c r="X373" s="134"/>
      <c r="Y373" s="134"/>
    </row>
    <row r="374" spans="1:25">
      <c r="A374" s="134"/>
      <c r="B374" s="134"/>
      <c r="C374" s="134"/>
      <c r="D374" s="134"/>
      <c r="E374" s="134"/>
      <c r="F374" s="134"/>
      <c r="G374" s="134"/>
      <c r="H374" s="134"/>
      <c r="I374" s="134"/>
      <c r="J374" s="134"/>
      <c r="K374" s="134"/>
      <c r="L374" s="134"/>
      <c r="M374" s="134"/>
      <c r="N374" s="134"/>
      <c r="O374" s="134"/>
      <c r="P374" s="134"/>
      <c r="Q374" s="134"/>
      <c r="R374" s="134"/>
      <c r="S374" s="134"/>
      <c r="T374" s="134"/>
      <c r="U374" s="134"/>
      <c r="V374" s="134"/>
      <c r="W374" s="134"/>
      <c r="X374" s="134"/>
      <c r="Y374" s="134"/>
    </row>
    <row r="375" spans="1:25">
      <c r="A375" s="134"/>
      <c r="B375" s="134"/>
      <c r="C375" s="134"/>
      <c r="D375" s="134"/>
      <c r="E375" s="134"/>
      <c r="F375" s="134"/>
      <c r="G375" s="134"/>
      <c r="H375" s="134"/>
      <c r="I375" s="134"/>
      <c r="J375" s="134"/>
      <c r="K375" s="134"/>
      <c r="L375" s="134"/>
      <c r="M375" s="134"/>
      <c r="N375" s="134"/>
      <c r="O375" s="134"/>
      <c r="P375" s="134"/>
      <c r="Q375" s="134"/>
      <c r="R375" s="134"/>
      <c r="S375" s="134"/>
      <c r="T375" s="134"/>
      <c r="U375" s="134"/>
      <c r="V375" s="134"/>
      <c r="W375" s="134"/>
      <c r="X375" s="134"/>
      <c r="Y375" s="134"/>
    </row>
    <row r="376" spans="1:25">
      <c r="A376" s="134"/>
      <c r="B376" s="134"/>
      <c r="C376" s="134"/>
      <c r="D376" s="134"/>
      <c r="E376" s="134"/>
      <c r="F376" s="134"/>
      <c r="G376" s="134"/>
      <c r="H376" s="134"/>
      <c r="I376" s="134"/>
      <c r="J376" s="134"/>
      <c r="K376" s="134"/>
      <c r="L376" s="134"/>
      <c r="M376" s="134"/>
      <c r="N376" s="134"/>
      <c r="O376" s="134"/>
      <c r="P376" s="134"/>
      <c r="Q376" s="134"/>
      <c r="R376" s="134"/>
      <c r="S376" s="134"/>
      <c r="T376" s="134"/>
      <c r="U376" s="134"/>
      <c r="V376" s="134"/>
      <c r="W376" s="134"/>
      <c r="X376" s="134"/>
      <c r="Y376" s="134"/>
    </row>
    <row r="377" spans="1:25">
      <c r="A377" s="134"/>
      <c r="B377" s="134"/>
      <c r="C377" s="134"/>
      <c r="D377" s="134"/>
      <c r="E377" s="134"/>
      <c r="F377" s="134"/>
      <c r="G377" s="134"/>
      <c r="H377" s="134"/>
      <c r="I377" s="134"/>
      <c r="J377" s="134"/>
      <c r="K377" s="134"/>
      <c r="L377" s="134"/>
      <c r="M377" s="134"/>
      <c r="N377" s="134"/>
      <c r="O377" s="134"/>
      <c r="P377" s="134"/>
      <c r="Q377" s="134"/>
      <c r="R377" s="134"/>
      <c r="S377" s="134"/>
      <c r="T377" s="134"/>
      <c r="U377" s="134"/>
      <c r="V377" s="134"/>
      <c r="W377" s="134"/>
      <c r="X377" s="134"/>
      <c r="Y377" s="134"/>
    </row>
    <row r="378" spans="1:25">
      <c r="A378" s="134"/>
      <c r="B378" s="134"/>
      <c r="C378" s="134"/>
      <c r="D378" s="134"/>
      <c r="E378" s="134"/>
      <c r="F378" s="134"/>
      <c r="G378" s="134"/>
      <c r="H378" s="134"/>
      <c r="I378" s="134"/>
      <c r="J378" s="134"/>
      <c r="K378" s="134"/>
      <c r="L378" s="134"/>
      <c r="M378" s="134"/>
      <c r="N378" s="134"/>
      <c r="O378" s="134"/>
      <c r="P378" s="134"/>
      <c r="Q378" s="134"/>
      <c r="R378" s="134"/>
      <c r="S378" s="134"/>
      <c r="T378" s="134"/>
      <c r="U378" s="134"/>
      <c r="V378" s="134"/>
      <c r="W378" s="134"/>
      <c r="X378" s="134"/>
      <c r="Y378" s="134"/>
    </row>
    <row r="379" spans="1:25">
      <c r="A379" s="134"/>
      <c r="B379" s="134"/>
      <c r="C379" s="134"/>
      <c r="D379" s="134"/>
      <c r="E379" s="134"/>
      <c r="F379" s="134"/>
      <c r="G379" s="134"/>
      <c r="H379" s="134"/>
      <c r="I379" s="134"/>
      <c r="J379" s="134"/>
      <c r="K379" s="134"/>
      <c r="L379" s="134"/>
      <c r="M379" s="134"/>
      <c r="N379" s="134"/>
      <c r="O379" s="134"/>
      <c r="P379" s="134"/>
      <c r="Q379" s="134"/>
      <c r="R379" s="134"/>
      <c r="S379" s="134"/>
      <c r="T379" s="134"/>
      <c r="U379" s="134"/>
      <c r="V379" s="134"/>
      <c r="W379" s="134"/>
      <c r="X379" s="134"/>
      <c r="Y379" s="134"/>
    </row>
    <row r="380" spans="1:25">
      <c r="A380" s="134"/>
      <c r="B380" s="134"/>
      <c r="C380" s="134"/>
      <c r="D380" s="134"/>
      <c r="E380" s="134"/>
      <c r="F380" s="134"/>
      <c r="G380" s="134"/>
      <c r="H380" s="134"/>
      <c r="I380" s="134"/>
      <c r="J380" s="134"/>
      <c r="K380" s="134"/>
      <c r="L380" s="134"/>
      <c r="M380" s="134"/>
      <c r="N380" s="134"/>
      <c r="O380" s="134"/>
      <c r="P380" s="134"/>
      <c r="Q380" s="134"/>
      <c r="R380" s="134"/>
      <c r="S380" s="134"/>
      <c r="T380" s="134"/>
      <c r="U380" s="134"/>
      <c r="V380" s="134"/>
      <c r="W380" s="134"/>
      <c r="X380" s="134"/>
      <c r="Y380" s="134"/>
    </row>
    <row r="381" spans="1:25">
      <c r="A381" s="134"/>
      <c r="B381" s="134"/>
      <c r="C381" s="134"/>
      <c r="D381" s="134"/>
      <c r="E381" s="134"/>
      <c r="F381" s="134"/>
      <c r="G381" s="134"/>
      <c r="H381" s="134"/>
      <c r="I381" s="134"/>
      <c r="J381" s="134"/>
      <c r="K381" s="134"/>
      <c r="L381" s="134"/>
      <c r="M381" s="134"/>
      <c r="N381" s="134"/>
      <c r="O381" s="134"/>
      <c r="P381" s="134"/>
      <c r="Q381" s="134"/>
      <c r="R381" s="134"/>
      <c r="S381" s="134"/>
      <c r="T381" s="134"/>
      <c r="U381" s="134"/>
      <c r="V381" s="134"/>
      <c r="W381" s="134"/>
      <c r="X381" s="134"/>
      <c r="Y381" s="134"/>
    </row>
    <row r="382" spans="1:25">
      <c r="A382" s="134"/>
      <c r="B382" s="134"/>
      <c r="C382" s="134"/>
      <c r="D382" s="134"/>
      <c r="E382" s="134"/>
      <c r="F382" s="134"/>
      <c r="G382" s="134"/>
      <c r="H382" s="134"/>
      <c r="I382" s="134"/>
      <c r="J382" s="134"/>
      <c r="K382" s="134"/>
      <c r="L382" s="134"/>
      <c r="M382" s="134"/>
      <c r="N382" s="134"/>
      <c r="O382" s="134"/>
      <c r="P382" s="134"/>
      <c r="Q382" s="134"/>
      <c r="R382" s="134"/>
      <c r="S382" s="134"/>
      <c r="T382" s="134"/>
      <c r="U382" s="134"/>
      <c r="V382" s="134"/>
      <c r="W382" s="134"/>
      <c r="X382" s="134"/>
      <c r="Y382" s="134"/>
    </row>
    <row r="383" spans="1:25">
      <c r="A383" s="134"/>
      <c r="B383" s="134"/>
      <c r="C383" s="134"/>
      <c r="D383" s="134"/>
      <c r="E383" s="134"/>
      <c r="F383" s="134"/>
      <c r="G383" s="134"/>
      <c r="H383" s="134"/>
      <c r="I383" s="134"/>
      <c r="J383" s="134"/>
      <c r="K383" s="134"/>
      <c r="L383" s="134"/>
      <c r="M383" s="134"/>
      <c r="N383" s="134"/>
      <c r="O383" s="134"/>
      <c r="P383" s="134"/>
      <c r="Q383" s="134"/>
      <c r="R383" s="134"/>
      <c r="S383" s="134"/>
      <c r="T383" s="134"/>
      <c r="U383" s="134"/>
      <c r="V383" s="134"/>
      <c r="W383" s="134"/>
      <c r="X383" s="134"/>
      <c r="Y383" s="134"/>
    </row>
    <row r="384" spans="1:25">
      <c r="A384" s="134"/>
      <c r="B384" s="134"/>
      <c r="C384" s="134"/>
      <c r="D384" s="134"/>
      <c r="E384" s="134"/>
      <c r="F384" s="134"/>
      <c r="G384" s="134"/>
      <c r="H384" s="134"/>
      <c r="I384" s="134"/>
      <c r="J384" s="134"/>
      <c r="K384" s="134"/>
      <c r="L384" s="134"/>
      <c r="M384" s="134"/>
      <c r="N384" s="134"/>
      <c r="O384" s="134"/>
      <c r="P384" s="134"/>
      <c r="Q384" s="134"/>
      <c r="R384" s="134"/>
      <c r="S384" s="134"/>
      <c r="T384" s="134"/>
      <c r="U384" s="134"/>
      <c r="V384" s="134"/>
      <c r="W384" s="134"/>
      <c r="X384" s="134"/>
      <c r="Y384" s="134"/>
    </row>
    <row r="385" spans="1:25">
      <c r="A385" s="134"/>
      <c r="B385" s="134"/>
      <c r="C385" s="134"/>
      <c r="D385" s="134"/>
      <c r="E385" s="134"/>
      <c r="F385" s="134"/>
      <c r="G385" s="134"/>
      <c r="H385" s="134"/>
      <c r="I385" s="134"/>
      <c r="J385" s="134"/>
      <c r="K385" s="134"/>
      <c r="L385" s="134"/>
      <c r="M385" s="134"/>
      <c r="N385" s="134"/>
      <c r="O385" s="134"/>
      <c r="P385" s="134"/>
      <c r="Q385" s="134"/>
      <c r="R385" s="134"/>
      <c r="S385" s="134"/>
      <c r="T385" s="134"/>
      <c r="U385" s="134"/>
      <c r="V385" s="134"/>
      <c r="W385" s="134"/>
      <c r="X385" s="134"/>
      <c r="Y385" s="134"/>
    </row>
    <row r="386" spans="1:25">
      <c r="A386" s="134"/>
      <c r="B386" s="134"/>
      <c r="C386" s="134"/>
      <c r="D386" s="134"/>
      <c r="E386" s="134"/>
      <c r="F386" s="134"/>
      <c r="G386" s="134"/>
      <c r="H386" s="134"/>
      <c r="I386" s="134"/>
      <c r="J386" s="134"/>
      <c r="K386" s="134"/>
      <c r="L386" s="134"/>
      <c r="M386" s="134"/>
      <c r="N386" s="134"/>
      <c r="O386" s="134"/>
      <c r="P386" s="134"/>
      <c r="Q386" s="134"/>
      <c r="R386" s="134"/>
      <c r="S386" s="134"/>
      <c r="T386" s="134"/>
      <c r="U386" s="134"/>
      <c r="V386" s="134"/>
      <c r="W386" s="134"/>
      <c r="X386" s="134"/>
      <c r="Y386" s="134"/>
    </row>
    <row r="387" spans="1:25">
      <c r="A387" s="134"/>
      <c r="B387" s="134"/>
      <c r="C387" s="134"/>
      <c r="D387" s="134"/>
      <c r="E387" s="134"/>
      <c r="F387" s="134"/>
      <c r="G387" s="134"/>
      <c r="H387" s="134"/>
      <c r="I387" s="134"/>
      <c r="J387" s="134"/>
      <c r="K387" s="134"/>
      <c r="L387" s="134"/>
      <c r="M387" s="134"/>
      <c r="N387" s="134"/>
      <c r="O387" s="134"/>
      <c r="P387" s="134"/>
      <c r="Q387" s="134"/>
      <c r="R387" s="134"/>
      <c r="S387" s="134"/>
      <c r="T387" s="134"/>
      <c r="U387" s="134"/>
      <c r="V387" s="134"/>
      <c r="W387" s="134"/>
      <c r="X387" s="134"/>
      <c r="Y387" s="134"/>
    </row>
    <row r="388" spans="1:25">
      <c r="A388" s="134"/>
      <c r="B388" s="134"/>
      <c r="C388" s="134"/>
      <c r="D388" s="134"/>
      <c r="E388" s="134"/>
      <c r="F388" s="134"/>
      <c r="G388" s="134"/>
      <c r="H388" s="134"/>
      <c r="I388" s="134"/>
      <c r="J388" s="134"/>
      <c r="K388" s="134"/>
      <c r="L388" s="134"/>
      <c r="M388" s="134"/>
      <c r="N388" s="134"/>
      <c r="O388" s="134"/>
      <c r="P388" s="134"/>
      <c r="Q388" s="134"/>
      <c r="R388" s="134"/>
      <c r="S388" s="134"/>
      <c r="T388" s="134"/>
      <c r="U388" s="134"/>
      <c r="V388" s="134"/>
      <c r="W388" s="134"/>
      <c r="X388" s="134"/>
      <c r="Y388" s="134"/>
    </row>
    <row r="389" spans="1:25">
      <c r="A389" s="134"/>
      <c r="B389" s="134"/>
      <c r="C389" s="134"/>
      <c r="D389" s="134"/>
      <c r="E389" s="134"/>
      <c r="F389" s="134"/>
      <c r="G389" s="134"/>
      <c r="H389" s="134"/>
      <c r="I389" s="134"/>
      <c r="J389" s="134"/>
      <c r="K389" s="134"/>
      <c r="L389" s="134"/>
      <c r="M389" s="134"/>
      <c r="N389" s="134"/>
      <c r="O389" s="134"/>
      <c r="P389" s="134"/>
      <c r="Q389" s="134"/>
      <c r="R389" s="134"/>
      <c r="S389" s="134"/>
      <c r="T389" s="134"/>
      <c r="U389" s="134"/>
      <c r="V389" s="134"/>
      <c r="W389" s="134"/>
      <c r="X389" s="134"/>
      <c r="Y389" s="134"/>
    </row>
    <row r="390" spans="1:25">
      <c r="A390" s="134"/>
      <c r="B390" s="134"/>
      <c r="C390" s="134"/>
      <c r="D390" s="134"/>
      <c r="E390" s="134"/>
      <c r="F390" s="134"/>
      <c r="G390" s="134"/>
      <c r="H390" s="134"/>
      <c r="I390" s="134"/>
      <c r="J390" s="134"/>
      <c r="K390" s="134"/>
      <c r="L390" s="134"/>
      <c r="M390" s="134"/>
      <c r="N390" s="134"/>
      <c r="O390" s="134"/>
      <c r="P390" s="134"/>
      <c r="Q390" s="134"/>
      <c r="R390" s="134"/>
      <c r="S390" s="134"/>
      <c r="T390" s="134"/>
      <c r="U390" s="134"/>
      <c r="V390" s="134"/>
      <c r="W390" s="134"/>
      <c r="X390" s="134"/>
      <c r="Y390" s="134"/>
    </row>
    <row r="391" spans="1:25">
      <c r="A391" s="134"/>
      <c r="B391" s="134"/>
      <c r="C391" s="134"/>
      <c r="D391" s="134"/>
      <c r="E391" s="134"/>
      <c r="F391" s="134"/>
      <c r="G391" s="134"/>
      <c r="H391" s="134"/>
      <c r="I391" s="134"/>
      <c r="J391" s="134"/>
      <c r="K391" s="134"/>
      <c r="L391" s="134"/>
      <c r="M391" s="134"/>
      <c r="N391" s="134"/>
      <c r="O391" s="134"/>
      <c r="P391" s="134"/>
      <c r="Q391" s="134"/>
      <c r="R391" s="134"/>
      <c r="S391" s="134"/>
      <c r="T391" s="134"/>
      <c r="U391" s="134"/>
      <c r="V391" s="134"/>
      <c r="W391" s="134"/>
      <c r="X391" s="134"/>
      <c r="Y391" s="134"/>
    </row>
    <row r="392" spans="1:25">
      <c r="A392" s="134"/>
      <c r="B392" s="134"/>
      <c r="C392" s="134"/>
      <c r="D392" s="134"/>
      <c r="E392" s="134"/>
      <c r="F392" s="134"/>
      <c r="G392" s="134"/>
      <c r="H392" s="134"/>
      <c r="I392" s="134"/>
      <c r="J392" s="134"/>
      <c r="K392" s="134"/>
      <c r="L392" s="134"/>
      <c r="M392" s="134"/>
      <c r="N392" s="134"/>
      <c r="O392" s="134"/>
      <c r="P392" s="134"/>
      <c r="Q392" s="134"/>
      <c r="R392" s="134"/>
      <c r="S392" s="134"/>
      <c r="T392" s="134"/>
      <c r="U392" s="134"/>
      <c r="V392" s="134"/>
      <c r="W392" s="134"/>
      <c r="X392" s="134"/>
      <c r="Y392" s="134"/>
    </row>
    <row r="393" spans="1:25">
      <c r="A393" s="134"/>
      <c r="B393" s="134"/>
      <c r="C393" s="134"/>
      <c r="D393" s="134"/>
      <c r="E393" s="134"/>
      <c r="F393" s="134"/>
      <c r="G393" s="134"/>
      <c r="H393" s="134"/>
      <c r="I393" s="134"/>
      <c r="J393" s="134"/>
      <c r="K393" s="134"/>
      <c r="L393" s="134"/>
      <c r="M393" s="134"/>
      <c r="N393" s="134"/>
      <c r="O393" s="134"/>
      <c r="P393" s="134"/>
      <c r="Q393" s="134"/>
      <c r="R393" s="134"/>
      <c r="S393" s="134"/>
      <c r="T393" s="134"/>
      <c r="U393" s="134"/>
      <c r="V393" s="134"/>
      <c r="W393" s="134"/>
      <c r="X393" s="134"/>
      <c r="Y393" s="134"/>
    </row>
    <row r="394" spans="1:25">
      <c r="A394" s="134"/>
      <c r="B394" s="134"/>
      <c r="C394" s="134"/>
      <c r="D394" s="134"/>
      <c r="E394" s="134"/>
      <c r="F394" s="134"/>
      <c r="G394" s="134"/>
      <c r="H394" s="134"/>
      <c r="I394" s="134"/>
      <c r="J394" s="134"/>
      <c r="K394" s="134"/>
      <c r="L394" s="134"/>
      <c r="M394" s="134"/>
      <c r="N394" s="134"/>
      <c r="O394" s="134"/>
      <c r="P394" s="134"/>
      <c r="Q394" s="134"/>
      <c r="R394" s="134"/>
      <c r="S394" s="134"/>
      <c r="T394" s="134"/>
      <c r="U394" s="134"/>
      <c r="V394" s="134"/>
      <c r="W394" s="134"/>
      <c r="X394" s="134"/>
      <c r="Y394" s="134"/>
    </row>
    <row r="395" spans="1:25">
      <c r="A395" s="134"/>
      <c r="B395" s="134"/>
      <c r="C395" s="134"/>
      <c r="D395" s="134"/>
      <c r="E395" s="134"/>
      <c r="F395" s="134"/>
      <c r="G395" s="134"/>
      <c r="H395" s="134"/>
      <c r="I395" s="134"/>
      <c r="J395" s="134"/>
      <c r="K395" s="134"/>
      <c r="L395" s="134"/>
      <c r="M395" s="134"/>
      <c r="N395" s="134"/>
      <c r="O395" s="134"/>
      <c r="P395" s="134"/>
      <c r="Q395" s="134"/>
      <c r="R395" s="134"/>
      <c r="S395" s="134"/>
      <c r="T395" s="134"/>
      <c r="U395" s="134"/>
      <c r="V395" s="134"/>
      <c r="W395" s="134"/>
      <c r="X395" s="134"/>
      <c r="Y395" s="134"/>
    </row>
    <row r="396" spans="1:25">
      <c r="A396" s="134"/>
      <c r="B396" s="134"/>
      <c r="C396" s="134"/>
      <c r="D396" s="134"/>
      <c r="E396" s="134"/>
      <c r="F396" s="134"/>
      <c r="G396" s="134"/>
      <c r="H396" s="134"/>
      <c r="I396" s="134"/>
      <c r="J396" s="134"/>
      <c r="K396" s="134"/>
      <c r="L396" s="134"/>
      <c r="M396" s="134"/>
      <c r="N396" s="134"/>
      <c r="O396" s="134"/>
      <c r="P396" s="134"/>
      <c r="Q396" s="134"/>
      <c r="R396" s="134"/>
      <c r="S396" s="134"/>
      <c r="T396" s="134"/>
      <c r="U396" s="134"/>
      <c r="V396" s="134"/>
      <c r="W396" s="134"/>
      <c r="X396" s="134"/>
      <c r="Y396" s="134"/>
    </row>
    <row r="397" spans="1:25">
      <c r="A397" s="134"/>
      <c r="B397" s="134"/>
      <c r="C397" s="134"/>
      <c r="D397" s="134"/>
      <c r="E397" s="134"/>
      <c r="F397" s="134"/>
      <c r="G397" s="134"/>
      <c r="H397" s="134"/>
      <c r="I397" s="134"/>
      <c r="J397" s="134"/>
      <c r="K397" s="134"/>
      <c r="L397" s="134"/>
      <c r="M397" s="134"/>
      <c r="N397" s="134"/>
      <c r="O397" s="134"/>
      <c r="P397" s="134"/>
      <c r="Q397" s="134"/>
      <c r="R397" s="134"/>
      <c r="S397" s="134"/>
      <c r="T397" s="134"/>
      <c r="U397" s="134"/>
      <c r="V397" s="134"/>
      <c r="W397" s="134"/>
      <c r="X397" s="134"/>
      <c r="Y397" s="134"/>
    </row>
    <row r="398" spans="1:25">
      <c r="A398" s="134"/>
      <c r="B398" s="134"/>
      <c r="C398" s="134"/>
      <c r="D398" s="134"/>
      <c r="E398" s="134"/>
      <c r="F398" s="134"/>
      <c r="G398" s="134"/>
      <c r="H398" s="134"/>
      <c r="I398" s="134"/>
      <c r="J398" s="134"/>
      <c r="K398" s="134"/>
      <c r="L398" s="134"/>
      <c r="M398" s="134"/>
      <c r="N398" s="134"/>
      <c r="O398" s="134"/>
      <c r="P398" s="134"/>
      <c r="Q398" s="134"/>
      <c r="R398" s="134"/>
      <c r="S398" s="134"/>
      <c r="T398" s="134"/>
      <c r="U398" s="134"/>
      <c r="V398" s="134"/>
      <c r="W398" s="134"/>
      <c r="X398" s="134"/>
      <c r="Y398" s="134"/>
    </row>
    <row r="399" spans="1:25">
      <c r="A399" s="134"/>
      <c r="B399" s="134"/>
      <c r="C399" s="134"/>
      <c r="D399" s="134"/>
      <c r="E399" s="134"/>
      <c r="F399" s="134"/>
      <c r="G399" s="134"/>
      <c r="H399" s="134"/>
      <c r="I399" s="134"/>
      <c r="J399" s="134"/>
      <c r="K399" s="134"/>
      <c r="L399" s="134"/>
      <c r="M399" s="134"/>
      <c r="N399" s="134"/>
      <c r="O399" s="134"/>
      <c r="P399" s="134"/>
      <c r="Q399" s="134"/>
      <c r="R399" s="134"/>
      <c r="S399" s="134"/>
      <c r="T399" s="134"/>
      <c r="U399" s="134"/>
      <c r="V399" s="134"/>
      <c r="W399" s="134"/>
      <c r="X399" s="134"/>
      <c r="Y399" s="134"/>
    </row>
    <row r="400" spans="1:25">
      <c r="A400" s="134"/>
      <c r="B400" s="134"/>
      <c r="C400" s="134"/>
      <c r="D400" s="134"/>
      <c r="E400" s="134"/>
      <c r="F400" s="134"/>
      <c r="G400" s="134"/>
      <c r="H400" s="134"/>
      <c r="I400" s="134"/>
      <c r="J400" s="134"/>
      <c r="K400" s="134"/>
      <c r="L400" s="134"/>
      <c r="M400" s="134"/>
      <c r="N400" s="134"/>
      <c r="O400" s="134"/>
      <c r="P400" s="134"/>
      <c r="Q400" s="134"/>
      <c r="R400" s="134"/>
      <c r="S400" s="134"/>
      <c r="T400" s="134"/>
      <c r="U400" s="134"/>
      <c r="V400" s="134"/>
      <c r="W400" s="134"/>
      <c r="X400" s="134"/>
      <c r="Y400" s="134"/>
    </row>
    <row r="401" spans="1:25">
      <c r="A401" s="134"/>
      <c r="B401" s="134"/>
      <c r="C401" s="134"/>
      <c r="D401" s="134"/>
      <c r="E401" s="134"/>
      <c r="F401" s="134"/>
      <c r="G401" s="134"/>
      <c r="H401" s="134"/>
      <c r="I401" s="134"/>
      <c r="J401" s="134"/>
      <c r="K401" s="134"/>
      <c r="L401" s="134"/>
      <c r="M401" s="134"/>
      <c r="N401" s="134"/>
      <c r="O401" s="134"/>
      <c r="P401" s="134"/>
      <c r="Q401" s="134"/>
      <c r="R401" s="134"/>
      <c r="S401" s="134"/>
      <c r="T401" s="134"/>
      <c r="U401" s="134"/>
      <c r="V401" s="134"/>
      <c r="W401" s="134"/>
      <c r="X401" s="134"/>
      <c r="Y401" s="134"/>
    </row>
    <row r="402" spans="1:25">
      <c r="A402" s="134"/>
      <c r="B402" s="134"/>
      <c r="C402" s="134"/>
      <c r="D402" s="134"/>
      <c r="E402" s="134"/>
      <c r="F402" s="134"/>
      <c r="G402" s="134"/>
      <c r="H402" s="134"/>
      <c r="I402" s="134"/>
      <c r="J402" s="134"/>
      <c r="K402" s="134"/>
      <c r="L402" s="134"/>
      <c r="M402" s="134"/>
      <c r="N402" s="134"/>
      <c r="O402" s="134"/>
      <c r="P402" s="134"/>
      <c r="Q402" s="134"/>
      <c r="R402" s="134"/>
      <c r="S402" s="134"/>
      <c r="T402" s="134"/>
      <c r="U402" s="134"/>
      <c r="V402" s="134"/>
      <c r="W402" s="134"/>
      <c r="X402" s="134"/>
      <c r="Y402" s="134"/>
    </row>
    <row r="403" spans="1:25">
      <c r="A403" s="134"/>
      <c r="B403" s="134"/>
      <c r="C403" s="134"/>
      <c r="D403" s="134"/>
      <c r="E403" s="134"/>
      <c r="F403" s="134"/>
      <c r="G403" s="134"/>
      <c r="H403" s="134"/>
      <c r="I403" s="134"/>
      <c r="J403" s="134"/>
      <c r="K403" s="134"/>
      <c r="L403" s="134"/>
      <c r="M403" s="134"/>
      <c r="N403" s="134"/>
      <c r="O403" s="134"/>
      <c r="P403" s="134"/>
      <c r="Q403" s="134"/>
      <c r="R403" s="134"/>
      <c r="S403" s="134"/>
      <c r="T403" s="134"/>
      <c r="U403" s="134"/>
      <c r="V403" s="134"/>
      <c r="W403" s="134"/>
      <c r="X403" s="134"/>
      <c r="Y403" s="134"/>
    </row>
    <row r="404" spans="1:25">
      <c r="A404" s="134"/>
      <c r="B404" s="134"/>
      <c r="C404" s="134"/>
      <c r="D404" s="134"/>
      <c r="E404" s="134"/>
      <c r="F404" s="134"/>
      <c r="G404" s="134"/>
      <c r="H404" s="134"/>
      <c r="I404" s="134"/>
      <c r="J404" s="134"/>
      <c r="K404" s="134"/>
      <c r="L404" s="134"/>
      <c r="M404" s="134"/>
      <c r="N404" s="134"/>
      <c r="O404" s="134"/>
      <c r="P404" s="134"/>
      <c r="Q404" s="134"/>
      <c r="R404" s="134"/>
      <c r="S404" s="134"/>
      <c r="T404" s="134"/>
      <c r="U404" s="134"/>
      <c r="V404" s="134"/>
      <c r="W404" s="134"/>
      <c r="X404" s="134"/>
      <c r="Y404" s="134"/>
    </row>
    <row r="405" spans="1:25">
      <c r="A405" s="134"/>
      <c r="B405" s="134"/>
      <c r="C405" s="134"/>
      <c r="D405" s="134"/>
      <c r="E405" s="134"/>
      <c r="F405" s="134"/>
      <c r="G405" s="134"/>
      <c r="H405" s="134"/>
      <c r="I405" s="134"/>
      <c r="J405" s="134"/>
      <c r="K405" s="134"/>
      <c r="L405" s="134"/>
      <c r="M405" s="134"/>
      <c r="N405" s="134"/>
      <c r="O405" s="134"/>
      <c r="P405" s="134"/>
      <c r="Q405" s="134"/>
      <c r="R405" s="134"/>
      <c r="S405" s="134"/>
      <c r="T405" s="134"/>
      <c r="U405" s="134"/>
      <c r="V405" s="134"/>
      <c r="W405" s="134"/>
      <c r="X405" s="134"/>
      <c r="Y405" s="134"/>
    </row>
    <row r="406" spans="1:25">
      <c r="A406" s="134"/>
      <c r="B406" s="134"/>
      <c r="C406" s="134"/>
      <c r="D406" s="134"/>
      <c r="E406" s="134"/>
      <c r="F406" s="134"/>
      <c r="G406" s="134"/>
      <c r="H406" s="134"/>
      <c r="I406" s="134"/>
      <c r="J406" s="134"/>
      <c r="K406" s="134"/>
      <c r="L406" s="134"/>
      <c r="M406" s="134"/>
      <c r="N406" s="134"/>
      <c r="O406" s="134"/>
      <c r="P406" s="134"/>
      <c r="Q406" s="134"/>
      <c r="R406" s="134"/>
      <c r="S406" s="134"/>
      <c r="T406" s="134"/>
      <c r="U406" s="134"/>
      <c r="V406" s="134"/>
      <c r="W406" s="134"/>
      <c r="X406" s="134"/>
      <c r="Y406" s="134"/>
    </row>
    <row r="407" spans="1:25">
      <c r="A407" s="134"/>
      <c r="B407" s="134"/>
      <c r="C407" s="134"/>
      <c r="D407" s="134"/>
      <c r="E407" s="134"/>
      <c r="F407" s="134"/>
      <c r="G407" s="134"/>
      <c r="H407" s="134"/>
      <c r="I407" s="134"/>
      <c r="J407" s="134"/>
      <c r="K407" s="134"/>
      <c r="L407" s="134"/>
      <c r="M407" s="134"/>
      <c r="N407" s="134"/>
      <c r="O407" s="134"/>
      <c r="P407" s="134"/>
      <c r="Q407" s="134"/>
      <c r="R407" s="134"/>
      <c r="S407" s="134"/>
      <c r="T407" s="134"/>
      <c r="U407" s="134"/>
      <c r="V407" s="134"/>
      <c r="W407" s="134"/>
      <c r="X407" s="134"/>
      <c r="Y407" s="134"/>
    </row>
    <row r="408" spans="1:25">
      <c r="A408" s="134"/>
      <c r="B408" s="134"/>
      <c r="C408" s="134"/>
      <c r="D408" s="134"/>
      <c r="E408" s="134"/>
      <c r="F408" s="134"/>
      <c r="G408" s="134"/>
      <c r="H408" s="134"/>
      <c r="I408" s="134"/>
      <c r="J408" s="134"/>
      <c r="K408" s="134"/>
      <c r="L408" s="134"/>
      <c r="M408" s="134"/>
      <c r="N408" s="134"/>
      <c r="O408" s="134"/>
      <c r="P408" s="134"/>
      <c r="Q408" s="134"/>
      <c r="R408" s="134"/>
      <c r="S408" s="134"/>
      <c r="T408" s="134"/>
      <c r="U408" s="134"/>
      <c r="V408" s="134"/>
      <c r="W408" s="134"/>
      <c r="X408" s="134"/>
      <c r="Y408" s="134"/>
    </row>
    <row r="409" spans="1:25">
      <c r="A409" s="134"/>
      <c r="B409" s="134"/>
      <c r="C409" s="134"/>
      <c r="D409" s="134"/>
      <c r="E409" s="134"/>
      <c r="F409" s="134"/>
      <c r="G409" s="134"/>
      <c r="H409" s="134"/>
      <c r="I409" s="134"/>
      <c r="J409" s="134"/>
      <c r="K409" s="134"/>
      <c r="L409" s="134"/>
      <c r="M409" s="134"/>
      <c r="N409" s="134"/>
      <c r="O409" s="134"/>
      <c r="P409" s="134"/>
      <c r="Q409" s="134"/>
      <c r="R409" s="134"/>
      <c r="S409" s="134"/>
      <c r="T409" s="134"/>
      <c r="U409" s="134"/>
      <c r="V409" s="134"/>
      <c r="W409" s="134"/>
      <c r="X409" s="134"/>
      <c r="Y409" s="134"/>
    </row>
    <row r="410" spans="1:25">
      <c r="A410" s="134"/>
      <c r="B410" s="134"/>
      <c r="C410" s="134"/>
      <c r="D410" s="134"/>
      <c r="E410" s="134"/>
      <c r="F410" s="134"/>
      <c r="G410" s="134"/>
      <c r="H410" s="134"/>
      <c r="I410" s="134"/>
      <c r="J410" s="134"/>
      <c r="K410" s="134"/>
      <c r="L410" s="134"/>
      <c r="M410" s="134"/>
      <c r="N410" s="134"/>
      <c r="O410" s="134"/>
      <c r="P410" s="134"/>
      <c r="Q410" s="134"/>
      <c r="R410" s="134"/>
      <c r="S410" s="134"/>
      <c r="T410" s="134"/>
      <c r="U410" s="134"/>
      <c r="V410" s="134"/>
      <c r="W410" s="134"/>
      <c r="X410" s="134"/>
      <c r="Y410" s="134"/>
    </row>
    <row r="411" spans="1:25">
      <c r="A411" s="134"/>
      <c r="B411" s="134"/>
      <c r="C411" s="134"/>
      <c r="D411" s="134"/>
      <c r="E411" s="134"/>
      <c r="F411" s="134"/>
      <c r="G411" s="134"/>
      <c r="H411" s="134"/>
      <c r="I411" s="134"/>
      <c r="J411" s="134"/>
      <c r="K411" s="134"/>
      <c r="L411" s="134"/>
      <c r="M411" s="134"/>
      <c r="N411" s="134"/>
      <c r="O411" s="134"/>
      <c r="P411" s="134"/>
      <c r="Q411" s="134"/>
      <c r="R411" s="134"/>
      <c r="S411" s="134"/>
      <c r="T411" s="134"/>
      <c r="U411" s="134"/>
      <c r="V411" s="134"/>
      <c r="W411" s="134"/>
      <c r="X411" s="134"/>
      <c r="Y411" s="134"/>
    </row>
    <row r="412" spans="1:25">
      <c r="A412" s="134"/>
      <c r="B412" s="134"/>
      <c r="C412" s="134"/>
      <c r="D412" s="134"/>
      <c r="E412" s="134"/>
      <c r="F412" s="134"/>
      <c r="G412" s="134"/>
      <c r="H412" s="134"/>
      <c r="I412" s="134"/>
      <c r="J412" s="134"/>
      <c r="K412" s="134"/>
      <c r="L412" s="134"/>
      <c r="M412" s="134"/>
      <c r="N412" s="134"/>
      <c r="O412" s="134"/>
      <c r="P412" s="134"/>
      <c r="Q412" s="134"/>
      <c r="R412" s="134"/>
      <c r="S412" s="134"/>
      <c r="T412" s="134"/>
      <c r="U412" s="134"/>
      <c r="V412" s="134"/>
      <c r="W412" s="134"/>
      <c r="X412" s="134"/>
      <c r="Y412" s="134"/>
    </row>
    <row r="413" spans="1:25">
      <c r="A413" s="134"/>
      <c r="B413" s="134"/>
      <c r="C413" s="134"/>
      <c r="D413" s="134"/>
      <c r="E413" s="134"/>
      <c r="F413" s="134"/>
      <c r="G413" s="134"/>
      <c r="H413" s="134"/>
      <c r="I413" s="134"/>
      <c r="J413" s="134"/>
      <c r="K413" s="134"/>
      <c r="L413" s="134"/>
      <c r="M413" s="134"/>
      <c r="N413" s="134"/>
      <c r="O413" s="134"/>
      <c r="P413" s="134"/>
      <c r="Q413" s="134"/>
      <c r="R413" s="134"/>
      <c r="S413" s="134"/>
      <c r="T413" s="134"/>
      <c r="U413" s="134"/>
      <c r="V413" s="134"/>
      <c r="W413" s="134"/>
      <c r="X413" s="134"/>
      <c r="Y413" s="134"/>
    </row>
    <row r="414" spans="1:25">
      <c r="A414" s="134"/>
      <c r="B414" s="134"/>
      <c r="C414" s="134"/>
      <c r="D414" s="134"/>
      <c r="E414" s="134"/>
      <c r="F414" s="134"/>
      <c r="G414" s="134"/>
      <c r="H414" s="134"/>
      <c r="I414" s="134"/>
      <c r="J414" s="134"/>
      <c r="K414" s="134"/>
      <c r="L414" s="134"/>
      <c r="M414" s="134"/>
      <c r="N414" s="134"/>
      <c r="O414" s="134"/>
      <c r="P414" s="134"/>
      <c r="Q414" s="134"/>
      <c r="R414" s="134"/>
      <c r="S414" s="134"/>
      <c r="T414" s="134"/>
      <c r="U414" s="134"/>
      <c r="V414" s="134"/>
      <c r="W414" s="134"/>
      <c r="X414" s="134"/>
      <c r="Y414" s="134"/>
    </row>
    <row r="415" spans="1:25">
      <c r="A415" s="134"/>
      <c r="B415" s="134"/>
      <c r="C415" s="134"/>
      <c r="D415" s="134"/>
      <c r="E415" s="134"/>
      <c r="F415" s="134"/>
      <c r="G415" s="134"/>
      <c r="H415" s="134"/>
      <c r="I415" s="134"/>
      <c r="J415" s="134"/>
      <c r="K415" s="134"/>
      <c r="L415" s="134"/>
      <c r="M415" s="134"/>
      <c r="N415" s="134"/>
      <c r="O415" s="134"/>
      <c r="P415" s="134"/>
      <c r="Q415" s="134"/>
      <c r="R415" s="134"/>
      <c r="S415" s="134"/>
      <c r="T415" s="134"/>
      <c r="U415" s="134"/>
      <c r="V415" s="134"/>
      <c r="W415" s="134"/>
      <c r="X415" s="134"/>
      <c r="Y415" s="134"/>
    </row>
    <row r="416" spans="1:25">
      <c r="A416" s="134"/>
      <c r="B416" s="134"/>
      <c r="C416" s="134"/>
      <c r="D416" s="134"/>
      <c r="E416" s="134"/>
      <c r="F416" s="134"/>
      <c r="G416" s="134"/>
      <c r="H416" s="134"/>
      <c r="I416" s="134"/>
      <c r="J416" s="134"/>
      <c r="K416" s="134"/>
      <c r="L416" s="134"/>
      <c r="M416" s="134"/>
      <c r="N416" s="134"/>
      <c r="O416" s="134"/>
      <c r="P416" s="134"/>
      <c r="Q416" s="134"/>
      <c r="R416" s="134"/>
      <c r="S416" s="134"/>
      <c r="T416" s="134"/>
      <c r="U416" s="134"/>
      <c r="V416" s="134"/>
      <c r="W416" s="134"/>
      <c r="X416" s="134"/>
      <c r="Y416" s="134"/>
    </row>
    <row r="417" spans="1:25">
      <c r="A417" s="134"/>
      <c r="B417" s="134"/>
      <c r="C417" s="134"/>
      <c r="D417" s="134"/>
      <c r="E417" s="134"/>
      <c r="F417" s="134"/>
      <c r="G417" s="134"/>
      <c r="H417" s="134"/>
      <c r="I417" s="134"/>
      <c r="J417" s="134"/>
      <c r="K417" s="134"/>
      <c r="L417" s="134"/>
      <c r="M417" s="134"/>
      <c r="N417" s="134"/>
      <c r="O417" s="134"/>
      <c r="P417" s="134"/>
      <c r="Q417" s="134"/>
      <c r="R417" s="134"/>
      <c r="S417" s="134"/>
      <c r="T417" s="134"/>
      <c r="U417" s="134"/>
      <c r="V417" s="134"/>
      <c r="W417" s="134"/>
      <c r="X417" s="134"/>
      <c r="Y417" s="134"/>
    </row>
    <row r="418" spans="1:25">
      <c r="A418" s="134"/>
      <c r="B418" s="134"/>
      <c r="C418" s="134"/>
      <c r="D418" s="134"/>
      <c r="E418" s="134"/>
      <c r="F418" s="134"/>
      <c r="G418" s="134"/>
      <c r="H418" s="134"/>
      <c r="I418" s="134"/>
      <c r="J418" s="134"/>
      <c r="K418" s="134"/>
      <c r="L418" s="134"/>
      <c r="M418" s="134"/>
      <c r="N418" s="134"/>
      <c r="O418" s="134"/>
      <c r="P418" s="134"/>
      <c r="Q418" s="134"/>
      <c r="R418" s="134"/>
      <c r="S418" s="134"/>
      <c r="T418" s="134"/>
      <c r="U418" s="134"/>
      <c r="V418" s="134"/>
      <c r="W418" s="134"/>
      <c r="X418" s="134"/>
      <c r="Y418" s="134"/>
    </row>
    <row r="419" spans="1:25">
      <c r="A419" s="134"/>
      <c r="B419" s="134"/>
      <c r="C419" s="134"/>
      <c r="D419" s="134"/>
      <c r="E419" s="134"/>
      <c r="F419" s="134"/>
      <c r="G419" s="134"/>
      <c r="H419" s="134"/>
      <c r="I419" s="134"/>
      <c r="J419" s="134"/>
      <c r="K419" s="134"/>
      <c r="L419" s="134"/>
      <c r="M419" s="134"/>
      <c r="N419" s="134"/>
      <c r="O419" s="134"/>
      <c r="P419" s="134"/>
      <c r="Q419" s="134"/>
      <c r="R419" s="134"/>
      <c r="S419" s="134"/>
      <c r="T419" s="134"/>
      <c r="U419" s="134"/>
      <c r="V419" s="134"/>
      <c r="W419" s="134"/>
      <c r="X419" s="134"/>
      <c r="Y419" s="134"/>
    </row>
    <row r="420" spans="1:25">
      <c r="A420" s="134"/>
      <c r="B420" s="134"/>
      <c r="C420" s="134"/>
      <c r="D420" s="134"/>
      <c r="E420" s="134"/>
      <c r="F420" s="134"/>
      <c r="G420" s="134"/>
      <c r="H420" s="134"/>
      <c r="I420" s="134"/>
      <c r="J420" s="134"/>
      <c r="K420" s="134"/>
      <c r="L420" s="134"/>
      <c r="M420" s="134"/>
      <c r="N420" s="134"/>
      <c r="O420" s="134"/>
      <c r="P420" s="134"/>
      <c r="Q420" s="134"/>
      <c r="R420" s="134"/>
      <c r="S420" s="134"/>
      <c r="T420" s="134"/>
      <c r="U420" s="134"/>
      <c r="V420" s="134"/>
      <c r="W420" s="134"/>
      <c r="X420" s="134"/>
      <c r="Y420" s="134"/>
    </row>
    <row r="421" spans="1:25">
      <c r="A421" s="134"/>
      <c r="B421" s="134"/>
      <c r="C421" s="134"/>
      <c r="D421" s="134"/>
      <c r="E421" s="134"/>
      <c r="F421" s="134"/>
      <c r="G421" s="134"/>
      <c r="H421" s="134"/>
      <c r="I421" s="134"/>
      <c r="J421" s="134"/>
      <c r="K421" s="134"/>
      <c r="L421" s="134"/>
      <c r="M421" s="134"/>
      <c r="N421" s="134"/>
      <c r="O421" s="134"/>
      <c r="P421" s="134"/>
      <c r="Q421" s="134"/>
      <c r="R421" s="134"/>
      <c r="S421" s="134"/>
      <c r="T421" s="134"/>
      <c r="U421" s="134"/>
      <c r="V421" s="134"/>
      <c r="W421" s="134"/>
      <c r="X421" s="134"/>
      <c r="Y421" s="134"/>
    </row>
    <row r="422" spans="1:25">
      <c r="A422" s="134"/>
      <c r="B422" s="134"/>
      <c r="C422" s="134"/>
      <c r="D422" s="134"/>
      <c r="E422" s="134"/>
      <c r="F422" s="134"/>
      <c r="G422" s="134"/>
      <c r="H422" s="134"/>
      <c r="I422" s="134"/>
      <c r="J422" s="134"/>
      <c r="K422" s="134"/>
      <c r="L422" s="134"/>
      <c r="M422" s="134"/>
      <c r="N422" s="134"/>
      <c r="O422" s="134"/>
      <c r="P422" s="134"/>
      <c r="Q422" s="134"/>
      <c r="R422" s="134"/>
      <c r="S422" s="134"/>
      <c r="T422" s="134"/>
      <c r="U422" s="134"/>
      <c r="V422" s="134"/>
      <c r="W422" s="134"/>
      <c r="X422" s="134"/>
      <c r="Y422" s="134"/>
    </row>
    <row r="423" spans="1:25">
      <c r="A423" s="134"/>
      <c r="B423" s="134"/>
      <c r="C423" s="134"/>
      <c r="D423" s="134"/>
      <c r="E423" s="134"/>
      <c r="F423" s="134"/>
      <c r="G423" s="134"/>
      <c r="H423" s="134"/>
      <c r="I423" s="134"/>
      <c r="J423" s="134"/>
      <c r="K423" s="134"/>
      <c r="L423" s="134"/>
      <c r="M423" s="134"/>
      <c r="N423" s="134"/>
      <c r="O423" s="134"/>
      <c r="P423" s="134"/>
      <c r="Q423" s="134"/>
      <c r="R423" s="134"/>
      <c r="S423" s="134"/>
      <c r="T423" s="134"/>
      <c r="U423" s="134"/>
      <c r="V423" s="134"/>
      <c r="W423" s="134"/>
      <c r="X423" s="134"/>
      <c r="Y423" s="134"/>
    </row>
    <row r="424" spans="1:25">
      <c r="A424" s="134"/>
      <c r="B424" s="134"/>
      <c r="C424" s="134"/>
      <c r="D424" s="134"/>
      <c r="E424" s="134"/>
      <c r="F424" s="134"/>
      <c r="G424" s="134"/>
      <c r="H424" s="134"/>
      <c r="I424" s="134"/>
      <c r="J424" s="134"/>
      <c r="K424" s="134"/>
      <c r="L424" s="134"/>
      <c r="M424" s="134"/>
      <c r="N424" s="134"/>
      <c r="O424" s="134"/>
      <c r="P424" s="134"/>
      <c r="Q424" s="134"/>
      <c r="R424" s="134"/>
      <c r="S424" s="134"/>
      <c r="T424" s="134"/>
      <c r="U424" s="134"/>
      <c r="V424" s="134"/>
      <c r="W424" s="134"/>
      <c r="X424" s="134"/>
      <c r="Y424" s="134"/>
    </row>
    <row r="425" spans="1:25">
      <c r="A425" s="134"/>
      <c r="B425" s="134"/>
      <c r="C425" s="134"/>
      <c r="D425" s="134"/>
      <c r="E425" s="134"/>
      <c r="F425" s="134"/>
      <c r="G425" s="134"/>
      <c r="H425" s="134"/>
      <c r="I425" s="134"/>
      <c r="J425" s="134"/>
      <c r="K425" s="134"/>
      <c r="L425" s="134"/>
      <c r="M425" s="134"/>
      <c r="N425" s="134"/>
      <c r="O425" s="134"/>
      <c r="P425" s="134"/>
      <c r="Q425" s="134"/>
      <c r="R425" s="134"/>
      <c r="S425" s="134"/>
      <c r="T425" s="134"/>
      <c r="U425" s="134"/>
      <c r="V425" s="134"/>
      <c r="W425" s="134"/>
      <c r="X425" s="134"/>
      <c r="Y425" s="134"/>
    </row>
    <row r="426" spans="1:25">
      <c r="A426" s="134"/>
      <c r="B426" s="134"/>
      <c r="C426" s="134"/>
      <c r="D426" s="134"/>
      <c r="E426" s="134"/>
      <c r="F426" s="134"/>
      <c r="G426" s="134"/>
      <c r="H426" s="134"/>
      <c r="I426" s="134"/>
      <c r="J426" s="134"/>
      <c r="K426" s="134"/>
      <c r="L426" s="134"/>
      <c r="M426" s="134"/>
      <c r="N426" s="134"/>
      <c r="O426" s="134"/>
      <c r="P426" s="134"/>
      <c r="Q426" s="134"/>
      <c r="R426" s="134"/>
      <c r="S426" s="134"/>
      <c r="T426" s="134"/>
      <c r="U426" s="134"/>
      <c r="V426" s="134"/>
      <c r="W426" s="134"/>
      <c r="X426" s="134"/>
      <c r="Y426" s="134"/>
    </row>
    <row r="427" spans="1:25">
      <c r="A427" s="134"/>
      <c r="B427" s="134"/>
      <c r="C427" s="134"/>
      <c r="D427" s="134"/>
      <c r="E427" s="134"/>
      <c r="F427" s="134"/>
      <c r="G427" s="134"/>
      <c r="H427" s="134"/>
      <c r="I427" s="134"/>
      <c r="J427" s="134"/>
      <c r="K427" s="134"/>
      <c r="L427" s="134"/>
      <c r="M427" s="134"/>
      <c r="N427" s="134"/>
      <c r="O427" s="134"/>
      <c r="P427" s="134"/>
      <c r="Q427" s="134"/>
      <c r="R427" s="134"/>
      <c r="S427" s="134"/>
      <c r="T427" s="134"/>
      <c r="U427" s="134"/>
      <c r="V427" s="134"/>
      <c r="W427" s="134"/>
      <c r="X427" s="134"/>
      <c r="Y427" s="134"/>
    </row>
    <row r="428" spans="1:25">
      <c r="A428" s="134"/>
      <c r="B428" s="134"/>
      <c r="C428" s="134"/>
      <c r="D428" s="134"/>
      <c r="E428" s="134"/>
      <c r="F428" s="134"/>
      <c r="G428" s="134"/>
      <c r="H428" s="134"/>
      <c r="I428" s="134"/>
      <c r="J428" s="134"/>
      <c r="K428" s="134"/>
      <c r="L428" s="134"/>
      <c r="M428" s="134"/>
      <c r="N428" s="134"/>
      <c r="O428" s="134"/>
      <c r="P428" s="134"/>
      <c r="Q428" s="134"/>
      <c r="R428" s="134"/>
      <c r="S428" s="134"/>
      <c r="T428" s="134"/>
      <c r="U428" s="134"/>
      <c r="V428" s="134"/>
      <c r="W428" s="134"/>
      <c r="X428" s="134"/>
      <c r="Y428" s="134"/>
    </row>
    <row r="429" spans="1:25">
      <c r="A429" s="134"/>
      <c r="B429" s="134"/>
      <c r="C429" s="134"/>
      <c r="D429" s="134"/>
      <c r="E429" s="134"/>
      <c r="F429" s="134"/>
      <c r="G429" s="134"/>
      <c r="H429" s="134"/>
      <c r="I429" s="134"/>
      <c r="J429" s="134"/>
      <c r="K429" s="134"/>
      <c r="L429" s="134"/>
      <c r="M429" s="134"/>
      <c r="N429" s="134"/>
      <c r="O429" s="134"/>
      <c r="P429" s="134"/>
      <c r="Q429" s="134"/>
      <c r="R429" s="134"/>
      <c r="S429" s="134"/>
      <c r="T429" s="134"/>
      <c r="U429" s="134"/>
      <c r="V429" s="134"/>
      <c r="W429" s="134"/>
      <c r="X429" s="134"/>
      <c r="Y429" s="134"/>
    </row>
    <row r="430" spans="1:25">
      <c r="A430" s="134"/>
      <c r="B430" s="134"/>
      <c r="C430" s="134"/>
      <c r="D430" s="134"/>
      <c r="E430" s="134"/>
      <c r="F430" s="134"/>
      <c r="G430" s="134"/>
      <c r="H430" s="134"/>
      <c r="I430" s="134"/>
      <c r="J430" s="134"/>
      <c r="K430" s="134"/>
      <c r="L430" s="134"/>
      <c r="M430" s="134"/>
      <c r="N430" s="134"/>
      <c r="O430" s="134"/>
      <c r="P430" s="134"/>
      <c r="Q430" s="134"/>
      <c r="R430" s="134"/>
      <c r="S430" s="134"/>
      <c r="T430" s="134"/>
      <c r="U430" s="134"/>
      <c r="V430" s="134"/>
      <c r="W430" s="134"/>
      <c r="X430" s="134"/>
      <c r="Y430" s="134"/>
    </row>
    <row r="431" spans="1:25">
      <c r="A431" s="134"/>
      <c r="B431" s="134"/>
      <c r="C431" s="134"/>
      <c r="D431" s="134"/>
      <c r="E431" s="134"/>
      <c r="F431" s="134"/>
      <c r="G431" s="134"/>
      <c r="H431" s="134"/>
      <c r="I431" s="134"/>
      <c r="J431" s="134"/>
      <c r="K431" s="134"/>
      <c r="L431" s="134"/>
      <c r="M431" s="134"/>
      <c r="N431" s="134"/>
      <c r="O431" s="134"/>
      <c r="P431" s="134"/>
      <c r="Q431" s="134"/>
      <c r="R431" s="134"/>
      <c r="S431" s="134"/>
      <c r="T431" s="134"/>
      <c r="U431" s="134"/>
      <c r="V431" s="134"/>
      <c r="W431" s="134"/>
      <c r="X431" s="134"/>
      <c r="Y431" s="134"/>
    </row>
    <row r="432" spans="1:25">
      <c r="A432" s="134"/>
      <c r="B432" s="134"/>
      <c r="C432" s="134"/>
      <c r="D432" s="134"/>
      <c r="E432" s="134"/>
      <c r="F432" s="134"/>
      <c r="G432" s="134"/>
      <c r="H432" s="134"/>
      <c r="I432" s="134"/>
      <c r="J432" s="134"/>
      <c r="K432" s="134"/>
      <c r="L432" s="134"/>
      <c r="M432" s="134"/>
      <c r="N432" s="134"/>
      <c r="O432" s="134"/>
      <c r="P432" s="134"/>
      <c r="Q432" s="134"/>
      <c r="R432" s="134"/>
      <c r="S432" s="134"/>
      <c r="T432" s="134"/>
      <c r="U432" s="134"/>
      <c r="V432" s="134"/>
      <c r="W432" s="134"/>
      <c r="X432" s="134"/>
      <c r="Y432" s="134"/>
    </row>
    <row r="433" spans="1:25">
      <c r="A433" s="134"/>
      <c r="B433" s="134"/>
      <c r="C433" s="134"/>
      <c r="D433" s="134"/>
      <c r="E433" s="134"/>
      <c r="F433" s="134"/>
      <c r="G433" s="134"/>
      <c r="H433" s="134"/>
      <c r="I433" s="134"/>
      <c r="J433" s="134"/>
      <c r="K433" s="134"/>
      <c r="L433" s="134"/>
      <c r="M433" s="134"/>
      <c r="N433" s="134"/>
      <c r="O433" s="134"/>
      <c r="P433" s="134"/>
      <c r="Q433" s="134"/>
      <c r="R433" s="134"/>
      <c r="S433" s="134"/>
      <c r="T433" s="134"/>
      <c r="U433" s="134"/>
      <c r="V433" s="134"/>
      <c r="W433" s="134"/>
      <c r="X433" s="134"/>
      <c r="Y433" s="134"/>
    </row>
    <row r="434" spans="1:25">
      <c r="A434" s="134"/>
      <c r="B434" s="134"/>
      <c r="C434" s="134"/>
      <c r="D434" s="134"/>
      <c r="E434" s="134"/>
      <c r="F434" s="134"/>
      <c r="G434" s="134"/>
      <c r="H434" s="134"/>
      <c r="I434" s="134"/>
      <c r="J434" s="134"/>
      <c r="K434" s="134"/>
      <c r="L434" s="134"/>
      <c r="M434" s="134"/>
      <c r="N434" s="134"/>
      <c r="O434" s="134"/>
      <c r="P434" s="134"/>
      <c r="Q434" s="134"/>
      <c r="R434" s="134"/>
      <c r="S434" s="134"/>
      <c r="T434" s="134"/>
      <c r="U434" s="134"/>
      <c r="V434" s="134"/>
      <c r="W434" s="134"/>
      <c r="X434" s="134"/>
      <c r="Y434" s="134"/>
    </row>
    <row r="435" spans="1:25">
      <c r="A435" s="134"/>
      <c r="B435" s="134"/>
      <c r="C435" s="134"/>
      <c r="D435" s="134"/>
      <c r="E435" s="134"/>
      <c r="F435" s="134"/>
      <c r="G435" s="134"/>
      <c r="H435" s="134"/>
      <c r="I435" s="134"/>
      <c r="J435" s="134"/>
      <c r="K435" s="134"/>
      <c r="L435" s="134"/>
      <c r="M435" s="134"/>
      <c r="N435" s="134"/>
      <c r="O435" s="134"/>
      <c r="P435" s="134"/>
      <c r="Q435" s="134"/>
      <c r="R435" s="134"/>
      <c r="S435" s="134"/>
      <c r="T435" s="134"/>
      <c r="U435" s="134"/>
      <c r="V435" s="134"/>
      <c r="W435" s="134"/>
      <c r="X435" s="134"/>
      <c r="Y435" s="134"/>
    </row>
    <row r="436" spans="1:25">
      <c r="A436" s="134"/>
      <c r="B436" s="134"/>
      <c r="C436" s="134"/>
      <c r="D436" s="134"/>
      <c r="E436" s="134"/>
      <c r="F436" s="134"/>
      <c r="G436" s="134"/>
      <c r="H436" s="134"/>
      <c r="I436" s="134"/>
      <c r="J436" s="134"/>
      <c r="K436" s="134"/>
      <c r="L436" s="134"/>
      <c r="M436" s="134"/>
      <c r="N436" s="134"/>
      <c r="O436" s="134"/>
      <c r="P436" s="134"/>
      <c r="Q436" s="134"/>
      <c r="R436" s="134"/>
      <c r="S436" s="134"/>
      <c r="T436" s="134"/>
      <c r="U436" s="134"/>
      <c r="V436" s="134"/>
      <c r="W436" s="134"/>
      <c r="X436" s="134"/>
      <c r="Y436" s="134"/>
    </row>
    <row r="437" spans="1:25">
      <c r="C437" s="134"/>
      <c r="E437" s="134"/>
      <c r="F437" s="134"/>
    </row>
    <row r="438" spans="1:25">
      <c r="C438" s="134"/>
      <c r="E438" s="134"/>
      <c r="F438" s="134"/>
    </row>
    <row r="439" spans="1:25"/>
    <row r="440" spans="1:25"/>
    <row r="441" spans="1:25"/>
    <row r="442" spans="1:25"/>
    <row r="443" spans="1:25"/>
    <row r="444" spans="1:25"/>
    <row r="445" spans="1:25"/>
    <row r="446" spans="1:25"/>
    <row r="447" spans="1:25"/>
    <row r="448" spans="1:25"/>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row r="592"/>
    <row r="593"/>
    <row r="594"/>
    <row r="595"/>
    <row r="596"/>
    <row r="597"/>
    <row r="598"/>
    <row r="599"/>
    <row r="600"/>
    <row r="601"/>
    <row r="602"/>
    <row r="603"/>
    <row r="604"/>
    <row r="605"/>
    <row r="606"/>
    <row r="607"/>
    <row r="608"/>
    <row r="609"/>
    <row r="610"/>
    <row r="611"/>
    <row r="612"/>
    <row r="613"/>
    <row r="614"/>
    <row r="615"/>
    <row r="616"/>
    <row r="617"/>
    <row r="618"/>
    <row r="619"/>
    <row r="620"/>
    <row r="621"/>
    <row r="622"/>
    <row r="623"/>
    <row r="624"/>
    <row r="625"/>
    <row r="626"/>
    <row r="627"/>
    <row r="628"/>
    <row r="629"/>
    <row r="630"/>
    <row r="631"/>
    <row r="632"/>
    <row r="633"/>
    <row r="634"/>
    <row r="635"/>
    <row r="636"/>
    <row r="637"/>
    <row r="638"/>
    <row r="639"/>
    <row r="640"/>
    <row r="641"/>
    <row r="642"/>
    <row r="643"/>
    <row r="644"/>
    <row r="645"/>
    <row r="646"/>
    <row r="647"/>
    <row r="648"/>
    <row r="649"/>
    <row r="650"/>
    <row r="651"/>
    <row r="652"/>
    <row r="653"/>
    <row r="654"/>
    <row r="655"/>
    <row r="656"/>
    <row r="657"/>
    <row r="658"/>
    <row r="659"/>
    <row r="660"/>
    <row r="661"/>
    <row r="662"/>
    <row r="663"/>
    <row r="664"/>
    <row r="665"/>
    <row r="666"/>
    <row r="667"/>
    <row r="668"/>
    <row r="669"/>
    <row r="670"/>
    <row r="671"/>
    <row r="672"/>
    <row r="673"/>
    <row r="674"/>
    <row r="675"/>
    <row r="676"/>
    <row r="677"/>
    <row r="678"/>
    <row r="679"/>
    <row r="680"/>
    <row r="681"/>
    <row r="682"/>
    <row r="683"/>
    <row r="684"/>
    <row r="685"/>
    <row r="686"/>
    <row r="687"/>
    <row r="688"/>
    <row r="689"/>
    <row r="690"/>
    <row r="691"/>
    <row r="692"/>
    <row r="693"/>
    <row r="694"/>
    <row r="695"/>
    <row r="696"/>
    <row r="697"/>
    <row r="698"/>
    <row r="699"/>
    <row r="700"/>
    <row r="701"/>
    <row r="702"/>
    <row r="703"/>
    <row r="704"/>
    <row r="705"/>
    <row r="706"/>
    <row r="707"/>
    <row r="708"/>
    <row r="709"/>
    <row r="710"/>
    <row r="711"/>
    <row r="712"/>
    <row r="713"/>
    <row r="714"/>
    <row r="715"/>
    <row r="716"/>
    <row r="717"/>
    <row r="718"/>
    <row r="719"/>
    <row r="720"/>
    <row r="721"/>
    <row r="722"/>
    <row r="723"/>
    <row r="724"/>
    <row r="725"/>
    <row r="726"/>
    <row r="727"/>
    <row r="728"/>
    <row r="729"/>
    <row r="730"/>
    <row r="731"/>
    <row r="732"/>
    <row r="733"/>
    <row r="734"/>
    <row r="735"/>
    <row r="736"/>
    <row r="737"/>
    <row r="738"/>
    <row r="739"/>
    <row r="740"/>
    <row r="741"/>
    <row r="742"/>
    <row r="743"/>
    <row r="744"/>
    <row r="745"/>
    <row r="746"/>
    <row r="747"/>
    <row r="748"/>
    <row r="749"/>
    <row r="750"/>
    <row r="751"/>
    <row r="752"/>
    <row r="753"/>
    <row r="754"/>
    <row r="755"/>
    <row r="756"/>
    <row r="757"/>
    <row r="758"/>
    <row r="759"/>
    <row r="760"/>
    <row r="761"/>
    <row r="762"/>
    <row r="763"/>
    <row r="764"/>
    <row r="765"/>
    <row r="766"/>
    <row r="767"/>
    <row r="768"/>
    <row r="769"/>
    <row r="770"/>
    <row r="771"/>
    <row r="772"/>
    <row r="773"/>
    <row r="774"/>
    <row r="775"/>
    <row r="776"/>
    <row r="777"/>
    <row r="778"/>
    <row r="779"/>
    <row r="780"/>
    <row r="781"/>
    <row r="782"/>
    <row r="783"/>
    <row r="784"/>
    <row r="785"/>
    <row r="786"/>
    <row r="787"/>
    <row r="788"/>
    <row r="789"/>
    <row r="790"/>
    <row r="791"/>
    <row r="792"/>
    <row r="793"/>
    <row r="794"/>
    <row r="795"/>
    <row r="796"/>
    <row r="797"/>
    <row r="798"/>
    <row r="799"/>
    <row r="800"/>
    <row r="801"/>
    <row r="802"/>
    <row r="803"/>
    <row r="804"/>
    <row r="805"/>
    <row r="806"/>
    <row r="807"/>
    <row r="808"/>
    <row r="809"/>
    <row r="810"/>
    <row r="811"/>
    <row r="812"/>
    <row r="813"/>
    <row r="814"/>
    <row r="815"/>
    <row r="816"/>
    <row r="817"/>
    <row r="818"/>
    <row r="819"/>
    <row r="820"/>
    <row r="821"/>
    <row r="822"/>
    <row r="823"/>
    <row r="824"/>
    <row r="825"/>
    <row r="826"/>
    <row r="827"/>
    <row r="828"/>
    <row r="829"/>
    <row r="830"/>
    <row r="831"/>
    <row r="832"/>
    <row r="833"/>
    <row r="834"/>
    <row r="835"/>
    <row r="836"/>
    <row r="837"/>
    <row r="838"/>
    <row r="839"/>
    <row r="840"/>
    <row r="841"/>
    <row r="842"/>
    <row r="843"/>
    <row r="844"/>
    <row r="845"/>
    <row r="846"/>
    <row r="847"/>
    <row r="848"/>
    <row r="849"/>
    <row r="850"/>
    <row r="851"/>
    <row r="852"/>
    <row r="853"/>
    <row r="854"/>
    <row r="855"/>
    <row r="856"/>
    <row r="857"/>
    <row r="858"/>
    <row r="859"/>
    <row r="860"/>
    <row r="861"/>
    <row r="862"/>
    <row r="863"/>
    <row r="864"/>
    <row r="865"/>
    <row r="866"/>
    <row r="867"/>
    <row r="868"/>
    <row r="869"/>
    <row r="870"/>
    <row r="871"/>
    <row r="872"/>
    <row r="873"/>
    <row r="874"/>
    <row r="875"/>
    <row r="876"/>
    <row r="877"/>
    <row r="878"/>
    <row r="879"/>
    <row r="880"/>
    <row r="881"/>
    <row r="882"/>
    <row r="883"/>
    <row r="884"/>
    <row r="885"/>
    <row r="886"/>
    <row r="887"/>
    <row r="888"/>
    <row r="889"/>
    <row r="890"/>
    <row r="891"/>
    <row r="892"/>
    <row r="893"/>
    <row r="894"/>
    <row r="895"/>
    <row r="896"/>
    <row r="897"/>
    <row r="898"/>
    <row r="899"/>
    <row r="900"/>
    <row r="901"/>
    <row r="902"/>
    <row r="903"/>
    <row r="904"/>
    <row r="905"/>
    <row r="906"/>
    <row r="907"/>
    <row r="908"/>
    <row r="909"/>
    <row r="910"/>
    <row r="911"/>
    <row r="912"/>
    <row r="913"/>
    <row r="914"/>
    <row r="915"/>
    <row r="916"/>
    <row r="917"/>
    <row r="918"/>
    <row r="919"/>
    <row r="920"/>
    <row r="921"/>
    <row r="922"/>
    <row r="923"/>
    <row r="924"/>
    <row r="925"/>
    <row r="926"/>
    <row r="927"/>
    <row r="928"/>
    <row r="929"/>
    <row r="930"/>
    <row r="931"/>
    <row r="932"/>
    <row r="933"/>
    <row r="934"/>
    <row r="935"/>
    <row r="936"/>
    <row r="937"/>
    <row r="938"/>
    <row r="939"/>
    <row r="940"/>
    <row r="941"/>
    <row r="942"/>
    <row r="943"/>
    <row r="944"/>
    <row r="945"/>
    <row r="946"/>
    <row r="947"/>
    <row r="948"/>
    <row r="949"/>
    <row r="950"/>
    <row r="951"/>
    <row r="952"/>
    <row r="953"/>
    <row r="954"/>
    <row r="955"/>
    <row r="956"/>
    <row r="957"/>
    <row r="958"/>
    <row r="959"/>
    <row r="960"/>
    <row r="961"/>
    <row r="962"/>
    <row r="963"/>
    <row r="964"/>
    <row r="965"/>
    <row r="966"/>
    <row r="967"/>
    <row r="968"/>
    <row r="969"/>
    <row r="970"/>
    <row r="971"/>
    <row r="972"/>
    <row r="973"/>
    <row r="974"/>
    <row r="975"/>
    <row r="976"/>
    <row r="977"/>
    <row r="978"/>
    <row r="979"/>
    <row r="980"/>
    <row r="981"/>
    <row r="982"/>
    <row r="983"/>
    <row r="984"/>
    <row r="985"/>
    <row r="986"/>
    <row r="987"/>
    <row r="988"/>
    <row r="989"/>
    <row r="990"/>
    <row r="991"/>
    <row r="992"/>
    <row r="993"/>
    <row r="994"/>
    <row r="995"/>
    <row r="996"/>
    <row r="997"/>
    <row r="998"/>
    <row r="999"/>
    <row r="1000"/>
    <row r="1001"/>
    <row r="1002"/>
    <row r="1003"/>
    <row r="1004"/>
    <row r="1005"/>
    <row r="1006"/>
    <row r="1007"/>
    <row r="1008"/>
    <row r="1009"/>
    <row r="1010"/>
    <row r="1011"/>
    <row r="1012"/>
    <row r="1013"/>
    <row r="1014"/>
    <row r="1015"/>
    <row r="1016"/>
    <row r="1017"/>
    <row r="1018"/>
    <row r="1019"/>
    <row r="1020"/>
    <row r="1021"/>
    <row r="1022"/>
    <row r="1023"/>
    <row r="1024"/>
    <row r="1025"/>
    <row r="1026"/>
    <row r="1027"/>
    <row r="1028"/>
    <row r="1029"/>
    <row r="1030"/>
    <row r="1031"/>
    <row r="1032"/>
    <row r="1033"/>
    <row r="1034"/>
    <row r="1035"/>
    <row r="1036"/>
    <row r="1037"/>
    <row r="1038"/>
    <row r="1039"/>
    <row r="1040"/>
    <row r="1041"/>
    <row r="1042"/>
    <row r="1043"/>
    <row r="1044"/>
    <row r="1045"/>
    <row r="1046"/>
    <row r="1047"/>
    <row r="1048"/>
    <row r="1049"/>
    <row r="1050"/>
    <row r="1051"/>
    <row r="1052"/>
    <row r="1053"/>
    <row r="1054"/>
    <row r="1055"/>
    <row r="1056"/>
    <row r="1057"/>
    <row r="1058"/>
    <row r="1059"/>
    <row r="1060"/>
    <row r="1061"/>
    <row r="1062"/>
    <row r="1063"/>
    <row r="1064"/>
    <row r="1065"/>
    <row r="1066"/>
    <row r="1067"/>
    <row r="1068"/>
    <row r="1069"/>
    <row r="1070"/>
    <row r="1071"/>
    <row r="1072"/>
    <row r="1073"/>
    <row r="1074"/>
    <row r="1075"/>
    <row r="1076"/>
    <row r="1077"/>
    <row r="1078"/>
    <row r="1079"/>
    <row r="1080"/>
    <row r="1081"/>
    <row r="1082"/>
    <row r="1083"/>
    <row r="1084"/>
    <row r="1085"/>
    <row r="1086"/>
    <row r="1087"/>
    <row r="1088"/>
    <row r="1089"/>
    <row r="1090"/>
    <row r="1091"/>
    <row r="1092"/>
    <row r="1093"/>
    <row r="1094"/>
    <row r="1095"/>
    <row r="1096"/>
    <row r="1097"/>
    <row r="1098"/>
    <row r="1099"/>
    <row r="1100"/>
    <row r="1101"/>
    <row r="1102"/>
    <row r="1103"/>
    <row r="1104"/>
    <row r="1105"/>
    <row r="1106"/>
    <row r="1107"/>
    <row r="1108"/>
    <row r="1109"/>
    <row r="1110"/>
    <row r="1111"/>
    <row r="1112"/>
    <row r="1113"/>
    <row r="1114"/>
    <row r="1115"/>
    <row r="1116"/>
    <row r="1117"/>
    <row r="1118"/>
    <row r="1119"/>
    <row r="1120"/>
    <row r="1121"/>
    <row r="1122"/>
    <row r="1123"/>
    <row r="1124"/>
    <row r="1125"/>
    <row r="1126"/>
    <row r="1127"/>
    <row r="1128"/>
    <row r="1129"/>
    <row r="1130"/>
    <row r="1131"/>
    <row r="1132"/>
    <row r="1133"/>
    <row r="1134"/>
    <row r="1135"/>
    <row r="1136"/>
    <row r="1137"/>
    <row r="1138"/>
    <row r="1139"/>
    <row r="1140"/>
    <row r="1141"/>
    <row r="1142"/>
    <row r="1143"/>
    <row r="1144"/>
    <row r="1145"/>
    <row r="1146"/>
    <row r="1147"/>
    <row r="1148"/>
    <row r="1149"/>
    <row r="1150"/>
    <row r="1151"/>
    <row r="1152"/>
    <row r="1153"/>
    <row r="1154"/>
    <row r="1155"/>
    <row r="1156"/>
    <row r="1157"/>
    <row r="1158"/>
    <row r="1159"/>
    <row r="1160"/>
    <row r="1161"/>
    <row r="1162"/>
    <row r="1163"/>
    <row r="1164"/>
    <row r="1165"/>
    <row r="1166"/>
    <row r="1167"/>
    <row r="1168"/>
    <row r="1169"/>
    <row r="1170"/>
    <row r="1171"/>
    <row r="1172"/>
    <row r="1173"/>
    <row r="1174"/>
    <row r="1175"/>
    <row r="1176"/>
    <row r="1177"/>
    <row r="1178"/>
    <row r="1179"/>
    <row r="1180"/>
    <row r="1181"/>
    <row r="1182"/>
    <row r="1183"/>
    <row r="1184"/>
    <row r="1185"/>
    <row r="1186"/>
    <row r="1187"/>
    <row r="1188"/>
    <row r="1189"/>
    <row r="1190"/>
    <row r="1191"/>
    <row r="1192"/>
    <row r="1193"/>
    <row r="1194"/>
    <row r="1195"/>
    <row r="1196"/>
    <row r="1197"/>
    <row r="1198"/>
    <row r="1199"/>
    <row r="1200"/>
    <row r="1201"/>
    <row r="1202"/>
    <row r="1203"/>
    <row r="1204"/>
    <row r="1205"/>
    <row r="1206"/>
    <row r="1207"/>
    <row r="1208"/>
    <row r="1209"/>
    <row r="1210"/>
    <row r="1211"/>
    <row r="1212"/>
    <row r="1213"/>
    <row r="1214"/>
    <row r="1215"/>
    <row r="1216"/>
    <row r="1217"/>
    <row r="1218"/>
    <row r="1219"/>
    <row r="1220"/>
    <row r="1221"/>
    <row r="1222"/>
    <row r="1223"/>
    <row r="1224"/>
    <row r="1225"/>
    <row r="1226"/>
    <row r="1227"/>
    <row r="1228"/>
    <row r="1229"/>
    <row r="1230"/>
    <row r="1231"/>
    <row r="1232"/>
    <row r="1233"/>
    <row r="1234"/>
    <row r="1235"/>
    <row r="1236"/>
    <row r="1237"/>
    <row r="1238"/>
    <row r="1239"/>
    <row r="1240"/>
    <row r="1241"/>
    <row r="1242"/>
    <row r="1243"/>
    <row r="1244"/>
    <row r="1245"/>
    <row r="1246"/>
    <row r="1247"/>
    <row r="1248"/>
    <row r="1249"/>
    <row r="1250"/>
    <row r="1251"/>
    <row r="1252"/>
    <row r="1253"/>
    <row r="1254"/>
    <row r="1255"/>
    <row r="1256"/>
    <row r="1257"/>
    <row r="1258"/>
    <row r="1259"/>
    <row r="1260"/>
    <row r="1261"/>
    <row r="1262"/>
    <row r="1263"/>
    <row r="1264"/>
    <row r="1265"/>
    <row r="1266"/>
    <row r="1267"/>
    <row r="1268"/>
    <row r="1269"/>
    <row r="1270"/>
    <row r="1271"/>
    <row r="1272"/>
    <row r="1273"/>
    <row r="1274"/>
    <row r="1275"/>
    <row r="1276"/>
    <row r="1277"/>
    <row r="1278"/>
    <row r="1279"/>
    <row r="1280"/>
    <row r="1281"/>
    <row r="1282"/>
    <row r="1283"/>
    <row r="1284"/>
    <row r="1285"/>
    <row r="1286"/>
    <row r="1287"/>
    <row r="1288"/>
    <row r="1289"/>
    <row r="1290"/>
    <row r="1291"/>
    <row r="1292"/>
    <row r="1293"/>
    <row r="1294"/>
    <row r="1295"/>
    <row r="1296"/>
    <row r="1297"/>
    <row r="1298"/>
    <row r="1299"/>
    <row r="1300"/>
    <row r="1301"/>
    <row r="1302"/>
    <row r="1303"/>
    <row r="1304"/>
    <row r="1305"/>
    <row r="1306"/>
    <row r="1307"/>
    <row r="1308"/>
    <row r="1309"/>
    <row r="1310"/>
    <row r="1311"/>
    <row r="1312"/>
    <row r="1313"/>
    <row r="1314"/>
    <row r="1315"/>
    <row r="1316"/>
    <row r="1317"/>
    <row r="1318"/>
    <row r="1319"/>
    <row r="1320"/>
    <row r="1321"/>
    <row r="1322"/>
    <row r="1323"/>
    <row r="1324"/>
    <row r="1325"/>
    <row r="1326"/>
    <row r="1327"/>
    <row r="1328"/>
    <row r="1329"/>
    <row r="1330"/>
    <row r="1331"/>
    <row r="1332"/>
    <row r="1333"/>
    <row r="1334"/>
    <row r="1335"/>
    <row r="1336"/>
    <row r="1337"/>
    <row r="1338"/>
    <row r="1339"/>
    <row r="1340"/>
    <row r="1341"/>
    <row r="1342"/>
    <row r="1343"/>
    <row r="1344"/>
    <row r="1345"/>
    <row r="1346"/>
    <row r="1347"/>
    <row r="1348"/>
    <row r="1349"/>
    <row r="1350"/>
    <row r="1351"/>
    <row r="1352"/>
    <row r="1353"/>
    <row r="1354"/>
    <row r="1355"/>
    <row r="1356"/>
    <row r="1357"/>
    <row r="1358"/>
    <row r="1359"/>
    <row r="1360"/>
    <row r="1361"/>
    <row r="1362"/>
    <row r="1363"/>
    <row r="1364"/>
    <row r="1365"/>
    <row r="1366"/>
    <row r="1367"/>
    <row r="1368"/>
    <row r="1369"/>
    <row r="1370"/>
    <row r="1371"/>
    <row r="1372"/>
    <row r="1373"/>
    <row r="1374"/>
    <row r="1375"/>
    <row r="1376"/>
    <row r="1377"/>
    <row r="1378"/>
    <row r="1379"/>
    <row r="1380"/>
    <row r="1381"/>
    <row r="1382"/>
    <row r="1383"/>
    <row r="1384"/>
    <row r="1385"/>
    <row r="1386"/>
    <row r="1387"/>
    <row r="1388"/>
    <row r="1389"/>
    <row r="1390"/>
    <row r="1391"/>
    <row r="1392"/>
    <row r="1393"/>
    <row r="1394"/>
    <row r="1395"/>
    <row r="1396"/>
    <row r="1397"/>
    <row r="1398"/>
    <row r="1399"/>
    <row r="1400"/>
    <row r="1401"/>
    <row r="1402"/>
    <row r="1403"/>
    <row r="1404"/>
    <row r="1405"/>
    <row r="1406"/>
    <row r="1407"/>
    <row r="1408"/>
    <row r="1409"/>
    <row r="1410"/>
    <row r="1411"/>
    <row r="1412"/>
    <row r="1413"/>
    <row r="1414"/>
    <row r="1415"/>
    <row r="1416"/>
    <row r="1417"/>
    <row r="1418"/>
    <row r="1419"/>
    <row r="1420"/>
    <row r="1421"/>
    <row r="1422"/>
    <row r="1423"/>
    <row r="1424"/>
    <row r="1425"/>
    <row r="1426"/>
    <row r="1427"/>
    <row r="1428"/>
    <row r="1429"/>
    <row r="1430"/>
    <row r="1431"/>
    <row r="1432"/>
    <row r="1433"/>
    <row r="1434"/>
    <row r="1435"/>
    <row r="1436"/>
    <row r="1437"/>
    <row r="1438"/>
    <row r="1439"/>
    <row r="1440"/>
    <row r="1441"/>
    <row r="1442"/>
    <row r="1443"/>
    <row r="1444"/>
    <row r="1445"/>
    <row r="1446"/>
    <row r="1447"/>
    <row r="1448"/>
    <row r="1449"/>
    <row r="1450"/>
    <row r="1451"/>
    <row r="1452"/>
    <row r="1453"/>
    <row r="1454"/>
    <row r="1455"/>
    <row r="1456"/>
    <row r="1457"/>
    <row r="1458"/>
    <row r="1459"/>
    <row r="1460"/>
    <row r="1461"/>
    <row r="1462"/>
    <row r="1463"/>
    <row r="1464"/>
    <row r="1465"/>
    <row r="1466"/>
    <row r="1467"/>
    <row r="1468"/>
    <row r="1469"/>
    <row r="1470"/>
    <row r="1471"/>
    <row r="1472"/>
    <row r="1473"/>
    <row r="1474"/>
    <row r="1475"/>
    <row r="1476"/>
    <row r="1477"/>
    <row r="1478"/>
    <row r="1479"/>
    <row r="1480"/>
    <row r="1481"/>
    <row r="1482"/>
    <row r="1483"/>
    <row r="1484"/>
    <row r="1485"/>
    <row r="1486"/>
    <row r="1487"/>
    <row r="1488"/>
    <row r="1489"/>
    <row r="1490"/>
    <row r="1491"/>
    <row r="1492"/>
    <row r="1493"/>
    <row r="1494"/>
    <row r="1495"/>
    <row r="1496"/>
    <row r="1497"/>
    <row r="1498"/>
    <row r="1499"/>
    <row r="1500"/>
    <row r="1501"/>
    <row r="1502"/>
    <row r="1503"/>
    <row r="1504"/>
    <row r="1505"/>
    <row r="1506"/>
    <row r="1507"/>
    <row r="1508"/>
    <row r="1509"/>
    <row r="1510"/>
    <row r="1511"/>
    <row r="1512"/>
    <row r="1513"/>
    <row r="1514"/>
    <row r="1515"/>
    <row r="1516"/>
    <row r="1517"/>
    <row r="1518"/>
    <row r="1519"/>
    <row r="1520"/>
    <row r="1521"/>
    <row r="1522"/>
    <row r="1523"/>
    <row r="1524"/>
    <row r="1525"/>
    <row r="1526"/>
    <row r="1527"/>
    <row r="1528"/>
    <row r="1529"/>
    <row r="1530"/>
    <row r="1531"/>
    <row r="1532"/>
    <row r="1533"/>
    <row r="1534"/>
    <row r="1535"/>
    <row r="1536"/>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sheetData>
  <mergeCells count="2">
    <mergeCell ref="A4:A6"/>
    <mergeCell ref="V3:W3"/>
  </mergeCells>
  <phoneticPr fontId="11" type="noConversion"/>
  <pageMargins left="0.25" right="0.25" top="0.75" bottom="0.75" header="0.3" footer="0.3"/>
  <pageSetup paperSize="9" scale="40" orientation="portrait" r:id="rId1"/>
  <headerFooter alignWithMargins="0">
    <oddFooter>&amp;L&amp;C&amp;R</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3" tint="0.59999389629810485"/>
  </sheetPr>
  <dimension ref="A1:M343"/>
  <sheetViews>
    <sheetView workbookViewId="0">
      <pane xSplit="4" ySplit="1" topLeftCell="E224" activePane="bottomRight" state="frozen"/>
      <selection activeCell="N70" sqref="N70"/>
      <selection pane="topRight" activeCell="N70" sqref="N70"/>
      <selection pane="bottomLeft" activeCell="N70" sqref="N70"/>
      <selection pane="bottomRight" activeCell="H245" sqref="H245:I245"/>
    </sheetView>
  </sheetViews>
  <sheetFormatPr defaultColWidth="11.44140625" defaultRowHeight="13.2"/>
  <cols>
    <col min="1" max="1" width="7.6640625" style="22" customWidth="1"/>
    <col min="2" max="2" width="14.33203125" style="22" customWidth="1"/>
    <col min="3" max="4" width="24" bestFit="1" customWidth="1"/>
    <col min="5" max="5" width="19.33203125" bestFit="1" customWidth="1"/>
    <col min="6" max="6" width="9.5546875" customWidth="1"/>
    <col min="7" max="7" width="20.109375" customWidth="1"/>
    <col min="8" max="8" width="17.33203125" bestFit="1" customWidth="1"/>
    <col min="9" max="9" width="26.6640625" customWidth="1"/>
    <col min="10" max="10" width="16.44140625" customWidth="1"/>
    <col min="11" max="11" width="10.6640625" customWidth="1"/>
  </cols>
  <sheetData>
    <row r="1" spans="1:13" ht="46.8">
      <c r="A1" s="22" t="s">
        <v>405</v>
      </c>
      <c r="C1" s="23" t="s">
        <v>414</v>
      </c>
      <c r="D1" s="23" t="s">
        <v>413</v>
      </c>
      <c r="E1" s="24" t="s">
        <v>340</v>
      </c>
      <c r="F1" s="24" t="s">
        <v>399</v>
      </c>
      <c r="G1" s="24" t="s">
        <v>379</v>
      </c>
      <c r="H1" s="23" t="s">
        <v>380</v>
      </c>
      <c r="I1" s="23" t="s">
        <v>381</v>
      </c>
      <c r="J1" s="23" t="s">
        <v>302</v>
      </c>
      <c r="K1" s="23" t="s">
        <v>374</v>
      </c>
      <c r="M1">
        <f>SUBTOTAL(3,K:K)</f>
        <v>84</v>
      </c>
    </row>
    <row r="2" spans="1:13" ht="14.4">
      <c r="A2" s="22" t="str">
        <f>F2&amp;(COUNTIFS(F$2:F2,F2,K$2:K2,"Sparse"))</f>
        <v>SD0</v>
      </c>
      <c r="B2" s="22" t="str">
        <f>J2&amp;(COUNTIF(J$2:J2,J2))</f>
        <v>West Sussex1</v>
      </c>
      <c r="C2" t="s">
        <v>4</v>
      </c>
      <c r="D2" t="s">
        <v>4</v>
      </c>
      <c r="E2" s="25" t="s">
        <v>0</v>
      </c>
      <c r="F2" s="25" t="s">
        <v>382</v>
      </c>
      <c r="G2" s="25" t="s">
        <v>5</v>
      </c>
      <c r="H2" s="26" t="s">
        <v>893</v>
      </c>
      <c r="I2" s="27" t="s">
        <v>385</v>
      </c>
      <c r="J2" t="s">
        <v>332</v>
      </c>
    </row>
    <row r="3" spans="1:13" ht="14.4">
      <c r="A3" s="22" t="str">
        <f>F3&amp;(COUNTIFS(F$2:F3,F3,K$2:K3,"Sparse"))</f>
        <v>SD1</v>
      </c>
      <c r="B3" s="22" t="str">
        <f>J3&amp;(COUNTIF(J$2:J3,J3))</f>
        <v>Cumbria1</v>
      </c>
      <c r="C3" t="s">
        <v>6</v>
      </c>
      <c r="D3" t="s">
        <v>6</v>
      </c>
      <c r="E3" s="25" t="s">
        <v>377</v>
      </c>
      <c r="F3" s="25" t="s">
        <v>382</v>
      </c>
      <c r="G3" s="25" t="s">
        <v>5</v>
      </c>
      <c r="H3" s="26" t="s">
        <v>894</v>
      </c>
      <c r="I3" s="27" t="s">
        <v>383</v>
      </c>
      <c r="J3" t="s">
        <v>307</v>
      </c>
      <c r="K3" t="s">
        <v>336</v>
      </c>
    </row>
    <row r="4" spans="1:13" ht="14.4">
      <c r="A4" s="22" t="str">
        <f>F4&amp;(COUNTIFS(F$2:F4,F4,K$2:K4,"Sparse"))</f>
        <v>SD1</v>
      </c>
      <c r="B4" s="22" t="str">
        <f>J4&amp;(COUNTIF(J$2:J4,J4))</f>
        <v>Derbyshire1</v>
      </c>
      <c r="C4" t="s">
        <v>7</v>
      </c>
      <c r="D4" t="s">
        <v>7</v>
      </c>
      <c r="E4" s="25" t="s">
        <v>368</v>
      </c>
      <c r="F4" s="25" t="s">
        <v>382</v>
      </c>
      <c r="G4" s="25" t="s">
        <v>5</v>
      </c>
      <c r="H4" s="26" t="s">
        <v>895</v>
      </c>
      <c r="I4" s="27" t="s">
        <v>385</v>
      </c>
      <c r="J4" t="s">
        <v>308</v>
      </c>
    </row>
    <row r="5" spans="1:13" ht="14.4">
      <c r="A5" s="22" t="str">
        <f>F5&amp;(COUNTIFS(F$2:F5,F5,K$2:K5,"Sparse"))</f>
        <v>SD1</v>
      </c>
      <c r="B5" s="22" t="str">
        <f>J5&amp;(COUNTIF(J$2:J5,J5))</f>
        <v>West Sussex2</v>
      </c>
      <c r="C5" t="s">
        <v>8</v>
      </c>
      <c r="D5" t="s">
        <v>8</v>
      </c>
      <c r="E5" s="25" t="s">
        <v>0</v>
      </c>
      <c r="F5" s="25" t="s">
        <v>382</v>
      </c>
      <c r="G5" s="25" t="s">
        <v>5</v>
      </c>
      <c r="H5" s="26" t="s">
        <v>893</v>
      </c>
      <c r="I5" s="27" t="s">
        <v>385</v>
      </c>
      <c r="J5" t="s">
        <v>332</v>
      </c>
    </row>
    <row r="6" spans="1:13" ht="14.4">
      <c r="A6" s="22" t="str">
        <f>F6&amp;(COUNTIFS(F$2:F6,F6,K$2:K6,"Sparse"))</f>
        <v>SD1</v>
      </c>
      <c r="B6" s="22" t="str">
        <f>J6&amp;(COUNTIF(J$2:J6,J6))</f>
        <v>Nottinghamshire1</v>
      </c>
      <c r="C6" t="s">
        <v>9</v>
      </c>
      <c r="D6" t="s">
        <v>9</v>
      </c>
      <c r="E6" s="25" t="s">
        <v>368</v>
      </c>
      <c r="F6" s="25" t="s">
        <v>382</v>
      </c>
      <c r="G6" s="25" t="s">
        <v>5</v>
      </c>
      <c r="H6" s="26" t="s">
        <v>893</v>
      </c>
      <c r="I6" s="27" t="s">
        <v>385</v>
      </c>
      <c r="J6" t="s">
        <v>324</v>
      </c>
    </row>
    <row r="7" spans="1:13" ht="14.4">
      <c r="A7" s="22" t="str">
        <f>F7&amp;(COUNTIFS(F$2:F7,F7,K$2:K7,"Sparse"))</f>
        <v>SD1</v>
      </c>
      <c r="B7" s="22" t="str">
        <f>J7&amp;(COUNTIF(J$2:J7,J7))</f>
        <v>Kent1</v>
      </c>
      <c r="C7" t="s">
        <v>10</v>
      </c>
      <c r="D7" t="s">
        <v>10</v>
      </c>
      <c r="E7" s="25" t="s">
        <v>0</v>
      </c>
      <c r="F7" s="25" t="s">
        <v>382</v>
      </c>
      <c r="G7" s="25" t="s">
        <v>5</v>
      </c>
      <c r="H7" s="26" t="s">
        <v>896</v>
      </c>
      <c r="I7" s="27" t="s">
        <v>372</v>
      </c>
      <c r="J7" t="s">
        <v>316</v>
      </c>
    </row>
    <row r="8" spans="1:13" ht="14.4">
      <c r="A8" s="22" t="str">
        <f>F8&amp;(COUNTIFS(F$2:F8,F8,K$2:K8,"Sparse"))</f>
        <v>SD2</v>
      </c>
      <c r="B8" s="22" t="str">
        <f>J8&amp;(COUNTIF(J$2:J8,J8))</f>
        <v>Suffolk1</v>
      </c>
      <c r="C8" t="s">
        <v>12</v>
      </c>
      <c r="D8" t="s">
        <v>12</v>
      </c>
      <c r="E8" s="25" t="s">
        <v>370</v>
      </c>
      <c r="F8" s="25" t="s">
        <v>382</v>
      </c>
      <c r="G8" s="25" t="s">
        <v>5</v>
      </c>
      <c r="H8" s="26" t="s">
        <v>894</v>
      </c>
      <c r="I8" s="27" t="s">
        <v>383</v>
      </c>
      <c r="J8" t="s">
        <v>329</v>
      </c>
      <c r="K8" t="s">
        <v>336</v>
      </c>
    </row>
    <row r="9" spans="1:13" ht="14.4">
      <c r="A9" s="22" t="str">
        <f>F9&amp;(COUNTIFS(F$2:F9,F9,K$2:K9,"Sparse"))</f>
        <v>L0</v>
      </c>
      <c r="B9" s="22" t="str">
        <f>J9&amp;(COUNTIF(J$2:J9,J9))</f>
        <v>London1</v>
      </c>
      <c r="C9" t="s">
        <v>339</v>
      </c>
      <c r="D9" t="s">
        <v>339</v>
      </c>
      <c r="E9" s="25" t="s">
        <v>384</v>
      </c>
      <c r="F9" s="25" t="s">
        <v>360</v>
      </c>
      <c r="G9" s="25" t="s">
        <v>384</v>
      </c>
      <c r="H9" s="26" t="s">
        <v>898</v>
      </c>
      <c r="I9" s="27" t="s">
        <v>385</v>
      </c>
      <c r="J9" t="str">
        <f>G9</f>
        <v>London</v>
      </c>
    </row>
    <row r="10" spans="1:13" ht="14.4">
      <c r="A10" s="22" t="str">
        <f>F10&amp;(COUNTIFS(F$2:F10,F10,K$2:K10,"Sparse"))</f>
        <v>L0</v>
      </c>
      <c r="B10" s="22" t="str">
        <f>J10&amp;(COUNTIF(J$2:J10,J10))</f>
        <v>London2</v>
      </c>
      <c r="C10" t="s">
        <v>197</v>
      </c>
      <c r="D10" t="s">
        <v>197</v>
      </c>
      <c r="E10" s="25" t="s">
        <v>384</v>
      </c>
      <c r="F10" s="25" t="s">
        <v>360</v>
      </c>
      <c r="G10" s="25" t="s">
        <v>384</v>
      </c>
      <c r="H10" s="26" t="s">
        <v>898</v>
      </c>
      <c r="I10" s="27" t="s">
        <v>385</v>
      </c>
      <c r="J10" t="str">
        <f>G10</f>
        <v>London</v>
      </c>
    </row>
    <row r="11" spans="1:13" ht="14.4">
      <c r="A11" s="22" t="str">
        <f>F11&amp;(COUNTIFS(F$2:F11,F11,K$2:K11,"Sparse"))</f>
        <v>MD0</v>
      </c>
      <c r="B11" s="22" t="str">
        <f>J11&amp;(COUNTIF(J$2:J11,J11))</f>
        <v>Barnsley1</v>
      </c>
      <c r="C11" t="s">
        <v>223</v>
      </c>
      <c r="D11" t="s">
        <v>223</v>
      </c>
      <c r="E11" s="25" t="s">
        <v>386</v>
      </c>
      <c r="F11" s="25" t="s">
        <v>387</v>
      </c>
      <c r="G11" s="25" t="s">
        <v>398</v>
      </c>
      <c r="H11" s="26" t="s">
        <v>895</v>
      </c>
      <c r="I11" s="27" t="s">
        <v>385</v>
      </c>
      <c r="J11" t="str">
        <f>C11</f>
        <v>Barnsley</v>
      </c>
    </row>
    <row r="12" spans="1:13" ht="14.4">
      <c r="A12" s="22" t="str">
        <f>F12&amp;(COUNTIFS(F$2:F12,F12,K$2:K12,"Sparse"))</f>
        <v>SD2</v>
      </c>
      <c r="B12" s="22" t="str">
        <f>J12&amp;(COUNTIF(J$2:J12,J12))</f>
        <v>Cumbria2</v>
      </c>
      <c r="C12" t="s">
        <v>13</v>
      </c>
      <c r="D12" t="s">
        <v>13</v>
      </c>
      <c r="E12" s="25" t="s">
        <v>377</v>
      </c>
      <c r="F12" s="25" t="s">
        <v>382</v>
      </c>
      <c r="G12" s="25" t="s">
        <v>5</v>
      </c>
      <c r="H12" s="26" t="s">
        <v>896</v>
      </c>
      <c r="I12" s="27" t="s">
        <v>372</v>
      </c>
      <c r="J12" t="s">
        <v>307</v>
      </c>
    </row>
    <row r="13" spans="1:13" ht="14.4">
      <c r="A13" s="22" t="str">
        <f>F13&amp;(COUNTIFS(F$2:F13,F13,K$2:K13,"Sparse"))</f>
        <v>SD2</v>
      </c>
      <c r="B13" s="22" t="str">
        <f>J13&amp;(COUNTIF(J$2:J13,J13))</f>
        <v>Essex1</v>
      </c>
      <c r="C13" t="s">
        <v>14</v>
      </c>
      <c r="D13" t="s">
        <v>14</v>
      </c>
      <c r="E13" s="25" t="s">
        <v>370</v>
      </c>
      <c r="F13" s="25" t="s">
        <v>382</v>
      </c>
      <c r="G13" s="25" t="s">
        <v>5</v>
      </c>
      <c r="H13" s="26" t="s">
        <v>893</v>
      </c>
      <c r="I13" s="27" t="s">
        <v>385</v>
      </c>
      <c r="J13" t="s">
        <v>312</v>
      </c>
    </row>
    <row r="14" spans="1:13" ht="14.4">
      <c r="A14" s="22" t="str">
        <f>F14&amp;(COUNTIFS(F$2:F14,F14,K$2:K14,"Sparse"))</f>
        <v>SD2</v>
      </c>
      <c r="B14" s="22" t="str">
        <f>J14&amp;(COUNTIF(J$2:J14,J14))</f>
        <v>Hampshire1</v>
      </c>
      <c r="C14" t="s">
        <v>344</v>
      </c>
      <c r="D14" t="s">
        <v>344</v>
      </c>
      <c r="E14" s="25" t="s">
        <v>0</v>
      </c>
      <c r="F14" s="25" t="s">
        <v>382</v>
      </c>
      <c r="G14" s="25" t="s">
        <v>5</v>
      </c>
      <c r="H14" s="26" t="s">
        <v>896</v>
      </c>
      <c r="I14" s="27" t="s">
        <v>372</v>
      </c>
      <c r="J14" t="s">
        <v>314</v>
      </c>
    </row>
    <row r="15" spans="1:13" ht="14.4">
      <c r="A15" s="22" t="str">
        <f>F15&amp;(COUNTIFS(F$2:F15,F15,K$2:K15,"Sparse"))</f>
        <v>SD2</v>
      </c>
      <c r="B15" s="22" t="str">
        <f>J15&amp;(COUNTIF(J$2:J15,J15))</f>
        <v>Nottinghamshire2</v>
      </c>
      <c r="C15" t="s">
        <v>15</v>
      </c>
      <c r="D15" t="s">
        <v>15</v>
      </c>
      <c r="E15" s="25" t="s">
        <v>368</v>
      </c>
      <c r="F15" s="25" t="s">
        <v>382</v>
      </c>
      <c r="G15" s="25" t="s">
        <v>5</v>
      </c>
      <c r="H15" s="26" t="s">
        <v>897</v>
      </c>
      <c r="I15" s="27" t="s">
        <v>383</v>
      </c>
      <c r="J15" t="s">
        <v>324</v>
      </c>
    </row>
    <row r="16" spans="1:13" ht="14.4">
      <c r="A16" s="22" t="str">
        <f>F16&amp;(COUNTIFS(F$2:F16,F16,K$2:K16,"Sparse"))</f>
        <v>UA0</v>
      </c>
      <c r="B16" s="22" t="str">
        <f>J16&amp;(COUNTIF(J$2:J16,J16))</f>
        <v>Unitary1</v>
      </c>
      <c r="C16" t="s">
        <v>259</v>
      </c>
      <c r="D16" t="s">
        <v>259</v>
      </c>
      <c r="E16" s="25" t="s">
        <v>1</v>
      </c>
      <c r="F16" s="25" t="s">
        <v>388</v>
      </c>
      <c r="G16" s="25" t="s">
        <v>397</v>
      </c>
      <c r="H16" s="26" t="s">
        <v>896</v>
      </c>
      <c r="I16" s="27" t="s">
        <v>372</v>
      </c>
      <c r="J16" s="3" t="s">
        <v>397</v>
      </c>
    </row>
    <row r="17" spans="1:11" ht="14.4">
      <c r="A17" s="22" t="str">
        <f>F17&amp;(COUNTIFS(F$2:F17,F17,K$2:K17,"Sparse"))</f>
        <v>UA0</v>
      </c>
      <c r="B17" s="22" t="str">
        <f>J17&amp;(COUNTIF(J$2:J17,J17))</f>
        <v>Unitary2</v>
      </c>
      <c r="C17" t="s">
        <v>260</v>
      </c>
      <c r="D17" t="s">
        <v>260</v>
      </c>
      <c r="E17" s="25" t="s">
        <v>370</v>
      </c>
      <c r="F17" s="25" t="s">
        <v>388</v>
      </c>
      <c r="G17" s="25" t="s">
        <v>397</v>
      </c>
      <c r="H17" s="26" t="s">
        <v>896</v>
      </c>
      <c r="I17" s="27" t="s">
        <v>372</v>
      </c>
      <c r="J17" s="3" t="s">
        <v>397</v>
      </c>
    </row>
    <row r="18" spans="1:11" ht="14.4">
      <c r="A18" s="22" t="str">
        <f>F18&amp;(COUNTIFS(F$2:F18,F18,K$2:K18,"Sparse"))</f>
        <v>L0</v>
      </c>
      <c r="B18" s="22" t="str">
        <f>J18&amp;(COUNTIF(J$2:J18,J18))</f>
        <v>London3</v>
      </c>
      <c r="C18" t="s">
        <v>198</v>
      </c>
      <c r="D18" t="s">
        <v>198</v>
      </c>
      <c r="E18" s="25" t="s">
        <v>384</v>
      </c>
      <c r="F18" s="25" t="s">
        <v>360</v>
      </c>
      <c r="G18" s="25" t="s">
        <v>384</v>
      </c>
      <c r="H18" s="26" t="s">
        <v>898</v>
      </c>
      <c r="I18" s="27" t="s">
        <v>385</v>
      </c>
      <c r="J18" t="str">
        <f>G18</f>
        <v>London</v>
      </c>
    </row>
    <row r="19" spans="1:11" ht="14.4">
      <c r="A19" s="22" t="str">
        <f>F19&amp;(COUNTIFS(F$2:F19,F19,K$2:K19,"Sparse"))</f>
        <v>MD0</v>
      </c>
      <c r="B19" s="22" t="str">
        <f>J19&amp;(COUNTIF(J$2:J19,J19))</f>
        <v>Birmingham1</v>
      </c>
      <c r="C19" t="s">
        <v>224</v>
      </c>
      <c r="D19" t="s">
        <v>224</v>
      </c>
      <c r="E19" s="25" t="s">
        <v>369</v>
      </c>
      <c r="F19" s="25" t="s">
        <v>387</v>
      </c>
      <c r="G19" s="25" t="s">
        <v>398</v>
      </c>
      <c r="H19" s="26" t="s">
        <v>898</v>
      </c>
      <c r="I19" s="27" t="s">
        <v>385</v>
      </c>
      <c r="J19" t="str">
        <f>C19</f>
        <v>Birmingham</v>
      </c>
    </row>
    <row r="20" spans="1:11" ht="14.4">
      <c r="A20" s="22" t="str">
        <f>F20&amp;(COUNTIFS(F$2:F20,F20,K$2:K20,"Sparse"))</f>
        <v>SD2</v>
      </c>
      <c r="B20" s="22" t="str">
        <f>J20&amp;(COUNTIF(J$2:J20,J20))</f>
        <v>Leicestershire1</v>
      </c>
      <c r="C20" t="s">
        <v>16</v>
      </c>
      <c r="D20" t="s">
        <v>16</v>
      </c>
      <c r="E20" s="25" t="s">
        <v>368</v>
      </c>
      <c r="F20" s="25" t="s">
        <v>382</v>
      </c>
      <c r="G20" s="25" t="s">
        <v>5</v>
      </c>
      <c r="H20" s="26" t="s">
        <v>893</v>
      </c>
      <c r="I20" s="27" t="s">
        <v>385</v>
      </c>
      <c r="J20" t="s">
        <v>318</v>
      </c>
    </row>
    <row r="21" spans="1:11" ht="14.4">
      <c r="A21" s="22" t="str">
        <f>F21&amp;(COUNTIFS(F$2:F21,F21,K$2:K21,"Sparse"))</f>
        <v>UA0</v>
      </c>
      <c r="B21" s="22" t="str">
        <f>J21&amp;(COUNTIF(J$2:J21,J21))</f>
        <v>Unitary3</v>
      </c>
      <c r="C21" t="s">
        <v>261</v>
      </c>
      <c r="D21" t="s">
        <v>261</v>
      </c>
      <c r="E21" s="25" t="s">
        <v>377</v>
      </c>
      <c r="F21" s="25" t="s">
        <v>388</v>
      </c>
      <c r="G21" s="25" t="s">
        <v>397</v>
      </c>
      <c r="H21" s="26" t="s">
        <v>893</v>
      </c>
      <c r="I21" s="27" t="s">
        <v>385</v>
      </c>
      <c r="J21" s="3" t="s">
        <v>397</v>
      </c>
    </row>
    <row r="22" spans="1:11" ht="14.4">
      <c r="A22" s="22" t="str">
        <f>F22&amp;(COUNTIFS(F$2:F22,F22,K$2:K22,"Sparse"))</f>
        <v>UA0</v>
      </c>
      <c r="B22" s="22" t="str">
        <f>J22&amp;(COUNTIF(J$2:J22,J22))</f>
        <v>Unitary4</v>
      </c>
      <c r="C22" t="s">
        <v>262</v>
      </c>
      <c r="D22" t="s">
        <v>262</v>
      </c>
      <c r="E22" s="25" t="s">
        <v>377</v>
      </c>
      <c r="F22" s="25" t="s">
        <v>388</v>
      </c>
      <c r="G22" s="25" t="s">
        <v>397</v>
      </c>
      <c r="H22" s="26" t="s">
        <v>893</v>
      </c>
      <c r="I22" s="27" t="s">
        <v>385</v>
      </c>
      <c r="J22" s="3" t="s">
        <v>397</v>
      </c>
    </row>
    <row r="23" spans="1:11" ht="14.4">
      <c r="A23" s="22" t="str">
        <f>F23&amp;(COUNTIFS(F$2:F23,F23,K$2:K23,"Sparse"))</f>
        <v>SD2</v>
      </c>
      <c r="B23" s="22" t="str">
        <f>J23&amp;(COUNTIF(J$2:J23,J23))</f>
        <v>Derbyshire2</v>
      </c>
      <c r="C23" t="s">
        <v>17</v>
      </c>
      <c r="D23" t="s">
        <v>17</v>
      </c>
      <c r="E23" s="25" t="s">
        <v>368</v>
      </c>
      <c r="F23" s="25" t="s">
        <v>382</v>
      </c>
      <c r="G23" s="25" t="s">
        <v>5</v>
      </c>
      <c r="H23" s="28" t="s">
        <v>896</v>
      </c>
      <c r="I23" s="27" t="s">
        <v>372</v>
      </c>
      <c r="J23" t="s">
        <v>308</v>
      </c>
    </row>
    <row r="24" spans="1:11" ht="14.4">
      <c r="A24" s="22" t="str">
        <f>F24&amp;(COUNTIFS(F$2:F24,F24,K$2:K24,"Sparse"))</f>
        <v>MD0</v>
      </c>
      <c r="B24" s="22" t="str">
        <f>J24&amp;(COUNTIF(J$2:J24,J24))</f>
        <v>Bolton1</v>
      </c>
      <c r="C24" t="s">
        <v>225</v>
      </c>
      <c r="D24" t="s">
        <v>225</v>
      </c>
      <c r="E24" s="25" t="s">
        <v>377</v>
      </c>
      <c r="F24" s="25" t="s">
        <v>387</v>
      </c>
      <c r="G24" s="25" t="s">
        <v>398</v>
      </c>
      <c r="H24" s="26" t="s">
        <v>898</v>
      </c>
      <c r="I24" s="27" t="s">
        <v>385</v>
      </c>
      <c r="J24" t="str">
        <f>C24</f>
        <v>Bolton</v>
      </c>
    </row>
    <row r="25" spans="1:11" ht="14.4">
      <c r="A25" s="22" t="str">
        <f>F25&amp;(COUNTIFS(F$2:F25,F25,K$2:K25,"Sparse"))</f>
        <v>SD3</v>
      </c>
      <c r="B25" s="22" t="str">
        <f>J25&amp;(COUNTIF(J$2:J25,J25))</f>
        <v>Lincolnshire1</v>
      </c>
      <c r="C25" t="s">
        <v>18</v>
      </c>
      <c r="D25" t="s">
        <v>18</v>
      </c>
      <c r="E25" s="25" t="s">
        <v>368</v>
      </c>
      <c r="F25" s="25" t="s">
        <v>382</v>
      </c>
      <c r="G25" s="25" t="s">
        <v>5</v>
      </c>
      <c r="H25" s="26" t="s">
        <v>896</v>
      </c>
      <c r="I25" s="27" t="s">
        <v>372</v>
      </c>
      <c r="J25" t="s">
        <v>319</v>
      </c>
      <c r="K25" t="s">
        <v>336</v>
      </c>
    </row>
    <row r="26" spans="1:11" ht="14.4">
      <c r="A26" s="22" t="str">
        <f>F26&amp;(COUNTIFS(F$2:F26,F26,K$2:K26,"Sparse"))</f>
        <v>UA0</v>
      </c>
      <c r="B26" s="22" t="str">
        <f>J26&amp;(COUNTIF(J$2:J26,J26))</f>
        <v>Unitary5</v>
      </c>
      <c r="C26" t="s">
        <v>901</v>
      </c>
      <c r="D26" t="s">
        <v>901</v>
      </c>
      <c r="E26" s="25" t="s">
        <v>1</v>
      </c>
      <c r="F26" s="25" t="s">
        <v>388</v>
      </c>
      <c r="G26" s="25" t="s">
        <v>397</v>
      </c>
      <c r="H26" s="26"/>
      <c r="I26" s="27" t="s">
        <v>385</v>
      </c>
      <c r="J26" s="3" t="s">
        <v>397</v>
      </c>
    </row>
    <row r="27" spans="1:11" ht="14.4">
      <c r="A27" s="22" t="str">
        <f>F27&amp;(COUNTIFS(F$2:F27,F27,K$2:K27,"Sparse"))</f>
        <v>UA0</v>
      </c>
      <c r="B27" s="22" t="str">
        <f>J27&amp;(COUNTIF(J$2:J27,J27))</f>
        <v>Unitary6</v>
      </c>
      <c r="C27" t="s">
        <v>264</v>
      </c>
      <c r="D27" t="s">
        <v>264</v>
      </c>
      <c r="E27" s="25" t="s">
        <v>0</v>
      </c>
      <c r="F27" s="25" t="s">
        <v>388</v>
      </c>
      <c r="G27" s="25" t="s">
        <v>397</v>
      </c>
      <c r="H27" s="26" t="s">
        <v>893</v>
      </c>
      <c r="I27" s="27" t="s">
        <v>385</v>
      </c>
      <c r="J27" s="3" t="s">
        <v>397</v>
      </c>
    </row>
    <row r="28" spans="1:11" ht="14.4">
      <c r="A28" s="22" t="str">
        <f>F28&amp;(COUNTIFS(F$2:F28,F28,K$2:K28,"Sparse"))</f>
        <v>MD0</v>
      </c>
      <c r="B28" s="22" t="str">
        <f>J28&amp;(COUNTIF(J$2:J28,J28))</f>
        <v>Bradford1</v>
      </c>
      <c r="C28" t="s">
        <v>226</v>
      </c>
      <c r="D28" t="s">
        <v>226</v>
      </c>
      <c r="E28" s="25" t="s">
        <v>386</v>
      </c>
      <c r="F28" s="25" t="s">
        <v>387</v>
      </c>
      <c r="G28" s="25" t="s">
        <v>398</v>
      </c>
      <c r="H28" s="26" t="s">
        <v>898</v>
      </c>
      <c r="I28" s="27" t="s">
        <v>385</v>
      </c>
      <c r="J28" t="str">
        <f>C28</f>
        <v>Bradford</v>
      </c>
    </row>
    <row r="29" spans="1:11" ht="14.4">
      <c r="A29" s="22" t="str">
        <f>F29&amp;(COUNTIFS(F$2:F29,F29,K$2:K29,"Sparse"))</f>
        <v>SD4</v>
      </c>
      <c r="B29" s="22" t="str">
        <f>J29&amp;(COUNTIF(J$2:J29,J29))</f>
        <v>Essex2</v>
      </c>
      <c r="C29" t="s">
        <v>19</v>
      </c>
      <c r="D29" t="s">
        <v>19</v>
      </c>
      <c r="E29" s="25" t="s">
        <v>370</v>
      </c>
      <c r="F29" s="25" t="s">
        <v>382</v>
      </c>
      <c r="G29" s="25" t="s">
        <v>5</v>
      </c>
      <c r="H29" s="26" t="s">
        <v>897</v>
      </c>
      <c r="I29" s="27" t="s">
        <v>383</v>
      </c>
      <c r="J29" t="s">
        <v>312</v>
      </c>
      <c r="K29" t="s">
        <v>336</v>
      </c>
    </row>
    <row r="30" spans="1:11" ht="14.4">
      <c r="A30" s="22" t="str">
        <f>F30&amp;(COUNTIFS(F$2:F30,F30,K$2:K30,"Sparse"))</f>
        <v>SD4</v>
      </c>
      <c r="B30" s="22" t="str">
        <f>J30&amp;(COUNTIF(J$2:J30,J30))</f>
        <v>Norfolk1</v>
      </c>
      <c r="C30" t="s">
        <v>20</v>
      </c>
      <c r="D30" t="s">
        <v>20</v>
      </c>
      <c r="E30" s="25" t="s">
        <v>370</v>
      </c>
      <c r="F30" s="25" t="s">
        <v>382</v>
      </c>
      <c r="G30" s="25" t="s">
        <v>5</v>
      </c>
      <c r="H30" s="26" t="s">
        <v>894</v>
      </c>
      <c r="I30" s="27" t="s">
        <v>383</v>
      </c>
      <c r="J30" t="s">
        <v>320</v>
      </c>
    </row>
    <row r="31" spans="1:11" ht="14.4">
      <c r="A31" s="22" t="str">
        <f>F31&amp;(COUNTIFS(F$2:F31,F31,K$2:K31,"Sparse"))</f>
        <v>L0</v>
      </c>
      <c r="B31" s="22" t="str">
        <f>J31&amp;(COUNTIF(J$2:J31,J31))</f>
        <v>London4</v>
      </c>
      <c r="C31" t="s">
        <v>199</v>
      </c>
      <c r="D31" t="s">
        <v>199</v>
      </c>
      <c r="E31" s="25" t="s">
        <v>384</v>
      </c>
      <c r="F31" s="25" t="s">
        <v>360</v>
      </c>
      <c r="G31" s="25" t="s">
        <v>384</v>
      </c>
      <c r="H31" s="26" t="s">
        <v>898</v>
      </c>
      <c r="I31" s="27" t="s">
        <v>385</v>
      </c>
      <c r="J31" t="str">
        <f>G31</f>
        <v>London</v>
      </c>
    </row>
    <row r="32" spans="1:11" ht="14.4">
      <c r="A32" s="22" t="str">
        <f>F32&amp;(COUNTIFS(F$2:F32,F32,K$2:K32,"Sparse"))</f>
        <v>SD4</v>
      </c>
      <c r="B32" s="22" t="str">
        <f>J32&amp;(COUNTIF(J$2:J32,J32))</f>
        <v>Essex3</v>
      </c>
      <c r="C32" t="s">
        <v>21</v>
      </c>
      <c r="D32" t="s">
        <v>21</v>
      </c>
      <c r="E32" s="25" t="s">
        <v>370</v>
      </c>
      <c r="F32" s="25" t="s">
        <v>382</v>
      </c>
      <c r="G32" s="25" t="s">
        <v>5</v>
      </c>
      <c r="H32" s="26" t="s">
        <v>896</v>
      </c>
      <c r="I32" s="27" t="s">
        <v>372</v>
      </c>
      <c r="J32" t="s">
        <v>312</v>
      </c>
    </row>
    <row r="33" spans="1:10" ht="14.4">
      <c r="A33" s="22" t="str">
        <f>F33&amp;(COUNTIFS(F$2:F33,F33,K$2:K33,"Sparse"))</f>
        <v>UA0</v>
      </c>
      <c r="B33" s="22" t="str">
        <f>J33&amp;(COUNTIF(J$2:J33,J33))</f>
        <v>Unitary7</v>
      </c>
      <c r="C33" t="s">
        <v>813</v>
      </c>
      <c r="D33" t="s">
        <v>813</v>
      </c>
      <c r="E33" s="25" t="s">
        <v>0</v>
      </c>
      <c r="F33" s="25" t="s">
        <v>388</v>
      </c>
      <c r="G33" s="25" t="s">
        <v>397</v>
      </c>
      <c r="H33" s="26" t="s">
        <v>893</v>
      </c>
      <c r="I33" s="27" t="s">
        <v>385</v>
      </c>
      <c r="J33" s="3" t="s">
        <v>397</v>
      </c>
    </row>
    <row r="34" spans="1:10" ht="14.4">
      <c r="A34" s="22" t="str">
        <f>F34&amp;(COUNTIFS(F$2:F34,F34,K$2:K34,"Sparse"))</f>
        <v>UA0</v>
      </c>
      <c r="B34" s="22" t="str">
        <f>J34&amp;(COUNTIF(J$2:J34,J34))</f>
        <v>Unitary8</v>
      </c>
      <c r="C34" t="s">
        <v>817</v>
      </c>
      <c r="D34" t="s">
        <v>389</v>
      </c>
      <c r="E34" s="25" t="s">
        <v>1</v>
      </c>
      <c r="F34" s="25" t="s">
        <v>388</v>
      </c>
      <c r="G34" s="25" t="s">
        <v>397</v>
      </c>
      <c r="H34" s="26" t="s">
        <v>893</v>
      </c>
      <c r="I34" s="27" t="s">
        <v>385</v>
      </c>
      <c r="J34" s="3" t="s">
        <v>397</v>
      </c>
    </row>
    <row r="35" spans="1:10" ht="14.4">
      <c r="A35" s="22" t="str">
        <f>F35&amp;(COUNTIFS(F$2:F35,F35,K$2:K35,"Sparse"))</f>
        <v>SD4</v>
      </c>
      <c r="B35" s="22" t="str">
        <f>J35&amp;(COUNTIF(J$2:J35,J35))</f>
        <v>Norfolk2</v>
      </c>
      <c r="C35" t="s">
        <v>22</v>
      </c>
      <c r="D35" t="s">
        <v>22</v>
      </c>
      <c r="E35" s="25" t="s">
        <v>370</v>
      </c>
      <c r="F35" s="25" t="s">
        <v>382</v>
      </c>
      <c r="G35" s="25" t="s">
        <v>5</v>
      </c>
      <c r="H35" s="26" t="s">
        <v>896</v>
      </c>
      <c r="I35" s="27" t="s">
        <v>372</v>
      </c>
      <c r="J35" t="s">
        <v>320</v>
      </c>
    </row>
    <row r="36" spans="1:10" ht="14.4">
      <c r="A36" s="22" t="str">
        <f>F36&amp;(COUNTIFS(F$2:F36,F36,K$2:K36,"Sparse"))</f>
        <v>L0</v>
      </c>
      <c r="B36" s="22" t="str">
        <f>J36&amp;(COUNTIF(J$2:J36,J36))</f>
        <v>London5</v>
      </c>
      <c r="C36" t="s">
        <v>200</v>
      </c>
      <c r="D36" t="s">
        <v>200</v>
      </c>
      <c r="E36" s="25" t="s">
        <v>384</v>
      </c>
      <c r="F36" s="25" t="s">
        <v>360</v>
      </c>
      <c r="G36" s="25" t="s">
        <v>384</v>
      </c>
      <c r="H36" s="26" t="s">
        <v>898</v>
      </c>
      <c r="I36" s="27" t="s">
        <v>385</v>
      </c>
      <c r="J36" t="str">
        <f>G36</f>
        <v>London</v>
      </c>
    </row>
    <row r="37" spans="1:10" ht="14.4">
      <c r="A37" s="22" t="str">
        <f>F37&amp;(COUNTIFS(F$2:F37,F37,K$2:K37,"Sparse"))</f>
        <v>SD4</v>
      </c>
      <c r="B37" s="22" t="str">
        <f>J37&amp;(COUNTIF(J$2:J37,J37))</f>
        <v>Worcestershire1</v>
      </c>
      <c r="C37" t="s">
        <v>23</v>
      </c>
      <c r="D37" t="s">
        <v>23</v>
      </c>
      <c r="E37" s="25" t="s">
        <v>369</v>
      </c>
      <c r="F37" s="25" t="s">
        <v>382</v>
      </c>
      <c r="G37" s="25" t="s">
        <v>5</v>
      </c>
      <c r="H37" s="26" t="s">
        <v>893</v>
      </c>
      <c r="I37" s="27" t="s">
        <v>385</v>
      </c>
      <c r="J37" t="s">
        <v>333</v>
      </c>
    </row>
    <row r="38" spans="1:10" ht="14.4">
      <c r="A38" s="22" t="str">
        <f>F38&amp;(COUNTIFS(F$2:F38,F38,K$2:K38,"Sparse"))</f>
        <v>SD4</v>
      </c>
      <c r="B38" s="22" t="str">
        <f>J38&amp;(COUNTIF(J$2:J38,J38))</f>
        <v>Hertfordshire1</v>
      </c>
      <c r="C38" t="s">
        <v>24</v>
      </c>
      <c r="D38" t="s">
        <v>24</v>
      </c>
      <c r="E38" s="25" t="s">
        <v>370</v>
      </c>
      <c r="F38" s="25" t="s">
        <v>382</v>
      </c>
      <c r="G38" s="25" t="s">
        <v>5</v>
      </c>
      <c r="H38" s="26" t="s">
        <v>898</v>
      </c>
      <c r="I38" s="27" t="s">
        <v>385</v>
      </c>
      <c r="J38" t="s">
        <v>315</v>
      </c>
    </row>
    <row r="39" spans="1:10" ht="14.4">
      <c r="A39" s="22" t="str">
        <f>F39&amp;(COUNTIFS(F$2:F39,F39,K$2:K39,"Sparse"))</f>
        <v>SD4</v>
      </c>
      <c r="B39" s="22" t="str">
        <f>J39&amp;(COUNTIF(J$2:J39,J39))</f>
        <v>Nottinghamshire3</v>
      </c>
      <c r="C39" t="s">
        <v>25</v>
      </c>
      <c r="D39" t="s">
        <v>25</v>
      </c>
      <c r="E39" s="25" t="s">
        <v>368</v>
      </c>
      <c r="F39" s="25" t="s">
        <v>382</v>
      </c>
      <c r="G39" s="25" t="s">
        <v>5</v>
      </c>
      <c r="H39" s="26" t="s">
        <v>895</v>
      </c>
      <c r="I39" s="27" t="s">
        <v>385</v>
      </c>
      <c r="J39" t="s">
        <v>324</v>
      </c>
    </row>
    <row r="40" spans="1:10" ht="14.4">
      <c r="A40" s="22" t="str">
        <f>F40&amp;(COUNTIFS(F$2:F40,F40,K$2:K40,"Sparse"))</f>
        <v>UA0</v>
      </c>
      <c r="B40" s="22" t="str">
        <f>J40&amp;(COUNTIF(J$2:J40,J40))</f>
        <v>Buckinghamshire1</v>
      </c>
      <c r="C40" t="s">
        <v>301</v>
      </c>
      <c r="D40" t="s">
        <v>301</v>
      </c>
      <c r="E40" s="25" t="s">
        <v>0</v>
      </c>
      <c r="F40" s="25" t="s">
        <v>388</v>
      </c>
      <c r="G40" s="25" t="s">
        <v>397</v>
      </c>
      <c r="H40" s="27" t="s">
        <v>372</v>
      </c>
      <c r="I40" s="27" t="s">
        <v>372</v>
      </c>
      <c r="J40" t="str">
        <f>C40</f>
        <v>Buckinghamshire</v>
      </c>
    </row>
    <row r="41" spans="1:10" ht="14.4">
      <c r="A41" s="22" t="str">
        <f>F41&amp;(COUNTIFS(F$2:F41,F41,K$2:K41,"Sparse"))</f>
        <v>SD4</v>
      </c>
      <c r="B41" s="22" t="str">
        <f>J41&amp;(COUNTIF(J$2:J41,J41))</f>
        <v>Lancashire1</v>
      </c>
      <c r="C41" t="s">
        <v>26</v>
      </c>
      <c r="D41" t="s">
        <v>26</v>
      </c>
      <c r="E41" s="25" t="s">
        <v>377</v>
      </c>
      <c r="F41" s="25" t="s">
        <v>382</v>
      </c>
      <c r="G41" s="25" t="s">
        <v>5</v>
      </c>
      <c r="H41" s="26" t="s">
        <v>893</v>
      </c>
      <c r="I41" s="27" t="s">
        <v>385</v>
      </c>
      <c r="J41" t="s">
        <v>317</v>
      </c>
    </row>
    <row r="42" spans="1:10" ht="14.4">
      <c r="A42" s="22" t="str">
        <f>F42&amp;(COUNTIFS(F$2:F42,F42,K$2:K42,"Sparse"))</f>
        <v>MD0</v>
      </c>
      <c r="B42" s="22" t="str">
        <f>J42&amp;(COUNTIF(J$2:J42,J42))</f>
        <v>Bury1</v>
      </c>
      <c r="C42" t="s">
        <v>227</v>
      </c>
      <c r="D42" t="s">
        <v>227</v>
      </c>
      <c r="E42" s="25" t="s">
        <v>377</v>
      </c>
      <c r="F42" s="25" t="s">
        <v>387</v>
      </c>
      <c r="G42" s="25" t="s">
        <v>398</v>
      </c>
      <c r="H42" s="26" t="s">
        <v>898</v>
      </c>
      <c r="I42" s="27" t="s">
        <v>385</v>
      </c>
      <c r="J42" t="str">
        <f>C42</f>
        <v>Bury</v>
      </c>
    </row>
    <row r="43" spans="1:10" ht="14.4">
      <c r="A43" s="22" t="str">
        <f>F43&amp;(COUNTIFS(F$2:F43,F43,K$2:K43,"Sparse"))</f>
        <v>MD0</v>
      </c>
      <c r="B43" s="22" t="str">
        <f>J43&amp;(COUNTIF(J$2:J43,J43))</f>
        <v>Calderdale1</v>
      </c>
      <c r="C43" t="s">
        <v>228</v>
      </c>
      <c r="D43" t="s">
        <v>228</v>
      </c>
      <c r="E43" s="25" t="s">
        <v>386</v>
      </c>
      <c r="F43" s="25" t="s">
        <v>387</v>
      </c>
      <c r="G43" s="25" t="s">
        <v>398</v>
      </c>
      <c r="H43" s="26" t="s">
        <v>898</v>
      </c>
      <c r="I43" s="27" t="s">
        <v>385</v>
      </c>
      <c r="J43" t="str">
        <f>C43</f>
        <v>Calderdale</v>
      </c>
    </row>
    <row r="44" spans="1:10" ht="14.4">
      <c r="A44" s="22" t="str">
        <f>F44&amp;(COUNTIFS(F$2:F44,F44,K$2:K44,"Sparse"))</f>
        <v>SD4</v>
      </c>
      <c r="B44" s="22" t="str">
        <f>J44&amp;(COUNTIF(J$2:J44,J44))</f>
        <v>Cambridgeshire1</v>
      </c>
      <c r="C44" t="s">
        <v>27</v>
      </c>
      <c r="D44" t="s">
        <v>27</v>
      </c>
      <c r="E44" s="25" t="s">
        <v>370</v>
      </c>
      <c r="F44" s="25" t="s">
        <v>382</v>
      </c>
      <c r="G44" s="25" t="s">
        <v>5</v>
      </c>
      <c r="H44" s="26" t="s">
        <v>893</v>
      </c>
      <c r="I44" s="27" t="s">
        <v>385</v>
      </c>
      <c r="J44" t="s">
        <v>303</v>
      </c>
    </row>
    <row r="45" spans="1:10" ht="14.4">
      <c r="A45" s="22" t="str">
        <f>F45&amp;(COUNTIFS(F$2:F45,F45,K$2:K45,"Sparse"))</f>
        <v>SC0</v>
      </c>
      <c r="B45" s="22" t="str">
        <f>J45&amp;(COUNTIF(J$2:J45,J45))</f>
        <v>Cambridgeshire2</v>
      </c>
      <c r="C45" t="s">
        <v>303</v>
      </c>
      <c r="D45" t="s">
        <v>303</v>
      </c>
      <c r="E45" s="25" t="s">
        <v>370</v>
      </c>
      <c r="F45" s="25" t="s">
        <v>390</v>
      </c>
      <c r="G45" s="25" t="s">
        <v>302</v>
      </c>
      <c r="H45" s="27" t="s">
        <v>383</v>
      </c>
      <c r="I45" s="27" t="s">
        <v>383</v>
      </c>
      <c r="J45" t="str">
        <f>C45</f>
        <v>Cambridgeshire</v>
      </c>
    </row>
    <row r="46" spans="1:10" ht="14.4">
      <c r="A46" s="22" t="str">
        <f>F46&amp;(COUNTIFS(F$2:F46,F46,K$2:K46,"Sparse"))</f>
        <v>L0</v>
      </c>
      <c r="B46" s="22" t="str">
        <f>J46&amp;(COUNTIF(J$2:J46,J46))</f>
        <v>London6</v>
      </c>
      <c r="C46" t="s">
        <v>201</v>
      </c>
      <c r="D46" t="s">
        <v>201</v>
      </c>
      <c r="E46" s="25" t="s">
        <v>384</v>
      </c>
      <c r="F46" s="25" t="s">
        <v>360</v>
      </c>
      <c r="G46" s="25" t="s">
        <v>384</v>
      </c>
      <c r="H46" s="26" t="s">
        <v>898</v>
      </c>
      <c r="I46" s="27" t="s">
        <v>385</v>
      </c>
      <c r="J46" t="str">
        <f>G46</f>
        <v>London</v>
      </c>
    </row>
    <row r="47" spans="1:10" ht="14.4">
      <c r="A47" s="22" t="str">
        <f>F47&amp;(COUNTIFS(F$2:F47,F47,K$2:K47,"Sparse"))</f>
        <v>SD4</v>
      </c>
      <c r="B47" s="22" t="str">
        <f>J47&amp;(COUNTIF(J$2:J47,J47))</f>
        <v>Staffordshire1</v>
      </c>
      <c r="C47" t="s">
        <v>28</v>
      </c>
      <c r="D47" t="s">
        <v>28</v>
      </c>
      <c r="E47" s="25" t="s">
        <v>369</v>
      </c>
      <c r="F47" s="25" t="s">
        <v>382</v>
      </c>
      <c r="G47" s="25" t="s">
        <v>5</v>
      </c>
      <c r="H47" s="26" t="s">
        <v>896</v>
      </c>
      <c r="I47" s="27" t="s">
        <v>372</v>
      </c>
      <c r="J47" t="s">
        <v>328</v>
      </c>
    </row>
    <row r="48" spans="1:10" ht="14.4">
      <c r="A48" s="22" t="str">
        <f>F48&amp;(COUNTIFS(F$2:F48,F48,K$2:K48,"Sparse"))</f>
        <v>SD4</v>
      </c>
      <c r="B48" s="22" t="str">
        <f>J48&amp;(COUNTIF(J$2:J48,J48))</f>
        <v>Kent2</v>
      </c>
      <c r="C48" t="s">
        <v>29</v>
      </c>
      <c r="D48" t="s">
        <v>29</v>
      </c>
      <c r="E48" s="25" t="s">
        <v>0</v>
      </c>
      <c r="F48" s="25" t="s">
        <v>382</v>
      </c>
      <c r="G48" s="25" t="s">
        <v>5</v>
      </c>
      <c r="H48" s="26" t="s">
        <v>893</v>
      </c>
      <c r="I48" s="27" t="s">
        <v>385</v>
      </c>
      <c r="J48" t="s">
        <v>316</v>
      </c>
    </row>
    <row r="49" spans="1:11" ht="14.4">
      <c r="A49" s="22" t="str">
        <f>F49&amp;(COUNTIFS(F$2:F49,F49,K$2:K49,"Sparse"))</f>
        <v>SD4</v>
      </c>
      <c r="B49" s="22" t="str">
        <f>J49&amp;(COUNTIF(J$2:J49,J49))</f>
        <v>Cumbria3</v>
      </c>
      <c r="C49" t="s">
        <v>30</v>
      </c>
      <c r="D49" t="s">
        <v>30</v>
      </c>
      <c r="E49" s="25" t="s">
        <v>377</v>
      </c>
      <c r="F49" s="25" t="s">
        <v>382</v>
      </c>
      <c r="G49" s="25" t="s">
        <v>5</v>
      </c>
      <c r="H49" s="26" t="s">
        <v>896</v>
      </c>
      <c r="I49" s="27" t="s">
        <v>372</v>
      </c>
      <c r="J49" t="s">
        <v>307</v>
      </c>
    </row>
    <row r="50" spans="1:11" ht="14.4">
      <c r="A50" s="22" t="str">
        <f>F50&amp;(COUNTIFS(F$2:F50,F50,K$2:K50,"Sparse"))</f>
        <v>SD4</v>
      </c>
      <c r="B50" s="22" t="str">
        <f>J50&amp;(COUNTIF(J$2:J50,J50))</f>
        <v>Essex4</v>
      </c>
      <c r="C50" t="s">
        <v>31</v>
      </c>
      <c r="D50" t="s">
        <v>31</v>
      </c>
      <c r="E50" s="25" t="s">
        <v>370</v>
      </c>
      <c r="F50" s="25" t="s">
        <v>382</v>
      </c>
      <c r="G50" s="25" t="s">
        <v>5</v>
      </c>
      <c r="H50" s="26" t="s">
        <v>893</v>
      </c>
      <c r="I50" s="27" t="s">
        <v>385</v>
      </c>
      <c r="J50" t="s">
        <v>312</v>
      </c>
    </row>
    <row r="51" spans="1:11" ht="14.4">
      <c r="A51" s="22" t="str">
        <f>F51&amp;(COUNTIFS(F$2:F51,F51,K$2:K51,"Sparse"))</f>
        <v>UA0</v>
      </c>
      <c r="B51" s="22" t="str">
        <f>J51&amp;(COUNTIF(J$2:J51,J51))</f>
        <v>Unitary9</v>
      </c>
      <c r="C51" t="s">
        <v>304</v>
      </c>
      <c r="D51" t="s">
        <v>304</v>
      </c>
      <c r="E51" s="25" t="s">
        <v>370</v>
      </c>
      <c r="F51" s="25" t="s">
        <v>388</v>
      </c>
      <c r="G51" s="25" t="s">
        <v>397</v>
      </c>
      <c r="H51" s="26" t="s">
        <v>897</v>
      </c>
      <c r="I51" s="27" t="s">
        <v>383</v>
      </c>
      <c r="J51" s="3" t="s">
        <v>397</v>
      </c>
    </row>
    <row r="52" spans="1:11" ht="14.4">
      <c r="A52" s="22" t="str">
        <f>F52&amp;(COUNTIFS(F$2:F52,F52,K$2:K52,"Sparse"))</f>
        <v>SD4</v>
      </c>
      <c r="B52" s="22" t="str">
        <f>J52&amp;(COUNTIF(J$2:J52,J52))</f>
        <v>Leicestershire2</v>
      </c>
      <c r="C52" t="s">
        <v>32</v>
      </c>
      <c r="D52" t="s">
        <v>32</v>
      </c>
      <c r="E52" s="25" t="s">
        <v>368</v>
      </c>
      <c r="F52" s="25" t="s">
        <v>382</v>
      </c>
      <c r="G52" s="25" t="s">
        <v>5</v>
      </c>
      <c r="H52" s="26" t="s">
        <v>893</v>
      </c>
      <c r="I52" s="27" t="s">
        <v>385</v>
      </c>
      <c r="J52" t="s">
        <v>318</v>
      </c>
    </row>
    <row r="53" spans="1:11" ht="14.4">
      <c r="A53" s="22" t="str">
        <f>F53&amp;(COUNTIFS(F$2:F53,F53,K$2:K53,"Sparse"))</f>
        <v>SD4</v>
      </c>
      <c r="B53" s="22" t="str">
        <f>J53&amp;(COUNTIF(J$2:J53,J53))</f>
        <v>Essex5</v>
      </c>
      <c r="C53" t="s">
        <v>33</v>
      </c>
      <c r="D53" t="s">
        <v>33</v>
      </c>
      <c r="E53" s="25" t="s">
        <v>370</v>
      </c>
      <c r="F53" s="25" t="s">
        <v>382</v>
      </c>
      <c r="G53" s="25" t="s">
        <v>5</v>
      </c>
      <c r="H53" s="26" t="s">
        <v>893</v>
      </c>
      <c r="I53" s="27" t="s">
        <v>385</v>
      </c>
      <c r="J53" t="s">
        <v>312</v>
      </c>
    </row>
    <row r="54" spans="1:11" ht="14.4">
      <c r="A54" s="22" t="str">
        <f>F54&amp;(COUNTIFS(F$2:F54,F54,K$2:K54,"Sparse"))</f>
        <v>SD4</v>
      </c>
      <c r="B54" s="22" t="str">
        <f>J54&amp;(COUNTIF(J$2:J54,J54))</f>
        <v>Gloucestershire1</v>
      </c>
      <c r="C54" t="s">
        <v>34</v>
      </c>
      <c r="D54" t="s">
        <v>34</v>
      </c>
      <c r="E54" s="25" t="s">
        <v>1</v>
      </c>
      <c r="F54" s="25" t="s">
        <v>382</v>
      </c>
      <c r="G54" s="25" t="s">
        <v>5</v>
      </c>
      <c r="H54" s="26" t="s">
        <v>893</v>
      </c>
      <c r="I54" s="27" t="s">
        <v>385</v>
      </c>
      <c r="J54" t="s">
        <v>313</v>
      </c>
    </row>
    <row r="55" spans="1:11" ht="14.4">
      <c r="A55" s="22" t="str">
        <f>F55&amp;(COUNTIFS(F$2:F55,F55,K$2:K55,"Sparse"))</f>
        <v>SD4</v>
      </c>
      <c r="B55" s="22" t="str">
        <f>J55&amp;(COUNTIF(J$2:J55,J55))</f>
        <v>Oxfordshire1</v>
      </c>
      <c r="C55" t="s">
        <v>35</v>
      </c>
      <c r="D55" t="s">
        <v>35</v>
      </c>
      <c r="E55" s="25" t="s">
        <v>0</v>
      </c>
      <c r="F55" s="25" t="s">
        <v>382</v>
      </c>
      <c r="G55" s="25" t="s">
        <v>5</v>
      </c>
      <c r="H55" s="26" t="s">
        <v>896</v>
      </c>
      <c r="I55" s="27" t="s">
        <v>372</v>
      </c>
      <c r="J55" t="s">
        <v>325</v>
      </c>
    </row>
    <row r="56" spans="1:11" ht="14.4">
      <c r="A56" s="22" t="str">
        <f>F56&amp;(COUNTIFS(F$2:F56,F56,K$2:K56,"Sparse"))</f>
        <v>UA1</v>
      </c>
      <c r="B56" s="22" t="str">
        <f>J56&amp;(COUNTIF(J$2:J56,J56))</f>
        <v>Unitary10</v>
      </c>
      <c r="C56" t="s">
        <v>305</v>
      </c>
      <c r="D56" t="s">
        <v>305</v>
      </c>
      <c r="E56" s="25" t="s">
        <v>377</v>
      </c>
      <c r="F56" s="25" t="s">
        <v>388</v>
      </c>
      <c r="G56" s="25" t="s">
        <v>397</v>
      </c>
      <c r="H56" s="26" t="s">
        <v>896</v>
      </c>
      <c r="I56" s="27" t="s">
        <v>372</v>
      </c>
      <c r="J56" s="3" t="s">
        <v>397</v>
      </c>
      <c r="K56" t="s">
        <v>336</v>
      </c>
    </row>
    <row r="57" spans="1:11" ht="14.4">
      <c r="A57" s="22" t="str">
        <f>F57&amp;(COUNTIFS(F$2:F57,F57,K$2:K57,"Sparse"))</f>
        <v>UA1</v>
      </c>
      <c r="B57" s="22" t="str">
        <f>J57&amp;(COUNTIF(J$2:J57,J57))</f>
        <v>Unitary11</v>
      </c>
      <c r="C57" t="s">
        <v>814</v>
      </c>
      <c r="D57" t="s">
        <v>814</v>
      </c>
      <c r="E57" s="25" t="s">
        <v>377</v>
      </c>
      <c r="F57" s="25" t="s">
        <v>388</v>
      </c>
      <c r="G57" s="25" t="s">
        <v>397</v>
      </c>
      <c r="H57" s="26" t="s">
        <v>896</v>
      </c>
      <c r="I57" s="27" t="s">
        <v>372</v>
      </c>
      <c r="J57" s="3" t="s">
        <v>397</v>
      </c>
    </row>
    <row r="58" spans="1:11" ht="14.4">
      <c r="A58" s="22" t="str">
        <f>F58&amp;(COUNTIFS(F$2:F58,F58,K$2:K58,"Sparse"))</f>
        <v>SD4</v>
      </c>
      <c r="B58" s="22" t="str">
        <f>J58&amp;(COUNTIF(J$2:J58,J58))</f>
        <v>Derbyshire3</v>
      </c>
      <c r="C58" t="s">
        <v>36</v>
      </c>
      <c r="D58" t="s">
        <v>36</v>
      </c>
      <c r="E58" s="25" t="s">
        <v>368</v>
      </c>
      <c r="F58" s="25" t="s">
        <v>382</v>
      </c>
      <c r="G58" s="25" t="s">
        <v>5</v>
      </c>
      <c r="H58" s="26" t="s">
        <v>893</v>
      </c>
      <c r="I58" s="27" t="s">
        <v>385</v>
      </c>
      <c r="J58" t="s">
        <v>308</v>
      </c>
    </row>
    <row r="59" spans="1:11" ht="14.4">
      <c r="A59" s="22" t="str">
        <f>F59&amp;(COUNTIFS(F$2:F59,F59,K$2:K59,"Sparse"))</f>
        <v>SD5</v>
      </c>
      <c r="B59" s="22" t="str">
        <f>J59&amp;(COUNTIF(J$2:J59,J59))</f>
        <v>West Sussex3</v>
      </c>
      <c r="C59" t="s">
        <v>37</v>
      </c>
      <c r="D59" t="s">
        <v>37</v>
      </c>
      <c r="E59" s="25" t="s">
        <v>0</v>
      </c>
      <c r="F59" s="25" t="s">
        <v>382</v>
      </c>
      <c r="G59" s="25" t="s">
        <v>5</v>
      </c>
      <c r="H59" s="26" t="s">
        <v>897</v>
      </c>
      <c r="I59" s="27" t="s">
        <v>383</v>
      </c>
      <c r="J59" t="s">
        <v>332</v>
      </c>
      <c r="K59" t="s">
        <v>336</v>
      </c>
    </row>
    <row r="60" spans="1:11" ht="14.4">
      <c r="A60" s="22" t="str">
        <f>F60&amp;(COUNTIFS(F$2:F60,F60,K$2:K60,"Sparse"))</f>
        <v>SD5</v>
      </c>
      <c r="B60" s="22" t="str">
        <f>J60&amp;(COUNTIF(J$2:J60,J60))</f>
        <v>Lancashire2</v>
      </c>
      <c r="C60" t="s">
        <v>39</v>
      </c>
      <c r="D60" t="s">
        <v>39</v>
      </c>
      <c r="E60" s="25" t="s">
        <v>377</v>
      </c>
      <c r="F60" s="25" t="s">
        <v>382</v>
      </c>
      <c r="G60" s="25" t="s">
        <v>5</v>
      </c>
      <c r="H60" s="26" t="s">
        <v>896</v>
      </c>
      <c r="I60" s="27" t="s">
        <v>372</v>
      </c>
      <c r="J60" t="s">
        <v>317</v>
      </c>
    </row>
    <row r="61" spans="1:11" ht="14.4">
      <c r="A61" s="22" t="str">
        <f>F61&amp;(COUNTIFS(F$2:F61,F61,K$2:K61,"Sparse"))</f>
        <v>L0</v>
      </c>
      <c r="B61" s="22" t="str">
        <f>J61&amp;(COUNTIF(J$2:J61,J61))</f>
        <v>London7</v>
      </c>
      <c r="C61" t="s">
        <v>371</v>
      </c>
      <c r="D61" t="s">
        <v>371</v>
      </c>
      <c r="E61" s="25" t="s">
        <v>384</v>
      </c>
      <c r="F61" s="25" t="s">
        <v>360</v>
      </c>
      <c r="G61" s="25" t="s">
        <v>384</v>
      </c>
      <c r="H61" s="28" t="s">
        <v>898</v>
      </c>
      <c r="I61" s="27" t="s">
        <v>385</v>
      </c>
      <c r="J61" t="str">
        <f>G61</f>
        <v>London</v>
      </c>
    </row>
    <row r="62" spans="1:11" ht="14.4">
      <c r="A62" s="22" t="str">
        <f>F62&amp;(COUNTIFS(F$2:F62,F62,K$2:K62,"Sparse"))</f>
        <v>SD5</v>
      </c>
      <c r="B62" s="22" t="str">
        <f>J62&amp;(COUNTIF(J$2:J62,J62))</f>
        <v>Essex6</v>
      </c>
      <c r="C62" t="s">
        <v>41</v>
      </c>
      <c r="D62" t="s">
        <v>41</v>
      </c>
      <c r="E62" s="25" t="s">
        <v>370</v>
      </c>
      <c r="F62" s="25" t="s">
        <v>382</v>
      </c>
      <c r="G62" s="25" t="s">
        <v>5</v>
      </c>
      <c r="H62" s="26" t="s">
        <v>896</v>
      </c>
      <c r="I62" s="27" t="s">
        <v>372</v>
      </c>
      <c r="J62" t="s">
        <v>312</v>
      </c>
    </row>
    <row r="63" spans="1:11" ht="14.4">
      <c r="A63" s="22" t="str">
        <f>F63&amp;(COUNTIFS(F$2:F63,F63,K$2:K63,"Sparse"))</f>
        <v>SD6</v>
      </c>
      <c r="B63" s="22" t="str">
        <f>J63&amp;(COUNTIF(J$2:J63,J63))</f>
        <v>Cumbria4</v>
      </c>
      <c r="C63" t="s">
        <v>42</v>
      </c>
      <c r="D63" t="s">
        <v>42</v>
      </c>
      <c r="E63" s="25" t="s">
        <v>377</v>
      </c>
      <c r="F63" s="25" t="s">
        <v>382</v>
      </c>
      <c r="G63" s="25" t="s">
        <v>5</v>
      </c>
      <c r="H63" s="26" t="s">
        <v>894</v>
      </c>
      <c r="I63" s="27" t="s">
        <v>383</v>
      </c>
      <c r="J63" t="s">
        <v>307</v>
      </c>
      <c r="K63" t="s">
        <v>336</v>
      </c>
    </row>
    <row r="64" spans="1:11" ht="14.4">
      <c r="A64" s="22" t="str">
        <f>F64&amp;(COUNTIFS(F$2:F64,F64,K$2:K64,"Sparse"))</f>
        <v>UA2</v>
      </c>
      <c r="B64" s="22" t="str">
        <f>J64&amp;(COUNTIF(J$2:J64,J64))</f>
        <v>Unitary12</v>
      </c>
      <c r="C64" t="s">
        <v>306</v>
      </c>
      <c r="D64" t="s">
        <v>306</v>
      </c>
      <c r="E64" s="25" t="s">
        <v>1</v>
      </c>
      <c r="F64" s="25" t="s">
        <v>388</v>
      </c>
      <c r="G64" s="25" t="s">
        <v>397</v>
      </c>
      <c r="H64" s="26" t="s">
        <v>894</v>
      </c>
      <c r="I64" s="27" t="s">
        <v>383</v>
      </c>
      <c r="J64" s="3" t="s">
        <v>397</v>
      </c>
      <c r="K64" t="s">
        <v>336</v>
      </c>
    </row>
    <row r="65" spans="1:11" ht="14.4">
      <c r="A65" s="22" t="str">
        <f>F65&amp;(COUNTIFS(F$2:F65,F65,K$2:K65,"Sparse"))</f>
        <v>SD7</v>
      </c>
      <c r="B65" s="22" t="str">
        <f>J65&amp;(COUNTIF(J$2:J65,J65))</f>
        <v>Gloucestershire2</v>
      </c>
      <c r="C65" t="s">
        <v>44</v>
      </c>
      <c r="D65" t="s">
        <v>44</v>
      </c>
      <c r="E65" s="25" t="s">
        <v>1</v>
      </c>
      <c r="F65" s="25" t="s">
        <v>382</v>
      </c>
      <c r="G65" s="25" t="s">
        <v>5</v>
      </c>
      <c r="H65" s="26" t="s">
        <v>894</v>
      </c>
      <c r="I65" s="27" t="s">
        <v>383</v>
      </c>
      <c r="J65" t="s">
        <v>313</v>
      </c>
      <c r="K65" t="s">
        <v>336</v>
      </c>
    </row>
    <row r="66" spans="1:11" ht="14.4">
      <c r="A66" s="22" t="str">
        <f>F66&amp;(COUNTIFS(F$2:F66,F66,K$2:K66,"Sparse"))</f>
        <v>MD0</v>
      </c>
      <c r="B66" s="22" t="str">
        <f>J66&amp;(COUNTIF(J$2:J66,J66))</f>
        <v>Coventry1</v>
      </c>
      <c r="C66" t="s">
        <v>229</v>
      </c>
      <c r="D66" t="s">
        <v>229</v>
      </c>
      <c r="E66" s="25" t="s">
        <v>369</v>
      </c>
      <c r="F66" s="25" t="s">
        <v>387</v>
      </c>
      <c r="G66" s="25" t="s">
        <v>398</v>
      </c>
      <c r="H66" s="26" t="s">
        <v>893</v>
      </c>
      <c r="I66" s="27" t="s">
        <v>385</v>
      </c>
      <c r="J66" t="str">
        <f>C66</f>
        <v>Coventry</v>
      </c>
    </row>
    <row r="67" spans="1:11" ht="14.4">
      <c r="A67" s="22" t="str">
        <f>F67&amp;(COUNTIFS(F$2:F67,F67,K$2:K67,"Sparse"))</f>
        <v>SD8</v>
      </c>
      <c r="B67" s="22" t="str">
        <f>J67&amp;(COUNTIF(J$2:J67,J67))</f>
        <v>North Yorkshire1</v>
      </c>
      <c r="C67" t="s">
        <v>45</v>
      </c>
      <c r="D67" t="s">
        <v>45</v>
      </c>
      <c r="E67" s="25" t="s">
        <v>386</v>
      </c>
      <c r="F67" s="25" t="s">
        <v>382</v>
      </c>
      <c r="G67" s="25" t="s">
        <v>5</v>
      </c>
      <c r="H67" s="26" t="s">
        <v>894</v>
      </c>
      <c r="I67" s="27" t="s">
        <v>383</v>
      </c>
      <c r="J67" t="s">
        <v>321</v>
      </c>
      <c r="K67" t="s">
        <v>336</v>
      </c>
    </row>
    <row r="68" spans="1:11" ht="14.4">
      <c r="A68" s="22" t="str">
        <f>F68&amp;(COUNTIFS(F$2:F68,F68,K$2:K68,"Sparse"))</f>
        <v>SD8</v>
      </c>
      <c r="B68" s="22" t="str">
        <f>J68&amp;(COUNTIF(J$2:J68,J68))</f>
        <v>West Sussex4</v>
      </c>
      <c r="C68" t="s">
        <v>46</v>
      </c>
      <c r="D68" t="s">
        <v>46</v>
      </c>
      <c r="E68" s="25" t="s">
        <v>0</v>
      </c>
      <c r="F68" s="25" t="s">
        <v>382</v>
      </c>
      <c r="G68" s="25" t="s">
        <v>5</v>
      </c>
      <c r="H68" s="26" t="s">
        <v>893</v>
      </c>
      <c r="I68" s="27" t="s">
        <v>385</v>
      </c>
      <c r="J68" t="s">
        <v>332</v>
      </c>
    </row>
    <row r="69" spans="1:11" ht="14.4">
      <c r="A69" s="22" t="str">
        <f>F69&amp;(COUNTIFS(F$2:F69,F69,K$2:K69,"Sparse"))</f>
        <v>L0</v>
      </c>
      <c r="B69" s="22" t="str">
        <f>J69&amp;(COUNTIF(J$2:J69,J69))</f>
        <v>London8</v>
      </c>
      <c r="C69" t="s">
        <v>202</v>
      </c>
      <c r="D69" t="s">
        <v>202</v>
      </c>
      <c r="E69" s="25" t="s">
        <v>384</v>
      </c>
      <c r="F69" s="25" t="s">
        <v>360</v>
      </c>
      <c r="G69" s="25" t="s">
        <v>384</v>
      </c>
      <c r="H69" s="26" t="s">
        <v>898</v>
      </c>
      <c r="I69" s="27" t="s">
        <v>385</v>
      </c>
      <c r="J69" t="str">
        <f>G69</f>
        <v>London</v>
      </c>
    </row>
    <row r="70" spans="1:11" ht="14.4">
      <c r="A70" s="22" t="str">
        <f>F70&amp;(COUNTIFS(F$2:F70,F70,K$2:K70,"Sparse"))</f>
        <v>SC1</v>
      </c>
      <c r="B70" s="22" t="str">
        <f>J70&amp;(COUNTIF(J$2:J70,J70))</f>
        <v>Cumbria5</v>
      </c>
      <c r="C70" t="s">
        <v>307</v>
      </c>
      <c r="D70" t="s">
        <v>307</v>
      </c>
      <c r="E70" s="25" t="s">
        <v>377</v>
      </c>
      <c r="F70" s="25" t="s">
        <v>390</v>
      </c>
      <c r="G70" s="25" t="s">
        <v>302</v>
      </c>
      <c r="H70" s="27" t="s">
        <v>383</v>
      </c>
      <c r="I70" s="27" t="s">
        <v>383</v>
      </c>
      <c r="J70" t="str">
        <f>C70</f>
        <v>Cumbria</v>
      </c>
      <c r="K70" t="s">
        <v>336</v>
      </c>
    </row>
    <row r="71" spans="1:11" ht="14.4">
      <c r="A71" s="22" t="str">
        <f>F71&amp;(COUNTIFS(F$2:F71,F71,K$2:K71,"Sparse"))</f>
        <v>SD8</v>
      </c>
      <c r="B71" s="22" t="str">
        <f>J71&amp;(COUNTIF(J$2:J71,J71))</f>
        <v>Hertfordshire2</v>
      </c>
      <c r="C71" t="s">
        <v>47</v>
      </c>
      <c r="D71" t="s">
        <v>47</v>
      </c>
      <c r="E71" s="25" t="s">
        <v>370</v>
      </c>
      <c r="F71" s="25" t="s">
        <v>382</v>
      </c>
      <c r="G71" s="25" t="s">
        <v>5</v>
      </c>
      <c r="H71" s="26" t="s">
        <v>896</v>
      </c>
      <c r="I71" s="27" t="s">
        <v>372</v>
      </c>
      <c r="J71" t="s">
        <v>315</v>
      </c>
    </row>
    <row r="72" spans="1:11" ht="14.4">
      <c r="A72" s="22" t="str">
        <f>F72&amp;(COUNTIFS(F$2:F72,F72,K$2:K72,"Sparse"))</f>
        <v>UA2</v>
      </c>
      <c r="B72" s="22" t="str">
        <f>J72&amp;(COUNTIF(J$2:J72,J72))</f>
        <v>Unitary13</v>
      </c>
      <c r="C72" t="s">
        <v>265</v>
      </c>
      <c r="D72" t="s">
        <v>265</v>
      </c>
      <c r="E72" s="25" t="s">
        <v>391</v>
      </c>
      <c r="F72" s="25" t="s">
        <v>388</v>
      </c>
      <c r="G72" s="25" t="s">
        <v>397</v>
      </c>
      <c r="H72" s="26" t="s">
        <v>893</v>
      </c>
      <c r="I72" s="27" t="s">
        <v>385</v>
      </c>
      <c r="J72" s="3" t="s">
        <v>397</v>
      </c>
    </row>
    <row r="73" spans="1:11" ht="14.4">
      <c r="A73" s="22" t="str">
        <f>F73&amp;(COUNTIFS(F$2:F73,F73,K$2:K73,"Sparse"))</f>
        <v>SD8</v>
      </c>
      <c r="B73" s="22" t="str">
        <f>J73&amp;(COUNTIF(J$2:J73,J73))</f>
        <v>Kent3</v>
      </c>
      <c r="C73" t="s">
        <v>48</v>
      </c>
      <c r="D73" t="s">
        <v>48</v>
      </c>
      <c r="E73" s="25" t="s">
        <v>0</v>
      </c>
      <c r="F73" s="25" t="s">
        <v>382</v>
      </c>
      <c r="G73" s="25" t="s">
        <v>5</v>
      </c>
      <c r="H73" s="26" t="s">
        <v>898</v>
      </c>
      <c r="I73" s="27" t="s">
        <v>385</v>
      </c>
      <c r="J73" t="s">
        <v>316</v>
      </c>
    </row>
    <row r="74" spans="1:11" ht="14.4">
      <c r="A74" s="22" t="str">
        <f>F74&amp;(COUNTIFS(F$2:F74,F74,K$2:K74,"Sparse"))</f>
        <v>UA2</v>
      </c>
      <c r="B74" s="22" t="str">
        <f>J74&amp;(COUNTIF(J$2:J74,J74))</f>
        <v>Unitary14</v>
      </c>
      <c r="C74" t="s">
        <v>266</v>
      </c>
      <c r="D74" t="s">
        <v>266</v>
      </c>
      <c r="E74" s="25" t="s">
        <v>368</v>
      </c>
      <c r="F74" s="25" t="s">
        <v>388</v>
      </c>
      <c r="G74" s="25" t="s">
        <v>397</v>
      </c>
      <c r="H74" s="26" t="s">
        <v>893</v>
      </c>
      <c r="I74" s="27" t="s">
        <v>385</v>
      </c>
      <c r="J74" s="3" t="s">
        <v>397</v>
      </c>
    </row>
    <row r="75" spans="1:11" ht="14.4">
      <c r="A75" s="22" t="str">
        <f>F75&amp;(COUNTIFS(F$2:F75,F75,K$2:K75,"Sparse"))</f>
        <v>SC1</v>
      </c>
      <c r="B75" s="22" t="str">
        <f>J75&amp;(COUNTIF(J$2:J75,J75))</f>
        <v>Derbyshire4</v>
      </c>
      <c r="C75" t="s">
        <v>308</v>
      </c>
      <c r="D75" t="s">
        <v>308</v>
      </c>
      <c r="E75" s="25" t="s">
        <v>368</v>
      </c>
      <c r="F75" s="25" t="s">
        <v>390</v>
      </c>
      <c r="G75" s="25" t="s">
        <v>302</v>
      </c>
      <c r="H75" s="27" t="s">
        <v>372</v>
      </c>
      <c r="I75" s="27" t="s">
        <v>372</v>
      </c>
      <c r="J75" t="str">
        <f>C75</f>
        <v>Derbyshire</v>
      </c>
    </row>
    <row r="76" spans="1:11" ht="14.4">
      <c r="A76" s="22" t="str">
        <f>F76&amp;(COUNTIFS(F$2:F76,F76,K$2:K76,"Sparse"))</f>
        <v>SD9</v>
      </c>
      <c r="B76" s="22" t="str">
        <f>J76&amp;(COUNTIF(J$2:J76,J76))</f>
        <v>Derbyshire5</v>
      </c>
      <c r="C76" t="s">
        <v>50</v>
      </c>
      <c r="D76" t="s">
        <v>50</v>
      </c>
      <c r="E76" s="25" t="s">
        <v>368</v>
      </c>
      <c r="F76" s="25" t="s">
        <v>382</v>
      </c>
      <c r="G76" s="25" t="s">
        <v>5</v>
      </c>
      <c r="H76" s="26" t="s">
        <v>894</v>
      </c>
      <c r="I76" s="27" t="s">
        <v>383</v>
      </c>
      <c r="J76" t="s">
        <v>308</v>
      </c>
      <c r="K76" t="s">
        <v>336</v>
      </c>
    </row>
    <row r="77" spans="1:11" ht="14.4">
      <c r="A77" s="22" t="str">
        <f>F77&amp;(COUNTIFS(F$2:F77,F77,K$2:K77,"Sparse"))</f>
        <v>SC2</v>
      </c>
      <c r="B77" s="22" t="str">
        <f>J77&amp;(COUNTIF(J$2:J77,J77))</f>
        <v>Devon1</v>
      </c>
      <c r="C77" t="s">
        <v>309</v>
      </c>
      <c r="D77" t="s">
        <v>309</v>
      </c>
      <c r="E77" s="25" t="s">
        <v>1</v>
      </c>
      <c r="F77" s="25" t="s">
        <v>390</v>
      </c>
      <c r="G77" s="25" t="s">
        <v>302</v>
      </c>
      <c r="H77" s="27" t="s">
        <v>383</v>
      </c>
      <c r="I77" s="27" t="s">
        <v>383</v>
      </c>
      <c r="J77" t="str">
        <f>C77</f>
        <v>Devon</v>
      </c>
      <c r="K77" t="s">
        <v>336</v>
      </c>
    </row>
    <row r="78" spans="1:11" ht="14.4">
      <c r="A78" s="22" t="str">
        <f>F78&amp;(COUNTIFS(F$2:F78,F78,K$2:K78,"Sparse"))</f>
        <v>MD0</v>
      </c>
      <c r="B78" s="22" t="str">
        <f>J78&amp;(COUNTIF(J$2:J78,J78))</f>
        <v>Doncaster1</v>
      </c>
      <c r="C78" t="s">
        <v>230</v>
      </c>
      <c r="D78" t="s">
        <v>230</v>
      </c>
      <c r="E78" s="25" t="s">
        <v>386</v>
      </c>
      <c r="F78" s="25" t="s">
        <v>387</v>
      </c>
      <c r="G78" s="25" t="s">
        <v>398</v>
      </c>
      <c r="H78" s="26" t="s">
        <v>895</v>
      </c>
      <c r="I78" s="27" t="s">
        <v>385</v>
      </c>
      <c r="J78" t="str">
        <f>C78</f>
        <v>Doncaster</v>
      </c>
    </row>
    <row r="79" spans="1:11" ht="14.4">
      <c r="A79" s="22" t="str">
        <f>F79&amp;(COUNTIFS(F$2:F79,F79,K$2:K79,"Sparse"))</f>
        <v>UA2</v>
      </c>
      <c r="B79" s="22" t="str">
        <f>J79&amp;(COUNTIF(J$2:J79,J79))</f>
        <v>Unitary15</v>
      </c>
      <c r="C79" t="s">
        <v>310</v>
      </c>
      <c r="D79" t="s">
        <v>310</v>
      </c>
      <c r="E79" s="25" t="s">
        <v>1</v>
      </c>
      <c r="F79" s="25" t="s">
        <v>388</v>
      </c>
      <c r="G79" s="25" t="s">
        <v>397</v>
      </c>
      <c r="H79" s="26" t="s">
        <v>897</v>
      </c>
      <c r="I79" s="27" t="s">
        <v>383</v>
      </c>
      <c r="J79" s="3" t="s">
        <v>397</v>
      </c>
    </row>
    <row r="80" spans="1:11" ht="14.4">
      <c r="A80" s="22" t="str">
        <f>F80&amp;(COUNTIFS(F$2:F80,F80,K$2:K80,"Sparse"))</f>
        <v>SD9</v>
      </c>
      <c r="B80" s="22" t="str">
        <f>J80&amp;(COUNTIF(J$2:J80,J80))</f>
        <v>Kent4</v>
      </c>
      <c r="C80" t="s">
        <v>51</v>
      </c>
      <c r="D80" t="s">
        <v>51</v>
      </c>
      <c r="E80" s="25" t="s">
        <v>0</v>
      </c>
      <c r="F80" s="25" t="s">
        <v>382</v>
      </c>
      <c r="G80" s="25" t="s">
        <v>5</v>
      </c>
      <c r="H80" s="26" t="s">
        <v>896</v>
      </c>
      <c r="I80" s="27" t="s">
        <v>372</v>
      </c>
      <c r="J80" t="s">
        <v>316</v>
      </c>
    </row>
    <row r="81" spans="1:11" ht="14.4">
      <c r="A81" s="22" t="str">
        <f>F81&amp;(COUNTIFS(F$2:F81,F81,K$2:K81,"Sparse"))</f>
        <v>UA3</v>
      </c>
      <c r="B81" s="22" t="str">
        <f>J81&amp;(COUNTIF(J$2:J81,J81))</f>
        <v>Unitary16</v>
      </c>
      <c r="C81" t="s">
        <v>267</v>
      </c>
      <c r="D81" t="s">
        <v>267</v>
      </c>
      <c r="E81" s="25" t="s">
        <v>391</v>
      </c>
      <c r="F81" s="25" t="s">
        <v>388</v>
      </c>
      <c r="G81" s="25" t="s">
        <v>397</v>
      </c>
      <c r="H81" s="26" t="s">
        <v>897</v>
      </c>
      <c r="I81" s="27" t="s">
        <v>383</v>
      </c>
      <c r="J81" s="3" t="s">
        <v>397</v>
      </c>
      <c r="K81" t="s">
        <v>336</v>
      </c>
    </row>
    <row r="82" spans="1:11" ht="14.4">
      <c r="A82" s="22" t="str">
        <f>F82&amp;(COUNTIFS(F$2:F82,F82,K$2:K82,"Sparse"))</f>
        <v>MD0</v>
      </c>
      <c r="B82" s="22" t="str">
        <f>J82&amp;(COUNTIF(J$2:J82,J82))</f>
        <v>Dudley1</v>
      </c>
      <c r="C82" t="s">
        <v>231</v>
      </c>
      <c r="D82" t="s">
        <v>231</v>
      </c>
      <c r="E82" s="25" t="s">
        <v>369</v>
      </c>
      <c r="F82" s="25" t="s">
        <v>387</v>
      </c>
      <c r="G82" s="25" t="s">
        <v>398</v>
      </c>
      <c r="H82" s="26" t="s">
        <v>898</v>
      </c>
      <c r="I82" s="27" t="s">
        <v>385</v>
      </c>
      <c r="J82" t="str">
        <f>C82</f>
        <v>Dudley</v>
      </c>
    </row>
    <row r="83" spans="1:11" ht="14.4">
      <c r="A83" s="22" t="str">
        <f>F83&amp;(COUNTIFS(F$2:F83,F83,K$2:K83,"Sparse"))</f>
        <v>L0</v>
      </c>
      <c r="B83" s="22" t="str">
        <f>J83&amp;(COUNTIF(J$2:J83,J83))</f>
        <v>London9</v>
      </c>
      <c r="C83" t="s">
        <v>203</v>
      </c>
      <c r="D83" t="s">
        <v>203</v>
      </c>
      <c r="E83" s="25" t="s">
        <v>384</v>
      </c>
      <c r="F83" s="25" t="s">
        <v>360</v>
      </c>
      <c r="G83" s="25" t="s">
        <v>384</v>
      </c>
      <c r="H83" s="26" t="s">
        <v>898</v>
      </c>
      <c r="I83" s="27" t="s">
        <v>385</v>
      </c>
      <c r="J83" t="str">
        <f>G83</f>
        <v>London</v>
      </c>
    </row>
    <row r="84" spans="1:11" ht="14.4">
      <c r="A84" s="22" t="str">
        <f>F84&amp;(COUNTIFS(F$2:F84,F84,K$2:K84,"Sparse"))</f>
        <v>SD10</v>
      </c>
      <c r="B84" s="22" t="str">
        <f>J84&amp;(COUNTIF(J$2:J84,J84))</f>
        <v>Cambridgeshire3</v>
      </c>
      <c r="C84" t="s">
        <v>52</v>
      </c>
      <c r="D84" t="s">
        <v>52</v>
      </c>
      <c r="E84" s="25" t="s">
        <v>370</v>
      </c>
      <c r="F84" s="25" t="s">
        <v>382</v>
      </c>
      <c r="G84" s="25" t="s">
        <v>5</v>
      </c>
      <c r="H84" s="26" t="s">
        <v>894</v>
      </c>
      <c r="I84" s="27" t="s">
        <v>383</v>
      </c>
      <c r="J84" t="s">
        <v>303</v>
      </c>
      <c r="K84" t="s">
        <v>336</v>
      </c>
    </row>
    <row r="85" spans="1:11" ht="14.4">
      <c r="A85" s="22" t="str">
        <f>F85&amp;(COUNTIFS(F$2:F85,F85,K$2:K85,"Sparse"))</f>
        <v>SD11</v>
      </c>
      <c r="B85" s="22" t="str">
        <f>J85&amp;(COUNTIF(J$2:J85,J85))</f>
        <v>Devon2</v>
      </c>
      <c r="C85" t="s">
        <v>53</v>
      </c>
      <c r="D85" t="s">
        <v>53</v>
      </c>
      <c r="E85" s="25" t="s">
        <v>1</v>
      </c>
      <c r="F85" s="25" t="s">
        <v>382</v>
      </c>
      <c r="G85" s="25" t="s">
        <v>5</v>
      </c>
      <c r="H85" s="26" t="s">
        <v>897</v>
      </c>
      <c r="I85" s="27" t="s">
        <v>383</v>
      </c>
      <c r="J85" t="s">
        <v>309</v>
      </c>
      <c r="K85" t="s">
        <v>336</v>
      </c>
    </row>
    <row r="86" spans="1:11" ht="14.4">
      <c r="A86" s="22" t="str">
        <f>F86&amp;(COUNTIFS(F$2:F86,F86,K$2:K86,"Sparse"))</f>
        <v>SD11</v>
      </c>
      <c r="B86" s="22" t="str">
        <f>J86&amp;(COUNTIF(J$2:J86,J86))</f>
        <v>Hampshire2</v>
      </c>
      <c r="C86" t="s">
        <v>55</v>
      </c>
      <c r="D86" t="s">
        <v>55</v>
      </c>
      <c r="E86" s="25" t="s">
        <v>0</v>
      </c>
      <c r="F86" s="25" t="s">
        <v>382</v>
      </c>
      <c r="G86" s="25" t="s">
        <v>5</v>
      </c>
      <c r="H86" s="28" t="s">
        <v>894</v>
      </c>
      <c r="I86" s="27" t="s">
        <v>383</v>
      </c>
      <c r="J86" t="s">
        <v>314</v>
      </c>
    </row>
    <row r="87" spans="1:11" ht="14.4">
      <c r="A87" s="22" t="str">
        <f>F87&amp;(COUNTIFS(F$2:F87,F87,K$2:K87,"Sparse"))</f>
        <v>SD11</v>
      </c>
      <c r="B87" s="22" t="str">
        <f>J87&amp;(COUNTIF(J$2:J87,J87))</f>
        <v>Hertfordshire3</v>
      </c>
      <c r="C87" t="s">
        <v>56</v>
      </c>
      <c r="D87" t="s">
        <v>56</v>
      </c>
      <c r="E87" s="25" t="s">
        <v>370</v>
      </c>
      <c r="F87" s="25" t="s">
        <v>382</v>
      </c>
      <c r="G87" s="25" t="s">
        <v>5</v>
      </c>
      <c r="H87" s="26" t="s">
        <v>896</v>
      </c>
      <c r="I87" s="27" t="s">
        <v>372</v>
      </c>
      <c r="J87" t="s">
        <v>315</v>
      </c>
    </row>
    <row r="88" spans="1:11" ht="14.4">
      <c r="A88" s="22" t="str">
        <f>F88&amp;(COUNTIFS(F$2:F88,F88,K$2:K88,"Sparse"))</f>
        <v>SD12</v>
      </c>
      <c r="B88" s="22" t="str">
        <f>J88&amp;(COUNTIF(J$2:J88,J88))</f>
        <v>Lincolnshire2</v>
      </c>
      <c r="C88" t="s">
        <v>57</v>
      </c>
      <c r="D88" t="s">
        <v>57</v>
      </c>
      <c r="E88" s="25" t="s">
        <v>368</v>
      </c>
      <c r="F88" s="25" t="s">
        <v>382</v>
      </c>
      <c r="G88" s="25" t="s">
        <v>5</v>
      </c>
      <c r="H88" s="26" t="s">
        <v>894</v>
      </c>
      <c r="I88" s="27" t="s">
        <v>383</v>
      </c>
      <c r="J88" t="s">
        <v>319</v>
      </c>
      <c r="K88" t="s">
        <v>336</v>
      </c>
    </row>
    <row r="89" spans="1:11" ht="14.4">
      <c r="A89" s="22" t="str">
        <f>F89&amp;(COUNTIFS(F$2:F89,F89,K$2:K89,"Sparse"))</f>
        <v>UA4</v>
      </c>
      <c r="B89" s="22" t="str">
        <f>J89&amp;(COUNTIF(J$2:J89,J89))</f>
        <v>Unitary17</v>
      </c>
      <c r="C89" t="s">
        <v>268</v>
      </c>
      <c r="D89" t="s">
        <v>268</v>
      </c>
      <c r="E89" s="25" t="s">
        <v>386</v>
      </c>
      <c r="F89" s="25" t="s">
        <v>388</v>
      </c>
      <c r="G89" s="25" t="s">
        <v>397</v>
      </c>
      <c r="H89" s="26" t="s">
        <v>897</v>
      </c>
      <c r="I89" s="27" t="s">
        <v>383</v>
      </c>
      <c r="J89" s="3" t="s">
        <v>397</v>
      </c>
      <c r="K89" t="s">
        <v>336</v>
      </c>
    </row>
    <row r="90" spans="1:11" ht="14.4">
      <c r="A90" s="22" t="str">
        <f>F90&amp;(COUNTIFS(F$2:F90,F90,K$2:K90,"Sparse"))</f>
        <v>SD12</v>
      </c>
      <c r="B90" s="22" t="str">
        <f>J90&amp;(COUNTIF(J$2:J90,J90))</f>
        <v>Staffordshire2</v>
      </c>
      <c r="C90" t="s">
        <v>59</v>
      </c>
      <c r="D90" t="s">
        <v>59</v>
      </c>
      <c r="E90" s="25" t="s">
        <v>369</v>
      </c>
      <c r="F90" s="25" t="s">
        <v>382</v>
      </c>
      <c r="G90" s="25" t="s">
        <v>5</v>
      </c>
      <c r="H90" s="26" t="s">
        <v>896</v>
      </c>
      <c r="I90" s="27" t="s">
        <v>372</v>
      </c>
      <c r="J90" t="s">
        <v>328</v>
      </c>
    </row>
    <row r="91" spans="1:11" ht="14.4">
      <c r="A91" s="22" t="str">
        <f>F91&amp;(COUNTIFS(F$2:F91,F91,K$2:K91,"Sparse"))</f>
        <v>SC2</v>
      </c>
      <c r="B91" s="22" t="str">
        <f>J91&amp;(COUNTIF(J$2:J91,J91))</f>
        <v>East Sussex1</v>
      </c>
      <c r="C91" t="s">
        <v>311</v>
      </c>
      <c r="D91" t="s">
        <v>311</v>
      </c>
      <c r="E91" s="25" t="s">
        <v>0</v>
      </c>
      <c r="F91" s="25" t="s">
        <v>390</v>
      </c>
      <c r="G91" s="25" t="s">
        <v>302</v>
      </c>
      <c r="H91" s="27" t="s">
        <v>372</v>
      </c>
      <c r="I91" s="27" t="s">
        <v>372</v>
      </c>
      <c r="J91" t="str">
        <f>C91</f>
        <v>East Sussex</v>
      </c>
    </row>
    <row r="92" spans="1:11" ht="14.4">
      <c r="A92" s="22" t="str">
        <f>F92&amp;(COUNTIFS(F$2:F92,F92,K$2:K92,"Sparse"))</f>
        <v>SD12</v>
      </c>
      <c r="B92" s="22" t="str">
        <f>J92&amp;(COUNTIF(J$2:J92,J92))</f>
        <v>East Sussex2</v>
      </c>
      <c r="C92" t="s">
        <v>60</v>
      </c>
      <c r="D92" t="s">
        <v>60</v>
      </c>
      <c r="E92" s="25" t="s">
        <v>0</v>
      </c>
      <c r="F92" s="25" t="s">
        <v>382</v>
      </c>
      <c r="G92" s="25" t="s">
        <v>5</v>
      </c>
      <c r="H92" s="26" t="s">
        <v>893</v>
      </c>
      <c r="I92" s="27" t="s">
        <v>385</v>
      </c>
      <c r="J92" t="s">
        <v>311</v>
      </c>
    </row>
    <row r="93" spans="1:11" ht="14.4">
      <c r="A93" s="22" t="str">
        <f>F93&amp;(COUNTIFS(F$2:F93,F93,K$2:K93,"Sparse"))</f>
        <v>SD12</v>
      </c>
      <c r="B93" s="22" t="str">
        <f>J93&amp;(COUNTIF(J$2:J93,J93))</f>
        <v>Hampshire3</v>
      </c>
      <c r="C93" t="s">
        <v>61</v>
      </c>
      <c r="D93" t="s">
        <v>61</v>
      </c>
      <c r="E93" s="25" t="s">
        <v>0</v>
      </c>
      <c r="F93" s="25" t="s">
        <v>382</v>
      </c>
      <c r="G93" s="25" t="s">
        <v>5</v>
      </c>
      <c r="H93" s="26" t="s">
        <v>893</v>
      </c>
      <c r="I93" s="27" t="s">
        <v>385</v>
      </c>
      <c r="J93" t="s">
        <v>314</v>
      </c>
    </row>
    <row r="94" spans="1:11" ht="14.4">
      <c r="A94" s="22" t="str">
        <f>F94&amp;(COUNTIFS(F$2:F94,F94,K$2:K94,"Sparse"))</f>
        <v>SD13</v>
      </c>
      <c r="B94" s="22" t="str">
        <f>J94&amp;(COUNTIF(J$2:J94,J94))</f>
        <v>Cumbria6</v>
      </c>
      <c r="C94" t="s">
        <v>62</v>
      </c>
      <c r="D94" t="s">
        <v>62</v>
      </c>
      <c r="E94" s="25" t="s">
        <v>377</v>
      </c>
      <c r="F94" s="25" t="s">
        <v>382</v>
      </c>
      <c r="G94" s="25" t="s">
        <v>5</v>
      </c>
      <c r="H94" s="26" t="s">
        <v>894</v>
      </c>
      <c r="I94" s="27" t="s">
        <v>383</v>
      </c>
      <c r="J94" t="s">
        <v>307</v>
      </c>
      <c r="K94" t="s">
        <v>336</v>
      </c>
    </row>
    <row r="95" spans="1:11" ht="14.4">
      <c r="A95" s="22" t="str">
        <f>F95&amp;(COUNTIFS(F$2:F95,F95,K$2:K95,"Sparse"))</f>
        <v>SD13</v>
      </c>
      <c r="B95" s="22" t="str">
        <f>J95&amp;(COUNTIF(J$2:J95,J95))</f>
        <v>Surrey1</v>
      </c>
      <c r="C95" t="s">
        <v>63</v>
      </c>
      <c r="D95" t="s">
        <v>63</v>
      </c>
      <c r="E95" s="25" t="s">
        <v>0</v>
      </c>
      <c r="F95" s="25" t="s">
        <v>382</v>
      </c>
      <c r="G95" s="25" t="s">
        <v>5</v>
      </c>
      <c r="H95" s="26" t="s">
        <v>898</v>
      </c>
      <c r="I95" s="27" t="s">
        <v>385</v>
      </c>
      <c r="J95" t="s">
        <v>330</v>
      </c>
    </row>
    <row r="96" spans="1:11" ht="14.4">
      <c r="A96" s="22" t="str">
        <f>F96&amp;(COUNTIFS(F$2:F96,F96,K$2:K96,"Sparse"))</f>
        <v>L0</v>
      </c>
      <c r="B96" s="22" t="str">
        <f>J96&amp;(COUNTIF(J$2:J96,J96))</f>
        <v>London10</v>
      </c>
      <c r="C96" t="s">
        <v>204</v>
      </c>
      <c r="D96" t="s">
        <v>204</v>
      </c>
      <c r="E96" s="25" t="s">
        <v>384</v>
      </c>
      <c r="F96" s="25" t="s">
        <v>360</v>
      </c>
      <c r="G96" s="25" t="s">
        <v>384</v>
      </c>
      <c r="H96" s="26" t="s">
        <v>898</v>
      </c>
      <c r="I96" s="27" t="s">
        <v>385</v>
      </c>
      <c r="J96" t="str">
        <f>G96</f>
        <v>London</v>
      </c>
    </row>
    <row r="97" spans="1:11" ht="14.4">
      <c r="A97" s="22" t="str">
        <f>F97&amp;(COUNTIFS(F$2:F97,F97,K$2:K97,"Sparse"))</f>
        <v>SD13</v>
      </c>
      <c r="B97" s="22" t="str">
        <f>J97&amp;(COUNTIF(J$2:J97,J97))</f>
        <v>Essex7</v>
      </c>
      <c r="C97" t="s">
        <v>64</v>
      </c>
      <c r="D97" t="s">
        <v>64</v>
      </c>
      <c r="E97" s="25" t="s">
        <v>370</v>
      </c>
      <c r="F97" s="25" t="s">
        <v>382</v>
      </c>
      <c r="G97" s="25" t="s">
        <v>5</v>
      </c>
      <c r="H97" s="26" t="s">
        <v>896</v>
      </c>
      <c r="I97" s="27" t="s">
        <v>372</v>
      </c>
      <c r="J97" t="s">
        <v>312</v>
      </c>
    </row>
    <row r="98" spans="1:11" ht="14.4">
      <c r="A98" s="22" t="str">
        <f>F98&amp;(COUNTIFS(F$2:F98,F98,K$2:K98,"Sparse"))</f>
        <v>SD13</v>
      </c>
      <c r="B98" s="22" t="str">
        <f>J98&amp;(COUNTIF(J$2:J98,J98))</f>
        <v>Surrey2</v>
      </c>
      <c r="C98" t="s">
        <v>345</v>
      </c>
      <c r="D98" t="s">
        <v>345</v>
      </c>
      <c r="E98" s="25" t="s">
        <v>0</v>
      </c>
      <c r="F98" s="25" t="s">
        <v>382</v>
      </c>
      <c r="G98" s="25" t="s">
        <v>5</v>
      </c>
      <c r="H98" s="26" t="s">
        <v>898</v>
      </c>
      <c r="I98" s="27" t="s">
        <v>385</v>
      </c>
      <c r="J98" t="s">
        <v>330</v>
      </c>
    </row>
    <row r="99" spans="1:11" ht="14.4">
      <c r="A99" s="22" t="str">
        <f>F99&amp;(COUNTIFS(F$2:F99,F99,K$2:K99,"Sparse"))</f>
        <v>SD13</v>
      </c>
      <c r="B99" s="22" t="str">
        <f>J99&amp;(COUNTIF(J$2:J99,J99))</f>
        <v>Derbyshire6</v>
      </c>
      <c r="C99" t="s">
        <v>65</v>
      </c>
      <c r="D99" t="s">
        <v>65</v>
      </c>
      <c r="E99" s="25" t="s">
        <v>368</v>
      </c>
      <c r="F99" s="25" t="s">
        <v>382</v>
      </c>
      <c r="G99" s="25" t="s">
        <v>5</v>
      </c>
      <c r="H99" s="26" t="s">
        <v>895</v>
      </c>
      <c r="I99" s="27" t="s">
        <v>385</v>
      </c>
      <c r="J99" t="s">
        <v>308</v>
      </c>
    </row>
    <row r="100" spans="1:11" ht="14.4">
      <c r="A100" s="22" t="str">
        <f>F100&amp;(COUNTIFS(F$2:F100,F100,K$2:K100,"Sparse"))</f>
        <v>SC2</v>
      </c>
      <c r="B100" s="22" t="str">
        <f>J100&amp;(COUNTIF(J$2:J100,J100))</f>
        <v>Essex8</v>
      </c>
      <c r="C100" s="27" t="s">
        <v>312</v>
      </c>
      <c r="D100" s="27" t="s">
        <v>312</v>
      </c>
      <c r="E100" s="25" t="s">
        <v>370</v>
      </c>
      <c r="F100" s="25" t="s">
        <v>390</v>
      </c>
      <c r="G100" s="25" t="s">
        <v>302</v>
      </c>
      <c r="H100" s="27" t="s">
        <v>372</v>
      </c>
      <c r="I100" s="27" t="s">
        <v>372</v>
      </c>
      <c r="J100" t="str">
        <f>C100</f>
        <v>Essex</v>
      </c>
    </row>
    <row r="101" spans="1:11" ht="14.4">
      <c r="A101" s="22" t="str">
        <f>F101&amp;(COUNTIFS(F$2:F101,F101,K$2:K101,"Sparse"))</f>
        <v>SD13</v>
      </c>
      <c r="B101" s="22" t="str">
        <f>J101&amp;(COUNTIF(J$2:J101,J101))</f>
        <v>Devon3</v>
      </c>
      <c r="C101" t="s">
        <v>66</v>
      </c>
      <c r="D101" t="s">
        <v>66</v>
      </c>
      <c r="E101" s="25" t="s">
        <v>1</v>
      </c>
      <c r="F101" s="25" t="s">
        <v>382</v>
      </c>
      <c r="G101" s="25" t="s">
        <v>5</v>
      </c>
      <c r="H101" s="26" t="s">
        <v>893</v>
      </c>
      <c r="I101" s="27" t="s">
        <v>385</v>
      </c>
      <c r="J101" t="s">
        <v>309</v>
      </c>
    </row>
    <row r="102" spans="1:11" ht="14.4">
      <c r="A102" s="22" t="str">
        <f>F102&amp;(COUNTIFS(F$2:F102,F102,K$2:K102,"Sparse"))</f>
        <v>SD13</v>
      </c>
      <c r="B102" s="22" t="str">
        <f>J102&amp;(COUNTIF(J$2:J102,J102))</f>
        <v>Hampshire4</v>
      </c>
      <c r="C102" t="s">
        <v>67</v>
      </c>
      <c r="D102" t="s">
        <v>67</v>
      </c>
      <c r="E102" s="25" t="s">
        <v>0</v>
      </c>
      <c r="F102" s="25" t="s">
        <v>382</v>
      </c>
      <c r="G102" s="25" t="s">
        <v>5</v>
      </c>
      <c r="H102" s="26" t="s">
        <v>893</v>
      </c>
      <c r="I102" s="27" t="s">
        <v>385</v>
      </c>
      <c r="J102" t="s">
        <v>314</v>
      </c>
    </row>
    <row r="103" spans="1:11" ht="14.4">
      <c r="A103" s="22" t="str">
        <f>F103&amp;(COUNTIFS(F$2:F103,F103,K$2:K103,"Sparse"))</f>
        <v>SD13</v>
      </c>
      <c r="B103" s="22" t="str">
        <f>J103&amp;(COUNTIF(J$2:J103,J103))</f>
        <v>Cambridgeshire4</v>
      </c>
      <c r="C103" t="s">
        <v>68</v>
      </c>
      <c r="D103" t="s">
        <v>68</v>
      </c>
      <c r="E103" s="25" t="s">
        <v>370</v>
      </c>
      <c r="F103" s="25" t="s">
        <v>382</v>
      </c>
      <c r="G103" s="25" t="s">
        <v>5</v>
      </c>
      <c r="H103" s="26" t="s">
        <v>897</v>
      </c>
      <c r="I103" s="27" t="s">
        <v>383</v>
      </c>
      <c r="J103" t="s">
        <v>303</v>
      </c>
    </row>
    <row r="104" spans="1:11" ht="14.4">
      <c r="A104" s="22" t="str">
        <f>F104&amp;(COUNTIFS(F$2:F104,F104,K$2:K104,"Sparse"))</f>
        <v>SD14</v>
      </c>
      <c r="B104" s="22" t="str">
        <f>J104&amp;(COUNTIF(J$2:J104,J104))</f>
        <v>Gloucestershire3</v>
      </c>
      <c r="C104" t="s">
        <v>70</v>
      </c>
      <c r="D104" t="s">
        <v>70</v>
      </c>
      <c r="E104" s="25" t="s">
        <v>1</v>
      </c>
      <c r="F104" s="25" t="s">
        <v>382</v>
      </c>
      <c r="G104" s="25" t="s">
        <v>5</v>
      </c>
      <c r="H104" s="26" t="s">
        <v>894</v>
      </c>
      <c r="I104" s="27" t="s">
        <v>383</v>
      </c>
      <c r="J104" t="s">
        <v>313</v>
      </c>
      <c r="K104" t="s">
        <v>336</v>
      </c>
    </row>
    <row r="105" spans="1:11" ht="14.4">
      <c r="A105" s="22" t="str">
        <f>F105&amp;(COUNTIFS(F$2:F105,F105,K$2:K105,"Sparse"))</f>
        <v>SD14</v>
      </c>
      <c r="B105" s="22" t="str">
        <f>J105&amp;(COUNTIF(J$2:J105,J105))</f>
        <v>Lancashire3</v>
      </c>
      <c r="C105" t="s">
        <v>71</v>
      </c>
      <c r="D105" t="s">
        <v>71</v>
      </c>
      <c r="E105" s="25" t="s">
        <v>377</v>
      </c>
      <c r="F105" s="25" t="s">
        <v>382</v>
      </c>
      <c r="G105" s="25" t="s">
        <v>5</v>
      </c>
      <c r="H105" s="26" t="s">
        <v>893</v>
      </c>
      <c r="I105" s="27" t="s">
        <v>385</v>
      </c>
      <c r="J105" t="s">
        <v>317</v>
      </c>
    </row>
    <row r="106" spans="1:11" ht="14.4">
      <c r="A106" s="22" t="str">
        <f>F106&amp;(COUNTIFS(F$2:F106,F106,K$2:K106,"Sparse"))</f>
        <v>MD0</v>
      </c>
      <c r="B106" s="22" t="str">
        <f>J106&amp;(COUNTIF(J$2:J106,J106))</f>
        <v>Gateshead1</v>
      </c>
      <c r="C106" t="s">
        <v>232</v>
      </c>
      <c r="D106" t="s">
        <v>232</v>
      </c>
      <c r="E106" s="25" t="s">
        <v>391</v>
      </c>
      <c r="F106" s="25" t="s">
        <v>387</v>
      </c>
      <c r="G106" s="25" t="s">
        <v>398</v>
      </c>
      <c r="H106" s="26" t="s">
        <v>898</v>
      </c>
      <c r="I106" s="27" t="s">
        <v>385</v>
      </c>
      <c r="J106" t="str">
        <f>C106</f>
        <v>Gateshead</v>
      </c>
    </row>
    <row r="107" spans="1:11" ht="14.4">
      <c r="A107" s="22" t="str">
        <f>F107&amp;(COUNTIFS(F$2:F107,F107,K$2:K107,"Sparse"))</f>
        <v>SD14</v>
      </c>
      <c r="B107" s="22" t="str">
        <f>J107&amp;(COUNTIF(J$2:J107,J107))</f>
        <v>Nottinghamshire4</v>
      </c>
      <c r="C107" t="s">
        <v>72</v>
      </c>
      <c r="D107" t="s">
        <v>72</v>
      </c>
      <c r="E107" s="25" t="s">
        <v>368</v>
      </c>
      <c r="F107" s="25" t="s">
        <v>382</v>
      </c>
      <c r="G107" s="25" t="s">
        <v>5</v>
      </c>
      <c r="H107" s="26" t="s">
        <v>895</v>
      </c>
      <c r="I107" s="27" t="s">
        <v>385</v>
      </c>
      <c r="J107" t="s">
        <v>324</v>
      </c>
    </row>
    <row r="108" spans="1:11" ht="14.4">
      <c r="A108" s="22" t="str">
        <f>F108&amp;(COUNTIFS(F$2:F108,F108,K$2:K108,"Sparse"))</f>
        <v>SD14</v>
      </c>
      <c r="B108" s="22" t="str">
        <f>J108&amp;(COUNTIF(J$2:J108,J108))</f>
        <v>Gloucestershire4</v>
      </c>
      <c r="C108" t="s">
        <v>73</v>
      </c>
      <c r="D108" t="s">
        <v>73</v>
      </c>
      <c r="E108" s="25" t="s">
        <v>1</v>
      </c>
      <c r="F108" s="25" t="s">
        <v>382</v>
      </c>
      <c r="G108" s="25" t="s">
        <v>5</v>
      </c>
      <c r="H108" s="26" t="s">
        <v>893</v>
      </c>
      <c r="I108" s="27" t="s">
        <v>385</v>
      </c>
      <c r="J108" t="s">
        <v>313</v>
      </c>
    </row>
    <row r="109" spans="1:11" ht="14.4">
      <c r="A109" s="22" t="str">
        <f>F109&amp;(COUNTIFS(F$2:F109,F109,K$2:K109,"Sparse"))</f>
        <v>SC2</v>
      </c>
      <c r="B109" s="22" t="str">
        <f>J109&amp;(COUNTIF(J$2:J109,J109))</f>
        <v>Gloucestershire5</v>
      </c>
      <c r="C109" s="27" t="s">
        <v>313</v>
      </c>
      <c r="D109" s="27" t="s">
        <v>313</v>
      </c>
      <c r="E109" s="25" t="s">
        <v>1</v>
      </c>
      <c r="F109" s="25" t="s">
        <v>390</v>
      </c>
      <c r="G109" s="25" t="s">
        <v>302</v>
      </c>
      <c r="H109" s="27" t="s">
        <v>372</v>
      </c>
      <c r="I109" s="27" t="s">
        <v>372</v>
      </c>
      <c r="J109" t="str">
        <f>C109</f>
        <v>Gloucestershire</v>
      </c>
    </row>
    <row r="110" spans="1:11" ht="14.4">
      <c r="A110" s="22" t="str">
        <f>F110&amp;(COUNTIFS(F$2:F110,F110,K$2:K110,"Sparse"))</f>
        <v>SD14</v>
      </c>
      <c r="B110" s="22" t="str">
        <f>J110&amp;(COUNTIF(J$2:J110,J110))</f>
        <v>Hampshire5</v>
      </c>
      <c r="C110" t="s">
        <v>74</v>
      </c>
      <c r="D110" t="s">
        <v>74</v>
      </c>
      <c r="E110" s="25" t="s">
        <v>0</v>
      </c>
      <c r="F110" s="25" t="s">
        <v>382</v>
      </c>
      <c r="G110" s="25" t="s">
        <v>5</v>
      </c>
      <c r="H110" s="26" t="s">
        <v>893</v>
      </c>
      <c r="I110" s="27" t="s">
        <v>385</v>
      </c>
      <c r="J110" t="s">
        <v>314</v>
      </c>
    </row>
    <row r="111" spans="1:11" ht="14.4">
      <c r="A111" s="22" t="str">
        <f>F111&amp;(COUNTIFS(F$2:F111,F111,K$2:K111,"Sparse"))</f>
        <v>SD14</v>
      </c>
      <c r="B111" s="22" t="str">
        <f>J111&amp;(COUNTIF(J$2:J111,J111))</f>
        <v>Kent5</v>
      </c>
      <c r="C111" t="s">
        <v>75</v>
      </c>
      <c r="D111" t="s">
        <v>75</v>
      </c>
      <c r="E111" s="25" t="s">
        <v>0</v>
      </c>
      <c r="F111" s="25" t="s">
        <v>382</v>
      </c>
      <c r="G111" s="25" t="s">
        <v>5</v>
      </c>
      <c r="H111" s="26" t="s">
        <v>898</v>
      </c>
      <c r="I111" s="27" t="s">
        <v>385</v>
      </c>
      <c r="J111" t="s">
        <v>316</v>
      </c>
    </row>
    <row r="112" spans="1:11" ht="14.4">
      <c r="A112" s="22" t="str">
        <f>F112&amp;(COUNTIFS(F$2:F112,F112,K$2:K112,"Sparse"))</f>
        <v>SD14</v>
      </c>
      <c r="B112" s="22" t="str">
        <f>J112&amp;(COUNTIF(J$2:J112,J112))</f>
        <v>Norfolk3</v>
      </c>
      <c r="C112" t="s">
        <v>76</v>
      </c>
      <c r="D112" t="s">
        <v>76</v>
      </c>
      <c r="E112" s="25" t="s">
        <v>370</v>
      </c>
      <c r="F112" s="25" t="s">
        <v>382</v>
      </c>
      <c r="G112" s="25" t="s">
        <v>5</v>
      </c>
      <c r="H112" s="26" t="s">
        <v>896</v>
      </c>
      <c r="I112" s="27" t="s">
        <v>372</v>
      </c>
      <c r="J112" t="s">
        <v>320</v>
      </c>
    </row>
    <row r="113" spans="1:11" ht="14.4">
      <c r="A113" s="22" t="str">
        <f>F113&amp;(COUNTIFS(F$2:F113,F113,K$2:K113,"Sparse"))</f>
        <v>L0</v>
      </c>
      <c r="B113" s="22" t="str">
        <f>J113&amp;(COUNTIF(J$2:J113,J113))</f>
        <v>London11</v>
      </c>
      <c r="C113" t="s">
        <v>205</v>
      </c>
      <c r="D113" t="s">
        <v>205</v>
      </c>
      <c r="E113" s="25" t="s">
        <v>384</v>
      </c>
      <c r="F113" s="25" t="s">
        <v>360</v>
      </c>
      <c r="G113" s="25" t="s">
        <v>384</v>
      </c>
      <c r="H113" s="26" t="s">
        <v>898</v>
      </c>
      <c r="I113" s="27" t="s">
        <v>385</v>
      </c>
      <c r="J113" t="str">
        <f>G113</f>
        <v>London</v>
      </c>
    </row>
    <row r="114" spans="1:11" ht="14.4">
      <c r="A114" s="22" t="str">
        <f>F114&amp;(COUNTIFS(F$2:F114,F114,K$2:K114,"Sparse"))</f>
        <v>SD14</v>
      </c>
      <c r="B114" s="22" t="str">
        <f>J114&amp;(COUNTIF(J$2:J114,J114))</f>
        <v>Surrey3</v>
      </c>
      <c r="C114" t="s">
        <v>77</v>
      </c>
      <c r="D114" t="s">
        <v>77</v>
      </c>
      <c r="E114" s="25" t="s">
        <v>0</v>
      </c>
      <c r="F114" s="25" t="s">
        <v>382</v>
      </c>
      <c r="G114" s="25" t="s">
        <v>5</v>
      </c>
      <c r="H114" s="26" t="s">
        <v>893</v>
      </c>
      <c r="I114" s="27" t="s">
        <v>385</v>
      </c>
      <c r="J114" t="s">
        <v>330</v>
      </c>
    </row>
    <row r="115" spans="1:11" ht="14.4">
      <c r="A115" s="22" t="str">
        <f>F115&amp;(COUNTIFS(F$2:F115,F115,K$2:K115,"Sparse"))</f>
        <v>L0</v>
      </c>
      <c r="B115" s="22" t="str">
        <f>J115&amp;(COUNTIF(J$2:J115,J115))</f>
        <v>London12</v>
      </c>
      <c r="C115" t="s">
        <v>206</v>
      </c>
      <c r="D115" t="s">
        <v>206</v>
      </c>
      <c r="E115" s="25" t="s">
        <v>384</v>
      </c>
      <c r="F115" s="25" t="s">
        <v>360</v>
      </c>
      <c r="G115" s="25" t="s">
        <v>384</v>
      </c>
      <c r="H115" s="26" t="s">
        <v>898</v>
      </c>
      <c r="I115" s="27" t="s">
        <v>385</v>
      </c>
      <c r="J115" t="str">
        <f>G115</f>
        <v>London</v>
      </c>
    </row>
    <row r="116" spans="1:11" ht="14.4">
      <c r="A116" s="22" t="str">
        <f>F116&amp;(COUNTIFS(F$2:F116,F116,K$2:K116,"Sparse"))</f>
        <v>UA4</v>
      </c>
      <c r="B116" s="22" t="str">
        <f>J116&amp;(COUNTIF(J$2:J116,J116))</f>
        <v>Unitary18</v>
      </c>
      <c r="C116" t="s">
        <v>269</v>
      </c>
      <c r="D116" t="s">
        <v>269</v>
      </c>
      <c r="E116" s="25" t="s">
        <v>377</v>
      </c>
      <c r="F116" s="25" t="s">
        <v>388</v>
      </c>
      <c r="G116" s="25" t="s">
        <v>397</v>
      </c>
      <c r="H116" s="26" t="s">
        <v>893</v>
      </c>
      <c r="I116" s="27" t="s">
        <v>385</v>
      </c>
      <c r="J116" s="3" t="s">
        <v>397</v>
      </c>
    </row>
    <row r="117" spans="1:11" ht="14.4">
      <c r="A117" s="22" t="str">
        <f>F117&amp;(COUNTIFS(F$2:F117,F117,K$2:K117,"Sparse"))</f>
        <v>SD15</v>
      </c>
      <c r="B117" s="22" t="str">
        <f>J117&amp;(COUNTIF(J$2:J117,J117))</f>
        <v>North Yorkshire2</v>
      </c>
      <c r="C117" t="s">
        <v>78</v>
      </c>
      <c r="D117" t="s">
        <v>78</v>
      </c>
      <c r="E117" s="25" t="s">
        <v>386</v>
      </c>
      <c r="F117" s="25" t="s">
        <v>382</v>
      </c>
      <c r="G117" s="25" t="s">
        <v>5</v>
      </c>
      <c r="H117" s="26" t="s">
        <v>894</v>
      </c>
      <c r="I117" s="27" t="s">
        <v>383</v>
      </c>
      <c r="J117" t="s">
        <v>321</v>
      </c>
      <c r="K117" t="s">
        <v>336</v>
      </c>
    </row>
    <row r="118" spans="1:11" ht="14.4">
      <c r="A118" s="22" t="str">
        <f>F118&amp;(COUNTIFS(F$2:F118,F118,K$2:K118,"Sparse"))</f>
        <v>L0</v>
      </c>
      <c r="B118" s="22" t="str">
        <f>J118&amp;(COUNTIF(J$2:J118,J118))</f>
        <v>London13</v>
      </c>
      <c r="C118" t="s">
        <v>337</v>
      </c>
      <c r="D118" t="s">
        <v>337</v>
      </c>
      <c r="E118" s="25" t="s">
        <v>384</v>
      </c>
      <c r="F118" s="25" t="s">
        <v>360</v>
      </c>
      <c r="G118" s="25" t="s">
        <v>384</v>
      </c>
      <c r="H118" s="26" t="s">
        <v>898</v>
      </c>
      <c r="I118" s="27" t="s">
        <v>385</v>
      </c>
      <c r="J118" t="str">
        <f>G118</f>
        <v>London</v>
      </c>
    </row>
    <row r="119" spans="1:11" ht="14.4">
      <c r="A119" s="22" t="str">
        <f>F119&amp;(COUNTIFS(F$2:F119,F119,K$2:K119,"Sparse"))</f>
        <v>SC3</v>
      </c>
      <c r="B119" s="22" t="str">
        <f>J119&amp;(COUNTIF(J$2:J119,J119))</f>
        <v>Hampshire6</v>
      </c>
      <c r="C119" s="27" t="s">
        <v>314</v>
      </c>
      <c r="D119" s="27" t="s">
        <v>314</v>
      </c>
      <c r="E119" s="25" t="s">
        <v>0</v>
      </c>
      <c r="F119" s="25" t="s">
        <v>390</v>
      </c>
      <c r="G119" s="25" t="s">
        <v>302</v>
      </c>
      <c r="H119" s="27" t="s">
        <v>372</v>
      </c>
      <c r="I119" s="27" t="s">
        <v>372</v>
      </c>
      <c r="J119" t="str">
        <f>C119</f>
        <v>Hampshire</v>
      </c>
      <c r="K119" t="s">
        <v>336</v>
      </c>
    </row>
    <row r="120" spans="1:11" ht="14.4">
      <c r="A120" s="22" t="str">
        <f>F120&amp;(COUNTIFS(F$2:F120,F120,K$2:K120,"Sparse"))</f>
        <v>SD16</v>
      </c>
      <c r="B120" s="22" t="str">
        <f>J120&amp;(COUNTIF(J$2:J120,J120))</f>
        <v>Leicestershire3</v>
      </c>
      <c r="C120" t="s">
        <v>79</v>
      </c>
      <c r="D120" t="s">
        <v>79</v>
      </c>
      <c r="E120" s="25" t="s">
        <v>368</v>
      </c>
      <c r="F120" s="25" t="s">
        <v>382</v>
      </c>
      <c r="G120" s="25" t="s">
        <v>5</v>
      </c>
      <c r="H120" s="26" t="s">
        <v>894</v>
      </c>
      <c r="I120" s="27" t="s">
        <v>383</v>
      </c>
      <c r="J120" t="s">
        <v>318</v>
      </c>
      <c r="K120" t="s">
        <v>336</v>
      </c>
    </row>
    <row r="121" spans="1:11" ht="14.4">
      <c r="A121" s="22" t="str">
        <f>F121&amp;(COUNTIFS(F$2:F121,F121,K$2:K121,"Sparse"))</f>
        <v>L0</v>
      </c>
      <c r="B121" s="22" t="str">
        <f>J121&amp;(COUNTIF(J$2:J121,J121))</f>
        <v>London14</v>
      </c>
      <c r="C121" t="s">
        <v>207</v>
      </c>
      <c r="D121" t="s">
        <v>207</v>
      </c>
      <c r="E121" s="25" t="s">
        <v>384</v>
      </c>
      <c r="F121" s="25" t="s">
        <v>360</v>
      </c>
      <c r="G121" s="25" t="s">
        <v>384</v>
      </c>
      <c r="H121" s="26" t="s">
        <v>898</v>
      </c>
      <c r="I121" s="27" t="s">
        <v>385</v>
      </c>
      <c r="J121" t="str">
        <f>G121</f>
        <v>London</v>
      </c>
    </row>
    <row r="122" spans="1:11" ht="14.4">
      <c r="A122" s="22" t="str">
        <f>F122&amp;(COUNTIFS(F$2:F122,F122,K$2:K122,"Sparse"))</f>
        <v>SD16</v>
      </c>
      <c r="B122" s="22" t="str">
        <f>J122&amp;(COUNTIF(J$2:J122,J122))</f>
        <v>Essex9</v>
      </c>
      <c r="C122" t="s">
        <v>80</v>
      </c>
      <c r="D122" t="s">
        <v>80</v>
      </c>
      <c r="E122" s="25" t="s">
        <v>370</v>
      </c>
      <c r="F122" s="25" t="s">
        <v>382</v>
      </c>
      <c r="G122" s="25" t="s">
        <v>5</v>
      </c>
      <c r="H122" s="26" t="s">
        <v>893</v>
      </c>
      <c r="I122" s="27" t="s">
        <v>385</v>
      </c>
      <c r="J122" t="s">
        <v>312</v>
      </c>
    </row>
    <row r="123" spans="1:11" ht="14.4">
      <c r="A123" s="22" t="str">
        <f>F123&amp;(COUNTIFS(F$2:F123,F123,K$2:K123,"Sparse"))</f>
        <v>SD17</v>
      </c>
      <c r="B123" s="22" t="str">
        <f>J123&amp;(COUNTIF(J$2:J123,J123))</f>
        <v>North Yorkshire3</v>
      </c>
      <c r="C123" t="s">
        <v>81</v>
      </c>
      <c r="D123" t="s">
        <v>81</v>
      </c>
      <c r="E123" s="25" t="s">
        <v>386</v>
      </c>
      <c r="F123" s="25" t="s">
        <v>382</v>
      </c>
      <c r="G123" s="25" t="s">
        <v>5</v>
      </c>
      <c r="H123" s="26" t="s">
        <v>896</v>
      </c>
      <c r="I123" s="27" t="s">
        <v>372</v>
      </c>
      <c r="J123" t="s">
        <v>321</v>
      </c>
      <c r="K123" t="s">
        <v>336</v>
      </c>
    </row>
    <row r="124" spans="1:11" ht="14.4">
      <c r="A124" s="22" t="str">
        <f>F124&amp;(COUNTIFS(F$2:F124,F124,K$2:K124,"Sparse"))</f>
        <v>L0</v>
      </c>
      <c r="B124" s="22" t="str">
        <f>J124&amp;(COUNTIF(J$2:J124,J124))</f>
        <v>London15</v>
      </c>
      <c r="C124" t="s">
        <v>208</v>
      </c>
      <c r="D124" t="s">
        <v>208</v>
      </c>
      <c r="E124" s="25" t="s">
        <v>384</v>
      </c>
      <c r="F124" s="25" t="s">
        <v>360</v>
      </c>
      <c r="G124" s="25" t="s">
        <v>384</v>
      </c>
      <c r="H124" s="26" t="s">
        <v>898</v>
      </c>
      <c r="I124" s="27" t="s">
        <v>385</v>
      </c>
      <c r="J124" t="str">
        <f>G124</f>
        <v>London</v>
      </c>
    </row>
    <row r="125" spans="1:11" ht="14.4">
      <c r="A125" s="22" t="str">
        <f>F125&amp;(COUNTIFS(F$2:F125,F125,K$2:K125,"Sparse"))</f>
        <v>SD17</v>
      </c>
      <c r="B125" s="22" t="str">
        <f>J125&amp;(COUNTIF(J$2:J125,J125))</f>
        <v>Hampshire7</v>
      </c>
      <c r="C125" t="s">
        <v>82</v>
      </c>
      <c r="D125" t="s">
        <v>82</v>
      </c>
      <c r="E125" s="25" t="s">
        <v>0</v>
      </c>
      <c r="F125" s="25" t="s">
        <v>382</v>
      </c>
      <c r="G125" s="25" t="s">
        <v>5</v>
      </c>
      <c r="H125" s="26" t="s">
        <v>896</v>
      </c>
      <c r="I125" s="27" t="s">
        <v>372</v>
      </c>
      <c r="J125" t="s">
        <v>314</v>
      </c>
    </row>
    <row r="126" spans="1:11" ht="14.4">
      <c r="A126" s="22" t="str">
        <f>F126&amp;(COUNTIFS(F$2:F126,F126,K$2:K126,"Sparse"))</f>
        <v>UA4</v>
      </c>
      <c r="B126" s="22" t="str">
        <f>J126&amp;(COUNTIF(J$2:J126,J126))</f>
        <v>Unitary19</v>
      </c>
      <c r="C126" t="s">
        <v>270</v>
      </c>
      <c r="D126" t="s">
        <v>270</v>
      </c>
      <c r="E126" s="25" t="s">
        <v>391</v>
      </c>
      <c r="F126" s="25" t="s">
        <v>388</v>
      </c>
      <c r="G126" s="25" t="s">
        <v>397</v>
      </c>
      <c r="H126" s="26" t="s">
        <v>893</v>
      </c>
      <c r="I126" s="27" t="s">
        <v>385</v>
      </c>
      <c r="J126" s="3" t="s">
        <v>397</v>
      </c>
    </row>
    <row r="127" spans="1:11" ht="14.4">
      <c r="A127" s="22" t="str">
        <f>F127&amp;(COUNTIFS(F$2:F127,F127,K$2:K127,"Sparse"))</f>
        <v>SD17</v>
      </c>
      <c r="B127" s="22" t="str">
        <f>J127&amp;(COUNTIF(J$2:J127,J127))</f>
        <v>East Sussex3</v>
      </c>
      <c r="C127" t="s">
        <v>83</v>
      </c>
      <c r="D127" t="s">
        <v>83</v>
      </c>
      <c r="E127" s="25" t="s">
        <v>0</v>
      </c>
      <c r="F127" s="25" t="s">
        <v>382</v>
      </c>
      <c r="G127" s="25" t="s">
        <v>5</v>
      </c>
      <c r="H127" s="26" t="s">
        <v>893</v>
      </c>
      <c r="I127" s="27" t="s">
        <v>385</v>
      </c>
      <c r="J127" t="s">
        <v>311</v>
      </c>
    </row>
    <row r="128" spans="1:11" ht="14.4">
      <c r="A128" s="22" t="str">
        <f>F128&amp;(COUNTIFS(F$2:F128,F128,K$2:K128,"Sparse"))</f>
        <v>SD17</v>
      </c>
      <c r="B128" s="22" t="str">
        <f>J128&amp;(COUNTIF(J$2:J128,J128))</f>
        <v>Hampshire8</v>
      </c>
      <c r="C128" t="s">
        <v>84</v>
      </c>
      <c r="D128" t="s">
        <v>84</v>
      </c>
      <c r="E128" s="25" t="s">
        <v>0</v>
      </c>
      <c r="F128" s="25" t="s">
        <v>382</v>
      </c>
      <c r="G128" s="25" t="s">
        <v>5</v>
      </c>
      <c r="H128" s="26" t="s">
        <v>893</v>
      </c>
      <c r="I128" s="27" t="s">
        <v>385</v>
      </c>
      <c r="J128" t="s">
        <v>314</v>
      </c>
    </row>
    <row r="129" spans="1:11" ht="14.4">
      <c r="A129" s="22" t="str">
        <f>F129&amp;(COUNTIFS(F$2:F129,F129,K$2:K129,"Sparse"))</f>
        <v>L0</v>
      </c>
      <c r="B129" s="22" t="str">
        <f>J129&amp;(COUNTIF(J$2:J129,J129))</f>
        <v>London16</v>
      </c>
      <c r="C129" t="s">
        <v>209</v>
      </c>
      <c r="D129" t="s">
        <v>209</v>
      </c>
      <c r="E129" s="25" t="s">
        <v>384</v>
      </c>
      <c r="F129" s="25" t="s">
        <v>360</v>
      </c>
      <c r="G129" s="25" t="s">
        <v>384</v>
      </c>
      <c r="H129" s="26" t="s">
        <v>898</v>
      </c>
      <c r="I129" s="27" t="s">
        <v>385</v>
      </c>
      <c r="J129" t="str">
        <f>G129</f>
        <v>London</v>
      </c>
    </row>
    <row r="130" spans="1:11" ht="14.4">
      <c r="A130" s="22" t="str">
        <f>F130&amp;(COUNTIFS(F$2:F130,F130,K$2:K130,"Sparse"))</f>
        <v>UA5</v>
      </c>
      <c r="B130" s="22" t="str">
        <f>J130&amp;(COUNTIF(J$2:J130,J130))</f>
        <v>Unitary20</v>
      </c>
      <c r="C130" t="s">
        <v>818</v>
      </c>
      <c r="D130" t="s">
        <v>392</v>
      </c>
      <c r="E130" s="25" t="s">
        <v>369</v>
      </c>
      <c r="F130" s="25" t="s">
        <v>388</v>
      </c>
      <c r="G130" s="25" t="s">
        <v>397</v>
      </c>
      <c r="H130" s="26" t="s">
        <v>897</v>
      </c>
      <c r="I130" s="27" t="s">
        <v>383</v>
      </c>
      <c r="J130" s="3" t="s">
        <v>397</v>
      </c>
      <c r="K130" t="s">
        <v>336</v>
      </c>
    </row>
    <row r="131" spans="1:11" ht="14.4">
      <c r="A131" s="22" t="str">
        <f>F131&amp;(COUNTIFS(F$2:F131,F131,K$2:K131,"Sparse"))</f>
        <v>SC3</v>
      </c>
      <c r="B131" s="22" t="str">
        <f>J131&amp;(COUNTIF(J$2:J131,J131))</f>
        <v>Hertfordshire4</v>
      </c>
      <c r="C131" s="27" t="s">
        <v>315</v>
      </c>
      <c r="D131" s="27" t="s">
        <v>315</v>
      </c>
      <c r="E131" s="25" t="s">
        <v>370</v>
      </c>
      <c r="F131" s="25" t="s">
        <v>390</v>
      </c>
      <c r="G131" s="25" t="s">
        <v>302</v>
      </c>
      <c r="H131" s="27" t="s">
        <v>385</v>
      </c>
      <c r="I131" s="27" t="s">
        <v>385</v>
      </c>
      <c r="J131" t="str">
        <f>C131</f>
        <v>Hertfordshire</v>
      </c>
    </row>
    <row r="132" spans="1:11" ht="14.4">
      <c r="A132" s="22" t="str">
        <f>F132&amp;(COUNTIFS(F$2:F132,F132,K$2:K132,"Sparse"))</f>
        <v>SD17</v>
      </c>
      <c r="B132" s="22" t="str">
        <f>J132&amp;(COUNTIF(J$2:J132,J132))</f>
        <v>Hertfordshire5</v>
      </c>
      <c r="C132" t="s">
        <v>85</v>
      </c>
      <c r="D132" t="s">
        <v>85</v>
      </c>
      <c r="E132" s="25" t="s">
        <v>370</v>
      </c>
      <c r="F132" s="25" t="s">
        <v>382</v>
      </c>
      <c r="G132" s="25" t="s">
        <v>5</v>
      </c>
      <c r="H132" s="26" t="s">
        <v>898</v>
      </c>
      <c r="I132" s="27" t="s">
        <v>385</v>
      </c>
      <c r="J132" t="s">
        <v>315</v>
      </c>
    </row>
    <row r="133" spans="1:11" ht="14.4">
      <c r="A133" s="22" t="str">
        <f>F133&amp;(COUNTIFS(F$2:F133,F133,K$2:K133,"Sparse"))</f>
        <v>SD17</v>
      </c>
      <c r="B133" s="22" t="str">
        <f>J133&amp;(COUNTIF(J$2:J133,J133))</f>
        <v>Derbyshire7</v>
      </c>
      <c r="C133" t="s">
        <v>86</v>
      </c>
      <c r="D133" t="s">
        <v>86</v>
      </c>
      <c r="E133" s="25" t="s">
        <v>368</v>
      </c>
      <c r="F133" s="25" t="s">
        <v>382</v>
      </c>
      <c r="G133" s="25" t="s">
        <v>5</v>
      </c>
      <c r="H133" s="26" t="s">
        <v>897</v>
      </c>
      <c r="I133" s="27" t="s">
        <v>383</v>
      </c>
      <c r="J133" t="s">
        <v>308</v>
      </c>
    </row>
    <row r="134" spans="1:11" ht="14.4">
      <c r="A134" s="22" t="str">
        <f>F134&amp;(COUNTIFS(F$2:F134,F134,K$2:K134,"Sparse"))</f>
        <v>L0</v>
      </c>
      <c r="B134" s="22" t="str">
        <f>J134&amp;(COUNTIF(J$2:J134,J134))</f>
        <v>London17</v>
      </c>
      <c r="C134" t="s">
        <v>210</v>
      </c>
      <c r="D134" t="s">
        <v>210</v>
      </c>
      <c r="E134" s="25" t="s">
        <v>384</v>
      </c>
      <c r="F134" s="25" t="s">
        <v>360</v>
      </c>
      <c r="G134" s="25" t="s">
        <v>384</v>
      </c>
      <c r="H134" s="26" t="s">
        <v>898</v>
      </c>
      <c r="I134" s="27" t="s">
        <v>385</v>
      </c>
      <c r="J134" t="str">
        <f>G134</f>
        <v>London</v>
      </c>
    </row>
    <row r="135" spans="1:11" ht="14.4">
      <c r="A135" s="22" t="str">
        <f>F135&amp;(COUNTIFS(F$2:F135,F135,K$2:K135,"Sparse"))</f>
        <v>SD17</v>
      </c>
      <c r="B135" s="22" t="str">
        <f>J135&amp;(COUNTIF(J$2:J135,J135))</f>
        <v>Leicestershire4</v>
      </c>
      <c r="C135" t="s">
        <v>346</v>
      </c>
      <c r="D135" t="s">
        <v>346</v>
      </c>
      <c r="E135" s="25" t="s">
        <v>368</v>
      </c>
      <c r="F135" s="25" t="s">
        <v>382</v>
      </c>
      <c r="G135" s="25" t="s">
        <v>5</v>
      </c>
      <c r="H135" s="26" t="s">
        <v>897</v>
      </c>
      <c r="I135" s="27" t="s">
        <v>383</v>
      </c>
      <c r="J135" t="s">
        <v>318</v>
      </c>
    </row>
    <row r="136" spans="1:11" ht="14.4">
      <c r="A136" s="22" t="str">
        <f>F136&amp;(COUNTIFS(F$2:F136,F136,K$2:K136,"Sparse"))</f>
        <v>SD17</v>
      </c>
      <c r="B136" s="22" t="str">
        <f>J136&amp;(COUNTIF(J$2:J136,J136))</f>
        <v>West Sussex5</v>
      </c>
      <c r="C136" t="s">
        <v>87</v>
      </c>
      <c r="D136" t="s">
        <v>87</v>
      </c>
      <c r="E136" s="25" t="s">
        <v>0</v>
      </c>
      <c r="F136" s="25" t="s">
        <v>382</v>
      </c>
      <c r="G136" s="25" t="s">
        <v>5</v>
      </c>
      <c r="H136" s="26" t="s">
        <v>897</v>
      </c>
      <c r="I136" s="27" t="s">
        <v>383</v>
      </c>
      <c r="J136" t="s">
        <v>332</v>
      </c>
    </row>
    <row r="137" spans="1:11" ht="14.4">
      <c r="A137" s="22" t="str">
        <f>F137&amp;(COUNTIFS(F$2:F137,F137,K$2:K137,"Sparse"))</f>
        <v>L0</v>
      </c>
      <c r="B137" s="22" t="str">
        <f>J137&amp;(COUNTIF(J$2:J137,J137))</f>
        <v>London18</v>
      </c>
      <c r="C137" t="s">
        <v>211</v>
      </c>
      <c r="D137" t="s">
        <v>211</v>
      </c>
      <c r="E137" s="25" t="s">
        <v>384</v>
      </c>
      <c r="F137" s="25" t="s">
        <v>360</v>
      </c>
      <c r="G137" s="25" t="s">
        <v>384</v>
      </c>
      <c r="H137" s="26" t="s">
        <v>898</v>
      </c>
      <c r="I137" s="27" t="s">
        <v>385</v>
      </c>
      <c r="J137" t="str">
        <f>G137</f>
        <v>London</v>
      </c>
    </row>
    <row r="138" spans="1:11" ht="14.4">
      <c r="A138" s="22" t="str">
        <f>F138&amp;(COUNTIFS(F$2:F138,F138,K$2:K138,"Sparse"))</f>
        <v>SD17</v>
      </c>
      <c r="B138" s="22" t="str">
        <f>J138&amp;(COUNTIF(J$2:J138,J138))</f>
        <v>Cambridgeshire5</v>
      </c>
      <c r="C138" t="s">
        <v>88</v>
      </c>
      <c r="D138" t="s">
        <v>88</v>
      </c>
      <c r="E138" s="25" t="s">
        <v>370</v>
      </c>
      <c r="F138" s="25" t="s">
        <v>382</v>
      </c>
      <c r="G138" s="25" t="s">
        <v>5</v>
      </c>
      <c r="H138" s="26" t="s">
        <v>894</v>
      </c>
      <c r="I138" s="27" t="s">
        <v>383</v>
      </c>
      <c r="J138" t="s">
        <v>303</v>
      </c>
    </row>
    <row r="139" spans="1:11" ht="14.4">
      <c r="A139" s="22" t="str">
        <f>F139&amp;(COUNTIFS(F$2:F139,F139,K$2:K139,"Sparse"))</f>
        <v>SD17</v>
      </c>
      <c r="B139" s="22" t="str">
        <f>J139&amp;(COUNTIF(J$2:J139,J139))</f>
        <v>Lancashire4</v>
      </c>
      <c r="C139" t="s">
        <v>89</v>
      </c>
      <c r="D139" t="s">
        <v>89</v>
      </c>
      <c r="E139" s="25" t="s">
        <v>377</v>
      </c>
      <c r="F139" s="25" t="s">
        <v>382</v>
      </c>
      <c r="G139" s="25" t="s">
        <v>5</v>
      </c>
      <c r="H139" s="26" t="s">
        <v>893</v>
      </c>
      <c r="I139" s="27" t="s">
        <v>385</v>
      </c>
      <c r="J139" t="s">
        <v>317</v>
      </c>
    </row>
    <row r="140" spans="1:11" ht="14.4">
      <c r="A140" s="22" t="str">
        <f>F140&amp;(COUNTIFS(F$2:F140,F140,K$2:K140,"Sparse"))</f>
        <v>SD17</v>
      </c>
      <c r="B140" s="22" t="str">
        <f>J140&amp;(COUNTIF(J$2:J140,J140))</f>
        <v>Suffolk2</v>
      </c>
      <c r="C140" t="s">
        <v>90</v>
      </c>
      <c r="D140" t="s">
        <v>90</v>
      </c>
      <c r="E140" s="25" t="s">
        <v>370</v>
      </c>
      <c r="F140" s="25" t="s">
        <v>382</v>
      </c>
      <c r="G140" s="25" t="s">
        <v>5</v>
      </c>
      <c r="H140" s="26" t="s">
        <v>893</v>
      </c>
      <c r="I140" s="27" t="s">
        <v>385</v>
      </c>
      <c r="J140" t="s">
        <v>329</v>
      </c>
    </row>
    <row r="141" spans="1:11" ht="14.4">
      <c r="A141" s="22" t="str">
        <f>F141&amp;(COUNTIFS(F$2:F141,F141,K$2:K141,"Sparse"))</f>
        <v>UA6</v>
      </c>
      <c r="B141" s="22" t="str">
        <f>J141&amp;(COUNTIF(J$2:J141,J141))</f>
        <v>Unitary21</v>
      </c>
      <c r="C141" t="s">
        <v>271</v>
      </c>
      <c r="D141" t="s">
        <v>271</v>
      </c>
      <c r="E141" s="25" t="s">
        <v>0</v>
      </c>
      <c r="F141" s="25" t="s">
        <v>388</v>
      </c>
      <c r="G141" s="25" t="s">
        <v>397</v>
      </c>
      <c r="H141" s="26" t="s">
        <v>894</v>
      </c>
      <c r="I141" s="27" t="s">
        <v>383</v>
      </c>
      <c r="J141" s="3" t="s">
        <v>397</v>
      </c>
      <c r="K141" t="s">
        <v>336</v>
      </c>
    </row>
    <row r="142" spans="1:11" ht="14.4">
      <c r="A142" s="22" t="str">
        <f>F142&amp;(COUNTIFS(F$2:F142,F142,K$2:K142,"Sparse"))</f>
        <v>00</v>
      </c>
      <c r="B142" s="22" t="str">
        <f>J142&amp;(COUNTIF(J$2:J142,J142))</f>
        <v>0</v>
      </c>
      <c r="C142" t="s">
        <v>2</v>
      </c>
      <c r="D142" t="s">
        <v>2</v>
      </c>
      <c r="E142" s="25" t="s">
        <v>1</v>
      </c>
      <c r="F142" s="25">
        <v>0</v>
      </c>
      <c r="G142" s="3" t="s">
        <v>401</v>
      </c>
      <c r="H142" s="26" t="s">
        <v>894</v>
      </c>
      <c r="I142" s="27" t="s">
        <v>383</v>
      </c>
    </row>
    <row r="143" spans="1:11" ht="14.4">
      <c r="A143" s="22" t="str">
        <f>F143&amp;(COUNTIFS(F$2:F143,F143,K$2:K143,"Sparse"))</f>
        <v>L0</v>
      </c>
      <c r="B143" s="22" t="str">
        <f>J143&amp;(COUNTIF(J$2:J143,J143))</f>
        <v>London19</v>
      </c>
      <c r="C143" t="s">
        <v>212</v>
      </c>
      <c r="D143" t="s">
        <v>212</v>
      </c>
      <c r="E143" s="25" t="s">
        <v>384</v>
      </c>
      <c r="F143" s="25" t="s">
        <v>360</v>
      </c>
      <c r="G143" s="25" t="s">
        <v>384</v>
      </c>
      <c r="H143" s="26" t="s">
        <v>898</v>
      </c>
      <c r="I143" s="27" t="s">
        <v>385</v>
      </c>
      <c r="J143" t="str">
        <f>G143</f>
        <v>London</v>
      </c>
    </row>
    <row r="144" spans="1:11" ht="14.4">
      <c r="A144" s="22" t="str">
        <f>F144&amp;(COUNTIFS(F$2:F144,F144,K$2:K144,"Sparse"))</f>
        <v>L0</v>
      </c>
      <c r="B144" s="22" t="str">
        <f>J144&amp;(COUNTIF(J$2:J144,J144))</f>
        <v>London20</v>
      </c>
      <c r="C144" t="s">
        <v>338</v>
      </c>
      <c r="D144" t="s">
        <v>338</v>
      </c>
      <c r="E144" s="25" t="s">
        <v>384</v>
      </c>
      <c r="F144" s="25" t="s">
        <v>360</v>
      </c>
      <c r="G144" s="25" t="s">
        <v>384</v>
      </c>
      <c r="H144" s="26" t="s">
        <v>898</v>
      </c>
      <c r="I144" s="27" t="s">
        <v>385</v>
      </c>
      <c r="J144" t="str">
        <f>G144</f>
        <v>London</v>
      </c>
    </row>
    <row r="145" spans="1:11" ht="14.4">
      <c r="A145" s="22" t="str">
        <f>F145&amp;(COUNTIFS(F$2:F145,F145,K$2:K145,"Sparse"))</f>
        <v>SC3</v>
      </c>
      <c r="B145" s="22" t="str">
        <f>J145&amp;(COUNTIF(J$2:J145,J145))</f>
        <v>Kent6</v>
      </c>
      <c r="C145" s="27" t="s">
        <v>316</v>
      </c>
      <c r="D145" s="27" t="s">
        <v>316</v>
      </c>
      <c r="E145" s="25" t="s">
        <v>370</v>
      </c>
      <c r="F145" s="25" t="s">
        <v>390</v>
      </c>
      <c r="G145" s="25" t="s">
        <v>302</v>
      </c>
      <c r="H145" s="27" t="s">
        <v>372</v>
      </c>
      <c r="I145" s="27" t="s">
        <v>372</v>
      </c>
      <c r="J145" t="str">
        <f>C145</f>
        <v>Kent</v>
      </c>
    </row>
    <row r="146" spans="1:11" ht="14.4">
      <c r="A146" s="22" t="str">
        <f>F146&amp;(COUNTIFS(F$2:F146,F146,K$2:K146,"Sparse"))</f>
        <v>SD18</v>
      </c>
      <c r="B146" s="22" t="str">
        <f>J146&amp;(COUNTIF(J$2:J146,J146))</f>
        <v>Norfolk4</v>
      </c>
      <c r="C146" t="s">
        <v>378</v>
      </c>
      <c r="D146" t="s">
        <v>378</v>
      </c>
      <c r="E146" s="25" t="s">
        <v>370</v>
      </c>
      <c r="F146" s="25" t="s">
        <v>382</v>
      </c>
      <c r="G146" s="25" t="s">
        <v>5</v>
      </c>
      <c r="H146" s="26" t="s">
        <v>897</v>
      </c>
      <c r="I146" s="27" t="s">
        <v>383</v>
      </c>
      <c r="J146" t="s">
        <v>320</v>
      </c>
      <c r="K146" t="s">
        <v>336</v>
      </c>
    </row>
    <row r="147" spans="1:11" ht="14.4">
      <c r="A147" s="22" t="str">
        <f>F147&amp;(COUNTIFS(F$2:F147,F147,K$2:K147,"Sparse"))</f>
        <v>UA6</v>
      </c>
      <c r="B147" s="22" t="str">
        <f>J147&amp;(COUNTIF(J$2:J147,J147))</f>
        <v>Unitary22</v>
      </c>
      <c r="C147" t="s">
        <v>819</v>
      </c>
      <c r="D147" t="s">
        <v>393</v>
      </c>
      <c r="E147" s="25" t="s">
        <v>386</v>
      </c>
      <c r="F147" s="25" t="s">
        <v>388</v>
      </c>
      <c r="G147" s="25" t="s">
        <v>397</v>
      </c>
      <c r="H147" s="26" t="s">
        <v>893</v>
      </c>
      <c r="I147" s="27" t="s">
        <v>385</v>
      </c>
      <c r="J147" s="3" t="s">
        <v>397</v>
      </c>
    </row>
    <row r="148" spans="1:11" ht="14.4">
      <c r="A148" s="22" t="str">
        <f>F148&amp;(COUNTIFS(F$2:F148,F148,K$2:K148,"Sparse"))</f>
        <v>L0</v>
      </c>
      <c r="B148" s="22" t="str">
        <f>J148&amp;(COUNTIF(J$2:J148,J148))</f>
        <v>London21</v>
      </c>
      <c r="C148" t="s">
        <v>394</v>
      </c>
      <c r="D148" t="s">
        <v>394</v>
      </c>
      <c r="E148" s="25" t="s">
        <v>384</v>
      </c>
      <c r="F148" s="25" t="s">
        <v>360</v>
      </c>
      <c r="G148" s="25" t="s">
        <v>384</v>
      </c>
      <c r="H148" s="26" t="s">
        <v>898</v>
      </c>
      <c r="I148" s="27" t="s">
        <v>385</v>
      </c>
      <c r="J148" t="str">
        <f>G148</f>
        <v>London</v>
      </c>
    </row>
    <row r="149" spans="1:11" ht="14.4">
      <c r="A149" s="22" t="str">
        <f>F149&amp;(COUNTIFS(F$2:F149,F149,K$2:K149,"Sparse"))</f>
        <v>MD0</v>
      </c>
      <c r="B149" s="22" t="str">
        <f>J149&amp;(COUNTIF(J$2:J149,J149))</f>
        <v>Kirklees1</v>
      </c>
      <c r="C149" t="s">
        <v>233</v>
      </c>
      <c r="D149" t="s">
        <v>233</v>
      </c>
      <c r="E149" s="25" t="s">
        <v>386</v>
      </c>
      <c r="F149" s="25" t="s">
        <v>387</v>
      </c>
      <c r="G149" s="25" t="s">
        <v>398</v>
      </c>
      <c r="H149" s="26" t="s">
        <v>898</v>
      </c>
      <c r="I149" s="27" t="s">
        <v>385</v>
      </c>
      <c r="J149" t="str">
        <f>C149</f>
        <v>Kirklees</v>
      </c>
    </row>
    <row r="150" spans="1:11" ht="14.4">
      <c r="A150" s="22" t="str">
        <f>F150&amp;(COUNTIFS(F$2:F150,F150,K$2:K150,"Sparse"))</f>
        <v>MD0</v>
      </c>
      <c r="B150" s="22" t="str">
        <f>J150&amp;(COUNTIF(J$2:J150,J150))</f>
        <v>Knowsley1</v>
      </c>
      <c r="C150" t="s">
        <v>234</v>
      </c>
      <c r="D150" t="s">
        <v>234</v>
      </c>
      <c r="E150" s="25" t="s">
        <v>377</v>
      </c>
      <c r="F150" s="25" t="s">
        <v>387</v>
      </c>
      <c r="G150" s="25" t="s">
        <v>398</v>
      </c>
      <c r="H150" s="26" t="s">
        <v>898</v>
      </c>
      <c r="I150" s="27" t="s">
        <v>385</v>
      </c>
      <c r="J150" t="str">
        <f>C150</f>
        <v>Knowsley</v>
      </c>
    </row>
    <row r="151" spans="1:11" ht="14.4">
      <c r="A151" s="22" t="str">
        <f>F151&amp;(COUNTIFS(F$2:F151,F151,K$2:K151,"Sparse"))</f>
        <v>L0</v>
      </c>
      <c r="B151" s="22" t="str">
        <f>J151&amp;(COUNTIF(J$2:J151,J151))</f>
        <v>London22</v>
      </c>
      <c r="C151" t="s">
        <v>213</v>
      </c>
      <c r="D151" t="s">
        <v>213</v>
      </c>
      <c r="E151" s="25" t="s">
        <v>384</v>
      </c>
      <c r="F151" s="25" t="s">
        <v>360</v>
      </c>
      <c r="G151" s="25" t="s">
        <v>384</v>
      </c>
      <c r="H151" s="26" t="s">
        <v>898</v>
      </c>
      <c r="I151" s="27" t="s">
        <v>385</v>
      </c>
      <c r="J151" t="str">
        <f>G151</f>
        <v>London</v>
      </c>
    </row>
    <row r="152" spans="1:11" ht="14.4">
      <c r="A152" s="22" t="str">
        <f>F152&amp;(COUNTIFS(F$2:F152,F152,K$2:K152,"Sparse"))</f>
        <v>SC4</v>
      </c>
      <c r="B152" s="22" t="str">
        <f>J152&amp;(COUNTIF(J$2:J152,J152))</f>
        <v>Lancashire5</v>
      </c>
      <c r="C152" s="27" t="s">
        <v>317</v>
      </c>
      <c r="D152" s="27" t="s">
        <v>317</v>
      </c>
      <c r="E152" s="25" t="s">
        <v>377</v>
      </c>
      <c r="F152" s="25" t="s">
        <v>390</v>
      </c>
      <c r="G152" s="25" t="s">
        <v>302</v>
      </c>
      <c r="H152" s="27" t="s">
        <v>372</v>
      </c>
      <c r="I152" s="27" t="s">
        <v>372</v>
      </c>
      <c r="J152" t="str">
        <f>C152</f>
        <v>Lancashire</v>
      </c>
      <c r="K152" t="s">
        <v>336</v>
      </c>
    </row>
    <row r="153" spans="1:11" ht="14.4">
      <c r="A153" s="22" t="str">
        <f>F153&amp;(COUNTIFS(F$2:F153,F153,K$2:K153,"Sparse"))</f>
        <v>SD18</v>
      </c>
      <c r="B153" s="22" t="str">
        <f>J153&amp;(COUNTIF(J$2:J153,J153))</f>
        <v>Lancashire6</v>
      </c>
      <c r="C153" t="s">
        <v>92</v>
      </c>
      <c r="D153" t="s">
        <v>92</v>
      </c>
      <c r="E153" s="25" t="s">
        <v>377</v>
      </c>
      <c r="F153" s="25" t="s">
        <v>382</v>
      </c>
      <c r="G153" s="25" t="s">
        <v>5</v>
      </c>
      <c r="H153" s="26" t="s">
        <v>896</v>
      </c>
      <c r="I153" s="27" t="s">
        <v>372</v>
      </c>
      <c r="J153" t="s">
        <v>317</v>
      </c>
    </row>
    <row r="154" spans="1:11" ht="14.4">
      <c r="A154" s="22" t="str">
        <f>F154&amp;(COUNTIFS(F$2:F154,F154,K$2:K154,"Sparse"))</f>
        <v>MD0</v>
      </c>
      <c r="B154" s="22" t="str">
        <f>J154&amp;(COUNTIF(J$2:J154,J154))</f>
        <v>Leeds1</v>
      </c>
      <c r="C154" t="s">
        <v>235</v>
      </c>
      <c r="D154" t="s">
        <v>235</v>
      </c>
      <c r="E154" s="25" t="s">
        <v>386</v>
      </c>
      <c r="F154" s="25" t="s">
        <v>387</v>
      </c>
      <c r="G154" s="25" t="s">
        <v>398</v>
      </c>
      <c r="H154" s="26" t="s">
        <v>898</v>
      </c>
      <c r="I154" s="27" t="s">
        <v>385</v>
      </c>
      <c r="J154" t="str">
        <f>C154</f>
        <v>Leeds</v>
      </c>
    </row>
    <row r="155" spans="1:11" ht="14.4">
      <c r="A155" s="22" t="str">
        <f>F155&amp;(COUNTIFS(F$2:F155,F155,K$2:K155,"Sparse"))</f>
        <v>UA6</v>
      </c>
      <c r="B155" s="22" t="str">
        <f>J155&amp;(COUNTIF(J$2:J155,J155))</f>
        <v>Unitary23</v>
      </c>
      <c r="C155" t="s">
        <v>272</v>
      </c>
      <c r="D155" t="s">
        <v>272</v>
      </c>
      <c r="E155" s="25" t="s">
        <v>368</v>
      </c>
      <c r="F155" s="25" t="s">
        <v>388</v>
      </c>
      <c r="G155" s="25" t="s">
        <v>397</v>
      </c>
      <c r="H155" s="26" t="s">
        <v>893</v>
      </c>
      <c r="I155" s="27" t="s">
        <v>385</v>
      </c>
      <c r="J155" s="3" t="s">
        <v>397</v>
      </c>
    </row>
    <row r="156" spans="1:11" ht="14.4">
      <c r="A156" s="22" t="str">
        <f>F156&amp;(COUNTIFS(F$2:F156,F156,K$2:K156,"Sparse"))</f>
        <v>SC4</v>
      </c>
      <c r="B156" s="22" t="str">
        <f>J156&amp;(COUNTIF(J$2:J156,J156))</f>
        <v>Leicestershire5</v>
      </c>
      <c r="C156" s="27" t="s">
        <v>318</v>
      </c>
      <c r="D156" s="27" t="s">
        <v>318</v>
      </c>
      <c r="E156" s="25" t="s">
        <v>368</v>
      </c>
      <c r="F156" s="25" t="s">
        <v>390</v>
      </c>
      <c r="G156" s="25" t="s">
        <v>302</v>
      </c>
      <c r="H156" s="27" t="s">
        <v>372</v>
      </c>
      <c r="I156" s="27" t="s">
        <v>372</v>
      </c>
      <c r="J156" t="str">
        <f>C156</f>
        <v>Leicestershire</v>
      </c>
    </row>
    <row r="157" spans="1:11" ht="14.4">
      <c r="A157" s="22" t="str">
        <f>F157&amp;(COUNTIFS(F$2:F157,F157,K$2:K157,"Sparse"))</f>
        <v>SD19</v>
      </c>
      <c r="B157" s="22" t="str">
        <f>J157&amp;(COUNTIF(J$2:J157,J157))</f>
        <v>East Sussex4</v>
      </c>
      <c r="C157" t="s">
        <v>93</v>
      </c>
      <c r="D157" t="s">
        <v>93</v>
      </c>
      <c r="E157" s="25" t="s">
        <v>0</v>
      </c>
      <c r="F157" s="25" t="s">
        <v>382</v>
      </c>
      <c r="G157" s="25" t="s">
        <v>5</v>
      </c>
      <c r="H157" s="26" t="s">
        <v>896</v>
      </c>
      <c r="I157" s="27" t="s">
        <v>372</v>
      </c>
      <c r="J157" t="s">
        <v>311</v>
      </c>
      <c r="K157" t="s">
        <v>336</v>
      </c>
    </row>
    <row r="158" spans="1:11" ht="14.4">
      <c r="A158" s="22" t="str">
        <f>F158&amp;(COUNTIFS(F$2:F158,F158,K$2:K158,"Sparse"))</f>
        <v>L0</v>
      </c>
      <c r="B158" s="22" t="str">
        <f>J158&amp;(COUNTIF(J$2:J158,J158))</f>
        <v>London23</v>
      </c>
      <c r="C158" t="s">
        <v>214</v>
      </c>
      <c r="D158" t="s">
        <v>214</v>
      </c>
      <c r="E158" s="25" t="s">
        <v>384</v>
      </c>
      <c r="F158" s="25" t="s">
        <v>360</v>
      </c>
      <c r="G158" s="25" t="s">
        <v>384</v>
      </c>
      <c r="H158" s="26" t="s">
        <v>898</v>
      </c>
      <c r="I158" s="27" t="s">
        <v>385</v>
      </c>
      <c r="J158" t="str">
        <f>G158</f>
        <v>London</v>
      </c>
    </row>
    <row r="159" spans="1:11" ht="14.4">
      <c r="A159" s="22" t="str">
        <f>F159&amp;(COUNTIFS(F$2:F159,F159,K$2:K159,"Sparse"))</f>
        <v>SD20</v>
      </c>
      <c r="B159" s="22" t="str">
        <f>J159&amp;(COUNTIF(J$2:J159,J159))</f>
        <v>Staffordshire3</v>
      </c>
      <c r="C159" t="s">
        <v>94</v>
      </c>
      <c r="D159" t="s">
        <v>94</v>
      </c>
      <c r="E159" s="25" t="s">
        <v>369</v>
      </c>
      <c r="F159" s="25" t="s">
        <v>382</v>
      </c>
      <c r="G159" s="25" t="s">
        <v>5</v>
      </c>
      <c r="H159" s="26" t="s">
        <v>896</v>
      </c>
      <c r="I159" s="27" t="s">
        <v>372</v>
      </c>
      <c r="J159" t="s">
        <v>328</v>
      </c>
      <c r="K159" t="s">
        <v>336</v>
      </c>
    </row>
    <row r="160" spans="1:11" ht="14.4">
      <c r="A160" s="22" t="str">
        <f>F160&amp;(COUNTIFS(F$2:F160,F160,K$2:K160,"Sparse"))</f>
        <v>SD20</v>
      </c>
      <c r="B160" s="22" t="str">
        <f>J160&amp;(COUNTIF(J$2:J160,J160))</f>
        <v>Lincolnshire3</v>
      </c>
      <c r="C160" t="s">
        <v>95</v>
      </c>
      <c r="D160" t="s">
        <v>95</v>
      </c>
      <c r="E160" s="25" t="s">
        <v>368</v>
      </c>
      <c r="F160" s="25" t="s">
        <v>382</v>
      </c>
      <c r="G160" s="25" t="s">
        <v>5</v>
      </c>
      <c r="H160" s="26" t="s">
        <v>893</v>
      </c>
      <c r="I160" s="27" t="s">
        <v>385</v>
      </c>
      <c r="J160" t="s">
        <v>319</v>
      </c>
    </row>
    <row r="161" spans="1:11" ht="14.4">
      <c r="A161" s="22" t="str">
        <f>F161&amp;(COUNTIFS(F$2:F161,F161,K$2:K161,"Sparse"))</f>
        <v>SC5</v>
      </c>
      <c r="B161" s="22" t="str">
        <f>J161&amp;(COUNTIF(J$2:J161,J161))</f>
        <v>Lincolnshire4</v>
      </c>
      <c r="C161" s="27" t="s">
        <v>319</v>
      </c>
      <c r="D161" s="27" t="s">
        <v>319</v>
      </c>
      <c r="E161" s="25" t="s">
        <v>368</v>
      </c>
      <c r="F161" s="25" t="s">
        <v>390</v>
      </c>
      <c r="G161" s="25" t="s">
        <v>302</v>
      </c>
      <c r="H161" s="27" t="s">
        <v>383</v>
      </c>
      <c r="I161" s="27" t="s">
        <v>383</v>
      </c>
      <c r="J161" t="str">
        <f>C161</f>
        <v>Lincolnshire</v>
      </c>
      <c r="K161" t="s">
        <v>336</v>
      </c>
    </row>
    <row r="162" spans="1:11" ht="14.4">
      <c r="A162" s="22" t="str">
        <f>F162&amp;(COUNTIFS(F$2:F162,F162,K$2:K162,"Sparse"))</f>
        <v>MD0</v>
      </c>
      <c r="B162" s="22" t="str">
        <f>J162&amp;(COUNTIF(J$2:J162,J162))</f>
        <v>Liverpool1</v>
      </c>
      <c r="C162" t="s">
        <v>236</v>
      </c>
      <c r="D162" t="s">
        <v>236</v>
      </c>
      <c r="E162" s="25" t="s">
        <v>377</v>
      </c>
      <c r="F162" s="25" t="s">
        <v>387</v>
      </c>
      <c r="G162" s="25" t="s">
        <v>398</v>
      </c>
      <c r="H162" s="26" t="s">
        <v>898</v>
      </c>
      <c r="I162" s="27" t="s">
        <v>385</v>
      </c>
      <c r="J162" t="str">
        <f>C162</f>
        <v>Liverpool</v>
      </c>
    </row>
    <row r="163" spans="1:11" ht="14.4">
      <c r="A163" s="22" t="str">
        <f>F163&amp;(COUNTIFS(F$2:F163,F163,K$2:K163,"Sparse"))</f>
        <v>UA6</v>
      </c>
      <c r="B163" s="22" t="str">
        <f>J163&amp;(COUNTIF(J$2:J163,J163))</f>
        <v>Unitary24</v>
      </c>
      <c r="C163" t="s">
        <v>273</v>
      </c>
      <c r="D163" t="s">
        <v>273</v>
      </c>
      <c r="E163" s="25" t="s">
        <v>370</v>
      </c>
      <c r="F163" s="25" t="s">
        <v>388</v>
      </c>
      <c r="G163" s="25" t="s">
        <v>397</v>
      </c>
      <c r="H163" s="26" t="s">
        <v>893</v>
      </c>
      <c r="I163" s="27" t="s">
        <v>385</v>
      </c>
      <c r="J163" s="3" t="s">
        <v>397</v>
      </c>
    </row>
    <row r="164" spans="1:11" ht="14.4">
      <c r="A164" s="22" t="str">
        <f>F164&amp;(COUNTIFS(F$2:F164,F164,K$2:K164,"Sparse"))</f>
        <v>SD20</v>
      </c>
      <c r="B164" s="22" t="str">
        <f>J164&amp;(COUNTIF(J$2:J164,J164))</f>
        <v>Kent7</v>
      </c>
      <c r="C164" t="s">
        <v>96</v>
      </c>
      <c r="D164" t="s">
        <v>96</v>
      </c>
      <c r="E164" s="25" t="s">
        <v>0</v>
      </c>
      <c r="F164" s="25" t="s">
        <v>382</v>
      </c>
      <c r="G164" s="25" t="s">
        <v>5</v>
      </c>
      <c r="H164" s="26" t="s">
        <v>896</v>
      </c>
      <c r="I164" s="27" t="s">
        <v>372</v>
      </c>
      <c r="J164" t="s">
        <v>316</v>
      </c>
    </row>
    <row r="165" spans="1:11" ht="14.4">
      <c r="A165" s="22" t="str">
        <f>F165&amp;(COUNTIFS(F$2:F165,F165,K$2:K165,"Sparse"))</f>
        <v>SD20</v>
      </c>
      <c r="B165" s="22" t="str">
        <f>J165&amp;(COUNTIF(J$2:J165,J165))</f>
        <v>Essex10</v>
      </c>
      <c r="C165" t="s">
        <v>97</v>
      </c>
      <c r="D165" t="s">
        <v>97</v>
      </c>
      <c r="E165" s="25" t="s">
        <v>370</v>
      </c>
      <c r="F165" s="25" t="s">
        <v>382</v>
      </c>
      <c r="G165" s="25" t="s">
        <v>5</v>
      </c>
      <c r="H165" s="26" t="s">
        <v>894</v>
      </c>
      <c r="I165" s="27" t="s">
        <v>383</v>
      </c>
      <c r="J165" t="s">
        <v>312</v>
      </c>
    </row>
    <row r="166" spans="1:11" ht="14.4">
      <c r="A166" s="22" t="str">
        <f>F166&amp;(COUNTIFS(F$2:F166,F166,K$2:K166,"Sparse"))</f>
        <v>SD21</v>
      </c>
      <c r="B166" s="22" t="str">
        <f>J166&amp;(COUNTIF(J$2:J166,J166))</f>
        <v>Worcestershire2</v>
      </c>
      <c r="C166" t="s">
        <v>98</v>
      </c>
      <c r="D166" t="s">
        <v>98</v>
      </c>
      <c r="E166" s="25" t="s">
        <v>369</v>
      </c>
      <c r="F166" s="25" t="s">
        <v>382</v>
      </c>
      <c r="G166" s="25" t="s">
        <v>5</v>
      </c>
      <c r="H166" s="26" t="s">
        <v>897</v>
      </c>
      <c r="I166" s="27" t="s">
        <v>383</v>
      </c>
      <c r="J166" t="s">
        <v>333</v>
      </c>
      <c r="K166" t="s">
        <v>336</v>
      </c>
    </row>
    <row r="167" spans="1:11" ht="14.4">
      <c r="A167" s="22" t="str">
        <f>F167&amp;(COUNTIFS(F$2:F167,F167,K$2:K167,"Sparse"))</f>
        <v>MD0</v>
      </c>
      <c r="B167" s="22" t="str">
        <f>J167&amp;(COUNTIF(J$2:J167,J167))</f>
        <v>Manchester1</v>
      </c>
      <c r="C167" t="s">
        <v>237</v>
      </c>
      <c r="D167" t="s">
        <v>237</v>
      </c>
      <c r="E167" s="25" t="s">
        <v>377</v>
      </c>
      <c r="F167" s="25" t="s">
        <v>387</v>
      </c>
      <c r="G167" s="25" t="s">
        <v>398</v>
      </c>
      <c r="H167" s="26" t="s">
        <v>898</v>
      </c>
      <c r="I167" s="27" t="s">
        <v>385</v>
      </c>
      <c r="J167" t="str">
        <f>C167</f>
        <v>Manchester</v>
      </c>
    </row>
    <row r="168" spans="1:11" ht="14.4">
      <c r="A168" s="22" t="str">
        <f>F168&amp;(COUNTIFS(F$2:F168,F168,K$2:K168,"Sparse"))</f>
        <v>SD21</v>
      </c>
      <c r="B168" s="22" t="str">
        <f>J168&amp;(COUNTIF(J$2:J168,J168))</f>
        <v>Nottinghamshire5</v>
      </c>
      <c r="C168" t="s">
        <v>99</v>
      </c>
      <c r="D168" t="s">
        <v>99</v>
      </c>
      <c r="E168" s="25" t="s">
        <v>368</v>
      </c>
      <c r="F168" s="25" t="s">
        <v>382</v>
      </c>
      <c r="G168" s="25" t="s">
        <v>5</v>
      </c>
      <c r="H168" s="26" t="s">
        <v>893</v>
      </c>
      <c r="I168" s="27" t="s">
        <v>385</v>
      </c>
      <c r="J168" t="s">
        <v>324</v>
      </c>
    </row>
    <row r="169" spans="1:11" ht="14.4">
      <c r="A169" s="22" t="str">
        <f>F169&amp;(COUNTIFS(F$2:F169,F169,K$2:K169,"Sparse"))</f>
        <v>UA6</v>
      </c>
      <c r="B169" s="22" t="str">
        <f>J169&amp;(COUNTIF(J$2:J169,J169))</f>
        <v>Unitary25</v>
      </c>
      <c r="C169" t="s">
        <v>274</v>
      </c>
      <c r="D169" t="s">
        <v>274</v>
      </c>
      <c r="E169" s="25" t="s">
        <v>0</v>
      </c>
      <c r="F169" s="25" t="s">
        <v>388</v>
      </c>
      <c r="G169" s="25" t="s">
        <v>397</v>
      </c>
      <c r="H169" s="26" t="s">
        <v>893</v>
      </c>
      <c r="I169" s="27" t="s">
        <v>385</v>
      </c>
      <c r="J169" s="3" t="s">
        <v>397</v>
      </c>
    </row>
    <row r="170" spans="1:11" ht="14.4">
      <c r="A170" s="22" t="str">
        <f>F170&amp;(COUNTIFS(F$2:F170,F170,K$2:K170,"Sparse"))</f>
        <v>SD22</v>
      </c>
      <c r="B170" s="22" t="str">
        <f>J170&amp;(COUNTIF(J$2:J170,J170))</f>
        <v>Leicestershire6</v>
      </c>
      <c r="C170" t="s">
        <v>100</v>
      </c>
      <c r="D170" t="s">
        <v>100</v>
      </c>
      <c r="E170" s="25" t="s">
        <v>368</v>
      </c>
      <c r="F170" s="25" t="s">
        <v>382</v>
      </c>
      <c r="G170" s="25" t="s">
        <v>5</v>
      </c>
      <c r="H170" s="26" t="s">
        <v>894</v>
      </c>
      <c r="I170" s="27" t="s">
        <v>383</v>
      </c>
      <c r="J170" t="s">
        <v>318</v>
      </c>
      <c r="K170" t="s">
        <v>336</v>
      </c>
    </row>
    <row r="171" spans="1:11" ht="14.4">
      <c r="A171" s="22" t="str">
        <f>F171&amp;(COUNTIFS(F$2:F171,F171,K$2:K171,"Sparse"))</f>
        <v>SD23</v>
      </c>
      <c r="B171" s="22" t="str">
        <f>J171&amp;(COUNTIF(J$2:J171,J171))</f>
        <v>Somerset1</v>
      </c>
      <c r="C171" t="s">
        <v>101</v>
      </c>
      <c r="D171" t="s">
        <v>101</v>
      </c>
      <c r="E171" s="25" t="s">
        <v>1</v>
      </c>
      <c r="F171" s="25" t="s">
        <v>382</v>
      </c>
      <c r="G171" s="25" t="s">
        <v>5</v>
      </c>
      <c r="H171" s="26" t="s">
        <v>894</v>
      </c>
      <c r="I171" s="27" t="s">
        <v>383</v>
      </c>
      <c r="J171" t="s">
        <v>327</v>
      </c>
      <c r="K171" t="s">
        <v>336</v>
      </c>
    </row>
    <row r="172" spans="1:11" ht="14.4">
      <c r="A172" s="22" t="str">
        <f>F172&amp;(COUNTIFS(F$2:F172,F172,K$2:K172,"Sparse"))</f>
        <v>L0</v>
      </c>
      <c r="B172" s="22" t="str">
        <f>J172&amp;(COUNTIF(J$2:J172,J172))</f>
        <v>London24</v>
      </c>
      <c r="C172" t="s">
        <v>215</v>
      </c>
      <c r="D172" t="s">
        <v>215</v>
      </c>
      <c r="E172" s="25" t="s">
        <v>384</v>
      </c>
      <c r="F172" s="25" t="s">
        <v>360</v>
      </c>
      <c r="G172" s="25" t="s">
        <v>384</v>
      </c>
      <c r="H172" s="26" t="s">
        <v>898</v>
      </c>
      <c r="I172" s="27" t="s">
        <v>385</v>
      </c>
      <c r="J172" t="str">
        <f>G172</f>
        <v>London</v>
      </c>
    </row>
    <row r="173" spans="1:11" ht="14.4">
      <c r="A173" s="22" t="str">
        <f>F173&amp;(COUNTIFS(F$2:F173,F173,K$2:K173,"Sparse"))</f>
        <v>SD24</v>
      </c>
      <c r="B173" s="22" t="str">
        <f>J173&amp;(COUNTIF(J$2:J173,J173))</f>
        <v>Devon4</v>
      </c>
      <c r="C173" t="s">
        <v>102</v>
      </c>
      <c r="D173" t="s">
        <v>102</v>
      </c>
      <c r="E173" s="25" t="s">
        <v>1</v>
      </c>
      <c r="F173" s="25" t="s">
        <v>382</v>
      </c>
      <c r="G173" s="25" t="s">
        <v>5</v>
      </c>
      <c r="H173" s="26" t="s">
        <v>894</v>
      </c>
      <c r="I173" s="27" t="s">
        <v>383</v>
      </c>
      <c r="J173" t="s">
        <v>309</v>
      </c>
      <c r="K173" t="s">
        <v>336</v>
      </c>
    </row>
    <row r="174" spans="1:11" ht="14.4">
      <c r="A174" s="22" t="str">
        <f>F174&amp;(COUNTIFS(F$2:F174,F174,K$2:K174,"Sparse"))</f>
        <v>SD25</v>
      </c>
      <c r="B174" s="22" t="str">
        <f>J174&amp;(COUNTIF(J$2:J174,J174))</f>
        <v>Suffolk3</v>
      </c>
      <c r="C174" t="s">
        <v>911</v>
      </c>
      <c r="D174" t="s">
        <v>911</v>
      </c>
      <c r="E174" s="25" t="s">
        <v>370</v>
      </c>
      <c r="F174" s="25" t="s">
        <v>382</v>
      </c>
      <c r="G174" s="25" t="s">
        <v>5</v>
      </c>
      <c r="H174" s="26" t="s">
        <v>894</v>
      </c>
      <c r="I174" s="27" t="s">
        <v>383</v>
      </c>
      <c r="J174" t="s">
        <v>329</v>
      </c>
      <c r="K174" t="s">
        <v>336</v>
      </c>
    </row>
    <row r="175" spans="1:11" ht="14.4">
      <c r="A175" s="22" t="str">
        <f>F175&amp;(COUNTIFS(F$2:F175,F175,K$2:K175,"Sparse"))</f>
        <v>SD25</v>
      </c>
      <c r="B175" s="22" t="str">
        <f>J175&amp;(COUNTIF(J$2:J175,J175))</f>
        <v>West Sussex6</v>
      </c>
      <c r="C175" t="s">
        <v>104</v>
      </c>
      <c r="D175" t="s">
        <v>104</v>
      </c>
      <c r="E175" s="25" t="s">
        <v>0</v>
      </c>
      <c r="F175" s="25" t="s">
        <v>382</v>
      </c>
      <c r="G175" s="25" t="s">
        <v>5</v>
      </c>
      <c r="H175" s="26" t="s">
        <v>893</v>
      </c>
      <c r="I175" s="27" t="s">
        <v>385</v>
      </c>
      <c r="J175" t="s">
        <v>332</v>
      </c>
    </row>
    <row r="176" spans="1:11" ht="14.4">
      <c r="A176" s="22" t="str">
        <f>F176&amp;(COUNTIFS(F$2:F176,F176,K$2:K176,"Sparse"))</f>
        <v>UA6</v>
      </c>
      <c r="B176" s="22" t="str">
        <f>J176&amp;(COUNTIF(J$2:J176,J176))</f>
        <v>Unitary26</v>
      </c>
      <c r="C176" t="s">
        <v>275</v>
      </c>
      <c r="D176" t="s">
        <v>275</v>
      </c>
      <c r="E176" s="25" t="s">
        <v>391</v>
      </c>
      <c r="F176" s="25" t="s">
        <v>388</v>
      </c>
      <c r="G176" s="25" t="s">
        <v>397</v>
      </c>
      <c r="H176" s="26" t="s">
        <v>893</v>
      </c>
      <c r="I176" s="27" t="s">
        <v>385</v>
      </c>
      <c r="J176" s="3" t="s">
        <v>397</v>
      </c>
    </row>
    <row r="177" spans="1:11" ht="14.4">
      <c r="A177" s="22" t="str">
        <f>F177&amp;(COUNTIFS(F$2:F177,F177,K$2:K177,"Sparse"))</f>
        <v>UA6</v>
      </c>
      <c r="B177" s="22" t="str">
        <f>J177&amp;(COUNTIF(J$2:J177,J177))</f>
        <v>Unitary27</v>
      </c>
      <c r="C177" t="s">
        <v>276</v>
      </c>
      <c r="D177" t="s">
        <v>276</v>
      </c>
      <c r="E177" s="25" t="s">
        <v>0</v>
      </c>
      <c r="F177" s="25" t="s">
        <v>388</v>
      </c>
      <c r="G177" s="25" t="s">
        <v>397</v>
      </c>
      <c r="H177" s="26" t="s">
        <v>893</v>
      </c>
      <c r="I177" s="27" t="s">
        <v>385</v>
      </c>
      <c r="J177" s="3" t="s">
        <v>397</v>
      </c>
    </row>
    <row r="178" spans="1:11" ht="14.4">
      <c r="A178" s="22" t="str">
        <f>F178&amp;(COUNTIFS(F$2:F178,F178,K$2:K178,"Sparse"))</f>
        <v>SD25</v>
      </c>
      <c r="B178" s="22" t="str">
        <f>J178&amp;(COUNTIF(J$2:J178,J178))</f>
        <v>Surrey4</v>
      </c>
      <c r="C178" t="s">
        <v>105</v>
      </c>
      <c r="D178" t="s">
        <v>105</v>
      </c>
      <c r="E178" s="25" t="s">
        <v>0</v>
      </c>
      <c r="F178" s="25" t="s">
        <v>382</v>
      </c>
      <c r="G178" s="25" t="s">
        <v>5</v>
      </c>
      <c r="H178" s="26" t="s">
        <v>896</v>
      </c>
      <c r="I178" s="27" t="s">
        <v>372</v>
      </c>
      <c r="J178" t="s">
        <v>330</v>
      </c>
    </row>
    <row r="179" spans="1:11" ht="14.4">
      <c r="A179" s="22" t="str">
        <f>F179&amp;(COUNTIFS(F$2:F179,F179,K$2:K179,"Sparse"))</f>
        <v>SD26</v>
      </c>
      <c r="B179" s="22" t="str">
        <f>J179&amp;(COUNTIF(J$2:J179,J179))</f>
        <v>Hampshire9</v>
      </c>
      <c r="C179" t="s">
        <v>106</v>
      </c>
      <c r="D179" t="s">
        <v>106</v>
      </c>
      <c r="E179" s="25" t="s">
        <v>0</v>
      </c>
      <c r="F179" s="25" t="s">
        <v>382</v>
      </c>
      <c r="G179" s="25" t="s">
        <v>5</v>
      </c>
      <c r="H179" s="26" t="s">
        <v>896</v>
      </c>
      <c r="I179" s="27" t="s">
        <v>372</v>
      </c>
      <c r="J179" t="s">
        <v>314</v>
      </c>
      <c r="K179" t="s">
        <v>336</v>
      </c>
    </row>
    <row r="180" spans="1:11" ht="14.4">
      <c r="A180" s="22" t="str">
        <f>F180&amp;(COUNTIFS(F$2:F180,F180,K$2:K180,"Sparse"))</f>
        <v>SD26</v>
      </c>
      <c r="B180" s="22" t="str">
        <f>J180&amp;(COUNTIF(J$2:J180,J180))</f>
        <v>Nottinghamshire6</v>
      </c>
      <c r="C180" t="s">
        <v>347</v>
      </c>
      <c r="D180" t="s">
        <v>347</v>
      </c>
      <c r="E180" s="25" t="s">
        <v>368</v>
      </c>
      <c r="F180" s="25" t="s">
        <v>382</v>
      </c>
      <c r="G180" s="25" t="s">
        <v>5</v>
      </c>
      <c r="H180" s="26" t="s">
        <v>897</v>
      </c>
      <c r="I180" s="27" t="s">
        <v>383</v>
      </c>
      <c r="J180" t="s">
        <v>324</v>
      </c>
    </row>
    <row r="181" spans="1:11" ht="14.4">
      <c r="A181" s="22" t="str">
        <f>F181&amp;(COUNTIFS(F$2:F181,F181,K$2:K181,"Sparse"))</f>
        <v>MD0</v>
      </c>
      <c r="B181" s="22" t="str">
        <f>J181&amp;(COUNTIF(J$2:J181,J181))</f>
        <v>Newcastle upon Tyne1</v>
      </c>
      <c r="C181" t="s">
        <v>238</v>
      </c>
      <c r="D181" t="s">
        <v>238</v>
      </c>
      <c r="E181" s="25" t="s">
        <v>391</v>
      </c>
      <c r="F181" s="25" t="s">
        <v>387</v>
      </c>
      <c r="G181" s="25" t="s">
        <v>398</v>
      </c>
      <c r="H181" s="26" t="s">
        <v>898</v>
      </c>
      <c r="I181" s="27" t="s">
        <v>385</v>
      </c>
      <c r="J181" t="str">
        <f>C181</f>
        <v>Newcastle upon Tyne</v>
      </c>
    </row>
    <row r="182" spans="1:11" ht="14.4">
      <c r="A182" s="22" t="str">
        <f>F182&amp;(COUNTIFS(F$2:F182,F182,K$2:K182,"Sparse"))</f>
        <v>SD26</v>
      </c>
      <c r="B182" s="22" t="str">
        <f>J182&amp;(COUNTIF(J$2:J182,J182))</f>
        <v>Staffordshire4</v>
      </c>
      <c r="C182" t="s">
        <v>107</v>
      </c>
      <c r="D182" t="s">
        <v>107</v>
      </c>
      <c r="E182" s="25" t="s">
        <v>369</v>
      </c>
      <c r="F182" s="25" t="s">
        <v>382</v>
      </c>
      <c r="G182" s="25" t="s">
        <v>5</v>
      </c>
      <c r="H182" s="26" t="s">
        <v>893</v>
      </c>
      <c r="I182" s="27" t="s">
        <v>385</v>
      </c>
      <c r="J182" t="s">
        <v>328</v>
      </c>
    </row>
    <row r="183" spans="1:11" ht="14.4">
      <c r="A183" s="22" t="str">
        <f>F183&amp;(COUNTIFS(F$2:F183,F183,K$2:K183,"Sparse"))</f>
        <v>L0</v>
      </c>
      <c r="B183" s="22" t="str">
        <f>J183&amp;(COUNTIF(J$2:J183,J183))</f>
        <v>London25</v>
      </c>
      <c r="C183" t="s">
        <v>216</v>
      </c>
      <c r="D183" t="s">
        <v>216</v>
      </c>
      <c r="E183" s="25" t="s">
        <v>384</v>
      </c>
      <c r="F183" s="25" t="s">
        <v>360</v>
      </c>
      <c r="G183" s="25" t="s">
        <v>384</v>
      </c>
      <c r="H183" s="26" t="s">
        <v>898</v>
      </c>
      <c r="I183" s="27" t="s">
        <v>385</v>
      </c>
      <c r="J183" t="str">
        <f>G183</f>
        <v>London</v>
      </c>
    </row>
    <row r="184" spans="1:11" ht="14.4">
      <c r="A184" s="22" t="str">
        <f>F184&amp;(COUNTIFS(F$2:F184,F184,K$2:K184,"Sparse"))</f>
        <v>SC6</v>
      </c>
      <c r="B184" s="22" t="str">
        <f>J184&amp;(COUNTIF(J$2:J184,J184))</f>
        <v>Norfolk5</v>
      </c>
      <c r="C184" s="30" t="s">
        <v>320</v>
      </c>
      <c r="D184" s="30" t="s">
        <v>320</v>
      </c>
      <c r="E184" s="25" t="s">
        <v>370</v>
      </c>
      <c r="F184" s="25" t="s">
        <v>390</v>
      </c>
      <c r="G184" s="25" t="s">
        <v>302</v>
      </c>
      <c r="H184" s="30" t="s">
        <v>383</v>
      </c>
      <c r="I184" s="27" t="s">
        <v>383</v>
      </c>
      <c r="J184" t="str">
        <f>C184</f>
        <v>Norfolk</v>
      </c>
      <c r="K184" t="s">
        <v>336</v>
      </c>
    </row>
    <row r="185" spans="1:11" ht="14.4">
      <c r="A185" s="22" t="str">
        <f>F185&amp;(COUNTIFS(F$2:F185,F185,K$2:K185,"Sparse"))</f>
        <v>SD27</v>
      </c>
      <c r="B185" s="22" t="str">
        <f>J185&amp;(COUNTIF(J$2:J185,J185))</f>
        <v>Devon5</v>
      </c>
      <c r="C185" t="s">
        <v>108</v>
      </c>
      <c r="D185" t="s">
        <v>108</v>
      </c>
      <c r="E185" s="25" t="s">
        <v>1</v>
      </c>
      <c r="F185" s="25" t="s">
        <v>382</v>
      </c>
      <c r="G185" s="25" t="s">
        <v>5</v>
      </c>
      <c r="H185" s="26" t="s">
        <v>897</v>
      </c>
      <c r="I185" s="27" t="s">
        <v>383</v>
      </c>
      <c r="J185" t="s">
        <v>309</v>
      </c>
      <c r="K185" t="s">
        <v>336</v>
      </c>
    </row>
    <row r="186" spans="1:11" ht="14.4">
      <c r="A186" s="22" t="str">
        <f>F186&amp;(COUNTIFS(F$2:F186,F186,K$2:K186,"Sparse"))</f>
        <v>SD27</v>
      </c>
      <c r="B186" s="22" t="str">
        <f>J186&amp;(COUNTIF(J$2:J186,J186))</f>
        <v>Derbyshire8</v>
      </c>
      <c r="C186" t="s">
        <v>110</v>
      </c>
      <c r="D186" t="s">
        <v>110</v>
      </c>
      <c r="E186" s="25" t="s">
        <v>368</v>
      </c>
      <c r="F186" s="25" t="s">
        <v>382</v>
      </c>
      <c r="G186" s="25" t="s">
        <v>5</v>
      </c>
      <c r="H186" s="26" t="s">
        <v>893</v>
      </c>
      <c r="I186" s="27" t="s">
        <v>385</v>
      </c>
      <c r="J186" t="s">
        <v>308</v>
      </c>
    </row>
    <row r="187" spans="1:11" ht="14.4">
      <c r="A187" s="22" t="str">
        <f>F187&amp;(COUNTIFS(F$2:F187,F187,K$2:K187,"Sparse"))</f>
        <v>UA6</v>
      </c>
      <c r="B187" s="22" t="str">
        <f>J187&amp;(COUNTIF(J$2:J187,J187))</f>
        <v>Unitary28</v>
      </c>
      <c r="C187" t="s">
        <v>277</v>
      </c>
      <c r="D187" t="s">
        <v>277</v>
      </c>
      <c r="E187" s="25" t="s">
        <v>386</v>
      </c>
      <c r="F187" s="25" t="s">
        <v>388</v>
      </c>
      <c r="G187" s="25" t="s">
        <v>397</v>
      </c>
      <c r="H187" s="26" t="s">
        <v>893</v>
      </c>
      <c r="I187" s="27" t="s">
        <v>385</v>
      </c>
      <c r="J187" s="3" t="s">
        <v>397</v>
      </c>
    </row>
    <row r="188" spans="1:11" ht="14.4">
      <c r="A188" s="22" t="str">
        <f>F188&amp;(COUNTIFS(F$2:F188,F188,K$2:K188,"Sparse"))</f>
        <v>SD27</v>
      </c>
      <c r="B188" s="22" t="str">
        <f>J188&amp;(COUNTIF(J$2:J188,J188))</f>
        <v>Hertfordshire6</v>
      </c>
      <c r="C188" t="s">
        <v>111</v>
      </c>
      <c r="D188" t="s">
        <v>111</v>
      </c>
      <c r="E188" s="25" t="s">
        <v>370</v>
      </c>
      <c r="F188" s="25" t="s">
        <v>382</v>
      </c>
      <c r="G188" s="25" t="s">
        <v>5</v>
      </c>
      <c r="H188" s="26" t="s">
        <v>896</v>
      </c>
      <c r="I188" s="27" t="s">
        <v>372</v>
      </c>
      <c r="J188" t="s">
        <v>315</v>
      </c>
    </row>
    <row r="189" spans="1:11" ht="14.4">
      <c r="A189" s="22" t="str">
        <f>F189&amp;(COUNTIFS(F$2:F189,F189,K$2:K189,"Sparse"))</f>
        <v>SD28</v>
      </c>
      <c r="B189" s="22" t="str">
        <f>J189&amp;(COUNTIF(J$2:J189,J189))</f>
        <v>Lincolnshire5</v>
      </c>
      <c r="C189" t="s">
        <v>112</v>
      </c>
      <c r="D189" t="s">
        <v>112</v>
      </c>
      <c r="E189" s="25" t="s">
        <v>368</v>
      </c>
      <c r="F189" s="25" t="s">
        <v>382</v>
      </c>
      <c r="G189" s="25" t="s">
        <v>5</v>
      </c>
      <c r="H189" s="26" t="s">
        <v>894</v>
      </c>
      <c r="I189" s="27" t="s">
        <v>383</v>
      </c>
      <c r="J189" t="s">
        <v>319</v>
      </c>
      <c r="K189" t="s">
        <v>336</v>
      </c>
    </row>
    <row r="190" spans="1:11" ht="14.4">
      <c r="A190" s="22" t="str">
        <f>F190&amp;(COUNTIFS(F$2:F190,F190,K$2:K190,"Sparse"))</f>
        <v>UA7</v>
      </c>
      <c r="B190" s="22" t="str">
        <f>J190&amp;(COUNTIF(J$2:J190,J190))</f>
        <v>Unitary29</v>
      </c>
      <c r="C190" t="s">
        <v>278</v>
      </c>
      <c r="D190" t="s">
        <v>278</v>
      </c>
      <c r="E190" s="25" t="s">
        <v>386</v>
      </c>
      <c r="F190" s="25" t="s">
        <v>388</v>
      </c>
      <c r="G190" s="25" t="s">
        <v>397</v>
      </c>
      <c r="H190" s="26" t="s">
        <v>896</v>
      </c>
      <c r="I190" s="27" t="s">
        <v>372</v>
      </c>
      <c r="J190" s="3" t="s">
        <v>397</v>
      </c>
      <c r="K190" t="s">
        <v>336</v>
      </c>
    </row>
    <row r="191" spans="1:11" ht="14.4">
      <c r="A191" s="22" t="str">
        <f>F191&amp;(COUNTIFS(F$2:F191,F191,K$2:K191,"Sparse"))</f>
        <v>SD29</v>
      </c>
      <c r="B191" s="22" t="str">
        <f>J191&amp;(COUNTIF(J$2:J191,J191))</f>
        <v>Norfolk6</v>
      </c>
      <c r="C191" t="s">
        <v>113</v>
      </c>
      <c r="D191" t="s">
        <v>113</v>
      </c>
      <c r="E191" s="25" t="s">
        <v>370</v>
      </c>
      <c r="F191" s="25" t="s">
        <v>382</v>
      </c>
      <c r="G191" s="25" t="s">
        <v>5</v>
      </c>
      <c r="H191" s="26" t="s">
        <v>894</v>
      </c>
      <c r="I191" s="27" t="s">
        <v>383</v>
      </c>
      <c r="J191" s="3" t="s">
        <v>320</v>
      </c>
      <c r="K191" t="s">
        <v>336</v>
      </c>
    </row>
    <row r="192" spans="1:11" ht="14.4">
      <c r="A192" s="22" t="str">
        <f>F192&amp;(COUNTIFS(F$2:F192,F192,K$2:K192,"Sparse"))</f>
        <v>UA7</v>
      </c>
      <c r="B192" s="22" t="str">
        <f>J192&amp;(COUNTIF(J$2:J192,J192))</f>
        <v>Unitary30</v>
      </c>
      <c r="C192" t="s">
        <v>903</v>
      </c>
      <c r="D192" t="s">
        <v>903</v>
      </c>
      <c r="E192" s="25" t="s">
        <v>368</v>
      </c>
      <c r="F192" s="25" t="s">
        <v>388</v>
      </c>
      <c r="G192" s="25" t="s">
        <v>397</v>
      </c>
      <c r="H192" s="26" t="s">
        <v>908</v>
      </c>
      <c r="I192" s="27" t="s">
        <v>908</v>
      </c>
      <c r="J192" s="3" t="s">
        <v>397</v>
      </c>
    </row>
    <row r="193" spans="1:11" ht="14.4">
      <c r="A193" s="22" t="str">
        <f>F193&amp;(COUNTIFS(F$2:F193,F193,K$2:K193,"Sparse"))</f>
        <v>UA8</v>
      </c>
      <c r="B193" s="22" t="str">
        <f>J193&amp;(COUNTIF(J$2:J193,J193))</f>
        <v>Unitary31</v>
      </c>
      <c r="C193" t="s">
        <v>279</v>
      </c>
      <c r="D193" t="s">
        <v>279</v>
      </c>
      <c r="E193" s="25" t="s">
        <v>1</v>
      </c>
      <c r="F193" s="25" t="s">
        <v>388</v>
      </c>
      <c r="G193" s="25" t="s">
        <v>397</v>
      </c>
      <c r="H193" s="26" t="s">
        <v>896</v>
      </c>
      <c r="I193" s="27" t="s">
        <v>372</v>
      </c>
      <c r="J193" s="3" t="s">
        <v>397</v>
      </c>
      <c r="K193" t="s">
        <v>336</v>
      </c>
    </row>
    <row r="194" spans="1:11" ht="14.4">
      <c r="A194" s="22" t="str">
        <f>F194&amp;(COUNTIFS(F$2:F194,F194,K$2:K194,"Sparse"))</f>
        <v>MD0</v>
      </c>
      <c r="B194" s="22" t="str">
        <f>J194&amp;(COUNTIF(J$2:J194,J194))</f>
        <v>North Tyneside1</v>
      </c>
      <c r="C194" t="s">
        <v>239</v>
      </c>
      <c r="D194" t="s">
        <v>239</v>
      </c>
      <c r="E194" s="25" t="s">
        <v>391</v>
      </c>
      <c r="F194" s="25" t="s">
        <v>387</v>
      </c>
      <c r="G194" s="25" t="s">
        <v>398</v>
      </c>
      <c r="H194" s="26" t="s">
        <v>898</v>
      </c>
      <c r="I194" s="27" t="s">
        <v>385</v>
      </c>
      <c r="J194" t="str">
        <f>C194</f>
        <v>North Tyneside</v>
      </c>
    </row>
    <row r="195" spans="1:11" ht="14.4">
      <c r="A195" s="22" t="str">
        <f>F195&amp;(COUNTIFS(F$2:F195,F195,K$2:K195,"Sparse"))</f>
        <v>SD29</v>
      </c>
      <c r="B195" s="22" t="str">
        <f>J195&amp;(COUNTIF(J$2:J195,J195))</f>
        <v>Warwickshire1</v>
      </c>
      <c r="C195" t="s">
        <v>114</v>
      </c>
      <c r="D195" t="s">
        <v>114</v>
      </c>
      <c r="E195" s="25" t="s">
        <v>369</v>
      </c>
      <c r="F195" s="25" t="s">
        <v>382</v>
      </c>
      <c r="G195" s="25" t="s">
        <v>5</v>
      </c>
      <c r="H195" s="26" t="s">
        <v>894</v>
      </c>
      <c r="I195" s="27" t="s">
        <v>383</v>
      </c>
      <c r="J195" t="s">
        <v>331</v>
      </c>
    </row>
    <row r="196" spans="1:11" ht="14.4">
      <c r="A196" s="22" t="str">
        <f>F196&amp;(COUNTIFS(F$2:F196,F196,K$2:K196,"Sparse"))</f>
        <v>SD29</v>
      </c>
      <c r="B196" s="22" t="str">
        <f>J196&amp;(COUNTIF(J$2:J196,J196))</f>
        <v>Leicestershire7</v>
      </c>
      <c r="C196" t="s">
        <v>115</v>
      </c>
      <c r="D196" t="s">
        <v>115</v>
      </c>
      <c r="E196" s="25" t="s">
        <v>368</v>
      </c>
      <c r="F196" s="25" t="s">
        <v>382</v>
      </c>
      <c r="G196" s="25" t="s">
        <v>5</v>
      </c>
      <c r="H196" s="26" t="s">
        <v>897</v>
      </c>
      <c r="I196" s="27" t="s">
        <v>383</v>
      </c>
      <c r="J196" t="s">
        <v>318</v>
      </c>
    </row>
    <row r="197" spans="1:11" ht="14.4">
      <c r="A197" s="22" t="str">
        <f>F197&amp;(COUNTIFS(F$2:F197,F197,K$2:K197,"Sparse"))</f>
        <v>SC7</v>
      </c>
      <c r="B197" s="22" t="str">
        <f>J197&amp;(COUNTIF(J$2:J197,J197))</f>
        <v>North Yorkshire4</v>
      </c>
      <c r="C197" s="27" t="s">
        <v>321</v>
      </c>
      <c r="D197" s="27" t="s">
        <v>321</v>
      </c>
      <c r="E197" s="25" t="s">
        <v>386</v>
      </c>
      <c r="F197" s="25" t="s">
        <v>390</v>
      </c>
      <c r="G197" s="25" t="s">
        <v>302</v>
      </c>
      <c r="H197" s="27" t="s">
        <v>383</v>
      </c>
      <c r="I197" s="27" t="s">
        <v>383</v>
      </c>
      <c r="J197" t="str">
        <f>C197</f>
        <v>North Yorkshire</v>
      </c>
      <c r="K197" t="s">
        <v>336</v>
      </c>
    </row>
    <row r="198" spans="1:11" ht="14.4">
      <c r="A198" s="22" t="str">
        <f>F198&amp;(COUNTIFS(F$2:F198,F198,K$2:K198,"Sparse"))</f>
        <v>UA9</v>
      </c>
      <c r="B198" s="22" t="str">
        <f>J198&amp;(COUNTIF(J$2:J198,J198))</f>
        <v>Unitary32</v>
      </c>
      <c r="C198" t="s">
        <v>323</v>
      </c>
      <c r="D198" t="s">
        <v>323</v>
      </c>
      <c r="E198" s="25" t="s">
        <v>391</v>
      </c>
      <c r="F198" s="25" t="s">
        <v>388</v>
      </c>
      <c r="G198" s="25" t="s">
        <v>397</v>
      </c>
      <c r="H198" s="26" t="s">
        <v>897</v>
      </c>
      <c r="I198" s="27" t="s">
        <v>383</v>
      </c>
      <c r="J198" s="3" t="s">
        <v>397</v>
      </c>
      <c r="K198" t="s">
        <v>336</v>
      </c>
    </row>
    <row r="199" spans="1:11" ht="14.4">
      <c r="A199" s="22" t="str">
        <f>F199&amp;(COUNTIFS(F$2:F199,F199,K$2:K199,"Sparse"))</f>
        <v>SD29</v>
      </c>
      <c r="B199" s="22" t="str">
        <f>J199&amp;(COUNTIF(J$2:J199,J199))</f>
        <v>Norfolk7</v>
      </c>
      <c r="C199" t="s">
        <v>117</v>
      </c>
      <c r="D199" t="s">
        <v>117</v>
      </c>
      <c r="E199" s="25" t="s">
        <v>370</v>
      </c>
      <c r="F199" s="25" t="s">
        <v>382</v>
      </c>
      <c r="G199" s="25" t="s">
        <v>5</v>
      </c>
      <c r="H199" s="26" t="s">
        <v>893</v>
      </c>
      <c r="I199" s="27" t="s">
        <v>385</v>
      </c>
      <c r="J199" t="s">
        <v>320</v>
      </c>
    </row>
    <row r="200" spans="1:11" ht="14.4">
      <c r="A200" s="22" t="str">
        <f>F200&amp;(COUNTIFS(F$2:F200,F200,K$2:K200,"Sparse"))</f>
        <v>UA9</v>
      </c>
      <c r="B200" s="22" t="str">
        <f>J200&amp;(COUNTIF(J$2:J200,J200))</f>
        <v>Unitary33</v>
      </c>
      <c r="C200" t="s">
        <v>280</v>
      </c>
      <c r="D200" t="s">
        <v>280</v>
      </c>
      <c r="E200" s="25" t="s">
        <v>368</v>
      </c>
      <c r="F200" s="25" t="s">
        <v>388</v>
      </c>
      <c r="G200" s="25" t="s">
        <v>397</v>
      </c>
      <c r="H200" s="26" t="s">
        <v>895</v>
      </c>
      <c r="I200" s="27" t="s">
        <v>385</v>
      </c>
      <c r="J200" s="3" t="s">
        <v>397</v>
      </c>
    </row>
    <row r="201" spans="1:11" ht="14.4">
      <c r="A201" s="22" t="str">
        <f>F201&amp;(COUNTIFS(F$2:F201,F201,K$2:K201,"Sparse"))</f>
        <v>SC8</v>
      </c>
      <c r="B201" s="22" t="str">
        <f>J201&amp;(COUNTIF(J$2:J201,J201))</f>
        <v>Nottinghamshire7</v>
      </c>
      <c r="C201" s="27" t="s">
        <v>324</v>
      </c>
      <c r="D201" s="27" t="s">
        <v>324</v>
      </c>
      <c r="E201" s="25" t="s">
        <v>368</v>
      </c>
      <c r="F201" s="25" t="s">
        <v>390</v>
      </c>
      <c r="G201" s="25" t="s">
        <v>302</v>
      </c>
      <c r="H201" s="27" t="s">
        <v>372</v>
      </c>
      <c r="I201" s="27" t="s">
        <v>372</v>
      </c>
      <c r="J201" t="str">
        <f>C201</f>
        <v>Nottinghamshire</v>
      </c>
      <c r="K201" t="s">
        <v>336</v>
      </c>
    </row>
    <row r="202" spans="1:11" ht="14.4">
      <c r="A202" s="22" t="str">
        <f>F202&amp;(COUNTIFS(F$2:F202,F202,K$2:K202,"Sparse"))</f>
        <v>SD29</v>
      </c>
      <c r="B202" s="22" t="str">
        <f>J202&amp;(COUNTIF(J$2:J202,J202))</f>
        <v>Warwickshire2</v>
      </c>
      <c r="C202" t="s">
        <v>348</v>
      </c>
      <c r="D202" t="s">
        <v>348</v>
      </c>
      <c r="E202" s="25" t="s">
        <v>369</v>
      </c>
      <c r="F202" s="25" t="s">
        <v>382</v>
      </c>
      <c r="G202" s="25" t="s">
        <v>5</v>
      </c>
      <c r="H202" s="26" t="s">
        <v>893</v>
      </c>
      <c r="I202" s="27" t="s">
        <v>385</v>
      </c>
      <c r="J202" t="s">
        <v>331</v>
      </c>
    </row>
    <row r="203" spans="1:11" ht="14.4">
      <c r="A203" s="22" t="str">
        <f>F203&amp;(COUNTIFS(F$2:F203,F203,K$2:K203,"Sparse"))</f>
        <v>SD29</v>
      </c>
      <c r="B203" s="22" t="str">
        <f>J203&amp;(COUNTIF(J$2:J203,J203))</f>
        <v>Leicestershire8</v>
      </c>
      <c r="C203" t="s">
        <v>349</v>
      </c>
      <c r="D203" t="s">
        <v>349</v>
      </c>
      <c r="E203" s="25" t="s">
        <v>368</v>
      </c>
      <c r="F203" s="25" t="s">
        <v>382</v>
      </c>
      <c r="G203" s="25" t="s">
        <v>5</v>
      </c>
      <c r="H203" s="26" t="s">
        <v>893</v>
      </c>
      <c r="I203" s="27" t="s">
        <v>385</v>
      </c>
      <c r="J203" t="s">
        <v>318</v>
      </c>
    </row>
    <row r="204" spans="1:11" ht="14.4">
      <c r="A204" s="22" t="str">
        <f>F204&amp;(COUNTIFS(F$2:F204,F204,K$2:K204,"Sparse"))</f>
        <v>MD0</v>
      </c>
      <c r="B204" s="22" t="str">
        <f>J204&amp;(COUNTIF(J$2:J204,J204))</f>
        <v>Oldham1</v>
      </c>
      <c r="C204" t="s">
        <v>240</v>
      </c>
      <c r="D204" t="s">
        <v>240</v>
      </c>
      <c r="E204" s="25" t="s">
        <v>377</v>
      </c>
      <c r="F204" s="25" t="s">
        <v>387</v>
      </c>
      <c r="G204" s="25" t="s">
        <v>398</v>
      </c>
      <c r="H204" s="26" t="s">
        <v>898</v>
      </c>
      <c r="I204" s="27" t="s">
        <v>385</v>
      </c>
      <c r="J204" t="str">
        <f>C204</f>
        <v>Oldham</v>
      </c>
    </row>
    <row r="205" spans="1:11" ht="14.4">
      <c r="A205" s="22" t="str">
        <f>F205&amp;(COUNTIFS(F$2:F205,F205,K$2:K205,"Sparse"))</f>
        <v>SD29</v>
      </c>
      <c r="B205" s="22" t="str">
        <f>J205&amp;(COUNTIF(J$2:J205,J205))</f>
        <v>Oxfordshire2</v>
      </c>
      <c r="C205" t="s">
        <v>118</v>
      </c>
      <c r="D205" t="s">
        <v>118</v>
      </c>
      <c r="E205" s="25" t="s">
        <v>0</v>
      </c>
      <c r="F205" s="25" t="s">
        <v>382</v>
      </c>
      <c r="G205" s="25" t="s">
        <v>5</v>
      </c>
      <c r="H205" s="26" t="s">
        <v>893</v>
      </c>
      <c r="I205" s="27" t="s">
        <v>385</v>
      </c>
      <c r="J205" t="s">
        <v>325</v>
      </c>
    </row>
    <row r="206" spans="1:11" ht="14.4">
      <c r="A206" s="22" t="str">
        <f>F206&amp;(COUNTIFS(F$2:F206,F206,K$2:K206,"Sparse"))</f>
        <v>SC8</v>
      </c>
      <c r="B206" s="22" t="str">
        <f>J206&amp;(COUNTIF(J$2:J206,J206))</f>
        <v>Oxfordshire3</v>
      </c>
      <c r="C206" s="27" t="s">
        <v>325</v>
      </c>
      <c r="D206" s="27" t="s">
        <v>325</v>
      </c>
      <c r="E206" s="25" t="s">
        <v>0</v>
      </c>
      <c r="F206" s="25" t="s">
        <v>390</v>
      </c>
      <c r="G206" s="25" t="s">
        <v>302</v>
      </c>
      <c r="H206" s="27" t="s">
        <v>383</v>
      </c>
      <c r="I206" s="27" t="s">
        <v>383</v>
      </c>
      <c r="J206" t="str">
        <f>C206</f>
        <v>Oxfordshire</v>
      </c>
    </row>
    <row r="207" spans="1:11" ht="14.4">
      <c r="A207" s="22" t="str">
        <f>F207&amp;(COUNTIFS(F$2:F207,F207,K$2:K207,"Sparse"))</f>
        <v>SD29</v>
      </c>
      <c r="B207" s="22" t="str">
        <f>J207&amp;(COUNTIF(J$2:J207,J207))</f>
        <v>Lancashire7</v>
      </c>
      <c r="C207" t="s">
        <v>119</v>
      </c>
      <c r="D207" t="s">
        <v>119</v>
      </c>
      <c r="E207" s="25" t="s">
        <v>377</v>
      </c>
      <c r="F207" s="25" t="s">
        <v>382</v>
      </c>
      <c r="G207" s="25" t="s">
        <v>5</v>
      </c>
      <c r="H207" s="26" t="s">
        <v>893</v>
      </c>
      <c r="I207" s="27" t="s">
        <v>385</v>
      </c>
      <c r="J207" t="s">
        <v>317</v>
      </c>
    </row>
    <row r="208" spans="1:11" ht="14.4">
      <c r="A208" s="22" t="str">
        <f>F208&amp;(COUNTIFS(F$2:F208,F208,K$2:K208,"Sparse"))</f>
        <v>UA9</v>
      </c>
      <c r="B208" s="22" t="str">
        <f>J208&amp;(COUNTIF(J$2:J208,J208))</f>
        <v>Unitary34</v>
      </c>
      <c r="C208" t="s">
        <v>281</v>
      </c>
      <c r="D208" t="s">
        <v>281</v>
      </c>
      <c r="E208" s="25" t="s">
        <v>370</v>
      </c>
      <c r="F208" s="25" t="s">
        <v>388</v>
      </c>
      <c r="G208" s="25" t="s">
        <v>397</v>
      </c>
      <c r="H208" s="26" t="s">
        <v>893</v>
      </c>
      <c r="I208" s="27" t="s">
        <v>385</v>
      </c>
      <c r="J208" s="3" t="s">
        <v>397</v>
      </c>
    </row>
    <row r="209" spans="1:11" ht="14.4">
      <c r="A209" s="22" t="str">
        <f>F209&amp;(COUNTIFS(F$2:F209,F209,K$2:K209,"Sparse"))</f>
        <v>UA9</v>
      </c>
      <c r="B209" s="22" t="str">
        <f>J209&amp;(COUNTIF(J$2:J209,J209))</f>
        <v>Unitary35</v>
      </c>
      <c r="C209" t="s">
        <v>282</v>
      </c>
      <c r="D209" t="s">
        <v>282</v>
      </c>
      <c r="E209" s="25" t="s">
        <v>1</v>
      </c>
      <c r="F209" s="25" t="s">
        <v>388</v>
      </c>
      <c r="G209" s="25" t="s">
        <v>397</v>
      </c>
      <c r="H209" s="26" t="s">
        <v>893</v>
      </c>
      <c r="I209" s="27" t="s">
        <v>385</v>
      </c>
      <c r="J209" s="3" t="s">
        <v>397</v>
      </c>
    </row>
    <row r="210" spans="1:11" ht="14.4">
      <c r="A210" s="22" t="str">
        <f>F210&amp;(COUNTIFS(F$2:F210,F210,K$2:K210,"Sparse"))</f>
        <v>UA9</v>
      </c>
      <c r="B210" s="22" t="str">
        <f>J210&amp;(COUNTIF(J$2:J210,J210))</f>
        <v>Unitary36</v>
      </c>
      <c r="C210" t="s">
        <v>284</v>
      </c>
      <c r="D210" t="s">
        <v>284</v>
      </c>
      <c r="E210" s="25" t="s">
        <v>0</v>
      </c>
      <c r="F210" s="25" t="s">
        <v>388</v>
      </c>
      <c r="G210" s="25" t="s">
        <v>397</v>
      </c>
      <c r="H210" s="26" t="s">
        <v>893</v>
      </c>
      <c r="I210" s="27" t="s">
        <v>385</v>
      </c>
      <c r="J210" s="3" t="s">
        <v>397</v>
      </c>
    </row>
    <row r="211" spans="1:11" ht="14.4">
      <c r="A211" s="22" t="str">
        <f>F211&amp;(COUNTIFS(F$2:F211,F211,K$2:K211,"Sparse"))</f>
        <v>SD29</v>
      </c>
      <c r="B211" s="22" t="str">
        <f>J211&amp;(COUNTIF(J$2:J211,J211))</f>
        <v>Lancashire8</v>
      </c>
      <c r="C211" t="s">
        <v>120</v>
      </c>
      <c r="D211" t="s">
        <v>120</v>
      </c>
      <c r="E211" s="25" t="s">
        <v>377</v>
      </c>
      <c r="F211" s="25" t="s">
        <v>382</v>
      </c>
      <c r="G211" s="25" t="s">
        <v>5</v>
      </c>
      <c r="H211" s="26" t="s">
        <v>893</v>
      </c>
      <c r="I211" s="27" t="s">
        <v>385</v>
      </c>
      <c r="J211" t="s">
        <v>317</v>
      </c>
    </row>
    <row r="212" spans="1:11" ht="14.4">
      <c r="A212" s="22" t="str">
        <f>F212&amp;(COUNTIFS(F$2:F212,F212,K$2:K212,"Sparse"))</f>
        <v>UA9</v>
      </c>
      <c r="B212" s="22" t="str">
        <f>J212&amp;(COUNTIF(J$2:J212,J212))</f>
        <v>Unitary37</v>
      </c>
      <c r="C212" t="s">
        <v>285</v>
      </c>
      <c r="D212" t="s">
        <v>285</v>
      </c>
      <c r="E212" s="25" t="s">
        <v>0</v>
      </c>
      <c r="F212" s="25" t="s">
        <v>388</v>
      </c>
      <c r="G212" s="25" t="s">
        <v>397</v>
      </c>
      <c r="H212" s="26" t="s">
        <v>893</v>
      </c>
      <c r="I212" s="27" t="s">
        <v>385</v>
      </c>
      <c r="J212" s="3" t="s">
        <v>397</v>
      </c>
    </row>
    <row r="213" spans="1:11" ht="14.4">
      <c r="A213" s="22" t="str">
        <f>F213&amp;(COUNTIFS(F$2:F213,F213,K$2:K213,"Sparse"))</f>
        <v>L0</v>
      </c>
      <c r="B213" s="22" t="str">
        <f>J213&amp;(COUNTIF(J$2:J213,J213))</f>
        <v>London26</v>
      </c>
      <c r="C213" t="s">
        <v>217</v>
      </c>
      <c r="D213" t="s">
        <v>217</v>
      </c>
      <c r="E213" s="25" t="s">
        <v>384</v>
      </c>
      <c r="F213" s="25" t="s">
        <v>360</v>
      </c>
      <c r="G213" s="25" t="s">
        <v>384</v>
      </c>
      <c r="H213" s="26" t="s">
        <v>898</v>
      </c>
      <c r="I213" s="27" t="s">
        <v>385</v>
      </c>
      <c r="J213" t="str">
        <f>G213</f>
        <v>London</v>
      </c>
    </row>
    <row r="214" spans="1:11" ht="14.4">
      <c r="A214" s="22" t="str">
        <f>F214&amp;(COUNTIFS(F$2:F214,F214,K$2:K214,"Sparse"))</f>
        <v>UA9</v>
      </c>
      <c r="B214" s="22" t="str">
        <f>J214&amp;(COUNTIF(J$2:J214,J214))</f>
        <v>Unitary38</v>
      </c>
      <c r="C214" t="s">
        <v>811</v>
      </c>
      <c r="D214" t="s">
        <v>811</v>
      </c>
      <c r="E214" s="25" t="s">
        <v>391</v>
      </c>
      <c r="F214" s="25" t="s">
        <v>388</v>
      </c>
      <c r="G214" s="25" t="s">
        <v>397</v>
      </c>
      <c r="H214" s="26" t="s">
        <v>896</v>
      </c>
      <c r="I214" s="27" t="s">
        <v>372</v>
      </c>
      <c r="J214" s="3" t="s">
        <v>397</v>
      </c>
    </row>
    <row r="215" spans="1:11" ht="14.4">
      <c r="A215" s="22" t="str">
        <f>F215&amp;(COUNTIFS(F$2:F215,F215,K$2:K215,"Sparse"))</f>
        <v>SD29</v>
      </c>
      <c r="B215" s="22" t="str">
        <f>J215&amp;(COUNTIF(J$2:J215,J215))</f>
        <v>Worcestershire3</v>
      </c>
      <c r="C215" t="s">
        <v>122</v>
      </c>
      <c r="D215" t="s">
        <v>122</v>
      </c>
      <c r="E215" s="25" t="s">
        <v>369</v>
      </c>
      <c r="F215" s="25" t="s">
        <v>382</v>
      </c>
      <c r="G215" s="25" t="s">
        <v>5</v>
      </c>
      <c r="H215" s="26" t="s">
        <v>893</v>
      </c>
      <c r="I215" s="27" t="s">
        <v>385</v>
      </c>
      <c r="J215" t="s">
        <v>333</v>
      </c>
    </row>
    <row r="216" spans="1:11" ht="14.4">
      <c r="A216" s="22" t="str">
        <f>F216&amp;(COUNTIFS(F$2:F216,F216,K$2:K216,"Sparse"))</f>
        <v>SD29</v>
      </c>
      <c r="B216" s="22" t="str">
        <f>J216&amp;(COUNTIF(J$2:J216,J216))</f>
        <v>Surrey5</v>
      </c>
      <c r="C216" t="s">
        <v>350</v>
      </c>
      <c r="D216" t="s">
        <v>350</v>
      </c>
      <c r="E216" s="25" t="s">
        <v>0</v>
      </c>
      <c r="F216" s="25" t="s">
        <v>382</v>
      </c>
      <c r="G216" s="25" t="s">
        <v>5</v>
      </c>
      <c r="H216" s="26" t="s">
        <v>893</v>
      </c>
      <c r="I216" s="27" t="s">
        <v>385</v>
      </c>
      <c r="J216" t="s">
        <v>330</v>
      </c>
    </row>
    <row r="217" spans="1:11" ht="14.4">
      <c r="A217" s="22" t="str">
        <f>F217&amp;(COUNTIFS(F$2:F217,F217,K$2:K217,"Sparse"))</f>
        <v>SD30</v>
      </c>
      <c r="B217" s="22" t="str">
        <f>J217&amp;(COUNTIF(J$2:J217,J217))</f>
        <v>Lancashire9</v>
      </c>
      <c r="C217" t="s">
        <v>123</v>
      </c>
      <c r="D217" t="s">
        <v>123</v>
      </c>
      <c r="E217" s="25" t="s">
        <v>377</v>
      </c>
      <c r="F217" s="25" t="s">
        <v>382</v>
      </c>
      <c r="G217" s="25" t="s">
        <v>5</v>
      </c>
      <c r="H217" s="26" t="s">
        <v>894</v>
      </c>
      <c r="I217" s="27" t="s">
        <v>383</v>
      </c>
      <c r="J217" t="s">
        <v>317</v>
      </c>
      <c r="K217" t="s">
        <v>336</v>
      </c>
    </row>
    <row r="218" spans="1:11" ht="14.4">
      <c r="A218" s="22" t="str">
        <f>F218&amp;(COUNTIFS(F$2:F218,F218,K$2:K218,"Sparse"))</f>
        <v>L0</v>
      </c>
      <c r="B218" s="22" t="str">
        <f>J218&amp;(COUNTIF(J$2:J218,J218))</f>
        <v>London27</v>
      </c>
      <c r="C218" t="s">
        <v>395</v>
      </c>
      <c r="D218" t="s">
        <v>395</v>
      </c>
      <c r="E218" s="25" t="s">
        <v>384</v>
      </c>
      <c r="F218" s="25" t="s">
        <v>360</v>
      </c>
      <c r="G218" s="25" t="s">
        <v>384</v>
      </c>
      <c r="H218" s="26" t="s">
        <v>898</v>
      </c>
      <c r="I218" s="27" t="s">
        <v>385</v>
      </c>
      <c r="J218" t="str">
        <f>G218</f>
        <v>London</v>
      </c>
    </row>
    <row r="219" spans="1:11" ht="14.4">
      <c r="A219" s="22" t="str">
        <f>F219&amp;(COUNTIFS(F$2:F219,F219,K$2:K219,"Sparse"))</f>
        <v>SD31</v>
      </c>
      <c r="B219" s="22" t="str">
        <f>J219&amp;(COUNTIF(J$2:J219,J219))</f>
        <v>North Yorkshire5</v>
      </c>
      <c r="C219" t="s">
        <v>124</v>
      </c>
      <c r="D219" t="s">
        <v>124</v>
      </c>
      <c r="E219" s="25" t="s">
        <v>386</v>
      </c>
      <c r="F219" s="25" t="s">
        <v>382</v>
      </c>
      <c r="G219" s="25" t="s">
        <v>5</v>
      </c>
      <c r="H219" s="26" t="s">
        <v>894</v>
      </c>
      <c r="I219" s="27" t="s">
        <v>383</v>
      </c>
      <c r="J219" t="s">
        <v>321</v>
      </c>
      <c r="K219" t="s">
        <v>336</v>
      </c>
    </row>
    <row r="220" spans="1:11" ht="14.4">
      <c r="A220" s="22" t="str">
        <f>F220&amp;(COUNTIFS(F$2:F220,F220,K$2:K220,"Sparse"))</f>
        <v>MD0</v>
      </c>
      <c r="B220" s="22" t="str">
        <f>J220&amp;(COUNTIF(J$2:J220,J220))</f>
        <v>Rochdale1</v>
      </c>
      <c r="C220" t="s">
        <v>241</v>
      </c>
      <c r="D220" t="s">
        <v>241</v>
      </c>
      <c r="E220" s="25" t="s">
        <v>377</v>
      </c>
      <c r="F220" s="25" t="s">
        <v>387</v>
      </c>
      <c r="G220" s="25" t="s">
        <v>398</v>
      </c>
      <c r="H220" s="26" t="s">
        <v>898</v>
      </c>
      <c r="I220" s="27" t="s">
        <v>385</v>
      </c>
      <c r="J220" t="str">
        <f>C220</f>
        <v>Rochdale</v>
      </c>
    </row>
    <row r="221" spans="1:11" ht="14.4">
      <c r="A221" s="22" t="str">
        <f>F221&amp;(COUNTIFS(F$2:F221,F221,K$2:K221,"Sparse"))</f>
        <v>SD31</v>
      </c>
      <c r="B221" s="22" t="str">
        <f>J221&amp;(COUNTIF(J$2:J221,J221))</f>
        <v>Essex11</v>
      </c>
      <c r="C221" t="s">
        <v>125</v>
      </c>
      <c r="D221" t="s">
        <v>125</v>
      </c>
      <c r="E221" s="25" t="s">
        <v>370</v>
      </c>
      <c r="F221" s="25" t="s">
        <v>382</v>
      </c>
      <c r="G221" s="25" t="s">
        <v>5</v>
      </c>
      <c r="H221" s="26" t="s">
        <v>893</v>
      </c>
      <c r="I221" s="27" t="s">
        <v>385</v>
      </c>
      <c r="J221" t="s">
        <v>312</v>
      </c>
    </row>
    <row r="222" spans="1:11" ht="14.4">
      <c r="A222" s="22" t="str">
        <f>F222&amp;(COUNTIFS(F$2:F222,F222,K$2:K222,"Sparse"))</f>
        <v>SD31</v>
      </c>
      <c r="B222" s="22" t="str">
        <f>J222&amp;(COUNTIF(J$2:J222,J222))</f>
        <v>Lancashire10</v>
      </c>
      <c r="C222" t="s">
        <v>126</v>
      </c>
      <c r="D222" t="s">
        <v>126</v>
      </c>
      <c r="E222" s="25" t="s">
        <v>377</v>
      </c>
      <c r="F222" s="25" t="s">
        <v>382</v>
      </c>
      <c r="G222" s="25" t="s">
        <v>5</v>
      </c>
      <c r="H222" s="26" t="s">
        <v>893</v>
      </c>
      <c r="I222" s="27" t="s">
        <v>385</v>
      </c>
      <c r="J222" t="s">
        <v>317</v>
      </c>
    </row>
    <row r="223" spans="1:11" ht="14.4">
      <c r="A223" s="22" t="str">
        <f>F223&amp;(COUNTIFS(F$2:F223,F223,K$2:K223,"Sparse"))</f>
        <v>SD32</v>
      </c>
      <c r="B223" s="22" t="str">
        <f>J223&amp;(COUNTIF(J$2:J223,J223))</f>
        <v>East Sussex5</v>
      </c>
      <c r="C223" t="s">
        <v>127</v>
      </c>
      <c r="D223" t="s">
        <v>127</v>
      </c>
      <c r="E223" s="25" t="s">
        <v>0</v>
      </c>
      <c r="F223" s="25" t="s">
        <v>382</v>
      </c>
      <c r="G223" s="25" t="s">
        <v>5</v>
      </c>
      <c r="H223" s="26" t="s">
        <v>897</v>
      </c>
      <c r="I223" s="27" t="s">
        <v>383</v>
      </c>
      <c r="J223" t="s">
        <v>311</v>
      </c>
      <c r="K223" t="s">
        <v>336</v>
      </c>
    </row>
    <row r="224" spans="1:11" ht="14.4">
      <c r="A224" s="22" t="str">
        <f>F224&amp;(COUNTIFS(F$2:F224,F224,K$2:K224,"Sparse"))</f>
        <v>MD0</v>
      </c>
      <c r="B224" s="22" t="str">
        <f>J224&amp;(COUNTIF(J$2:J224,J224))</f>
        <v>Rotherham1</v>
      </c>
      <c r="C224" t="s">
        <v>242</v>
      </c>
      <c r="D224" t="s">
        <v>242</v>
      </c>
      <c r="E224" s="25" t="s">
        <v>386</v>
      </c>
      <c r="F224" s="25" t="s">
        <v>387</v>
      </c>
      <c r="G224" s="25" t="s">
        <v>398</v>
      </c>
      <c r="H224" s="26" t="s">
        <v>895</v>
      </c>
      <c r="I224" s="27" t="s">
        <v>385</v>
      </c>
      <c r="J224" t="str">
        <f>C224</f>
        <v>Rotherham</v>
      </c>
    </row>
    <row r="225" spans="1:11" ht="14.4">
      <c r="A225" s="22" t="str">
        <f>F225&amp;(COUNTIFS(F$2:F225,F225,K$2:K225,"Sparse"))</f>
        <v>SD33</v>
      </c>
      <c r="B225" s="22" t="str">
        <f>J225&amp;(COUNTIF(J$2:J225,J225))</f>
        <v>Warwickshire3</v>
      </c>
      <c r="C225" t="s">
        <v>128</v>
      </c>
      <c r="D225" t="s">
        <v>128</v>
      </c>
      <c r="E225" s="25" t="s">
        <v>369</v>
      </c>
      <c r="F225" s="25" t="s">
        <v>382</v>
      </c>
      <c r="G225" s="25" t="s">
        <v>5</v>
      </c>
      <c r="H225" s="26" t="s">
        <v>893</v>
      </c>
      <c r="I225" s="27" t="s">
        <v>385</v>
      </c>
      <c r="J225" t="s">
        <v>331</v>
      </c>
      <c r="K225" t="s">
        <v>336</v>
      </c>
    </row>
    <row r="226" spans="1:11" ht="14.4">
      <c r="A226" s="22" t="str">
        <f>F226&amp;(COUNTIFS(F$2:F226,F226,K$2:K226,"Sparse"))</f>
        <v>SD33</v>
      </c>
      <c r="B226" s="22" t="str">
        <f>J226&amp;(COUNTIF(J$2:J226,J226))</f>
        <v>Surrey6</v>
      </c>
      <c r="C226" t="s">
        <v>129</v>
      </c>
      <c r="D226" t="s">
        <v>129</v>
      </c>
      <c r="E226" s="25" t="s">
        <v>0</v>
      </c>
      <c r="F226" s="25" t="s">
        <v>382</v>
      </c>
      <c r="G226" s="25" t="s">
        <v>5</v>
      </c>
      <c r="H226" s="26" t="s">
        <v>898</v>
      </c>
      <c r="I226" s="27" t="s">
        <v>385</v>
      </c>
      <c r="J226" t="s">
        <v>330</v>
      </c>
    </row>
    <row r="227" spans="1:11" ht="14.4">
      <c r="A227" s="22" t="str">
        <f>F227&amp;(COUNTIFS(F$2:F227,F227,K$2:K227,"Sparse"))</f>
        <v>SD33</v>
      </c>
      <c r="B227" s="22" t="str">
        <f>J227&amp;(COUNTIF(J$2:J227,J227))</f>
        <v>Nottinghamshire8</v>
      </c>
      <c r="C227" t="s">
        <v>130</v>
      </c>
      <c r="D227" t="s">
        <v>130</v>
      </c>
      <c r="E227" s="25" t="s">
        <v>368</v>
      </c>
      <c r="F227" s="25" t="s">
        <v>382</v>
      </c>
      <c r="G227" s="25" t="s">
        <v>5</v>
      </c>
      <c r="H227" s="26" t="s">
        <v>897</v>
      </c>
      <c r="I227" s="27" t="s">
        <v>383</v>
      </c>
      <c r="J227" t="s">
        <v>324</v>
      </c>
    </row>
    <row r="228" spans="1:11" ht="14.4">
      <c r="A228" s="22" t="str">
        <f>F228&amp;(COUNTIFS(F$2:F228,F228,K$2:K228,"Sparse"))</f>
        <v>SD33</v>
      </c>
      <c r="B228" s="22" t="str">
        <f>J228&amp;(COUNTIF(J$2:J228,J228))</f>
        <v>Hampshire10</v>
      </c>
      <c r="C228" t="s">
        <v>131</v>
      </c>
      <c r="D228" t="s">
        <v>131</v>
      </c>
      <c r="E228" s="25" t="s">
        <v>0</v>
      </c>
      <c r="F228" s="25" t="s">
        <v>382</v>
      </c>
      <c r="G228" s="25" t="s">
        <v>5</v>
      </c>
      <c r="H228" s="26" t="s">
        <v>893</v>
      </c>
      <c r="I228" s="27" t="s">
        <v>385</v>
      </c>
      <c r="J228" t="s">
        <v>314</v>
      </c>
    </row>
    <row r="229" spans="1:11" ht="14.4">
      <c r="A229" s="22" t="str">
        <f>F229&amp;(COUNTIFS(F$2:F229,F229,K$2:K229,"Sparse"))</f>
        <v>UA10</v>
      </c>
      <c r="B229" s="22" t="str">
        <f>J229&amp;(COUNTIF(J$2:J229,J229))</f>
        <v>Unitary39</v>
      </c>
      <c r="C229" t="s">
        <v>286</v>
      </c>
      <c r="D229" t="s">
        <v>286</v>
      </c>
      <c r="E229" s="25" t="s">
        <v>368</v>
      </c>
      <c r="F229" s="25" t="s">
        <v>388</v>
      </c>
      <c r="G229" s="25" t="s">
        <v>397</v>
      </c>
      <c r="H229" s="26" t="s">
        <v>894</v>
      </c>
      <c r="I229" s="27" t="s">
        <v>383</v>
      </c>
      <c r="J229" s="3" t="s">
        <v>397</v>
      </c>
      <c r="K229" t="s">
        <v>336</v>
      </c>
    </row>
    <row r="230" spans="1:11" ht="14.4">
      <c r="A230" s="22" t="str">
        <f>F230&amp;(COUNTIFS(F$2:F230,F230,K$2:K230,"Sparse"))</f>
        <v>SD34</v>
      </c>
      <c r="B230" s="22" t="str">
        <f>J230&amp;(COUNTIF(J$2:J230,J230))</f>
        <v>North Yorkshire6</v>
      </c>
      <c r="C230" t="s">
        <v>132</v>
      </c>
      <c r="D230" t="s">
        <v>132</v>
      </c>
      <c r="E230" s="25" t="s">
        <v>386</v>
      </c>
      <c r="F230" s="25" t="s">
        <v>382</v>
      </c>
      <c r="G230" s="25" t="s">
        <v>5</v>
      </c>
      <c r="H230" s="26" t="s">
        <v>894</v>
      </c>
      <c r="I230" s="27" t="s">
        <v>383</v>
      </c>
      <c r="J230" t="s">
        <v>321</v>
      </c>
      <c r="K230" t="s">
        <v>336</v>
      </c>
    </row>
    <row r="231" spans="1:11" ht="14.4">
      <c r="A231" s="22" t="str">
        <f>F231&amp;(COUNTIFS(F$2:F231,F231,K$2:K231,"Sparse"))</f>
        <v>MD0</v>
      </c>
      <c r="B231" s="22" t="str">
        <f>J231&amp;(COUNTIF(J$2:J231,J231))</f>
        <v>Salford1</v>
      </c>
      <c r="C231" t="s">
        <v>243</v>
      </c>
      <c r="D231" t="s">
        <v>243</v>
      </c>
      <c r="E231" s="25" t="s">
        <v>377</v>
      </c>
      <c r="F231" s="25" t="s">
        <v>387</v>
      </c>
      <c r="G231" s="25" t="s">
        <v>398</v>
      </c>
      <c r="H231" s="26" t="s">
        <v>898</v>
      </c>
      <c r="I231" s="27" t="s">
        <v>385</v>
      </c>
      <c r="J231" t="str">
        <f>C231</f>
        <v>Salford</v>
      </c>
    </row>
    <row r="232" spans="1:11" ht="14.4">
      <c r="A232" s="22" t="str">
        <f>F232&amp;(COUNTIFS(F$2:F232,F232,K$2:K232,"Sparse"))</f>
        <v>MD0</v>
      </c>
      <c r="B232" s="22" t="str">
        <f>J232&amp;(COUNTIF(J$2:J232,J232))</f>
        <v>Sandwell1</v>
      </c>
      <c r="C232" t="s">
        <v>244</v>
      </c>
      <c r="D232" t="s">
        <v>244</v>
      </c>
      <c r="E232" s="25" t="s">
        <v>369</v>
      </c>
      <c r="F232" s="25" t="s">
        <v>387</v>
      </c>
      <c r="G232" s="25" t="s">
        <v>398</v>
      </c>
      <c r="H232" s="26" t="s">
        <v>898</v>
      </c>
      <c r="I232" s="27" t="s">
        <v>385</v>
      </c>
      <c r="J232" t="str">
        <f>C232</f>
        <v>Sandwell</v>
      </c>
    </row>
    <row r="233" spans="1:11" ht="14.4">
      <c r="A233" s="22" t="str">
        <f>F233&amp;(COUNTIFS(F$2:F233,F233,K$2:K233,"Sparse"))</f>
        <v>SD35</v>
      </c>
      <c r="B233" s="22" t="str">
        <f>J233&amp;(COUNTIF(J$2:J233,J233))</f>
        <v>North Yorkshire7</v>
      </c>
      <c r="C233" t="s">
        <v>133</v>
      </c>
      <c r="D233" t="s">
        <v>133</v>
      </c>
      <c r="E233" s="25" t="s">
        <v>386</v>
      </c>
      <c r="F233" s="25" t="s">
        <v>382</v>
      </c>
      <c r="G233" s="25" t="s">
        <v>5</v>
      </c>
      <c r="H233" s="26" t="s">
        <v>896</v>
      </c>
      <c r="I233" s="27" t="s">
        <v>372</v>
      </c>
      <c r="J233" t="s">
        <v>321</v>
      </c>
      <c r="K233" t="s">
        <v>336</v>
      </c>
    </row>
    <row r="234" spans="1:11" ht="14.4">
      <c r="A234" s="22" t="str">
        <f>F234&amp;(COUNTIFS(F$2:F234,F234,K$2:K234,"Sparse"))</f>
        <v>SD36</v>
      </c>
      <c r="B234" s="22" t="str">
        <f>J234&amp;(COUNTIF(J$2:J234,J234))</f>
        <v>Somerset2</v>
      </c>
      <c r="C234" t="s">
        <v>134</v>
      </c>
      <c r="D234" t="s">
        <v>134</v>
      </c>
      <c r="E234" s="25" t="s">
        <v>1</v>
      </c>
      <c r="F234" s="25" t="s">
        <v>382</v>
      </c>
      <c r="G234" s="25" t="s">
        <v>5</v>
      </c>
      <c r="H234" s="26" t="s">
        <v>897</v>
      </c>
      <c r="I234" s="27" t="s">
        <v>383</v>
      </c>
      <c r="J234" t="s">
        <v>327</v>
      </c>
      <c r="K234" t="s">
        <v>336</v>
      </c>
    </row>
    <row r="235" spans="1:11" ht="14.4">
      <c r="A235" s="22" t="str">
        <f>F235&amp;(COUNTIFS(F$2:F235,F235,K$2:K235,"Sparse"))</f>
        <v>MD0</v>
      </c>
      <c r="B235" s="22" t="str">
        <f>J235&amp;(COUNTIF(J$2:J235,J235))</f>
        <v>Sefton1</v>
      </c>
      <c r="C235" t="s">
        <v>245</v>
      </c>
      <c r="D235" t="s">
        <v>245</v>
      </c>
      <c r="E235" s="25" t="s">
        <v>377</v>
      </c>
      <c r="F235" s="25" t="s">
        <v>387</v>
      </c>
      <c r="G235" s="25" t="s">
        <v>398</v>
      </c>
      <c r="H235" s="26" t="s">
        <v>898</v>
      </c>
      <c r="I235" s="27" t="s">
        <v>385</v>
      </c>
      <c r="J235" t="str">
        <f>C235</f>
        <v>Sefton</v>
      </c>
    </row>
    <row r="236" spans="1:11" ht="14.4">
      <c r="A236" s="22" t="str">
        <f>F236&amp;(COUNTIFS(F$2:F236,F236,K$2:K236,"Sparse"))</f>
        <v>SD37</v>
      </c>
      <c r="B236" s="22" t="str">
        <f>J236&amp;(COUNTIF(J$2:J236,J236))</f>
        <v>North Yorkshire8</v>
      </c>
      <c r="C236" t="s">
        <v>135</v>
      </c>
      <c r="D236" t="s">
        <v>135</v>
      </c>
      <c r="E236" s="25" t="s">
        <v>386</v>
      </c>
      <c r="F236" s="25" t="s">
        <v>382</v>
      </c>
      <c r="G236" s="25" t="s">
        <v>5</v>
      </c>
      <c r="H236" s="26" t="s">
        <v>894</v>
      </c>
      <c r="I236" s="27" t="s">
        <v>383</v>
      </c>
      <c r="J236" t="s">
        <v>321</v>
      </c>
      <c r="K236" t="s">
        <v>336</v>
      </c>
    </row>
    <row r="237" spans="1:11" ht="14.4">
      <c r="A237" s="22" t="str">
        <f>F237&amp;(COUNTIFS(F$2:F237,F237,K$2:K237,"Sparse"))</f>
        <v>SD37</v>
      </c>
      <c r="B237" s="22" t="str">
        <f>J237&amp;(COUNTIF(J$2:J237,J237))</f>
        <v>Kent8</v>
      </c>
      <c r="C237" t="s">
        <v>136</v>
      </c>
      <c r="D237" t="s">
        <v>136</v>
      </c>
      <c r="E237" s="25" t="s">
        <v>0</v>
      </c>
      <c r="F237" s="25" t="s">
        <v>382</v>
      </c>
      <c r="G237" s="25" t="s">
        <v>5</v>
      </c>
      <c r="H237" s="26" t="s">
        <v>897</v>
      </c>
      <c r="I237" s="27" t="s">
        <v>383</v>
      </c>
      <c r="J237" t="s">
        <v>316</v>
      </c>
    </row>
    <row r="238" spans="1:11" ht="14.4">
      <c r="A238" s="22" t="str">
        <f>F238&amp;(COUNTIFS(F$2:F238,F238,K$2:K238,"Sparse"))</f>
        <v>MD0</v>
      </c>
      <c r="B238" s="22" t="str">
        <f>J238&amp;(COUNTIF(J$2:J238,J238))</f>
        <v>Sheffield1</v>
      </c>
      <c r="C238" t="s">
        <v>246</v>
      </c>
      <c r="D238" t="s">
        <v>246</v>
      </c>
      <c r="E238" s="25" t="s">
        <v>386</v>
      </c>
      <c r="F238" s="25" t="s">
        <v>387</v>
      </c>
      <c r="G238" s="25" t="s">
        <v>398</v>
      </c>
      <c r="H238" s="26" t="s">
        <v>895</v>
      </c>
      <c r="I238" s="27" t="s">
        <v>385</v>
      </c>
      <c r="J238" t="str">
        <f>C238</f>
        <v>Sheffield</v>
      </c>
    </row>
    <row r="239" spans="1:11" ht="14.4">
      <c r="A239" s="22" t="str">
        <f>F239&amp;(COUNTIFS(F$2:F239,F239,K$2:K239,"Sparse"))</f>
        <v>SD37</v>
      </c>
      <c r="B239" s="22" t="str">
        <f>J239&amp;(COUNTIF(J$2:J239,J239))</f>
        <v>Kent9</v>
      </c>
      <c r="C239" t="s">
        <v>902</v>
      </c>
      <c r="D239" t="s">
        <v>902</v>
      </c>
      <c r="E239" s="25" t="s">
        <v>0</v>
      </c>
      <c r="F239" s="25" t="s">
        <v>382</v>
      </c>
      <c r="G239" s="25" t="s">
        <v>5</v>
      </c>
      <c r="H239" s="26" t="s">
        <v>896</v>
      </c>
      <c r="I239" s="27" t="s">
        <v>372</v>
      </c>
      <c r="J239" t="s">
        <v>316</v>
      </c>
    </row>
    <row r="240" spans="1:11" ht="14.4">
      <c r="A240" s="22" t="str">
        <f>F240&amp;(COUNTIFS(F$2:F240,F240,K$2:K240,"Sparse"))</f>
        <v>UA11</v>
      </c>
      <c r="B240" s="22" t="str">
        <f>J240&amp;(COUNTIF(J$2:J240,J240))</f>
        <v>Unitary40</v>
      </c>
      <c r="C240" t="s">
        <v>326</v>
      </c>
      <c r="D240" t="s">
        <v>326</v>
      </c>
      <c r="E240" s="25" t="s">
        <v>369</v>
      </c>
      <c r="F240" s="25" t="s">
        <v>388</v>
      </c>
      <c r="G240" s="25" t="s">
        <v>397</v>
      </c>
      <c r="H240" s="26" t="s">
        <v>897</v>
      </c>
      <c r="I240" s="27" t="s">
        <v>383</v>
      </c>
      <c r="J240" s="3" t="s">
        <v>397</v>
      </c>
      <c r="K240" t="s">
        <v>336</v>
      </c>
    </row>
    <row r="241" spans="1:11" ht="14.4">
      <c r="A241" s="22" t="str">
        <f>F241&amp;(COUNTIFS(F$2:F241,F241,K$2:K241,"Sparse"))</f>
        <v>UA11</v>
      </c>
      <c r="B241" s="22" t="str">
        <f>J241&amp;(COUNTIF(J$2:J241,J241))</f>
        <v>Unitary41</v>
      </c>
      <c r="C241" t="s">
        <v>287</v>
      </c>
      <c r="D241" t="s">
        <v>287</v>
      </c>
      <c r="E241" s="25" t="s">
        <v>0</v>
      </c>
      <c r="F241" s="25" t="s">
        <v>388</v>
      </c>
      <c r="G241" s="25" t="s">
        <v>397</v>
      </c>
      <c r="H241" s="26" t="s">
        <v>893</v>
      </c>
      <c r="I241" s="27" t="s">
        <v>385</v>
      </c>
      <c r="J241" s="3" t="s">
        <v>397</v>
      </c>
    </row>
    <row r="242" spans="1:11" ht="14.4">
      <c r="A242" s="22" t="str">
        <f>F242&amp;(COUNTIFS(F$2:F242,F242,K$2:K242,"Sparse"))</f>
        <v>MD0</v>
      </c>
      <c r="B242" s="22" t="str">
        <f>J242&amp;(COUNTIF(J$2:J242,J242))</f>
        <v>Solihull1</v>
      </c>
      <c r="C242" t="s">
        <v>247</v>
      </c>
      <c r="D242" t="s">
        <v>247</v>
      </c>
      <c r="E242" s="25" t="s">
        <v>369</v>
      </c>
      <c r="F242" s="25" t="s">
        <v>387</v>
      </c>
      <c r="G242" s="25" t="s">
        <v>398</v>
      </c>
      <c r="H242" s="26" t="s">
        <v>898</v>
      </c>
      <c r="I242" s="27" t="s">
        <v>385</v>
      </c>
      <c r="J242" t="str">
        <f>C242</f>
        <v>Solihull</v>
      </c>
    </row>
    <row r="243" spans="1:11" ht="14.4">
      <c r="A243" s="22" t="str">
        <f>F243&amp;(COUNTIFS(F$2:F243,F243,K$2:K243,"Sparse"))</f>
        <v>SC8</v>
      </c>
      <c r="B243" s="22" t="str">
        <f>J243&amp;(COUNTIF(J$2:J243,J243))</f>
        <v>Somerset3</v>
      </c>
      <c r="C243" s="27" t="s">
        <v>327</v>
      </c>
      <c r="D243" s="27" t="s">
        <v>327</v>
      </c>
      <c r="E243" s="25" t="s">
        <v>1</v>
      </c>
      <c r="F243" s="25" t="s">
        <v>390</v>
      </c>
      <c r="G243" s="25" t="s">
        <v>302</v>
      </c>
      <c r="H243" s="27" t="s">
        <v>383</v>
      </c>
      <c r="I243" s="27" t="s">
        <v>383</v>
      </c>
      <c r="J243" t="str">
        <f>C243</f>
        <v>Somerset</v>
      </c>
    </row>
    <row r="244" spans="1:11" ht="14.4">
      <c r="A244" s="22" t="str">
        <f>F244&amp;(COUNTIFS(F$2:F244,F244,K$2:K244,"Sparse"))</f>
        <v>SD38</v>
      </c>
      <c r="B244" s="22" t="str">
        <f>J244&amp;(COUNTIF(J$2:J244,J244))</f>
        <v>Somerset4</v>
      </c>
      <c r="C244" s="27" t="s">
        <v>904</v>
      </c>
      <c r="D244" s="27" t="s">
        <v>904</v>
      </c>
      <c r="E244" s="25" t="s">
        <v>1</v>
      </c>
      <c r="F244" s="25" t="s">
        <v>382</v>
      </c>
      <c r="G244" s="25" t="s">
        <v>5</v>
      </c>
      <c r="H244" s="27" t="s">
        <v>907</v>
      </c>
      <c r="I244" s="27" t="s">
        <v>383</v>
      </c>
      <c r="J244" t="s">
        <v>327</v>
      </c>
      <c r="K244" t="s">
        <v>336</v>
      </c>
    </row>
    <row r="245" spans="1:11" ht="14.4">
      <c r="A245" s="22" t="str">
        <f>F245&amp;(COUNTIFS(F$2:F245,F245,K$2:K245,"Sparse"))</f>
        <v>SD39</v>
      </c>
      <c r="B245" s="22" t="str">
        <f>J245&amp;(COUNTIF(J$2:J245,J245))</f>
        <v>Cambridgeshire6</v>
      </c>
      <c r="C245" t="s">
        <v>912</v>
      </c>
      <c r="D245" t="s">
        <v>912</v>
      </c>
      <c r="E245" s="25" t="s">
        <v>370</v>
      </c>
      <c r="F245" s="25" t="s">
        <v>382</v>
      </c>
      <c r="G245" s="25" t="s">
        <v>5</v>
      </c>
      <c r="H245" s="26" t="s">
        <v>896</v>
      </c>
      <c r="I245" s="27" t="s">
        <v>372</v>
      </c>
      <c r="J245" t="s">
        <v>303</v>
      </c>
      <c r="K245" t="s">
        <v>336</v>
      </c>
    </row>
    <row r="246" spans="1:11" ht="14.4">
      <c r="A246" s="22" t="str">
        <f>F246&amp;(COUNTIFS(F$2:F246,F246,K$2:K246,"Sparse"))</f>
        <v>SD39</v>
      </c>
      <c r="B246" s="22" t="str">
        <f>J246&amp;(COUNTIF(J$2:J246,J246))</f>
        <v>Derbyshire9</v>
      </c>
      <c r="C246" t="s">
        <v>140</v>
      </c>
      <c r="D246" t="s">
        <v>140</v>
      </c>
      <c r="E246" s="25" t="s">
        <v>368</v>
      </c>
      <c r="F246" s="25" t="s">
        <v>382</v>
      </c>
      <c r="G246" s="25" t="s">
        <v>5</v>
      </c>
      <c r="H246" s="26" t="s">
        <v>896</v>
      </c>
      <c r="I246" s="27" t="s">
        <v>372</v>
      </c>
      <c r="J246" t="s">
        <v>308</v>
      </c>
    </row>
    <row r="247" spans="1:11" ht="14.4">
      <c r="A247" s="22" t="str">
        <f>F247&amp;(COUNTIFS(F$2:F247,F247,K$2:K247,"Sparse"))</f>
        <v>UA11</v>
      </c>
      <c r="B247" s="22" t="str">
        <f>J247&amp;(COUNTIF(J$2:J247,J247))</f>
        <v>Unitary42</v>
      </c>
      <c r="C247" t="s">
        <v>288</v>
      </c>
      <c r="D247" t="s">
        <v>288</v>
      </c>
      <c r="E247" s="25" t="s">
        <v>1</v>
      </c>
      <c r="F247" s="25" t="s">
        <v>388</v>
      </c>
      <c r="G247" s="25" t="s">
        <v>397</v>
      </c>
      <c r="H247" s="26" t="s">
        <v>893</v>
      </c>
      <c r="I247" s="27" t="s">
        <v>385</v>
      </c>
      <c r="J247" s="3" t="s">
        <v>397</v>
      </c>
    </row>
    <row r="248" spans="1:11" ht="14.4">
      <c r="A248" s="22" t="str">
        <f>F248&amp;(COUNTIFS(F$2:F248,F248,K$2:K248,"Sparse"))</f>
        <v>SD40</v>
      </c>
      <c r="B248" s="22" t="str">
        <f>J248&amp;(COUNTIF(J$2:J248,J248))</f>
        <v>Devon6</v>
      </c>
      <c r="C248" t="s">
        <v>141</v>
      </c>
      <c r="D248" t="s">
        <v>141</v>
      </c>
      <c r="E248" s="25" t="s">
        <v>1</v>
      </c>
      <c r="F248" s="25" t="s">
        <v>382</v>
      </c>
      <c r="G248" s="25" t="s">
        <v>5</v>
      </c>
      <c r="H248" s="26" t="s">
        <v>894</v>
      </c>
      <c r="I248" s="27" t="s">
        <v>383</v>
      </c>
      <c r="J248" t="s">
        <v>309</v>
      </c>
      <c r="K248" t="s">
        <v>336</v>
      </c>
    </row>
    <row r="249" spans="1:11" ht="14.4">
      <c r="A249" s="22" t="str">
        <f>F249&amp;(COUNTIFS(F$2:F249,F249,K$2:K249,"Sparse"))</f>
        <v>SD41</v>
      </c>
      <c r="B249" s="22" t="str">
        <f>J249&amp;(COUNTIF(J$2:J249,J249))</f>
        <v>Lincolnshire6</v>
      </c>
      <c r="C249" t="s">
        <v>142</v>
      </c>
      <c r="D249" t="s">
        <v>142</v>
      </c>
      <c r="E249" s="25" t="s">
        <v>368</v>
      </c>
      <c r="F249" s="25" t="s">
        <v>382</v>
      </c>
      <c r="G249" s="25" t="s">
        <v>5</v>
      </c>
      <c r="H249" s="26" t="s">
        <v>897</v>
      </c>
      <c r="I249" s="27" t="s">
        <v>383</v>
      </c>
      <c r="J249" t="s">
        <v>319</v>
      </c>
      <c r="K249" t="s">
        <v>336</v>
      </c>
    </row>
    <row r="250" spans="1:11" ht="14.4">
      <c r="A250" s="22" t="str">
        <f>F250&amp;(COUNTIFS(F$2:F250,F250,K$2:K250,"Sparse"))</f>
        <v>SD42</v>
      </c>
      <c r="B250" s="22" t="str">
        <f>J250&amp;(COUNTIF(J$2:J250,J250))</f>
        <v>Lincolnshire7</v>
      </c>
      <c r="C250" t="s">
        <v>143</v>
      </c>
      <c r="D250" t="s">
        <v>143</v>
      </c>
      <c r="E250" s="25" t="s">
        <v>368</v>
      </c>
      <c r="F250" s="25" t="s">
        <v>382</v>
      </c>
      <c r="G250" s="25" t="s">
        <v>5</v>
      </c>
      <c r="H250" s="26" t="s">
        <v>897</v>
      </c>
      <c r="I250" s="27" t="s">
        <v>383</v>
      </c>
      <c r="J250" t="s">
        <v>319</v>
      </c>
      <c r="K250" t="s">
        <v>336</v>
      </c>
    </row>
    <row r="251" spans="1:11" ht="14.4">
      <c r="A251" s="22" t="str">
        <f>F251&amp;(COUNTIFS(F$2:F251,F251,K$2:K251,"Sparse"))</f>
        <v>SD43</v>
      </c>
      <c r="B251" s="22" t="str">
        <f>J251&amp;(COUNTIF(J$2:J251,J251))</f>
        <v>Cumbria7</v>
      </c>
      <c r="C251" t="s">
        <v>144</v>
      </c>
      <c r="D251" t="s">
        <v>144</v>
      </c>
      <c r="E251" s="25" t="s">
        <v>377</v>
      </c>
      <c r="F251" s="25" t="s">
        <v>382</v>
      </c>
      <c r="G251" s="25" t="s">
        <v>5</v>
      </c>
      <c r="H251" s="26" t="s">
        <v>894</v>
      </c>
      <c r="I251" s="27" t="s">
        <v>383</v>
      </c>
      <c r="J251" t="s">
        <v>307</v>
      </c>
      <c r="K251" t="s">
        <v>336</v>
      </c>
    </row>
    <row r="252" spans="1:11" ht="14.4">
      <c r="A252" s="22" t="str">
        <f>F252&amp;(COUNTIFS(F$2:F252,F252,K$2:K252,"Sparse"))</f>
        <v>SD44</v>
      </c>
      <c r="B252" s="22" t="str">
        <f>J252&amp;(COUNTIF(J$2:J252,J252))</f>
        <v>Norfolk8</v>
      </c>
      <c r="C252" t="s">
        <v>145</v>
      </c>
      <c r="D252" t="s">
        <v>145</v>
      </c>
      <c r="E252" s="25" t="s">
        <v>370</v>
      </c>
      <c r="F252" s="25" t="s">
        <v>382</v>
      </c>
      <c r="G252" s="25" t="s">
        <v>5</v>
      </c>
      <c r="H252" s="26" t="s">
        <v>894</v>
      </c>
      <c r="I252" s="27" t="s">
        <v>383</v>
      </c>
      <c r="J252" t="s">
        <v>320</v>
      </c>
      <c r="K252" t="s">
        <v>336</v>
      </c>
    </row>
    <row r="253" spans="1:11" ht="14.4">
      <c r="A253" s="22" t="str">
        <f>F253&amp;(COUNTIFS(F$2:F253,F253,K$2:K253,"Sparse"))</f>
        <v>SD45</v>
      </c>
      <c r="B253" s="22" t="str">
        <f>J253&amp;(COUNTIF(J$2:J253,J253))</f>
        <v>Oxfordshire4</v>
      </c>
      <c r="C253" t="s">
        <v>147</v>
      </c>
      <c r="D253" t="s">
        <v>147</v>
      </c>
      <c r="E253" s="25" t="s">
        <v>0</v>
      </c>
      <c r="F253" s="25" t="s">
        <v>382</v>
      </c>
      <c r="G253" s="25" t="s">
        <v>5</v>
      </c>
      <c r="H253" s="26" t="s">
        <v>894</v>
      </c>
      <c r="I253" s="27" t="s">
        <v>383</v>
      </c>
      <c r="J253" t="s">
        <v>325</v>
      </c>
      <c r="K253" t="s">
        <v>336</v>
      </c>
    </row>
    <row r="254" spans="1:11" ht="14.4">
      <c r="A254" s="22" t="str">
        <f>F254&amp;(COUNTIFS(F$2:F254,F254,K$2:K254,"Sparse"))</f>
        <v>SD45</v>
      </c>
      <c r="B254" s="22" t="str">
        <f>J254&amp;(COUNTIF(J$2:J254,J254))</f>
        <v>Lancashire11</v>
      </c>
      <c r="C254" t="s">
        <v>148</v>
      </c>
      <c r="D254" t="s">
        <v>148</v>
      </c>
      <c r="E254" s="25" t="s">
        <v>377</v>
      </c>
      <c r="F254" s="25" t="s">
        <v>382</v>
      </c>
      <c r="G254" s="25" t="s">
        <v>5</v>
      </c>
      <c r="H254" s="26" t="s">
        <v>893</v>
      </c>
      <c r="I254" s="27" t="s">
        <v>385</v>
      </c>
      <c r="J254" t="s">
        <v>317</v>
      </c>
    </row>
    <row r="255" spans="1:11" ht="14.4">
      <c r="A255" s="22" t="str">
        <f>F255&amp;(COUNTIFS(F$2:F255,F255,K$2:K255,"Sparse"))</f>
        <v>SD46</v>
      </c>
      <c r="B255" s="22" t="str">
        <f>J255&amp;(COUNTIF(J$2:J255,J255))</f>
        <v>Somerset5</v>
      </c>
      <c r="C255" t="s">
        <v>149</v>
      </c>
      <c r="D255" t="s">
        <v>149</v>
      </c>
      <c r="E255" s="25" t="s">
        <v>1</v>
      </c>
      <c r="F255" s="25" t="s">
        <v>382</v>
      </c>
      <c r="G255" s="25" t="s">
        <v>5</v>
      </c>
      <c r="H255" s="26" t="s">
        <v>897</v>
      </c>
      <c r="I255" s="27" t="s">
        <v>383</v>
      </c>
      <c r="J255" t="s">
        <v>327</v>
      </c>
      <c r="K255" t="s">
        <v>336</v>
      </c>
    </row>
    <row r="256" spans="1:11" ht="14.4">
      <c r="A256" s="22" t="str">
        <f>F256&amp;(COUNTIFS(F$2:F256,F256,K$2:K256,"Sparse"))</f>
        <v>SD46</v>
      </c>
      <c r="B256" s="22" t="str">
        <f>J256&amp;(COUNTIF(J$2:J256,J256))</f>
        <v>Staffordshire5</v>
      </c>
      <c r="C256" t="s">
        <v>150</v>
      </c>
      <c r="D256" t="s">
        <v>150</v>
      </c>
      <c r="E256" s="25" t="s">
        <v>369</v>
      </c>
      <c r="F256" s="25" t="s">
        <v>382</v>
      </c>
      <c r="G256" s="25" t="s">
        <v>5</v>
      </c>
      <c r="H256" s="26" t="s">
        <v>896</v>
      </c>
      <c r="I256" s="27" t="s">
        <v>372</v>
      </c>
      <c r="J256" t="s">
        <v>328</v>
      </c>
    </row>
    <row r="257" spans="1:11" ht="14.4">
      <c r="A257" s="22" t="str">
        <f>F257&amp;(COUNTIFS(F$2:F257,F257,K$2:K257,"Sparse"))</f>
        <v>MD0</v>
      </c>
      <c r="B257" s="22" t="str">
        <f>J257&amp;(COUNTIF(J$2:J257,J257))</f>
        <v>South Tyneside1</v>
      </c>
      <c r="C257" t="s">
        <v>248</v>
      </c>
      <c r="D257" t="s">
        <v>248</v>
      </c>
      <c r="E257" s="25" t="s">
        <v>391</v>
      </c>
      <c r="F257" s="25" t="s">
        <v>387</v>
      </c>
      <c r="G257" s="25" t="s">
        <v>398</v>
      </c>
      <c r="H257" s="26" t="s">
        <v>898</v>
      </c>
      <c r="I257" s="27" t="s">
        <v>385</v>
      </c>
      <c r="J257" t="str">
        <f>C257</f>
        <v>South Tyneside</v>
      </c>
    </row>
    <row r="258" spans="1:11" ht="14.4">
      <c r="A258" s="22" t="str">
        <f>F258&amp;(COUNTIFS(F$2:F258,F258,K$2:K258,"Sparse"))</f>
        <v>UA11</v>
      </c>
      <c r="B258" s="22" t="str">
        <f>J258&amp;(COUNTIF(J$2:J258,J258))</f>
        <v>Unitary43</v>
      </c>
      <c r="C258" t="s">
        <v>289</v>
      </c>
      <c r="D258" t="s">
        <v>289</v>
      </c>
      <c r="E258" s="25" t="s">
        <v>0</v>
      </c>
      <c r="F258" s="25" t="s">
        <v>388</v>
      </c>
      <c r="G258" s="25" t="s">
        <v>397</v>
      </c>
      <c r="H258" s="26" t="s">
        <v>893</v>
      </c>
      <c r="I258" s="27" t="s">
        <v>385</v>
      </c>
      <c r="J258" s="3" t="s">
        <v>397</v>
      </c>
    </row>
    <row r="259" spans="1:11" ht="14.4">
      <c r="A259" s="22" t="str">
        <f>F259&amp;(COUNTIFS(F$2:F259,F259,K$2:K259,"Sparse"))</f>
        <v>UA11</v>
      </c>
      <c r="B259" s="22" t="str">
        <f>J259&amp;(COUNTIF(J$2:J259,J259))</f>
        <v>Unitary44</v>
      </c>
      <c r="C259" t="s">
        <v>290</v>
      </c>
      <c r="D259" t="s">
        <v>290</v>
      </c>
      <c r="E259" s="25" t="s">
        <v>370</v>
      </c>
      <c r="F259" s="25" t="s">
        <v>388</v>
      </c>
      <c r="G259" s="25" t="s">
        <v>397</v>
      </c>
      <c r="H259" s="26" t="s">
        <v>893</v>
      </c>
      <c r="I259" s="27" t="s">
        <v>385</v>
      </c>
      <c r="J259" s="3" t="s">
        <v>397</v>
      </c>
    </row>
    <row r="260" spans="1:11" ht="14.4">
      <c r="A260" s="22" t="str">
        <f>F260&amp;(COUNTIFS(F$2:F260,F260,K$2:K260,"Sparse"))</f>
        <v>L0</v>
      </c>
      <c r="B260" s="22" t="str">
        <f>J260&amp;(COUNTIF(J$2:J260,J260))</f>
        <v>London28</v>
      </c>
      <c r="C260" t="s">
        <v>218</v>
      </c>
      <c r="D260" t="s">
        <v>218</v>
      </c>
      <c r="E260" s="25" t="s">
        <v>384</v>
      </c>
      <c r="F260" s="25" t="s">
        <v>360</v>
      </c>
      <c r="G260" s="25" t="s">
        <v>384</v>
      </c>
      <c r="H260" s="26" t="s">
        <v>898</v>
      </c>
      <c r="I260" s="27" t="s">
        <v>385</v>
      </c>
      <c r="J260" t="str">
        <f>G260</f>
        <v>London</v>
      </c>
    </row>
    <row r="261" spans="1:11" ht="14.4">
      <c r="A261" s="22" t="str">
        <f>F261&amp;(COUNTIFS(F$2:F261,F261,K$2:K261,"Sparse"))</f>
        <v>SD46</v>
      </c>
      <c r="B261" s="22" t="str">
        <f>J261&amp;(COUNTIF(J$2:J261,J261))</f>
        <v>Surrey7</v>
      </c>
      <c r="C261" t="s">
        <v>151</v>
      </c>
      <c r="D261" t="s">
        <v>151</v>
      </c>
      <c r="E261" s="25" t="s">
        <v>0</v>
      </c>
      <c r="F261" s="25" t="s">
        <v>382</v>
      </c>
      <c r="G261" s="25" t="s">
        <v>5</v>
      </c>
      <c r="H261" s="26" t="s">
        <v>898</v>
      </c>
      <c r="I261" s="27" t="s">
        <v>385</v>
      </c>
      <c r="J261" t="s">
        <v>330</v>
      </c>
    </row>
    <row r="262" spans="1:11" ht="14.4">
      <c r="A262" s="22" t="str">
        <f>F262&amp;(COUNTIFS(F$2:F262,F262,K$2:K262,"Sparse"))</f>
        <v>SD46</v>
      </c>
      <c r="B262" s="22" t="str">
        <f>J262&amp;(COUNTIF(J$2:J262,J262))</f>
        <v>Hertfordshire7</v>
      </c>
      <c r="C262" t="s">
        <v>152</v>
      </c>
      <c r="D262" t="s">
        <v>152</v>
      </c>
      <c r="E262" s="25" t="s">
        <v>370</v>
      </c>
      <c r="F262" s="25" t="s">
        <v>382</v>
      </c>
      <c r="G262" s="25" t="s">
        <v>5</v>
      </c>
      <c r="H262" s="26" t="s">
        <v>893</v>
      </c>
      <c r="I262" s="27" t="s">
        <v>385</v>
      </c>
      <c r="J262" t="s">
        <v>315</v>
      </c>
    </row>
    <row r="263" spans="1:11" ht="14.4">
      <c r="A263" s="22" t="str">
        <f>F263&amp;(COUNTIFS(F$2:F263,F263,K$2:K263,"Sparse"))</f>
        <v>SD47</v>
      </c>
      <c r="B263" s="22" t="str">
        <f>J263&amp;(COUNTIF(J$2:J263,J263))</f>
        <v>Suffolk4</v>
      </c>
      <c r="C263" t="s">
        <v>900</v>
      </c>
      <c r="D263" t="s">
        <v>900</v>
      </c>
      <c r="E263" s="25" t="s">
        <v>370</v>
      </c>
      <c r="F263" s="25" t="s">
        <v>382</v>
      </c>
      <c r="G263" s="25" t="s">
        <v>5</v>
      </c>
      <c r="H263" s="26" t="s">
        <v>897</v>
      </c>
      <c r="I263" s="27" t="s">
        <v>383</v>
      </c>
      <c r="J263" t="s">
        <v>329</v>
      </c>
      <c r="K263" t="s">
        <v>336</v>
      </c>
    </row>
    <row r="264" spans="1:11" ht="14.4">
      <c r="A264" s="22" t="str">
        <f>F264&amp;(COUNTIFS(F$2:F264,F264,K$2:K264,"Sparse"))</f>
        <v>MD0</v>
      </c>
      <c r="B264" s="22" t="str">
        <f>J264&amp;(COUNTIF(J$2:J264,J264))</f>
        <v>St Helens1</v>
      </c>
      <c r="C264" t="s">
        <v>249</v>
      </c>
      <c r="D264" t="s">
        <v>396</v>
      </c>
      <c r="E264" s="25" t="s">
        <v>377</v>
      </c>
      <c r="F264" s="25" t="s">
        <v>387</v>
      </c>
      <c r="G264" s="25" t="s">
        <v>398</v>
      </c>
      <c r="H264" s="26" t="s">
        <v>898</v>
      </c>
      <c r="I264" s="27" t="s">
        <v>385</v>
      </c>
      <c r="J264" t="str">
        <f>C264</f>
        <v>St Helens</v>
      </c>
    </row>
    <row r="265" spans="1:11" ht="14.4">
      <c r="A265" s="22" t="str">
        <f>F265&amp;(COUNTIFS(F$2:F265,F265,K$2:K265,"Sparse"))</f>
        <v>SD48</v>
      </c>
      <c r="B265" s="22" t="str">
        <f>J265&amp;(COUNTIF(J$2:J265,J265))</f>
        <v>Staffordshire6</v>
      </c>
      <c r="C265" t="s">
        <v>154</v>
      </c>
      <c r="D265" t="s">
        <v>154</v>
      </c>
      <c r="E265" s="25" t="s">
        <v>369</v>
      </c>
      <c r="F265" s="25" t="s">
        <v>382</v>
      </c>
      <c r="G265" s="25" t="s">
        <v>5</v>
      </c>
      <c r="H265" s="26" t="s">
        <v>896</v>
      </c>
      <c r="I265" s="27" t="s">
        <v>372</v>
      </c>
      <c r="J265" t="s">
        <v>328</v>
      </c>
      <c r="K265" t="s">
        <v>336</v>
      </c>
    </row>
    <row r="266" spans="1:11" ht="14.4">
      <c r="A266" s="22" t="str">
        <f>F266&amp;(COUNTIFS(F$2:F266,F266,K$2:K266,"Sparse"))</f>
        <v>SC9</v>
      </c>
      <c r="B266" s="22" t="str">
        <f>J266&amp;(COUNTIF(J$2:J266,J266))</f>
        <v>Staffordshire7</v>
      </c>
      <c r="C266" s="27" t="s">
        <v>328</v>
      </c>
      <c r="D266" s="27" t="s">
        <v>328</v>
      </c>
      <c r="E266" s="25" t="s">
        <v>369</v>
      </c>
      <c r="F266" s="25" t="s">
        <v>390</v>
      </c>
      <c r="G266" s="25" t="s">
        <v>302</v>
      </c>
      <c r="H266" s="27" t="s">
        <v>372</v>
      </c>
      <c r="I266" s="27" t="s">
        <v>372</v>
      </c>
      <c r="J266" t="str">
        <f>C266</f>
        <v>Staffordshire</v>
      </c>
      <c r="K266" t="s">
        <v>336</v>
      </c>
    </row>
    <row r="267" spans="1:11" ht="14.4">
      <c r="A267" s="22" t="str">
        <f>F267&amp;(COUNTIFS(F$2:F267,F267,K$2:K267,"Sparse"))</f>
        <v>SD48</v>
      </c>
      <c r="B267" s="22" t="str">
        <f>J267&amp;(COUNTIF(J$2:J267,J267))</f>
        <v>Staffordshire8</v>
      </c>
      <c r="C267" t="s">
        <v>155</v>
      </c>
      <c r="D267" t="s">
        <v>155</v>
      </c>
      <c r="E267" s="25" t="s">
        <v>369</v>
      </c>
      <c r="F267" s="25" t="s">
        <v>382</v>
      </c>
      <c r="G267" s="25" t="s">
        <v>5</v>
      </c>
      <c r="H267" s="26" t="s">
        <v>897</v>
      </c>
      <c r="I267" s="27" t="s">
        <v>383</v>
      </c>
      <c r="J267" t="s">
        <v>328</v>
      </c>
    </row>
    <row r="268" spans="1:11" ht="14.4">
      <c r="A268" s="22" t="str">
        <f>F268&amp;(COUNTIFS(F$2:F268,F268,K$2:K268,"Sparse"))</f>
        <v>SD48</v>
      </c>
      <c r="B268" s="22" t="str">
        <f>J268&amp;(COUNTIF(J$2:J268,J268))</f>
        <v>Hertfordshire8</v>
      </c>
      <c r="C268" t="s">
        <v>156</v>
      </c>
      <c r="D268" t="s">
        <v>156</v>
      </c>
      <c r="E268" s="25" t="s">
        <v>370</v>
      </c>
      <c r="F268" s="25" t="s">
        <v>382</v>
      </c>
      <c r="G268" s="25" t="s">
        <v>5</v>
      </c>
      <c r="H268" s="26" t="s">
        <v>893</v>
      </c>
      <c r="I268" s="27" t="s">
        <v>385</v>
      </c>
      <c r="J268" t="s">
        <v>315</v>
      </c>
    </row>
    <row r="269" spans="1:11" ht="14.4">
      <c r="A269" s="22" t="str">
        <f>F269&amp;(COUNTIFS(F$2:F269,F269,K$2:K269,"Sparse"))</f>
        <v>MD0</v>
      </c>
      <c r="B269" s="22" t="str">
        <f>J269&amp;(COUNTIF(J$2:J269,J269))</f>
        <v>Stockport1</v>
      </c>
      <c r="C269" t="s">
        <v>250</v>
      </c>
      <c r="D269" t="s">
        <v>250</v>
      </c>
      <c r="E269" s="25" t="s">
        <v>377</v>
      </c>
      <c r="F269" s="25" t="s">
        <v>387</v>
      </c>
      <c r="G269" s="25" t="s">
        <v>398</v>
      </c>
      <c r="H269" s="26" t="s">
        <v>898</v>
      </c>
      <c r="I269" s="27" t="s">
        <v>385</v>
      </c>
      <c r="J269" t="str">
        <f>C269</f>
        <v>Stockport</v>
      </c>
    </row>
    <row r="270" spans="1:11" ht="14.4">
      <c r="A270" s="22" t="str">
        <f>F270&amp;(COUNTIFS(F$2:F270,F270,K$2:K270,"Sparse"))</f>
        <v>UA11</v>
      </c>
      <c r="B270" s="22" t="str">
        <f>J270&amp;(COUNTIF(J$2:J270,J270))</f>
        <v>Unitary45</v>
      </c>
      <c r="C270" t="s">
        <v>291</v>
      </c>
      <c r="D270" t="s">
        <v>291</v>
      </c>
      <c r="E270" s="25" t="s">
        <v>391</v>
      </c>
      <c r="F270" s="25" t="s">
        <v>388</v>
      </c>
      <c r="G270" s="25" t="s">
        <v>397</v>
      </c>
      <c r="H270" s="26" t="s">
        <v>893</v>
      </c>
      <c r="I270" s="27" t="s">
        <v>385</v>
      </c>
      <c r="J270" s="3" t="s">
        <v>397</v>
      </c>
    </row>
    <row r="271" spans="1:11" ht="14.4">
      <c r="A271" s="22" t="str">
        <f>F271&amp;(COUNTIFS(F$2:F271,F271,K$2:K271,"Sparse"))</f>
        <v>UA11</v>
      </c>
      <c r="B271" s="22" t="str">
        <f>J271&amp;(COUNTIF(J$2:J271,J271))</f>
        <v>Unitary46</v>
      </c>
      <c r="C271" t="s">
        <v>292</v>
      </c>
      <c r="D271" t="s">
        <v>292</v>
      </c>
      <c r="E271" s="25" t="s">
        <v>369</v>
      </c>
      <c r="F271" s="25" t="s">
        <v>388</v>
      </c>
      <c r="G271" s="25" t="s">
        <v>397</v>
      </c>
      <c r="H271" s="26" t="s">
        <v>893</v>
      </c>
      <c r="I271" s="27" t="s">
        <v>385</v>
      </c>
      <c r="J271" s="3" t="s">
        <v>397</v>
      </c>
    </row>
    <row r="272" spans="1:11" ht="14.4">
      <c r="A272" s="22" t="str">
        <f>F272&amp;(COUNTIFS(F$2:F272,F272,K$2:K272,"Sparse"))</f>
        <v>SD49</v>
      </c>
      <c r="B272" s="22" t="str">
        <f>J272&amp;(COUNTIF(J$2:J272,J272))</f>
        <v>Warwickshire4</v>
      </c>
      <c r="C272" t="s">
        <v>157</v>
      </c>
      <c r="D272" t="s">
        <v>157</v>
      </c>
      <c r="E272" s="25" t="s">
        <v>369</v>
      </c>
      <c r="F272" s="25" t="s">
        <v>382</v>
      </c>
      <c r="G272" s="25" t="s">
        <v>5</v>
      </c>
      <c r="H272" s="26" t="s">
        <v>894</v>
      </c>
      <c r="I272" s="27" t="s">
        <v>383</v>
      </c>
      <c r="J272" t="s">
        <v>331</v>
      </c>
      <c r="K272" t="s">
        <v>336</v>
      </c>
    </row>
    <row r="273" spans="1:11" ht="14.4">
      <c r="A273" s="22" t="str">
        <f>F273&amp;(COUNTIFS(F$2:F273,F273,K$2:K273,"Sparse"))</f>
        <v>SD50</v>
      </c>
      <c r="B273" s="22" t="str">
        <f>J273&amp;(COUNTIF(J$2:J273,J273))</f>
        <v>Gloucestershire6</v>
      </c>
      <c r="C273" t="s">
        <v>158</v>
      </c>
      <c r="D273" t="s">
        <v>158</v>
      </c>
      <c r="E273" s="25" t="s">
        <v>1</v>
      </c>
      <c r="F273" s="25" t="s">
        <v>382</v>
      </c>
      <c r="G273" s="25" t="s">
        <v>5</v>
      </c>
      <c r="H273" s="26" t="s">
        <v>896</v>
      </c>
      <c r="I273" s="27" t="s">
        <v>372</v>
      </c>
      <c r="J273" t="s">
        <v>313</v>
      </c>
      <c r="K273" t="s">
        <v>336</v>
      </c>
    </row>
    <row r="274" spans="1:11" ht="14.4">
      <c r="A274" s="22" t="str">
        <f>F274&amp;(COUNTIFS(F$2:F274,F274,K$2:K274,"Sparse"))</f>
        <v>SC10</v>
      </c>
      <c r="B274" s="22" t="str">
        <f>J274&amp;(COUNTIF(J$2:J274,J274))</f>
        <v>Suffolk5</v>
      </c>
      <c r="C274" s="27" t="s">
        <v>329</v>
      </c>
      <c r="D274" s="27" t="s">
        <v>329</v>
      </c>
      <c r="E274" s="25" t="s">
        <v>370</v>
      </c>
      <c r="F274" s="25" t="s">
        <v>390</v>
      </c>
      <c r="G274" s="25" t="s">
        <v>302</v>
      </c>
      <c r="H274" s="27" t="s">
        <v>383</v>
      </c>
      <c r="I274" s="27" t="s">
        <v>383</v>
      </c>
      <c r="J274" t="str">
        <f>C274</f>
        <v>Suffolk</v>
      </c>
      <c r="K274" t="s">
        <v>336</v>
      </c>
    </row>
    <row r="275" spans="1:11" ht="14.4">
      <c r="A275" s="22" t="str">
        <f>F275&amp;(COUNTIFS(F$2:F275,F275,K$2:K275,"Sparse"))</f>
        <v>SD51</v>
      </c>
      <c r="B275" s="22" t="str">
        <f>J275&amp;(COUNTIF(J$2:J275,J275))</f>
        <v>Suffolk6</v>
      </c>
      <c r="C275" t="s">
        <v>899</v>
      </c>
      <c r="D275" t="s">
        <v>899</v>
      </c>
      <c r="E275" s="25" t="s">
        <v>370</v>
      </c>
      <c r="F275" s="25" t="s">
        <v>382</v>
      </c>
      <c r="G275" s="25" t="s">
        <v>5</v>
      </c>
      <c r="H275" s="26" t="s">
        <v>897</v>
      </c>
      <c r="I275" s="27" t="s">
        <v>383</v>
      </c>
      <c r="J275" t="s">
        <v>329</v>
      </c>
      <c r="K275" t="s">
        <v>336</v>
      </c>
    </row>
    <row r="276" spans="1:11" ht="14.4">
      <c r="A276" s="22" t="str">
        <f>F276&amp;(COUNTIFS(F$2:F276,F276,K$2:K276,"Sparse"))</f>
        <v>MD0</v>
      </c>
      <c r="B276" s="22" t="str">
        <f>J276&amp;(COUNTIF(J$2:J276,J276))</f>
        <v>Sunderland1</v>
      </c>
      <c r="C276" t="s">
        <v>251</v>
      </c>
      <c r="D276" t="s">
        <v>251</v>
      </c>
      <c r="E276" s="25" t="s">
        <v>391</v>
      </c>
      <c r="F276" s="25" t="s">
        <v>387</v>
      </c>
      <c r="G276" s="25" t="s">
        <v>398</v>
      </c>
      <c r="H276" s="26" t="s">
        <v>898</v>
      </c>
      <c r="I276" s="27" t="s">
        <v>385</v>
      </c>
      <c r="J276" t="str">
        <f>C276</f>
        <v>Sunderland</v>
      </c>
    </row>
    <row r="277" spans="1:11" ht="14.4">
      <c r="A277" s="22" t="str">
        <f>F277&amp;(COUNTIFS(F$2:F277,F277,K$2:K277,"Sparse"))</f>
        <v>SC10</v>
      </c>
      <c r="B277" s="22" t="str">
        <f>J277&amp;(COUNTIF(J$2:J277,J277))</f>
        <v>Surrey8</v>
      </c>
      <c r="C277" s="27" t="s">
        <v>330</v>
      </c>
      <c r="D277" s="27" t="s">
        <v>330</v>
      </c>
      <c r="E277" s="25" t="s">
        <v>0</v>
      </c>
      <c r="F277" s="25" t="s">
        <v>390</v>
      </c>
      <c r="G277" s="25" t="s">
        <v>302</v>
      </c>
      <c r="H277" s="27" t="s">
        <v>385</v>
      </c>
      <c r="I277" s="27" t="s">
        <v>385</v>
      </c>
      <c r="J277" t="str">
        <f>C277</f>
        <v>Surrey</v>
      </c>
    </row>
    <row r="278" spans="1:11" ht="14.4">
      <c r="A278" s="22" t="str">
        <f>F278&amp;(COUNTIFS(F$2:F278,F278,K$2:K278,"Sparse"))</f>
        <v>SD51</v>
      </c>
      <c r="B278" s="22" t="str">
        <f>J278&amp;(COUNTIF(J$2:J278,J278))</f>
        <v>Surrey9</v>
      </c>
      <c r="C278" t="s">
        <v>160</v>
      </c>
      <c r="D278" t="s">
        <v>160</v>
      </c>
      <c r="E278" s="25" t="s">
        <v>0</v>
      </c>
      <c r="F278" s="25" t="s">
        <v>382</v>
      </c>
      <c r="G278" s="25" t="s">
        <v>5</v>
      </c>
      <c r="H278" s="26" t="s">
        <v>893</v>
      </c>
      <c r="I278" s="27" t="s">
        <v>385</v>
      </c>
      <c r="J278" t="s">
        <v>330</v>
      </c>
    </row>
    <row r="279" spans="1:11" ht="14.4">
      <c r="A279" s="22" t="str">
        <f>F279&amp;(COUNTIFS(F$2:F279,F279,K$2:K279,"Sparse"))</f>
        <v>L0</v>
      </c>
      <c r="B279" s="22" t="str">
        <f>J279&amp;(COUNTIF(J$2:J279,J279))</f>
        <v>London29</v>
      </c>
      <c r="C279" t="s">
        <v>219</v>
      </c>
      <c r="D279" t="s">
        <v>219</v>
      </c>
      <c r="E279" s="25" t="s">
        <v>384</v>
      </c>
      <c r="F279" s="25" t="s">
        <v>360</v>
      </c>
      <c r="G279" s="25" t="s">
        <v>384</v>
      </c>
      <c r="H279" s="26" t="s">
        <v>898</v>
      </c>
      <c r="I279" s="27" t="s">
        <v>385</v>
      </c>
      <c r="J279" t="str">
        <f>G279</f>
        <v>London</v>
      </c>
    </row>
    <row r="280" spans="1:11" ht="14.4">
      <c r="A280" s="22" t="str">
        <f>F280&amp;(COUNTIFS(F$2:F280,F280,K$2:K280,"Sparse"))</f>
        <v>SD51</v>
      </c>
      <c r="B280" s="22" t="str">
        <f>J280&amp;(COUNTIF(J$2:J280,J280))</f>
        <v>Kent10</v>
      </c>
      <c r="C280" t="s">
        <v>161</v>
      </c>
      <c r="D280" t="s">
        <v>161</v>
      </c>
      <c r="E280" s="25" t="s">
        <v>0</v>
      </c>
      <c r="F280" s="25" t="s">
        <v>382</v>
      </c>
      <c r="G280" s="25" t="s">
        <v>5</v>
      </c>
      <c r="H280" s="26" t="s">
        <v>897</v>
      </c>
      <c r="I280" s="27" t="s">
        <v>383</v>
      </c>
      <c r="J280" t="s">
        <v>316</v>
      </c>
    </row>
    <row r="281" spans="1:11" ht="14.4">
      <c r="A281" s="22" t="str">
        <f>F281&amp;(COUNTIFS(F$2:F281,F281,K$2:K281,"Sparse"))</f>
        <v>UA11</v>
      </c>
      <c r="B281" s="22" t="str">
        <f>J281&amp;(COUNTIF(J$2:J281,J281))</f>
        <v>Unitary47</v>
      </c>
      <c r="C281" t="s">
        <v>293</v>
      </c>
      <c r="D281" t="s">
        <v>293</v>
      </c>
      <c r="E281" s="25" t="s">
        <v>1</v>
      </c>
      <c r="F281" s="25" t="s">
        <v>388</v>
      </c>
      <c r="G281" s="25" t="s">
        <v>397</v>
      </c>
      <c r="H281" s="26" t="s">
        <v>893</v>
      </c>
      <c r="I281" s="27" t="s">
        <v>385</v>
      </c>
      <c r="J281" s="3" t="s">
        <v>397</v>
      </c>
    </row>
    <row r="282" spans="1:11" ht="14.4">
      <c r="A282" s="22" t="str">
        <f>F282&amp;(COUNTIFS(F$2:F282,F282,K$2:K282,"Sparse"))</f>
        <v>MD0</v>
      </c>
      <c r="B282" s="22" t="str">
        <f>J282&amp;(COUNTIF(J$2:J282,J282))</f>
        <v>Tameside1</v>
      </c>
      <c r="C282" t="s">
        <v>252</v>
      </c>
      <c r="D282" t="s">
        <v>252</v>
      </c>
      <c r="E282" s="25" t="s">
        <v>377</v>
      </c>
      <c r="F282" s="25" t="s">
        <v>387</v>
      </c>
      <c r="G282" s="25" t="s">
        <v>398</v>
      </c>
      <c r="H282" s="26" t="s">
        <v>898</v>
      </c>
      <c r="I282" s="27" t="s">
        <v>385</v>
      </c>
      <c r="J282" t="str">
        <f>C282</f>
        <v>Tameside</v>
      </c>
    </row>
    <row r="283" spans="1:11" ht="14.4">
      <c r="A283" s="22" t="str">
        <f>F283&amp;(COUNTIFS(F$2:F283,F283,K$2:K283,"Sparse"))</f>
        <v>SD51</v>
      </c>
      <c r="B283" s="22" t="str">
        <f>J283&amp;(COUNTIF(J$2:J283,J283))</f>
        <v>Staffordshire9</v>
      </c>
      <c r="C283" t="s">
        <v>162</v>
      </c>
      <c r="D283" t="s">
        <v>162</v>
      </c>
      <c r="E283" s="25" t="s">
        <v>369</v>
      </c>
      <c r="F283" s="25" t="s">
        <v>382</v>
      </c>
      <c r="G283" s="25" t="s">
        <v>5</v>
      </c>
      <c r="H283" s="26" t="s">
        <v>893</v>
      </c>
      <c r="I283" s="27" t="s">
        <v>385</v>
      </c>
      <c r="J283" t="s">
        <v>328</v>
      </c>
    </row>
    <row r="284" spans="1:11" ht="14.4">
      <c r="A284" s="22" t="str">
        <f>F284&amp;(COUNTIFS(F$2:F284,F284,K$2:K284,"Sparse"))</f>
        <v>SD51</v>
      </c>
      <c r="B284" s="22" t="str">
        <f>J284&amp;(COUNTIF(J$2:J284,J284))</f>
        <v>Surrey10</v>
      </c>
      <c r="C284" t="s">
        <v>163</v>
      </c>
      <c r="D284" t="s">
        <v>163</v>
      </c>
      <c r="E284" s="25" t="s">
        <v>0</v>
      </c>
      <c r="F284" s="25" t="s">
        <v>382</v>
      </c>
      <c r="G284" s="25" t="s">
        <v>5</v>
      </c>
      <c r="H284" s="26" t="s">
        <v>896</v>
      </c>
      <c r="I284" s="27" t="s">
        <v>372</v>
      </c>
      <c r="J284" t="s">
        <v>330</v>
      </c>
    </row>
    <row r="285" spans="1:11" ht="14.4">
      <c r="A285" s="22" t="str">
        <f>F285&amp;(COUNTIFS(F$2:F285,F285,K$2:K285,"Sparse"))</f>
        <v>SD52</v>
      </c>
      <c r="B285" s="22" t="str">
        <f>J285&amp;(COUNTIF(J$2:J285,J285))</f>
        <v>Devon7</v>
      </c>
      <c r="C285" t="s">
        <v>165</v>
      </c>
      <c r="D285" t="s">
        <v>165</v>
      </c>
      <c r="E285" s="25" t="s">
        <v>1</v>
      </c>
      <c r="F285" s="25" t="s">
        <v>382</v>
      </c>
      <c r="G285" s="25" t="s">
        <v>5</v>
      </c>
      <c r="H285" s="26" t="s">
        <v>897</v>
      </c>
      <c r="I285" s="27" t="s">
        <v>383</v>
      </c>
      <c r="J285" t="s">
        <v>309</v>
      </c>
      <c r="K285" t="s">
        <v>336</v>
      </c>
    </row>
    <row r="286" spans="1:11" ht="14.4">
      <c r="A286" s="22" t="str">
        <f>F286&amp;(COUNTIFS(F$2:F286,F286,K$2:K286,"Sparse"))</f>
        <v>UA11</v>
      </c>
      <c r="B286" s="22" t="str">
        <f>J286&amp;(COUNTIF(J$2:J286,J286))</f>
        <v>Unitary48</v>
      </c>
      <c r="C286" t="s">
        <v>815</v>
      </c>
      <c r="D286" t="s">
        <v>815</v>
      </c>
      <c r="E286" s="25" t="s">
        <v>369</v>
      </c>
      <c r="F286" s="25" t="s">
        <v>388</v>
      </c>
      <c r="G286" s="25" t="s">
        <v>397</v>
      </c>
      <c r="H286" s="26" t="s">
        <v>893</v>
      </c>
      <c r="I286" s="27" t="s">
        <v>385</v>
      </c>
      <c r="J286" s="3" t="s">
        <v>397</v>
      </c>
    </row>
    <row r="287" spans="1:11" ht="14.4">
      <c r="A287" s="22" t="str">
        <f>F287&amp;(COUNTIFS(F$2:F287,F287,K$2:K287,"Sparse"))</f>
        <v>SD52</v>
      </c>
      <c r="B287" s="22" t="str">
        <f>J287&amp;(COUNTIF(J$2:J287,J287))</f>
        <v>Essex12</v>
      </c>
      <c r="C287" t="s">
        <v>166</v>
      </c>
      <c r="D287" t="s">
        <v>166</v>
      </c>
      <c r="E287" s="25" t="s">
        <v>370</v>
      </c>
      <c r="F287" s="25" t="s">
        <v>382</v>
      </c>
      <c r="G287" s="25" t="s">
        <v>5</v>
      </c>
      <c r="H287" s="26" t="s">
        <v>897</v>
      </c>
      <c r="I287" s="27" t="s">
        <v>383</v>
      </c>
      <c r="J287" t="s">
        <v>312</v>
      </c>
    </row>
    <row r="288" spans="1:11" ht="14.4">
      <c r="A288" s="22" t="str">
        <f>F288&amp;(COUNTIFS(F$2:F288,F288,K$2:K288,"Sparse"))</f>
        <v>SD52</v>
      </c>
      <c r="B288" s="22" t="str">
        <f>J288&amp;(COUNTIF(J$2:J288,J288))</f>
        <v>Hampshire11</v>
      </c>
      <c r="C288" t="s">
        <v>167</v>
      </c>
      <c r="D288" t="s">
        <v>167</v>
      </c>
      <c r="E288" s="25" t="s">
        <v>0</v>
      </c>
      <c r="F288" s="25" t="s">
        <v>382</v>
      </c>
      <c r="G288" s="25" t="s">
        <v>5</v>
      </c>
      <c r="H288" s="26" t="s">
        <v>896</v>
      </c>
      <c r="I288" s="27" t="s">
        <v>372</v>
      </c>
      <c r="J288" t="s">
        <v>314</v>
      </c>
    </row>
    <row r="289" spans="1:11" ht="14.4">
      <c r="A289" s="22" t="str">
        <f>F289&amp;(COUNTIFS(F$2:F289,F289,K$2:K289,"Sparse"))</f>
        <v>SD53</v>
      </c>
      <c r="B289" s="22" t="str">
        <f>J289&amp;(COUNTIF(J$2:J289,J289))</f>
        <v>Gloucestershire7</v>
      </c>
      <c r="C289" t="s">
        <v>168</v>
      </c>
      <c r="D289" t="s">
        <v>168</v>
      </c>
      <c r="E289" s="25" t="s">
        <v>1</v>
      </c>
      <c r="F289" s="25" t="s">
        <v>382</v>
      </c>
      <c r="G289" s="25" t="s">
        <v>5</v>
      </c>
      <c r="H289" s="26" t="s">
        <v>897</v>
      </c>
      <c r="I289" s="27" t="s">
        <v>383</v>
      </c>
      <c r="J289" t="s">
        <v>313</v>
      </c>
      <c r="K289" t="s">
        <v>336</v>
      </c>
    </row>
    <row r="290" spans="1:11" ht="14.4">
      <c r="A290" s="22" t="str">
        <f>F290&amp;(COUNTIFS(F$2:F290,F290,K$2:K290,"Sparse"))</f>
        <v>SD53</v>
      </c>
      <c r="B290" s="22" t="str">
        <f>J290&amp;(COUNTIF(J$2:J290,J290))</f>
        <v>Kent11</v>
      </c>
      <c r="C290" t="s">
        <v>169</v>
      </c>
      <c r="D290" t="s">
        <v>169</v>
      </c>
      <c r="E290" s="25" t="s">
        <v>0</v>
      </c>
      <c r="F290" s="25" t="s">
        <v>382</v>
      </c>
      <c r="G290" s="25" t="s">
        <v>5</v>
      </c>
      <c r="H290" s="26" t="s">
        <v>893</v>
      </c>
      <c r="I290" s="27" t="s">
        <v>385</v>
      </c>
      <c r="J290" t="s">
        <v>316</v>
      </c>
    </row>
    <row r="291" spans="1:11" ht="14.4">
      <c r="A291" s="22" t="str">
        <f>F291&amp;(COUNTIFS(F$2:F291,F291,K$2:K291,"Sparse"))</f>
        <v>SD53</v>
      </c>
      <c r="B291" s="22" t="str">
        <f>J291&amp;(COUNTIF(J$2:J291,J291))</f>
        <v>Hertfordshire9</v>
      </c>
      <c r="C291" t="s">
        <v>170</v>
      </c>
      <c r="D291" t="s">
        <v>170</v>
      </c>
      <c r="E291" s="25" t="s">
        <v>370</v>
      </c>
      <c r="F291" s="25" t="s">
        <v>382</v>
      </c>
      <c r="G291" s="25" t="s">
        <v>5</v>
      </c>
      <c r="H291" s="26" t="s">
        <v>898</v>
      </c>
      <c r="I291" s="27" t="s">
        <v>385</v>
      </c>
      <c r="J291" t="s">
        <v>315</v>
      </c>
    </row>
    <row r="292" spans="1:11" ht="14.4">
      <c r="A292" s="22" t="str">
        <f>F292&amp;(COUNTIFS(F$2:F292,F292,K$2:K292,"Sparse"))</f>
        <v>UA11</v>
      </c>
      <c r="B292" s="22" t="str">
        <f>J292&amp;(COUNTIF(J$2:J292,J292))</f>
        <v>Unitary49</v>
      </c>
      <c r="C292" t="s">
        <v>294</v>
      </c>
      <c r="D292" t="s">
        <v>294</v>
      </c>
      <c r="E292" s="25" t="s">
        <v>370</v>
      </c>
      <c r="F292" s="25" t="s">
        <v>388</v>
      </c>
      <c r="G292" s="25" t="s">
        <v>397</v>
      </c>
      <c r="H292" s="26" t="s">
        <v>898</v>
      </c>
      <c r="I292" s="27" t="s">
        <v>385</v>
      </c>
      <c r="J292" s="3" t="s">
        <v>397</v>
      </c>
    </row>
    <row r="293" spans="1:11" ht="14.4">
      <c r="A293" s="22" t="str">
        <f>F293&amp;(COUNTIFS(F$2:F293,F293,K$2:K293,"Sparse"))</f>
        <v>SD53</v>
      </c>
      <c r="B293" s="22" t="str">
        <f>J293&amp;(COUNTIF(J$2:J293,J293))</f>
        <v>Kent12</v>
      </c>
      <c r="C293" t="s">
        <v>351</v>
      </c>
      <c r="D293" t="s">
        <v>351</v>
      </c>
      <c r="E293" s="25" t="s">
        <v>0</v>
      </c>
      <c r="F293" s="25" t="s">
        <v>382</v>
      </c>
      <c r="G293" s="25" t="s">
        <v>5</v>
      </c>
      <c r="H293" s="26" t="s">
        <v>896</v>
      </c>
      <c r="I293" s="27" t="s">
        <v>372</v>
      </c>
      <c r="J293" t="s">
        <v>316</v>
      </c>
    </row>
    <row r="294" spans="1:11" ht="14.4">
      <c r="A294" s="22" t="str">
        <f>F294&amp;(COUNTIFS(F$2:F294,F294,K$2:K294,"Sparse"))</f>
        <v>UA11</v>
      </c>
      <c r="B294" s="22" t="str">
        <f>J294&amp;(COUNTIF(J$2:J294,J294))</f>
        <v>Unitary50</v>
      </c>
      <c r="C294" t="s">
        <v>295</v>
      </c>
      <c r="D294" t="s">
        <v>295</v>
      </c>
      <c r="E294" s="25" t="s">
        <v>1</v>
      </c>
      <c r="F294" s="25" t="s">
        <v>388</v>
      </c>
      <c r="G294" s="25" t="s">
        <v>397</v>
      </c>
      <c r="H294" s="26" t="s">
        <v>893</v>
      </c>
      <c r="I294" s="27" t="s">
        <v>385</v>
      </c>
      <c r="J294" s="3" t="s">
        <v>397</v>
      </c>
    </row>
    <row r="295" spans="1:11" ht="14.4">
      <c r="A295" s="22" t="str">
        <f>F295&amp;(COUNTIFS(F$2:F295,F295,K$2:K295,"Sparse"))</f>
        <v>SD54</v>
      </c>
      <c r="B295" s="22" t="str">
        <f>J295&amp;(COUNTIF(J$2:J295,J295))</f>
        <v>Devon8</v>
      </c>
      <c r="C295" t="s">
        <v>171</v>
      </c>
      <c r="D295" t="s">
        <v>171</v>
      </c>
      <c r="E295" s="25" t="s">
        <v>1</v>
      </c>
      <c r="F295" s="25" t="s">
        <v>382</v>
      </c>
      <c r="G295" s="25" t="s">
        <v>5</v>
      </c>
      <c r="H295" s="26" t="s">
        <v>894</v>
      </c>
      <c r="I295" s="27" t="s">
        <v>383</v>
      </c>
      <c r="J295" t="s">
        <v>309</v>
      </c>
      <c r="K295" t="s">
        <v>336</v>
      </c>
    </row>
    <row r="296" spans="1:11" ht="14.4">
      <c r="A296" s="22" t="str">
        <f>F296&amp;(COUNTIFS(F$2:F296,F296,K$2:K296,"Sparse"))</f>
        <v>L0</v>
      </c>
      <c r="B296" s="22" t="str">
        <f>J296&amp;(COUNTIF(J$2:J296,J296))</f>
        <v>London30</v>
      </c>
      <c r="C296" t="s">
        <v>220</v>
      </c>
      <c r="D296" t="s">
        <v>220</v>
      </c>
      <c r="E296" s="25" t="s">
        <v>384</v>
      </c>
      <c r="F296" s="25" t="s">
        <v>360</v>
      </c>
      <c r="G296" s="25" t="s">
        <v>384</v>
      </c>
      <c r="H296" s="26" t="s">
        <v>898</v>
      </c>
      <c r="I296" s="27" t="s">
        <v>385</v>
      </c>
      <c r="J296" t="str">
        <f>G296</f>
        <v>London</v>
      </c>
    </row>
    <row r="297" spans="1:11" ht="14.4">
      <c r="A297" s="22" t="str">
        <f>F297&amp;(COUNTIFS(F$2:F297,F297,K$2:K297,"Sparse"))</f>
        <v>MD0</v>
      </c>
      <c r="B297" s="22" t="str">
        <f>J297&amp;(COUNTIF(J$2:J297,J297))</f>
        <v>Trafford1</v>
      </c>
      <c r="C297" t="s">
        <v>253</v>
      </c>
      <c r="D297" t="s">
        <v>253</v>
      </c>
      <c r="E297" s="25" t="s">
        <v>377</v>
      </c>
      <c r="F297" s="25" t="s">
        <v>387</v>
      </c>
      <c r="G297" s="25" t="s">
        <v>398</v>
      </c>
      <c r="H297" s="26" t="s">
        <v>898</v>
      </c>
      <c r="I297" s="27" t="s">
        <v>385</v>
      </c>
      <c r="J297" t="str">
        <f>C297</f>
        <v>Trafford</v>
      </c>
    </row>
    <row r="298" spans="1:11" ht="14.4">
      <c r="A298" s="22" t="str">
        <f>F298&amp;(COUNTIFS(F$2:F298,F298,K$2:K298,"Sparse"))</f>
        <v>SD54</v>
      </c>
      <c r="B298" s="22" t="str">
        <f>J298&amp;(COUNTIF(J$2:J298,J298))</f>
        <v>Kent13</v>
      </c>
      <c r="C298" t="s">
        <v>172</v>
      </c>
      <c r="D298" t="s">
        <v>172</v>
      </c>
      <c r="E298" s="25" t="s">
        <v>0</v>
      </c>
      <c r="F298" s="25" t="s">
        <v>382</v>
      </c>
      <c r="G298" s="25" t="s">
        <v>5</v>
      </c>
      <c r="H298" s="26" t="s">
        <v>896</v>
      </c>
      <c r="I298" s="27" t="s">
        <v>372</v>
      </c>
      <c r="J298" t="s">
        <v>316</v>
      </c>
    </row>
    <row r="299" spans="1:11" ht="14.4">
      <c r="A299" s="22" t="str">
        <f>F299&amp;(COUNTIFS(F$2:F299,F299,K$2:K299,"Sparse"))</f>
        <v>SD55</v>
      </c>
      <c r="B299" s="22" t="str">
        <f>J299&amp;(COUNTIF(J$2:J299,J299))</f>
        <v>Essex13</v>
      </c>
      <c r="C299" t="s">
        <v>173</v>
      </c>
      <c r="D299" t="s">
        <v>173</v>
      </c>
      <c r="E299" s="25" t="s">
        <v>370</v>
      </c>
      <c r="F299" s="25" t="s">
        <v>382</v>
      </c>
      <c r="G299" s="25" t="s">
        <v>5</v>
      </c>
      <c r="H299" s="26" t="s">
        <v>894</v>
      </c>
      <c r="I299" s="27" t="s">
        <v>383</v>
      </c>
      <c r="J299" t="s">
        <v>312</v>
      </c>
      <c r="K299" t="s">
        <v>336</v>
      </c>
    </row>
    <row r="300" spans="1:11" ht="14.4">
      <c r="A300" s="22" t="str">
        <f>F300&amp;(COUNTIFS(F$2:F300,F300,K$2:K300,"Sparse"))</f>
        <v>SD56</v>
      </c>
      <c r="B300" s="22" t="str">
        <f>J300&amp;(COUNTIF(J$2:J300,J300))</f>
        <v>Oxfordshire5</v>
      </c>
      <c r="C300" t="s">
        <v>174</v>
      </c>
      <c r="D300" t="s">
        <v>174</v>
      </c>
      <c r="E300" s="25" t="s">
        <v>0</v>
      </c>
      <c r="F300" s="25" t="s">
        <v>382</v>
      </c>
      <c r="G300" s="25" t="s">
        <v>5</v>
      </c>
      <c r="H300" s="26" t="s">
        <v>897</v>
      </c>
      <c r="I300" s="27" t="s">
        <v>383</v>
      </c>
      <c r="J300" t="s">
        <v>325</v>
      </c>
      <c r="K300" t="s">
        <v>336</v>
      </c>
    </row>
    <row r="301" spans="1:11" ht="14.4">
      <c r="A301" s="22" t="str">
        <f>F301&amp;(COUNTIFS(F$2:F301,F301,K$2:K301,"Sparse"))</f>
        <v>MD0</v>
      </c>
      <c r="B301" s="22" t="str">
        <f>J301&amp;(COUNTIF(J$2:J301,J301))</f>
        <v>Wakefield1</v>
      </c>
      <c r="C301" t="s">
        <v>254</v>
      </c>
      <c r="D301" t="s">
        <v>254</v>
      </c>
      <c r="E301" s="25" t="s">
        <v>386</v>
      </c>
      <c r="F301" s="25" t="s">
        <v>387</v>
      </c>
      <c r="G301" s="25" t="s">
        <v>398</v>
      </c>
      <c r="H301" s="26" t="s">
        <v>893</v>
      </c>
      <c r="I301" s="27" t="s">
        <v>385</v>
      </c>
      <c r="J301" t="str">
        <f>C301</f>
        <v>Wakefield</v>
      </c>
    </row>
    <row r="302" spans="1:11" ht="14.4">
      <c r="A302" s="22" t="str">
        <f>F302&amp;(COUNTIFS(F$2:F302,F302,K$2:K302,"Sparse"))</f>
        <v>MD0</v>
      </c>
      <c r="B302" s="22" t="str">
        <f>J302&amp;(COUNTIF(J$2:J302,J302))</f>
        <v>Walsall1</v>
      </c>
      <c r="C302" t="s">
        <v>255</v>
      </c>
      <c r="D302" t="s">
        <v>255</v>
      </c>
      <c r="E302" s="25" t="s">
        <v>369</v>
      </c>
      <c r="F302" s="25" t="s">
        <v>387</v>
      </c>
      <c r="G302" s="25" t="s">
        <v>398</v>
      </c>
      <c r="H302" s="26" t="s">
        <v>898</v>
      </c>
      <c r="I302" s="27" t="s">
        <v>385</v>
      </c>
      <c r="J302" t="str">
        <f>C302</f>
        <v>Walsall</v>
      </c>
    </row>
    <row r="303" spans="1:11" ht="14.4">
      <c r="A303" s="22" t="str">
        <f>F303&amp;(COUNTIFS(F$2:F303,F303,K$2:K303,"Sparse"))</f>
        <v>L0</v>
      </c>
      <c r="B303" s="22" t="str">
        <f>J303&amp;(COUNTIF(J$2:J303,J303))</f>
        <v>London31</v>
      </c>
      <c r="C303" t="s">
        <v>221</v>
      </c>
      <c r="D303" t="s">
        <v>221</v>
      </c>
      <c r="E303" s="25" t="s">
        <v>384</v>
      </c>
      <c r="F303" s="25" t="s">
        <v>360</v>
      </c>
      <c r="G303" s="25" t="s">
        <v>384</v>
      </c>
      <c r="H303" s="26" t="s">
        <v>898</v>
      </c>
      <c r="I303" s="27" t="s">
        <v>385</v>
      </c>
      <c r="J303" t="str">
        <f>G303</f>
        <v>London</v>
      </c>
    </row>
    <row r="304" spans="1:11" ht="14.4">
      <c r="A304" s="22" t="str">
        <f>F304&amp;(COUNTIFS(F$2:F304,F304,K$2:K304,"Sparse"))</f>
        <v>L0</v>
      </c>
      <c r="B304" s="22" t="str">
        <f>J304&amp;(COUNTIF(J$2:J304,J304))</f>
        <v>London32</v>
      </c>
      <c r="C304" t="s">
        <v>222</v>
      </c>
      <c r="D304" t="s">
        <v>222</v>
      </c>
      <c r="E304" s="25" t="s">
        <v>384</v>
      </c>
      <c r="F304" s="25" t="s">
        <v>360</v>
      </c>
      <c r="G304" s="25" t="s">
        <v>384</v>
      </c>
      <c r="H304" s="26" t="s">
        <v>898</v>
      </c>
      <c r="I304" s="27" t="s">
        <v>385</v>
      </c>
      <c r="J304" t="str">
        <f>G304</f>
        <v>London</v>
      </c>
    </row>
    <row r="305" spans="1:11" ht="14.4">
      <c r="A305" s="22" t="str">
        <f>F305&amp;(COUNTIFS(F$2:F305,F305,K$2:K305,"Sparse"))</f>
        <v>UA11</v>
      </c>
      <c r="B305" s="22" t="str">
        <f>J305&amp;(COUNTIF(J$2:J305,J305))</f>
        <v>Unitary51</v>
      </c>
      <c r="C305" t="s">
        <v>296</v>
      </c>
      <c r="D305" t="s">
        <v>296</v>
      </c>
      <c r="E305" s="25" t="s">
        <v>377</v>
      </c>
      <c r="F305" s="25" t="s">
        <v>388</v>
      </c>
      <c r="G305" s="25" t="s">
        <v>397</v>
      </c>
      <c r="H305" s="26" t="s">
        <v>893</v>
      </c>
      <c r="I305" s="27" t="s">
        <v>385</v>
      </c>
      <c r="J305" s="3" t="s">
        <v>397</v>
      </c>
    </row>
    <row r="306" spans="1:11" ht="14.4">
      <c r="A306" s="22" t="str">
        <f>F306&amp;(COUNTIFS(F$2:F306,F306,K$2:K306,"Sparse"))</f>
        <v>SD56</v>
      </c>
      <c r="B306" s="22" t="str">
        <f>J306&amp;(COUNTIF(J$2:J306,J306))</f>
        <v>Warwickshire5</v>
      </c>
      <c r="C306" t="s">
        <v>175</v>
      </c>
      <c r="D306" t="s">
        <v>175</v>
      </c>
      <c r="E306" s="25" t="s">
        <v>369</v>
      </c>
      <c r="F306" s="25" t="s">
        <v>382</v>
      </c>
      <c r="G306" s="25" t="s">
        <v>5</v>
      </c>
      <c r="H306" s="26" t="s">
        <v>893</v>
      </c>
      <c r="I306" s="27" t="s">
        <v>385</v>
      </c>
      <c r="J306" t="s">
        <v>331</v>
      </c>
    </row>
    <row r="307" spans="1:11" ht="14.4">
      <c r="A307" s="22" t="str">
        <f>F307&amp;(COUNTIFS(F$2:F307,F307,K$2:K307,"Sparse"))</f>
        <v>SC10</v>
      </c>
      <c r="B307" s="22" t="str">
        <f>J307&amp;(COUNTIF(J$2:J307,J307))</f>
        <v>Warwickshire6</v>
      </c>
      <c r="C307" s="27" t="s">
        <v>331</v>
      </c>
      <c r="D307" s="27" t="s">
        <v>331</v>
      </c>
      <c r="E307" s="25" t="s">
        <v>369</v>
      </c>
      <c r="F307" s="25" t="s">
        <v>390</v>
      </c>
      <c r="G307" s="25" t="s">
        <v>302</v>
      </c>
      <c r="H307" s="27" t="s">
        <v>372</v>
      </c>
      <c r="I307" s="27" t="s">
        <v>372</v>
      </c>
      <c r="J307" t="str">
        <f>C307</f>
        <v>Warwickshire</v>
      </c>
    </row>
    <row r="308" spans="1:11" ht="14.4">
      <c r="A308" s="22" t="str">
        <f>F308&amp;(COUNTIFS(F$2:F308,F308,K$2:K308,"Sparse"))</f>
        <v>SD56</v>
      </c>
      <c r="B308" s="22" t="str">
        <f>J308&amp;(COUNTIF(J$2:J308,J308))</f>
        <v>Hertfordshire10</v>
      </c>
      <c r="C308" t="s">
        <v>176</v>
      </c>
      <c r="D308" t="s">
        <v>176</v>
      </c>
      <c r="E308" s="25" t="s">
        <v>370</v>
      </c>
      <c r="F308" s="25" t="s">
        <v>382</v>
      </c>
      <c r="G308" s="25" t="s">
        <v>5</v>
      </c>
      <c r="H308" s="26" t="s">
        <v>898</v>
      </c>
      <c r="I308" s="27" t="s">
        <v>385</v>
      </c>
      <c r="J308" t="s">
        <v>315</v>
      </c>
    </row>
    <row r="309" spans="1:11" ht="14.4">
      <c r="A309" s="22" t="str">
        <f>F309&amp;(COUNTIFS(F$2:F309,F309,K$2:K309,"Sparse"))</f>
        <v>SD56</v>
      </c>
      <c r="B309" s="22" t="str">
        <f>J309&amp;(COUNTIF(J$2:J309,J309))</f>
        <v>Surrey11</v>
      </c>
      <c r="C309" t="s">
        <v>178</v>
      </c>
      <c r="D309" t="s">
        <v>178</v>
      </c>
      <c r="E309" s="25" t="s">
        <v>0</v>
      </c>
      <c r="F309" s="25" t="s">
        <v>382</v>
      </c>
      <c r="G309" s="25" t="s">
        <v>5</v>
      </c>
      <c r="H309" s="26" t="s">
        <v>897</v>
      </c>
      <c r="I309" s="27" t="s">
        <v>383</v>
      </c>
      <c r="J309" t="s">
        <v>330</v>
      </c>
    </row>
    <row r="310" spans="1:11" ht="14.4">
      <c r="A310" s="22" t="str">
        <f>F310&amp;(COUNTIFS(F$2:F310,F310,K$2:K310,"Sparse"))</f>
        <v>SD57</v>
      </c>
      <c r="B310" s="22" t="str">
        <f>J310&amp;(COUNTIF(J$2:J310,J310))</f>
        <v>East Sussex6</v>
      </c>
      <c r="C310" t="s">
        <v>179</v>
      </c>
      <c r="D310" t="s">
        <v>179</v>
      </c>
      <c r="E310" s="25" t="s">
        <v>0</v>
      </c>
      <c r="F310" s="25" t="s">
        <v>382</v>
      </c>
      <c r="G310" s="25" t="s">
        <v>5</v>
      </c>
      <c r="H310" s="26" t="s">
        <v>894</v>
      </c>
      <c r="I310" s="27" t="s">
        <v>383</v>
      </c>
      <c r="J310" t="s">
        <v>311</v>
      </c>
      <c r="K310" t="s">
        <v>336</v>
      </c>
    </row>
    <row r="311" spans="1:11" ht="14.4">
      <c r="A311" s="22" t="str">
        <f>F311&amp;(COUNTIFS(F$2:F311,F311,K$2:K311,"Sparse"))</f>
        <v>SD57</v>
      </c>
      <c r="B311" s="22" t="str">
        <f>J311&amp;(COUNTIF(J$2:J311,J311))</f>
        <v>Hertfordshire11</v>
      </c>
      <c r="C311" t="s">
        <v>181</v>
      </c>
      <c r="D311" t="s">
        <v>181</v>
      </c>
      <c r="E311" s="25" t="s">
        <v>370</v>
      </c>
      <c r="F311" s="25" t="s">
        <v>382</v>
      </c>
      <c r="G311" s="25" t="s">
        <v>5</v>
      </c>
      <c r="H311" s="26" t="s">
        <v>893</v>
      </c>
      <c r="I311" s="27" t="s">
        <v>385</v>
      </c>
      <c r="J311" t="s">
        <v>315</v>
      </c>
    </row>
    <row r="312" spans="1:11" ht="14.4">
      <c r="A312" s="22" t="str">
        <f>F312&amp;(COUNTIFS(F$2:F312,F312,K$2:K312,"Sparse"))</f>
        <v>UA11</v>
      </c>
      <c r="B312" s="22" t="str">
        <f>J312&amp;(COUNTIF(J$2:J312,J312))</f>
        <v>Unitary52</v>
      </c>
      <c r="C312" t="s">
        <v>297</v>
      </c>
      <c r="D312" t="s">
        <v>297</v>
      </c>
      <c r="E312" s="25" t="s">
        <v>0</v>
      </c>
      <c r="F312" s="25" t="s">
        <v>388</v>
      </c>
      <c r="G312" s="25" t="s">
        <v>397</v>
      </c>
      <c r="H312" s="26" t="s">
        <v>896</v>
      </c>
      <c r="I312" s="27" t="s">
        <v>372</v>
      </c>
      <c r="J312" s="3" t="s">
        <v>397</v>
      </c>
    </row>
    <row r="313" spans="1:11" ht="14.4">
      <c r="A313" s="22" t="str">
        <f>F313&amp;(COUNTIFS(F$2:F313,F313,K$2:K313,"Sparse"))</f>
        <v>SD58</v>
      </c>
      <c r="B313" s="22" t="str">
        <f>J313&amp;(COUNTIF(J$2:J313,J313))</f>
        <v>Devon9</v>
      </c>
      <c r="C313" t="s">
        <v>182</v>
      </c>
      <c r="D313" t="s">
        <v>182</v>
      </c>
      <c r="E313" s="25" t="s">
        <v>1</v>
      </c>
      <c r="F313" s="25" t="s">
        <v>382</v>
      </c>
      <c r="G313" s="25" t="s">
        <v>5</v>
      </c>
      <c r="H313" s="26" t="s">
        <v>894</v>
      </c>
      <c r="I313" s="27" t="s">
        <v>383</v>
      </c>
      <c r="J313" t="s">
        <v>309</v>
      </c>
      <c r="K313" t="s">
        <v>336</v>
      </c>
    </row>
    <row r="314" spans="1:11" ht="14.4">
      <c r="A314" s="22" t="str">
        <f>F314&amp;(COUNTIFS(F$2:F314,F314,K$2:K314,"Sparse"))</f>
        <v>SD58</v>
      </c>
      <c r="B314" s="22" t="str">
        <f>J314&amp;(COUNTIF(J$2:J314,J314))</f>
        <v>Lancashire12</v>
      </c>
      <c r="C314" t="s">
        <v>184</v>
      </c>
      <c r="D314" t="s">
        <v>184</v>
      </c>
      <c r="E314" s="25" t="s">
        <v>377</v>
      </c>
      <c r="F314" s="25" t="s">
        <v>382</v>
      </c>
      <c r="G314" s="25" t="s">
        <v>5</v>
      </c>
      <c r="H314" s="26" t="s">
        <v>896</v>
      </c>
      <c r="I314" s="27" t="s">
        <v>372</v>
      </c>
      <c r="J314" t="s">
        <v>317</v>
      </c>
    </row>
    <row r="315" spans="1:11" ht="14.4">
      <c r="A315" s="22" t="str">
        <f>F315&amp;(COUNTIFS(F$2:F315,F315,K$2:K315,"Sparse"))</f>
        <v>SD59</v>
      </c>
      <c r="B315" s="22" t="str">
        <f>J315&amp;(COUNTIF(J$2:J315,J315))</f>
        <v>Lincolnshire8</v>
      </c>
      <c r="C315" t="s">
        <v>185</v>
      </c>
      <c r="D315" t="s">
        <v>185</v>
      </c>
      <c r="E315" s="25" t="s">
        <v>368</v>
      </c>
      <c r="F315" s="25" t="s">
        <v>382</v>
      </c>
      <c r="G315" s="25" t="s">
        <v>5</v>
      </c>
      <c r="H315" s="26" t="s">
        <v>894</v>
      </c>
      <c r="I315" s="27" t="s">
        <v>383</v>
      </c>
      <c r="J315" t="s">
        <v>319</v>
      </c>
      <c r="K315" t="s">
        <v>336</v>
      </c>
    </row>
    <row r="316" spans="1:11" ht="14.4">
      <c r="A316" s="22" t="str">
        <f>F316&amp;(COUNTIFS(F$2:F316,F316,K$2:K316,"Sparse"))</f>
        <v>UA12</v>
      </c>
      <c r="B316" s="22" t="str">
        <f>J316&amp;(COUNTIF(J$2:J316,J316))</f>
        <v>Unitary53</v>
      </c>
      <c r="C316" t="s">
        <v>905</v>
      </c>
      <c r="D316" t="s">
        <v>905</v>
      </c>
      <c r="E316" s="25" t="s">
        <v>368</v>
      </c>
      <c r="F316" s="25" t="s">
        <v>388</v>
      </c>
      <c r="G316" s="25" t="s">
        <v>397</v>
      </c>
      <c r="H316" s="26" t="s">
        <v>896</v>
      </c>
      <c r="I316" s="27" t="s">
        <v>372</v>
      </c>
      <c r="J316" s="3" t="s">
        <v>397</v>
      </c>
      <c r="K316" t="s">
        <v>336</v>
      </c>
    </row>
    <row r="317" spans="1:11" ht="14.4">
      <c r="A317" s="22" t="str">
        <f>F317&amp;(COUNTIFS(F$2:F317,F317,K$2:K317,"Sparse"))</f>
        <v>SD60</v>
      </c>
      <c r="B317" s="22" t="str">
        <f>J317&amp;(COUNTIF(J$2:J317,J317))</f>
        <v>Oxfordshire6</v>
      </c>
      <c r="C317" t="s">
        <v>186</v>
      </c>
      <c r="D317" t="s">
        <v>186</v>
      </c>
      <c r="E317" s="25" t="s">
        <v>0</v>
      </c>
      <c r="F317" s="25" t="s">
        <v>382</v>
      </c>
      <c r="G317" s="25" t="s">
        <v>5</v>
      </c>
      <c r="H317" s="26" t="s">
        <v>894</v>
      </c>
      <c r="I317" s="27" t="s">
        <v>383</v>
      </c>
      <c r="J317" t="s">
        <v>325</v>
      </c>
      <c r="K317" t="s">
        <v>336</v>
      </c>
    </row>
    <row r="318" spans="1:11" ht="14.4">
      <c r="A318" s="22" t="str">
        <f>F318&amp;(COUNTIFS(F$2:F318,F318,K$2:K318,"Sparse"))</f>
        <v>SC10</v>
      </c>
      <c r="B318" s="22" t="str">
        <f>J318&amp;(COUNTIF(J$2:J318,J318))</f>
        <v>West Sussex7</v>
      </c>
      <c r="C318" s="27" t="s">
        <v>332</v>
      </c>
      <c r="D318" s="27" t="s">
        <v>332</v>
      </c>
      <c r="E318" s="25" t="s">
        <v>0</v>
      </c>
      <c r="F318" s="25" t="s">
        <v>390</v>
      </c>
      <c r="G318" s="25" t="s">
        <v>302</v>
      </c>
      <c r="H318" s="27" t="s">
        <v>372</v>
      </c>
      <c r="I318" s="27" t="s">
        <v>372</v>
      </c>
      <c r="J318" t="str">
        <f>C318</f>
        <v>West Sussex</v>
      </c>
    </row>
    <row r="319" spans="1:11" ht="14.4">
      <c r="A319" s="22" t="str">
        <f>F319&amp;(COUNTIFS(F$2:F319,F319,K$2:K319,"Sparse"))</f>
        <v>L0</v>
      </c>
      <c r="B319" s="22" t="str">
        <f>J319&amp;(COUNTIF(J$2:J319,J319))</f>
        <v>London33</v>
      </c>
      <c r="C319" t="s">
        <v>188</v>
      </c>
      <c r="D319" t="s">
        <v>188</v>
      </c>
      <c r="E319" s="25" t="s">
        <v>384</v>
      </c>
      <c r="F319" s="25" t="s">
        <v>360</v>
      </c>
      <c r="G319" s="25" t="s">
        <v>384</v>
      </c>
      <c r="H319" s="26" t="s">
        <v>898</v>
      </c>
      <c r="I319" s="27" t="s">
        <v>385</v>
      </c>
      <c r="J319" t="str">
        <f>G319</f>
        <v>London</v>
      </c>
    </row>
    <row r="320" spans="1:11" ht="14.4">
      <c r="A320" s="22" t="str">
        <f>F320&amp;(COUNTIFS(F$2:F320,F320,K$2:K320,"Sparse"))</f>
        <v>MD0</v>
      </c>
      <c r="B320" s="22" t="str">
        <f>J320&amp;(COUNTIF(J$2:J320,J320))</f>
        <v>Wigan1</v>
      </c>
      <c r="C320" t="s">
        <v>256</v>
      </c>
      <c r="D320" t="s">
        <v>256</v>
      </c>
      <c r="E320" s="25" t="s">
        <v>377</v>
      </c>
      <c r="F320" s="25" t="s">
        <v>387</v>
      </c>
      <c r="G320" s="25" t="s">
        <v>398</v>
      </c>
      <c r="H320" s="26" t="s">
        <v>898</v>
      </c>
      <c r="I320" s="27" t="s">
        <v>385</v>
      </c>
      <c r="J320" t="str">
        <f>C320</f>
        <v>Wigan</v>
      </c>
    </row>
    <row r="321" spans="1:12" ht="14.4">
      <c r="A321" s="22" t="str">
        <f>F321&amp;(COUNTIFS(F$2:F321,F321,K$2:K321,"Sparse"))</f>
        <v>UA12</v>
      </c>
      <c r="B321" s="22" t="str">
        <f>J321&amp;(COUNTIF(J$2:J321,J321))</f>
        <v>Unitary54</v>
      </c>
      <c r="C321" t="s">
        <v>298</v>
      </c>
      <c r="D321" t="s">
        <v>298</v>
      </c>
      <c r="E321" s="25" t="s">
        <v>1</v>
      </c>
      <c r="F321" s="25" t="s">
        <v>388</v>
      </c>
      <c r="G321" s="25" t="s">
        <v>397</v>
      </c>
      <c r="H321" s="26" t="s">
        <v>897</v>
      </c>
      <c r="I321" s="27" t="s">
        <v>383</v>
      </c>
      <c r="J321" s="3" t="s">
        <v>397</v>
      </c>
    </row>
    <row r="322" spans="1:12" ht="14.4">
      <c r="A322" s="22" t="str">
        <f>F322&amp;(COUNTIFS(F$2:F322,F322,K$2:K322,"Sparse"))</f>
        <v>SD60</v>
      </c>
      <c r="B322" s="22" t="str">
        <f>J322&amp;(COUNTIF(J$2:J322,J322))</f>
        <v>Hampshire12</v>
      </c>
      <c r="C322" t="s">
        <v>189</v>
      </c>
      <c r="D322" t="s">
        <v>189</v>
      </c>
      <c r="E322" s="25" t="s">
        <v>0</v>
      </c>
      <c r="F322" s="25" t="s">
        <v>382</v>
      </c>
      <c r="G322" s="25" t="s">
        <v>5</v>
      </c>
      <c r="H322" s="26" t="s">
        <v>897</v>
      </c>
      <c r="I322" s="27" t="s">
        <v>383</v>
      </c>
      <c r="J322" t="s">
        <v>314</v>
      </c>
    </row>
    <row r="323" spans="1:12" ht="14.4">
      <c r="A323" s="22" t="str">
        <f>F323&amp;(COUNTIFS(F$2:F323,F323,K$2:K323,"Sparse"))</f>
        <v>UA12</v>
      </c>
      <c r="B323" s="22" t="str">
        <f>J323&amp;(COUNTIF(J$2:J323,J323))</f>
        <v>Unitary55</v>
      </c>
      <c r="C323" t="s">
        <v>816</v>
      </c>
      <c r="D323" t="s">
        <v>816</v>
      </c>
      <c r="E323" s="25" t="s">
        <v>0</v>
      </c>
      <c r="F323" s="25" t="s">
        <v>388</v>
      </c>
      <c r="G323" s="25" t="s">
        <v>397</v>
      </c>
      <c r="H323" s="26" t="s">
        <v>893</v>
      </c>
      <c r="I323" s="27" t="s">
        <v>385</v>
      </c>
      <c r="J323" s="3" t="s">
        <v>397</v>
      </c>
    </row>
    <row r="324" spans="1:12" ht="14.4">
      <c r="A324" s="22" t="str">
        <f>F324&amp;(COUNTIFS(F$2:F324,F324,K$2:K324,"Sparse"))</f>
        <v>MD0</v>
      </c>
      <c r="B324" s="22" t="str">
        <f>J324&amp;(COUNTIF(J$2:J324,J324))</f>
        <v>Wirral1</v>
      </c>
      <c r="C324" t="s">
        <v>257</v>
      </c>
      <c r="D324" t="s">
        <v>257</v>
      </c>
      <c r="E324" s="25" t="s">
        <v>377</v>
      </c>
      <c r="F324" s="25" t="s">
        <v>387</v>
      </c>
      <c r="G324" s="25" t="s">
        <v>398</v>
      </c>
      <c r="H324" s="26" t="s">
        <v>898</v>
      </c>
      <c r="I324" s="27" t="s">
        <v>385</v>
      </c>
      <c r="J324" t="str">
        <f>C324</f>
        <v>Wirral</v>
      </c>
    </row>
    <row r="325" spans="1:12" ht="14.4">
      <c r="A325" s="22" t="str">
        <f>F325&amp;(COUNTIFS(F$2:F325,F325,K$2:K325,"Sparse"))</f>
        <v>SD60</v>
      </c>
      <c r="B325" s="22" t="str">
        <f>J325&amp;(COUNTIF(J$2:J325,J325))</f>
        <v>Surrey12</v>
      </c>
      <c r="C325" t="s">
        <v>190</v>
      </c>
      <c r="D325" t="s">
        <v>190</v>
      </c>
      <c r="E325" s="25" t="s">
        <v>0</v>
      </c>
      <c r="F325" s="25" t="s">
        <v>382</v>
      </c>
      <c r="G325" s="25" t="s">
        <v>5</v>
      </c>
      <c r="H325" s="26" t="s">
        <v>898</v>
      </c>
      <c r="I325" s="27" t="s">
        <v>385</v>
      </c>
      <c r="J325" t="s">
        <v>330</v>
      </c>
    </row>
    <row r="326" spans="1:12" ht="14.4">
      <c r="A326" s="22" t="str">
        <f>F326&amp;(COUNTIFS(F$2:F326,F326,K$2:K326,"Sparse"))</f>
        <v>UA12</v>
      </c>
      <c r="B326" s="22" t="str">
        <f>J326&amp;(COUNTIF(J$2:J326,J326))</f>
        <v>Unitary56</v>
      </c>
      <c r="C326" t="s">
        <v>299</v>
      </c>
      <c r="D326" t="s">
        <v>299</v>
      </c>
      <c r="E326" s="25" t="s">
        <v>0</v>
      </c>
      <c r="F326" s="25" t="s">
        <v>388</v>
      </c>
      <c r="G326" s="25" t="s">
        <v>397</v>
      </c>
      <c r="H326" s="26" t="s">
        <v>893</v>
      </c>
      <c r="I326" s="27" t="s">
        <v>385</v>
      </c>
      <c r="J326" s="3" t="s">
        <v>397</v>
      </c>
    </row>
    <row r="327" spans="1:12" ht="14.4">
      <c r="A327" s="22" t="str">
        <f>F327&amp;(COUNTIFS(F$2:F327,F327,K$2:K327,"Sparse"))</f>
        <v>MD0</v>
      </c>
      <c r="B327" s="22" t="str">
        <f>J327&amp;(COUNTIF(J$2:J327,J327))</f>
        <v>Wolverhampton1</v>
      </c>
      <c r="C327" t="s">
        <v>258</v>
      </c>
      <c r="D327" t="s">
        <v>258</v>
      </c>
      <c r="E327" s="25" t="s">
        <v>369</v>
      </c>
      <c r="F327" s="25" t="s">
        <v>387</v>
      </c>
      <c r="G327" s="25" t="s">
        <v>398</v>
      </c>
      <c r="H327" s="26" t="s">
        <v>898</v>
      </c>
      <c r="I327" s="27" t="s">
        <v>385</v>
      </c>
      <c r="J327" t="str">
        <f>C327</f>
        <v>Wolverhampton</v>
      </c>
    </row>
    <row r="328" spans="1:12" ht="14.4">
      <c r="A328" s="22" t="str">
        <f>F328&amp;(COUNTIFS(F$2:F328,F328,K$2:K328,"Sparse"))</f>
        <v>SD60</v>
      </c>
      <c r="B328" s="22" t="str">
        <f>J328&amp;(COUNTIF(J$2:J328,J328))</f>
        <v>Worcestershire4</v>
      </c>
      <c r="C328" t="s">
        <v>191</v>
      </c>
      <c r="D328" t="s">
        <v>191</v>
      </c>
      <c r="E328" s="25" t="s">
        <v>369</v>
      </c>
      <c r="F328" s="25" t="s">
        <v>382</v>
      </c>
      <c r="G328" s="25" t="s">
        <v>5</v>
      </c>
      <c r="H328" s="26" t="s">
        <v>893</v>
      </c>
      <c r="I328" s="27" t="s">
        <v>385</v>
      </c>
      <c r="J328" t="s">
        <v>333</v>
      </c>
    </row>
    <row r="329" spans="1:12" ht="14.4">
      <c r="A329" s="22" t="str">
        <f>F329&amp;(COUNTIFS(F$2:F329,F329,K$2:K329,"Sparse"))</f>
        <v>SC10</v>
      </c>
      <c r="B329" s="22" t="str">
        <f>J329&amp;(COUNTIF(J$2:J329,J329))</f>
        <v>Worcestershire5</v>
      </c>
      <c r="C329" s="27" t="s">
        <v>333</v>
      </c>
      <c r="D329" s="27" t="s">
        <v>333</v>
      </c>
      <c r="E329" s="25" t="s">
        <v>369</v>
      </c>
      <c r="F329" s="25" t="s">
        <v>390</v>
      </c>
      <c r="G329" s="25" t="s">
        <v>302</v>
      </c>
      <c r="H329" s="27" t="s">
        <v>372</v>
      </c>
      <c r="I329" s="27" t="s">
        <v>372</v>
      </c>
      <c r="J329" t="str">
        <f>C329</f>
        <v>Worcestershire</v>
      </c>
    </row>
    <row r="330" spans="1:12" ht="14.4">
      <c r="A330" s="22" t="str">
        <f>F330&amp;(COUNTIFS(F$2:F330,F330,K$2:K330,"Sparse"))</f>
        <v>SD60</v>
      </c>
      <c r="B330" s="22" t="str">
        <f>J330&amp;(COUNTIF(J$2:J330,J330))</f>
        <v>West Sussex8</v>
      </c>
      <c r="C330" t="s">
        <v>192</v>
      </c>
      <c r="D330" t="s">
        <v>192</v>
      </c>
      <c r="E330" s="25" t="s">
        <v>0</v>
      </c>
      <c r="F330" s="25" t="s">
        <v>382</v>
      </c>
      <c r="G330" s="25" t="s">
        <v>5</v>
      </c>
      <c r="H330" s="26" t="s">
        <v>893</v>
      </c>
      <c r="I330" s="27" t="s">
        <v>385</v>
      </c>
      <c r="J330" t="s">
        <v>332</v>
      </c>
    </row>
    <row r="331" spans="1:12" ht="14.4">
      <c r="A331" s="22" t="str">
        <f>F331&amp;(COUNTIFS(F$2:F331,F331,K$2:K331,"Sparse"))</f>
        <v>SD61</v>
      </c>
      <c r="B331" s="22" t="str">
        <f>J331&amp;(COUNTIF(J$2:J331,J331))</f>
        <v>Worcestershire6</v>
      </c>
      <c r="C331" t="s">
        <v>193</v>
      </c>
      <c r="D331" t="s">
        <v>193</v>
      </c>
      <c r="E331" s="25" t="s">
        <v>369</v>
      </c>
      <c r="F331" s="25" t="s">
        <v>382</v>
      </c>
      <c r="G331" s="25" t="s">
        <v>5</v>
      </c>
      <c r="H331" s="26" t="s">
        <v>894</v>
      </c>
      <c r="I331" s="27" t="s">
        <v>383</v>
      </c>
      <c r="J331" t="s">
        <v>333</v>
      </c>
      <c r="K331" t="s">
        <v>336</v>
      </c>
    </row>
    <row r="332" spans="1:12" ht="14.4">
      <c r="A332" s="22" t="str">
        <f>F332&amp;(COUNTIFS(F$2:F332,F332,K$2:K332,"Sparse"))</f>
        <v>SD61</v>
      </c>
      <c r="B332" s="22" t="str">
        <f>J332&amp;(COUNTIF(J$2:J332,J332))</f>
        <v>Lancashire13</v>
      </c>
      <c r="C332" t="s">
        <v>195</v>
      </c>
      <c r="D332" t="s">
        <v>195</v>
      </c>
      <c r="E332" s="25" t="s">
        <v>377</v>
      </c>
      <c r="F332" s="25" t="s">
        <v>382</v>
      </c>
      <c r="G332" s="25" t="s">
        <v>5</v>
      </c>
      <c r="H332" s="26" t="s">
        <v>897</v>
      </c>
      <c r="I332" s="27" t="s">
        <v>383</v>
      </c>
      <c r="J332" t="s">
        <v>317</v>
      </c>
    </row>
    <row r="333" spans="1:12" ht="14.4">
      <c r="A333" s="22" t="str">
        <f>F333&amp;(COUNTIFS(F$2:F333,F333,K$2:K333,"Sparse"))</f>
        <v>SD61</v>
      </c>
      <c r="B333" s="22" t="str">
        <f>J333&amp;(COUNTIF(J$2:J333,J333))</f>
        <v>Worcestershire7</v>
      </c>
      <c r="C333" t="s">
        <v>196</v>
      </c>
      <c r="D333" t="s">
        <v>196</v>
      </c>
      <c r="E333" s="25" t="s">
        <v>369</v>
      </c>
      <c r="F333" s="25" t="s">
        <v>382</v>
      </c>
      <c r="G333" s="25" t="s">
        <v>5</v>
      </c>
      <c r="H333" s="26" t="s">
        <v>896</v>
      </c>
      <c r="I333" s="27" t="s">
        <v>372</v>
      </c>
      <c r="J333" t="s">
        <v>333</v>
      </c>
    </row>
    <row r="334" spans="1:12" ht="14.4">
      <c r="A334" s="22" t="str">
        <f>F334&amp;(COUNTIFS(F$2:F334,F334,K$2:K334,"Sparse"))</f>
        <v>UA12</v>
      </c>
      <c r="B334" s="22" t="str">
        <f>J334&amp;(COUNTIF(J$2:J334,J334))</f>
        <v>Unitary57</v>
      </c>
      <c r="C334" t="s">
        <v>300</v>
      </c>
      <c r="D334" t="s">
        <v>300</v>
      </c>
      <c r="E334" s="25" t="s">
        <v>386</v>
      </c>
      <c r="F334" s="25" t="s">
        <v>388</v>
      </c>
      <c r="G334" s="25" t="s">
        <v>397</v>
      </c>
      <c r="H334" s="26" t="s">
        <v>893</v>
      </c>
      <c r="I334" s="27" t="s">
        <v>385</v>
      </c>
      <c r="J334" s="3" t="s">
        <v>397</v>
      </c>
    </row>
    <row r="335" spans="1:12" ht="14.4">
      <c r="E335" s="29"/>
      <c r="F335" s="29"/>
      <c r="G335" s="29"/>
      <c r="H335" s="31"/>
      <c r="I335" s="32"/>
      <c r="J335" s="32"/>
      <c r="K335" s="32"/>
      <c r="L335" s="32"/>
    </row>
    <row r="336" spans="1:12" ht="14.4">
      <c r="E336" s="29"/>
      <c r="F336" s="29"/>
      <c r="G336" s="29"/>
      <c r="H336" s="31"/>
      <c r="I336" s="32"/>
      <c r="J336" s="32"/>
      <c r="K336" s="32"/>
      <c r="L336" s="32"/>
    </row>
    <row r="337" spans="5:12" ht="14.4">
      <c r="E337" s="29"/>
      <c r="F337" s="29"/>
      <c r="G337" s="29"/>
      <c r="H337" s="31"/>
      <c r="I337" s="32"/>
      <c r="J337" s="32"/>
      <c r="K337" s="32"/>
      <c r="L337" s="32"/>
    </row>
    <row r="338" spans="5:12" ht="14.4">
      <c r="E338" s="29"/>
      <c r="F338" s="29"/>
      <c r="G338" s="29"/>
      <c r="H338" s="31"/>
      <c r="I338" s="32"/>
      <c r="J338" s="32"/>
      <c r="K338" s="32"/>
      <c r="L338" s="32"/>
    </row>
    <row r="339" spans="5:12" ht="14.4">
      <c r="E339" s="29"/>
      <c r="F339" s="29"/>
      <c r="G339" s="29"/>
      <c r="H339" s="31"/>
      <c r="I339" s="32"/>
      <c r="J339" s="32"/>
      <c r="K339" s="32"/>
      <c r="L339" s="32"/>
    </row>
    <row r="340" spans="5:12" ht="14.4">
      <c r="E340" s="29"/>
      <c r="F340" s="29"/>
      <c r="G340" s="29"/>
      <c r="H340" s="31"/>
      <c r="I340" s="32"/>
      <c r="J340" s="32"/>
      <c r="K340" s="32"/>
      <c r="L340" s="32"/>
    </row>
    <row r="341" spans="5:12" ht="14.4">
      <c r="E341" s="29"/>
      <c r="F341" s="29"/>
      <c r="G341" s="29"/>
      <c r="H341" s="31"/>
      <c r="I341" s="32"/>
      <c r="J341" s="32"/>
      <c r="K341" s="32"/>
      <c r="L341" s="32"/>
    </row>
    <row r="342" spans="5:12" ht="14.4">
      <c r="E342" s="29"/>
      <c r="F342" s="29"/>
      <c r="G342" s="29"/>
      <c r="H342" s="31"/>
      <c r="I342" s="32"/>
      <c r="J342" s="32"/>
      <c r="K342" s="32"/>
      <c r="L342" s="32"/>
    </row>
    <row r="343" spans="5:12">
      <c r="F343" s="29"/>
      <c r="G343" s="29"/>
    </row>
  </sheetData>
  <autoFilter ref="A1:L334" xr:uid="{00000000-0009-0000-0000-000004000000}"/>
  <pageMargins left="0.75" right="0.75" top="1" bottom="1" header="0.5" footer="0.5"/>
  <pageSetup paperSize="9" orientation="portrait" horizontalDpi="4294967292" verticalDpi="429496729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theme="3" tint="0.59999389629810485"/>
  </sheetPr>
  <dimension ref="A1:R365"/>
  <sheetViews>
    <sheetView workbookViewId="0">
      <pane xSplit="3" ySplit="3" topLeftCell="D4" activePane="bottomRight" state="frozen"/>
      <selection activeCell="N70" sqref="N70"/>
      <selection pane="topRight" activeCell="N70" sqref="N70"/>
      <selection pane="bottomLeft" activeCell="N70" sqref="N70"/>
      <selection pane="bottomRight" activeCell="D6" sqref="D6:R365"/>
    </sheetView>
  </sheetViews>
  <sheetFormatPr defaultColWidth="8.88671875" defaultRowHeight="13.2"/>
  <cols>
    <col min="1" max="1" width="2.6640625" style="71" customWidth="1"/>
    <col min="2" max="2" width="8.88671875" style="71"/>
    <col min="3" max="3" width="25.109375" style="71" bestFit="1" customWidth="1"/>
    <col min="4" max="18" width="25.109375" style="71" customWidth="1"/>
    <col min="19" max="237" width="8.88671875" style="71"/>
    <col min="238" max="238" width="25.109375" style="71" bestFit="1" customWidth="1"/>
    <col min="239" max="253" width="25.109375" style="71" customWidth="1"/>
    <col min="254" max="271" width="9.109375" style="71" customWidth="1"/>
    <col min="272" max="493" width="8.88671875" style="71"/>
    <col min="494" max="494" width="25.109375" style="71" bestFit="1" customWidth="1"/>
    <col min="495" max="509" width="25.109375" style="71" customWidth="1"/>
    <col min="510" max="527" width="9.109375" style="71" customWidth="1"/>
    <col min="528" max="749" width="8.88671875" style="71"/>
    <col min="750" max="750" width="25.109375" style="71" bestFit="1" customWidth="1"/>
    <col min="751" max="765" width="25.109375" style="71" customWidth="1"/>
    <col min="766" max="783" width="9.109375" style="71" customWidth="1"/>
    <col min="784" max="1005" width="8.88671875" style="71"/>
    <col min="1006" max="1006" width="25.109375" style="71" bestFit="1" customWidth="1"/>
    <col min="1007" max="1021" width="25.109375" style="71" customWidth="1"/>
    <col min="1022" max="1039" width="9.109375" style="71" customWidth="1"/>
    <col min="1040" max="1261" width="8.88671875" style="71"/>
    <col min="1262" max="1262" width="25.109375" style="71" bestFit="1" customWidth="1"/>
    <col min="1263" max="1277" width="25.109375" style="71" customWidth="1"/>
    <col min="1278" max="1295" width="9.109375" style="71" customWidth="1"/>
    <col min="1296" max="1517" width="8.88671875" style="71"/>
    <col min="1518" max="1518" width="25.109375" style="71" bestFit="1" customWidth="1"/>
    <col min="1519" max="1533" width="25.109375" style="71" customWidth="1"/>
    <col min="1534" max="1551" width="9.109375" style="71" customWidth="1"/>
    <col min="1552" max="1773" width="8.88671875" style="71"/>
    <col min="1774" max="1774" width="25.109375" style="71" bestFit="1" customWidth="1"/>
    <col min="1775" max="1789" width="25.109375" style="71" customWidth="1"/>
    <col min="1790" max="1807" width="9.109375" style="71" customWidth="1"/>
    <col min="1808" max="2029" width="8.88671875" style="71"/>
    <col min="2030" max="2030" width="25.109375" style="71" bestFit="1" customWidth="1"/>
    <col min="2031" max="2045" width="25.109375" style="71" customWidth="1"/>
    <col min="2046" max="2063" width="9.109375" style="71" customWidth="1"/>
    <col min="2064" max="2285" width="8.88671875" style="71"/>
    <col min="2286" max="2286" width="25.109375" style="71" bestFit="1" customWidth="1"/>
    <col min="2287" max="2301" width="25.109375" style="71" customWidth="1"/>
    <col min="2302" max="2319" width="9.109375" style="71" customWidth="1"/>
    <col min="2320" max="2541" width="8.88671875" style="71"/>
    <col min="2542" max="2542" width="25.109375" style="71" bestFit="1" customWidth="1"/>
    <col min="2543" max="2557" width="25.109375" style="71" customWidth="1"/>
    <col min="2558" max="2575" width="9.109375" style="71" customWidth="1"/>
    <col min="2576" max="2797" width="8.88671875" style="71"/>
    <col min="2798" max="2798" width="25.109375" style="71" bestFit="1" customWidth="1"/>
    <col min="2799" max="2813" width="25.109375" style="71" customWidth="1"/>
    <col min="2814" max="2831" width="9.109375" style="71" customWidth="1"/>
    <col min="2832" max="3053" width="8.88671875" style="71"/>
    <col min="3054" max="3054" width="25.109375" style="71" bestFit="1" customWidth="1"/>
    <col min="3055" max="3069" width="25.109375" style="71" customWidth="1"/>
    <col min="3070" max="3087" width="9.109375" style="71" customWidth="1"/>
    <col min="3088" max="3309" width="8.88671875" style="71"/>
    <col min="3310" max="3310" width="25.109375" style="71" bestFit="1" customWidth="1"/>
    <col min="3311" max="3325" width="25.109375" style="71" customWidth="1"/>
    <col min="3326" max="3343" width="9.109375" style="71" customWidth="1"/>
    <col min="3344" max="3565" width="8.88671875" style="71"/>
    <col min="3566" max="3566" width="25.109375" style="71" bestFit="1" customWidth="1"/>
    <col min="3567" max="3581" width="25.109375" style="71" customWidth="1"/>
    <col min="3582" max="3599" width="9.109375" style="71" customWidth="1"/>
    <col min="3600" max="3821" width="8.88671875" style="71"/>
    <col min="3822" max="3822" width="25.109375" style="71" bestFit="1" customWidth="1"/>
    <col min="3823" max="3837" width="25.109375" style="71" customWidth="1"/>
    <col min="3838" max="3855" width="9.109375" style="71" customWidth="1"/>
    <col min="3856" max="4077" width="8.88671875" style="71"/>
    <col min="4078" max="4078" width="25.109375" style="71" bestFit="1" customWidth="1"/>
    <col min="4079" max="4093" width="25.109375" style="71" customWidth="1"/>
    <col min="4094" max="4111" width="9.109375" style="71" customWidth="1"/>
    <col min="4112" max="4333" width="8.88671875" style="71"/>
    <col min="4334" max="4334" width="25.109375" style="71" bestFit="1" customWidth="1"/>
    <col min="4335" max="4349" width="25.109375" style="71" customWidth="1"/>
    <col min="4350" max="4367" width="9.109375" style="71" customWidth="1"/>
    <col min="4368" max="4589" width="8.88671875" style="71"/>
    <col min="4590" max="4590" width="25.109375" style="71" bestFit="1" customWidth="1"/>
    <col min="4591" max="4605" width="25.109375" style="71" customWidth="1"/>
    <col min="4606" max="4623" width="9.109375" style="71" customWidth="1"/>
    <col min="4624" max="4845" width="8.88671875" style="71"/>
    <col min="4846" max="4846" width="25.109375" style="71" bestFit="1" customWidth="1"/>
    <col min="4847" max="4861" width="25.109375" style="71" customWidth="1"/>
    <col min="4862" max="4879" width="9.109375" style="71" customWidth="1"/>
    <col min="4880" max="5101" width="8.88671875" style="71"/>
    <col min="5102" max="5102" width="25.109375" style="71" bestFit="1" customWidth="1"/>
    <col min="5103" max="5117" width="25.109375" style="71" customWidth="1"/>
    <col min="5118" max="5135" width="9.109375" style="71" customWidth="1"/>
    <col min="5136" max="5357" width="8.88671875" style="71"/>
    <col min="5358" max="5358" width="25.109375" style="71" bestFit="1" customWidth="1"/>
    <col min="5359" max="5373" width="25.109375" style="71" customWidth="1"/>
    <col min="5374" max="5391" width="9.109375" style="71" customWidth="1"/>
    <col min="5392" max="5613" width="8.88671875" style="71"/>
    <col min="5614" max="5614" width="25.109375" style="71" bestFit="1" customWidth="1"/>
    <col min="5615" max="5629" width="25.109375" style="71" customWidth="1"/>
    <col min="5630" max="5647" width="9.109375" style="71" customWidth="1"/>
    <col min="5648" max="5869" width="8.88671875" style="71"/>
    <col min="5870" max="5870" width="25.109375" style="71" bestFit="1" customWidth="1"/>
    <col min="5871" max="5885" width="25.109375" style="71" customWidth="1"/>
    <col min="5886" max="5903" width="9.109375" style="71" customWidth="1"/>
    <col min="5904" max="6125" width="8.88671875" style="71"/>
    <col min="6126" max="6126" width="25.109375" style="71" bestFit="1" customWidth="1"/>
    <col min="6127" max="6141" width="25.109375" style="71" customWidth="1"/>
    <col min="6142" max="6159" width="9.109375" style="71" customWidth="1"/>
    <col min="6160" max="6381" width="8.88671875" style="71"/>
    <col min="6382" max="6382" width="25.109375" style="71" bestFit="1" customWidth="1"/>
    <col min="6383" max="6397" width="25.109375" style="71" customWidth="1"/>
    <col min="6398" max="6415" width="9.109375" style="71" customWidth="1"/>
    <col min="6416" max="6637" width="8.88671875" style="71"/>
    <col min="6638" max="6638" width="25.109375" style="71" bestFit="1" customWidth="1"/>
    <col min="6639" max="6653" width="25.109375" style="71" customWidth="1"/>
    <col min="6654" max="6671" width="9.109375" style="71" customWidth="1"/>
    <col min="6672" max="6893" width="8.88671875" style="71"/>
    <col min="6894" max="6894" width="25.109375" style="71" bestFit="1" customWidth="1"/>
    <col min="6895" max="6909" width="25.109375" style="71" customWidth="1"/>
    <col min="6910" max="6927" width="9.109375" style="71" customWidth="1"/>
    <col min="6928" max="7149" width="8.88671875" style="71"/>
    <col min="7150" max="7150" width="25.109375" style="71" bestFit="1" customWidth="1"/>
    <col min="7151" max="7165" width="25.109375" style="71" customWidth="1"/>
    <col min="7166" max="7183" width="9.109375" style="71" customWidth="1"/>
    <col min="7184" max="7405" width="8.88671875" style="71"/>
    <col min="7406" max="7406" width="25.109375" style="71" bestFit="1" customWidth="1"/>
    <col min="7407" max="7421" width="25.109375" style="71" customWidth="1"/>
    <col min="7422" max="7439" width="9.109375" style="71" customWidth="1"/>
    <col min="7440" max="7661" width="8.88671875" style="71"/>
    <col min="7662" max="7662" width="25.109375" style="71" bestFit="1" customWidth="1"/>
    <col min="7663" max="7677" width="25.109375" style="71" customWidth="1"/>
    <col min="7678" max="7695" width="9.109375" style="71" customWidth="1"/>
    <col min="7696" max="7917" width="8.88671875" style="71"/>
    <col min="7918" max="7918" width="25.109375" style="71" bestFit="1" customWidth="1"/>
    <col min="7919" max="7933" width="25.109375" style="71" customWidth="1"/>
    <col min="7934" max="7951" width="9.109375" style="71" customWidth="1"/>
    <col min="7952" max="8173" width="8.88671875" style="71"/>
    <col min="8174" max="8174" width="25.109375" style="71" bestFit="1" customWidth="1"/>
    <col min="8175" max="8189" width="25.109375" style="71" customWidth="1"/>
    <col min="8190" max="8207" width="9.109375" style="71" customWidth="1"/>
    <col min="8208" max="8429" width="8.88671875" style="71"/>
    <col min="8430" max="8430" width="25.109375" style="71" bestFit="1" customWidth="1"/>
    <col min="8431" max="8445" width="25.109375" style="71" customWidth="1"/>
    <col min="8446" max="8463" width="9.109375" style="71" customWidth="1"/>
    <col min="8464" max="8685" width="8.88671875" style="71"/>
    <col min="8686" max="8686" width="25.109375" style="71" bestFit="1" customWidth="1"/>
    <col min="8687" max="8701" width="25.109375" style="71" customWidth="1"/>
    <col min="8702" max="8719" width="9.109375" style="71" customWidth="1"/>
    <col min="8720" max="8941" width="8.88671875" style="71"/>
    <col min="8942" max="8942" width="25.109375" style="71" bestFit="1" customWidth="1"/>
    <col min="8943" max="8957" width="25.109375" style="71" customWidth="1"/>
    <col min="8958" max="8975" width="9.109375" style="71" customWidth="1"/>
    <col min="8976" max="9197" width="8.88671875" style="71"/>
    <col min="9198" max="9198" width="25.109375" style="71" bestFit="1" customWidth="1"/>
    <col min="9199" max="9213" width="25.109375" style="71" customWidth="1"/>
    <col min="9214" max="9231" width="9.109375" style="71" customWidth="1"/>
    <col min="9232" max="9453" width="8.88671875" style="71"/>
    <col min="9454" max="9454" width="25.109375" style="71" bestFit="1" customWidth="1"/>
    <col min="9455" max="9469" width="25.109375" style="71" customWidth="1"/>
    <col min="9470" max="9487" width="9.109375" style="71" customWidth="1"/>
    <col min="9488" max="9709" width="8.88671875" style="71"/>
    <col min="9710" max="9710" width="25.109375" style="71" bestFit="1" customWidth="1"/>
    <col min="9711" max="9725" width="25.109375" style="71" customWidth="1"/>
    <col min="9726" max="9743" width="9.109375" style="71" customWidth="1"/>
    <col min="9744" max="9965" width="8.88671875" style="71"/>
    <col min="9966" max="9966" width="25.109375" style="71" bestFit="1" customWidth="1"/>
    <col min="9967" max="9981" width="25.109375" style="71" customWidth="1"/>
    <col min="9982" max="9999" width="9.109375" style="71" customWidth="1"/>
    <col min="10000" max="10221" width="8.88671875" style="71"/>
    <col min="10222" max="10222" width="25.109375" style="71" bestFit="1" customWidth="1"/>
    <col min="10223" max="10237" width="25.109375" style="71" customWidth="1"/>
    <col min="10238" max="10255" width="9.109375" style="71" customWidth="1"/>
    <col min="10256" max="10477" width="8.88671875" style="71"/>
    <col min="10478" max="10478" width="25.109375" style="71" bestFit="1" customWidth="1"/>
    <col min="10479" max="10493" width="25.109375" style="71" customWidth="1"/>
    <col min="10494" max="10511" width="9.109375" style="71" customWidth="1"/>
    <col min="10512" max="10733" width="8.88671875" style="71"/>
    <col min="10734" max="10734" width="25.109375" style="71" bestFit="1" customWidth="1"/>
    <col min="10735" max="10749" width="25.109375" style="71" customWidth="1"/>
    <col min="10750" max="10767" width="9.109375" style="71" customWidth="1"/>
    <col min="10768" max="10989" width="8.88671875" style="71"/>
    <col min="10990" max="10990" width="25.109375" style="71" bestFit="1" customWidth="1"/>
    <col min="10991" max="11005" width="25.109375" style="71" customWidth="1"/>
    <col min="11006" max="11023" width="9.109375" style="71" customWidth="1"/>
    <col min="11024" max="11245" width="8.88671875" style="71"/>
    <col min="11246" max="11246" width="25.109375" style="71" bestFit="1" customWidth="1"/>
    <col min="11247" max="11261" width="25.109375" style="71" customWidth="1"/>
    <col min="11262" max="11279" width="9.109375" style="71" customWidth="1"/>
    <col min="11280" max="11501" width="8.88671875" style="71"/>
    <col min="11502" max="11502" width="25.109375" style="71" bestFit="1" customWidth="1"/>
    <col min="11503" max="11517" width="25.109375" style="71" customWidth="1"/>
    <col min="11518" max="11535" width="9.109375" style="71" customWidth="1"/>
    <col min="11536" max="11757" width="8.88671875" style="71"/>
    <col min="11758" max="11758" width="25.109375" style="71" bestFit="1" customWidth="1"/>
    <col min="11759" max="11773" width="25.109375" style="71" customWidth="1"/>
    <col min="11774" max="11791" width="9.109375" style="71" customWidth="1"/>
    <col min="11792" max="12013" width="8.88671875" style="71"/>
    <col min="12014" max="12014" width="25.109375" style="71" bestFit="1" customWidth="1"/>
    <col min="12015" max="12029" width="25.109375" style="71" customWidth="1"/>
    <col min="12030" max="12047" width="9.109375" style="71" customWidth="1"/>
    <col min="12048" max="12269" width="8.88671875" style="71"/>
    <col min="12270" max="12270" width="25.109375" style="71" bestFit="1" customWidth="1"/>
    <col min="12271" max="12285" width="25.109375" style="71" customWidth="1"/>
    <col min="12286" max="12303" width="9.109375" style="71" customWidth="1"/>
    <col min="12304" max="12525" width="8.88671875" style="71"/>
    <col min="12526" max="12526" width="25.109375" style="71" bestFit="1" customWidth="1"/>
    <col min="12527" max="12541" width="25.109375" style="71" customWidth="1"/>
    <col min="12542" max="12559" width="9.109375" style="71" customWidth="1"/>
    <col min="12560" max="12781" width="8.88671875" style="71"/>
    <col min="12782" max="12782" width="25.109375" style="71" bestFit="1" customWidth="1"/>
    <col min="12783" max="12797" width="25.109375" style="71" customWidth="1"/>
    <col min="12798" max="12815" width="9.109375" style="71" customWidth="1"/>
    <col min="12816" max="13037" width="8.88671875" style="71"/>
    <col min="13038" max="13038" width="25.109375" style="71" bestFit="1" customWidth="1"/>
    <col min="13039" max="13053" width="25.109375" style="71" customWidth="1"/>
    <col min="13054" max="13071" width="9.109375" style="71" customWidth="1"/>
    <col min="13072" max="13293" width="8.88671875" style="71"/>
    <col min="13294" max="13294" width="25.109375" style="71" bestFit="1" customWidth="1"/>
    <col min="13295" max="13309" width="25.109375" style="71" customWidth="1"/>
    <col min="13310" max="13327" width="9.109375" style="71" customWidth="1"/>
    <col min="13328" max="13549" width="8.88671875" style="71"/>
    <col min="13550" max="13550" width="25.109375" style="71" bestFit="1" customWidth="1"/>
    <col min="13551" max="13565" width="25.109375" style="71" customWidth="1"/>
    <col min="13566" max="13583" width="9.109375" style="71" customWidth="1"/>
    <col min="13584" max="13805" width="8.88671875" style="71"/>
    <col min="13806" max="13806" width="25.109375" style="71" bestFit="1" customWidth="1"/>
    <col min="13807" max="13821" width="25.109375" style="71" customWidth="1"/>
    <col min="13822" max="13839" width="9.109375" style="71" customWidth="1"/>
    <col min="13840" max="14061" width="8.88671875" style="71"/>
    <col min="14062" max="14062" width="25.109375" style="71" bestFit="1" customWidth="1"/>
    <col min="14063" max="14077" width="25.109375" style="71" customWidth="1"/>
    <col min="14078" max="14095" width="9.109375" style="71" customWidth="1"/>
    <col min="14096" max="14317" width="8.88671875" style="71"/>
    <col min="14318" max="14318" width="25.109375" style="71" bestFit="1" customWidth="1"/>
    <col min="14319" max="14333" width="25.109375" style="71" customWidth="1"/>
    <col min="14334" max="14351" width="9.109375" style="71" customWidth="1"/>
    <col min="14352" max="14573" width="8.88671875" style="71"/>
    <col min="14574" max="14574" width="25.109375" style="71" bestFit="1" customWidth="1"/>
    <col min="14575" max="14589" width="25.109375" style="71" customWidth="1"/>
    <col min="14590" max="14607" width="9.109375" style="71" customWidth="1"/>
    <col min="14608" max="14829" width="8.88671875" style="71"/>
    <col min="14830" max="14830" width="25.109375" style="71" bestFit="1" customWidth="1"/>
    <col min="14831" max="14845" width="25.109375" style="71" customWidth="1"/>
    <col min="14846" max="14863" width="9.109375" style="71" customWidth="1"/>
    <col min="14864" max="15085" width="8.88671875" style="71"/>
    <col min="15086" max="15086" width="25.109375" style="71" bestFit="1" customWidth="1"/>
    <col min="15087" max="15101" width="25.109375" style="71" customWidth="1"/>
    <col min="15102" max="15119" width="9.109375" style="71" customWidth="1"/>
    <col min="15120" max="15341" width="8.88671875" style="71"/>
    <col min="15342" max="15342" width="25.109375" style="71" bestFit="1" customWidth="1"/>
    <col min="15343" max="15357" width="25.109375" style="71" customWidth="1"/>
    <col min="15358" max="15375" width="9.109375" style="71" customWidth="1"/>
    <col min="15376" max="15597" width="8.88671875" style="71"/>
    <col min="15598" max="15598" width="25.109375" style="71" bestFit="1" customWidth="1"/>
    <col min="15599" max="15613" width="25.109375" style="71" customWidth="1"/>
    <col min="15614" max="15631" width="9.109375" style="71" customWidth="1"/>
    <col min="15632" max="15853" width="8.88671875" style="71"/>
    <col min="15854" max="15854" width="25.109375" style="71" bestFit="1" customWidth="1"/>
    <col min="15855" max="15869" width="25.109375" style="71" customWidth="1"/>
    <col min="15870" max="15887" width="9.109375" style="71" customWidth="1"/>
    <col min="15888" max="16109" width="8.88671875" style="71"/>
    <col min="16110" max="16110" width="25.109375" style="71" bestFit="1" customWidth="1"/>
    <col min="16111" max="16125" width="25.109375" style="71" customWidth="1"/>
    <col min="16126" max="16143" width="9.109375" style="71" customWidth="1"/>
    <col min="16144" max="16384" width="8.88671875" style="71"/>
  </cols>
  <sheetData>
    <row r="1" spans="1:18">
      <c r="A1" s="70"/>
      <c r="B1" s="70" t="s">
        <v>423</v>
      </c>
      <c r="C1" s="70"/>
    </row>
    <row r="2" spans="1:18">
      <c r="A2" s="70"/>
      <c r="B2" s="70"/>
      <c r="C2" s="70"/>
    </row>
    <row r="3" spans="1:18">
      <c r="A3" s="70"/>
      <c r="B3" s="70" t="s">
        <v>424</v>
      </c>
      <c r="C3" s="70" t="s">
        <v>334</v>
      </c>
      <c r="D3" s="71" t="s">
        <v>425</v>
      </c>
      <c r="E3" s="71" t="s">
        <v>426</v>
      </c>
      <c r="F3" s="71" t="s">
        <v>427</v>
      </c>
      <c r="G3" s="71" t="s">
        <v>428</v>
      </c>
      <c r="H3" s="71" t="s">
        <v>429</v>
      </c>
      <c r="I3" s="71" t="s">
        <v>430</v>
      </c>
      <c r="J3" s="71" t="s">
        <v>431</v>
      </c>
      <c r="K3" s="71" t="s">
        <v>432</v>
      </c>
      <c r="L3" s="71" t="s">
        <v>433</v>
      </c>
      <c r="M3" s="71" t="s">
        <v>434</v>
      </c>
      <c r="N3" s="71" t="s">
        <v>435</v>
      </c>
      <c r="O3" s="71" t="s">
        <v>436</v>
      </c>
      <c r="P3" s="71" t="s">
        <v>437</v>
      </c>
      <c r="Q3" s="71" t="s">
        <v>438</v>
      </c>
      <c r="R3" s="71" t="s">
        <v>439</v>
      </c>
    </row>
    <row r="4" spans="1:18">
      <c r="A4" s="70"/>
      <c r="C4" s="70"/>
    </row>
    <row r="5" spans="1:18">
      <c r="A5" s="70"/>
      <c r="B5" s="70" t="s">
        <v>440</v>
      </c>
      <c r="C5" s="70"/>
    </row>
    <row r="6" spans="1:18">
      <c r="A6" s="71" t="str">
        <f>VLOOKUP(C6,classifications!C:F,4,FALSE)</f>
        <v>L</v>
      </c>
      <c r="B6" s="71" t="s">
        <v>441</v>
      </c>
      <c r="C6" s="71" t="s">
        <v>201</v>
      </c>
      <c r="D6" s="71" t="s">
        <v>337</v>
      </c>
      <c r="E6" s="71" t="s">
        <v>212</v>
      </c>
      <c r="F6" s="71" t="s">
        <v>338</v>
      </c>
      <c r="G6" s="71" t="s">
        <v>222</v>
      </c>
      <c r="H6" s="71" t="s">
        <v>218</v>
      </c>
      <c r="I6" s="71" t="s">
        <v>213</v>
      </c>
      <c r="J6" s="71" t="s">
        <v>207</v>
      </c>
      <c r="K6" s="71" t="s">
        <v>215</v>
      </c>
      <c r="L6" s="71" t="s">
        <v>203</v>
      </c>
      <c r="M6" s="71" t="s">
        <v>199</v>
      </c>
      <c r="N6" s="71" t="s">
        <v>220</v>
      </c>
      <c r="O6" s="71" t="s">
        <v>394</v>
      </c>
      <c r="P6" s="71" t="s">
        <v>211</v>
      </c>
      <c r="Q6" s="71" t="s">
        <v>214</v>
      </c>
      <c r="R6" s="71" t="s">
        <v>208</v>
      </c>
    </row>
    <row r="7" spans="1:18">
      <c r="A7" s="71" t="str">
        <f>VLOOKUP(C7,classifications!C:F,4,FALSE)</f>
        <v>L</v>
      </c>
      <c r="B7" s="71" t="s">
        <v>442</v>
      </c>
      <c r="C7" s="71" t="s">
        <v>205</v>
      </c>
      <c r="D7" s="71" t="s">
        <v>214</v>
      </c>
      <c r="E7" s="71" t="s">
        <v>221</v>
      </c>
      <c r="F7" s="71" t="s">
        <v>213</v>
      </c>
      <c r="G7" s="71" t="s">
        <v>218</v>
      </c>
      <c r="H7" s="71" t="s">
        <v>211</v>
      </c>
      <c r="I7" s="71" t="s">
        <v>206</v>
      </c>
      <c r="J7" s="71" t="s">
        <v>199</v>
      </c>
      <c r="K7" s="71" t="s">
        <v>207</v>
      </c>
      <c r="L7" s="71" t="s">
        <v>203</v>
      </c>
      <c r="M7" s="71" t="s">
        <v>202</v>
      </c>
      <c r="N7" s="71" t="s">
        <v>204</v>
      </c>
      <c r="O7" s="71" t="s">
        <v>339</v>
      </c>
      <c r="P7" s="71" t="s">
        <v>220</v>
      </c>
      <c r="Q7" s="71" t="s">
        <v>216</v>
      </c>
      <c r="R7" s="71" t="s">
        <v>217</v>
      </c>
    </row>
    <row r="8" spans="1:18">
      <c r="A8" s="71" t="str">
        <f>VLOOKUP(C8,classifications!C:F,4,FALSE)</f>
        <v>L</v>
      </c>
      <c r="B8" s="71" t="s">
        <v>443</v>
      </c>
      <c r="C8" s="71" t="s">
        <v>206</v>
      </c>
      <c r="D8" s="71" t="s">
        <v>218</v>
      </c>
      <c r="E8" s="71" t="s">
        <v>220</v>
      </c>
      <c r="F8" s="71" t="s">
        <v>213</v>
      </c>
      <c r="G8" s="71" t="s">
        <v>214</v>
      </c>
      <c r="H8" s="71" t="s">
        <v>212</v>
      </c>
      <c r="I8" s="71" t="s">
        <v>205</v>
      </c>
      <c r="J8" s="71" t="s">
        <v>207</v>
      </c>
      <c r="K8" s="71" t="s">
        <v>216</v>
      </c>
      <c r="L8" s="71" t="s">
        <v>199</v>
      </c>
      <c r="M8" s="71" t="s">
        <v>221</v>
      </c>
      <c r="N8" s="71" t="s">
        <v>337</v>
      </c>
      <c r="O8" s="71" t="s">
        <v>211</v>
      </c>
      <c r="P8" s="71" t="s">
        <v>203</v>
      </c>
      <c r="Q8" s="71" t="s">
        <v>339</v>
      </c>
      <c r="R8" s="71" t="s">
        <v>201</v>
      </c>
    </row>
    <row r="9" spans="1:18">
      <c r="A9" s="71" t="str">
        <f>VLOOKUP(C9,classifications!C:F,4,FALSE)</f>
        <v>L</v>
      </c>
      <c r="B9" s="71" t="s">
        <v>444</v>
      </c>
      <c r="C9" s="71" t="s">
        <v>337</v>
      </c>
      <c r="D9" s="71" t="s">
        <v>201</v>
      </c>
      <c r="E9" s="71" t="s">
        <v>212</v>
      </c>
      <c r="F9" s="71" t="s">
        <v>222</v>
      </c>
      <c r="G9" s="71" t="s">
        <v>213</v>
      </c>
      <c r="H9" s="71" t="s">
        <v>218</v>
      </c>
      <c r="I9" s="71" t="s">
        <v>338</v>
      </c>
      <c r="J9" s="71" t="s">
        <v>220</v>
      </c>
      <c r="K9" s="71" t="s">
        <v>207</v>
      </c>
      <c r="L9" s="71" t="s">
        <v>215</v>
      </c>
      <c r="M9" s="71" t="s">
        <v>206</v>
      </c>
      <c r="N9" s="71" t="s">
        <v>211</v>
      </c>
      <c r="O9" s="71" t="s">
        <v>199</v>
      </c>
      <c r="P9" s="71" t="s">
        <v>203</v>
      </c>
      <c r="Q9" s="71" t="s">
        <v>214</v>
      </c>
      <c r="R9" s="71" t="s">
        <v>394</v>
      </c>
    </row>
    <row r="10" spans="1:18">
      <c r="A10" s="71" t="str">
        <f>VLOOKUP(C10,classifications!C:F,4,FALSE)</f>
        <v>L</v>
      </c>
      <c r="B10" s="71" t="s">
        <v>445</v>
      </c>
      <c r="C10" s="71" t="s">
        <v>212</v>
      </c>
      <c r="D10" s="71" t="s">
        <v>337</v>
      </c>
      <c r="E10" s="71" t="s">
        <v>218</v>
      </c>
      <c r="F10" s="71" t="s">
        <v>213</v>
      </c>
      <c r="G10" s="71" t="s">
        <v>220</v>
      </c>
      <c r="H10" s="71" t="s">
        <v>201</v>
      </c>
      <c r="I10" s="71" t="s">
        <v>206</v>
      </c>
      <c r="J10" s="71" t="s">
        <v>222</v>
      </c>
      <c r="K10" s="71" t="s">
        <v>214</v>
      </c>
      <c r="L10" s="71" t="s">
        <v>207</v>
      </c>
      <c r="M10" s="71" t="s">
        <v>205</v>
      </c>
      <c r="N10" s="71" t="s">
        <v>199</v>
      </c>
      <c r="O10" s="71" t="s">
        <v>211</v>
      </c>
      <c r="P10" s="71" t="s">
        <v>203</v>
      </c>
      <c r="Q10" s="71" t="s">
        <v>221</v>
      </c>
      <c r="R10" s="71" t="s">
        <v>215</v>
      </c>
    </row>
    <row r="11" spans="1:18">
      <c r="A11" s="71" t="str">
        <f>VLOOKUP(C11,classifications!C:F,4,FALSE)</f>
        <v>L</v>
      </c>
      <c r="B11" s="71" t="s">
        <v>446</v>
      </c>
      <c r="C11" s="71" t="s">
        <v>338</v>
      </c>
      <c r="D11" s="71" t="s">
        <v>201</v>
      </c>
      <c r="E11" s="71" t="s">
        <v>337</v>
      </c>
      <c r="F11" s="71" t="s">
        <v>188</v>
      </c>
      <c r="G11" s="71" t="s">
        <v>212</v>
      </c>
      <c r="H11" s="71" t="s">
        <v>222</v>
      </c>
      <c r="I11" s="71" t="s">
        <v>394</v>
      </c>
      <c r="J11" s="71" t="s">
        <v>395</v>
      </c>
      <c r="K11" s="71" t="s">
        <v>208</v>
      </c>
      <c r="L11" s="71" t="s">
        <v>215</v>
      </c>
      <c r="M11" s="71" t="s">
        <v>197</v>
      </c>
      <c r="N11" s="71" t="s">
        <v>203</v>
      </c>
      <c r="O11" s="71" t="s">
        <v>213</v>
      </c>
      <c r="P11" s="71" t="s">
        <v>218</v>
      </c>
      <c r="Q11" s="71" t="s">
        <v>219</v>
      </c>
      <c r="R11" s="71" t="s">
        <v>199</v>
      </c>
    </row>
    <row r="12" spans="1:18">
      <c r="A12" s="71" t="str">
        <f>VLOOKUP(C12,classifications!C:F,4,FALSE)</f>
        <v>L</v>
      </c>
      <c r="B12" s="71" t="s">
        <v>447</v>
      </c>
      <c r="C12" s="71" t="s">
        <v>213</v>
      </c>
      <c r="D12" s="71" t="s">
        <v>218</v>
      </c>
      <c r="E12" s="71" t="s">
        <v>214</v>
      </c>
      <c r="F12" s="71" t="s">
        <v>212</v>
      </c>
      <c r="G12" s="71" t="s">
        <v>206</v>
      </c>
      <c r="H12" s="71" t="s">
        <v>220</v>
      </c>
      <c r="I12" s="71" t="s">
        <v>205</v>
      </c>
      <c r="J12" s="71" t="s">
        <v>207</v>
      </c>
      <c r="K12" s="71" t="s">
        <v>199</v>
      </c>
      <c r="L12" s="71" t="s">
        <v>222</v>
      </c>
      <c r="M12" s="71" t="s">
        <v>203</v>
      </c>
      <c r="N12" s="71" t="s">
        <v>337</v>
      </c>
      <c r="O12" s="71" t="s">
        <v>221</v>
      </c>
      <c r="P12" s="71" t="s">
        <v>211</v>
      </c>
      <c r="Q12" s="71" t="s">
        <v>201</v>
      </c>
      <c r="R12" s="71" t="s">
        <v>202</v>
      </c>
    </row>
    <row r="13" spans="1:18">
      <c r="A13" s="71" t="str">
        <f>VLOOKUP(C13,classifications!C:F,4,FALSE)</f>
        <v>L</v>
      </c>
      <c r="B13" s="71" t="s">
        <v>448</v>
      </c>
      <c r="C13" s="71" t="s">
        <v>214</v>
      </c>
      <c r="D13" s="71" t="s">
        <v>205</v>
      </c>
      <c r="E13" s="71" t="s">
        <v>213</v>
      </c>
      <c r="F13" s="71" t="s">
        <v>218</v>
      </c>
      <c r="G13" s="71" t="s">
        <v>221</v>
      </c>
      <c r="H13" s="71" t="s">
        <v>206</v>
      </c>
      <c r="I13" s="71" t="s">
        <v>207</v>
      </c>
      <c r="J13" s="71" t="s">
        <v>199</v>
      </c>
      <c r="K13" s="71" t="s">
        <v>211</v>
      </c>
      <c r="L13" s="71" t="s">
        <v>203</v>
      </c>
      <c r="M13" s="71" t="s">
        <v>220</v>
      </c>
      <c r="N13" s="71" t="s">
        <v>202</v>
      </c>
      <c r="O13" s="71" t="s">
        <v>212</v>
      </c>
      <c r="P13" s="71" t="s">
        <v>216</v>
      </c>
      <c r="Q13" s="71" t="s">
        <v>204</v>
      </c>
      <c r="R13" s="71" t="s">
        <v>217</v>
      </c>
    </row>
    <row r="14" spans="1:18">
      <c r="A14" s="71" t="str">
        <f>VLOOKUP(C14,classifications!C:F,4,FALSE)</f>
        <v>L</v>
      </c>
      <c r="B14" s="71" t="s">
        <v>449</v>
      </c>
      <c r="C14" s="71" t="s">
        <v>218</v>
      </c>
      <c r="D14" s="71" t="s">
        <v>213</v>
      </c>
      <c r="E14" s="71" t="s">
        <v>206</v>
      </c>
      <c r="F14" s="71" t="s">
        <v>214</v>
      </c>
      <c r="G14" s="71" t="s">
        <v>220</v>
      </c>
      <c r="H14" s="71" t="s">
        <v>212</v>
      </c>
      <c r="I14" s="71" t="s">
        <v>205</v>
      </c>
      <c r="J14" s="71" t="s">
        <v>207</v>
      </c>
      <c r="K14" s="71" t="s">
        <v>199</v>
      </c>
      <c r="L14" s="71" t="s">
        <v>337</v>
      </c>
      <c r="M14" s="71" t="s">
        <v>221</v>
      </c>
      <c r="N14" s="71" t="s">
        <v>203</v>
      </c>
      <c r="O14" s="71" t="s">
        <v>222</v>
      </c>
      <c r="P14" s="71" t="s">
        <v>211</v>
      </c>
      <c r="Q14" s="71" t="s">
        <v>201</v>
      </c>
      <c r="R14" s="71" t="s">
        <v>216</v>
      </c>
    </row>
    <row r="15" spans="1:18">
      <c r="A15" s="71" t="str">
        <f>VLOOKUP(C15,classifications!C:F,4,FALSE)</f>
        <v>L</v>
      </c>
      <c r="B15" s="71" t="s">
        <v>450</v>
      </c>
      <c r="C15" s="71" t="s">
        <v>220</v>
      </c>
      <c r="D15" s="71" t="s">
        <v>206</v>
      </c>
      <c r="E15" s="71" t="s">
        <v>218</v>
      </c>
      <c r="F15" s="71" t="s">
        <v>213</v>
      </c>
      <c r="G15" s="71" t="s">
        <v>212</v>
      </c>
      <c r="H15" s="71" t="s">
        <v>214</v>
      </c>
      <c r="I15" s="71" t="s">
        <v>205</v>
      </c>
      <c r="J15" s="71" t="s">
        <v>207</v>
      </c>
      <c r="K15" s="71" t="s">
        <v>337</v>
      </c>
      <c r="L15" s="71" t="s">
        <v>216</v>
      </c>
      <c r="M15" s="71" t="s">
        <v>199</v>
      </c>
      <c r="N15" s="71" t="s">
        <v>221</v>
      </c>
      <c r="O15" s="71" t="s">
        <v>222</v>
      </c>
      <c r="P15" s="71" t="s">
        <v>203</v>
      </c>
      <c r="Q15" s="71" t="s">
        <v>211</v>
      </c>
      <c r="R15" s="71" t="s">
        <v>201</v>
      </c>
    </row>
    <row r="16" spans="1:18">
      <c r="A16" s="71" t="str">
        <f>VLOOKUP(C16,classifications!C:F,4,FALSE)</f>
        <v>L</v>
      </c>
      <c r="B16" s="71" t="s">
        <v>451</v>
      </c>
      <c r="C16" s="71" t="s">
        <v>222</v>
      </c>
      <c r="D16" s="71" t="s">
        <v>213</v>
      </c>
      <c r="E16" s="71" t="s">
        <v>337</v>
      </c>
      <c r="F16" s="71" t="s">
        <v>215</v>
      </c>
      <c r="G16" s="71" t="s">
        <v>203</v>
      </c>
      <c r="H16" s="71" t="s">
        <v>212</v>
      </c>
      <c r="I16" s="71" t="s">
        <v>211</v>
      </c>
      <c r="J16" s="71" t="s">
        <v>201</v>
      </c>
      <c r="K16" s="71" t="s">
        <v>218</v>
      </c>
      <c r="L16" s="71" t="s">
        <v>394</v>
      </c>
      <c r="M16" s="71" t="s">
        <v>197</v>
      </c>
      <c r="N16" s="71" t="s">
        <v>214</v>
      </c>
      <c r="O16" s="71" t="s">
        <v>199</v>
      </c>
      <c r="P16" s="71" t="s">
        <v>219</v>
      </c>
      <c r="Q16" s="71" t="s">
        <v>202</v>
      </c>
      <c r="R16" s="71" t="s">
        <v>217</v>
      </c>
    </row>
    <row r="17" spans="1:18">
      <c r="A17" s="71" t="str">
        <f>VLOOKUP(C17,classifications!C:F,4,FALSE)</f>
        <v>L</v>
      </c>
      <c r="B17" s="71" t="s">
        <v>452</v>
      </c>
      <c r="C17" s="71" t="s">
        <v>188</v>
      </c>
      <c r="D17" s="71" t="s">
        <v>338</v>
      </c>
      <c r="E17" s="71" t="s">
        <v>201</v>
      </c>
      <c r="F17" s="71" t="s">
        <v>337</v>
      </c>
      <c r="G17" s="71" t="s">
        <v>212</v>
      </c>
      <c r="H17" s="71" t="s">
        <v>222</v>
      </c>
      <c r="I17" s="71" t="s">
        <v>220</v>
      </c>
      <c r="J17" s="71" t="s">
        <v>218</v>
      </c>
      <c r="K17" s="71" t="s">
        <v>394</v>
      </c>
      <c r="L17" s="71" t="s">
        <v>213</v>
      </c>
      <c r="M17" s="71" t="s">
        <v>395</v>
      </c>
      <c r="N17" s="71" t="s">
        <v>215</v>
      </c>
      <c r="O17" s="71" t="s">
        <v>203</v>
      </c>
      <c r="P17" s="71" t="s">
        <v>197</v>
      </c>
      <c r="Q17" s="71" t="s">
        <v>208</v>
      </c>
      <c r="R17" s="71" t="s">
        <v>207</v>
      </c>
    </row>
    <row r="18" spans="1:18">
      <c r="A18" s="71" t="str">
        <f>VLOOKUP(C18,classifications!C:F,4,FALSE)</f>
        <v>L</v>
      </c>
      <c r="B18" s="71" t="s">
        <v>453</v>
      </c>
      <c r="C18" s="71" t="s">
        <v>339</v>
      </c>
      <c r="D18" s="71" t="s">
        <v>221</v>
      </c>
      <c r="E18" s="71" t="s">
        <v>205</v>
      </c>
      <c r="F18" s="71" t="s">
        <v>216</v>
      </c>
      <c r="G18" s="71" t="s">
        <v>214</v>
      </c>
      <c r="H18" s="71" t="s">
        <v>204</v>
      </c>
      <c r="I18" s="71" t="s">
        <v>207</v>
      </c>
      <c r="J18" s="71" t="s">
        <v>211</v>
      </c>
      <c r="K18" s="71" t="s">
        <v>206</v>
      </c>
      <c r="L18" s="71" t="s">
        <v>199</v>
      </c>
      <c r="M18" s="71" t="s">
        <v>202</v>
      </c>
      <c r="N18" s="71" t="s">
        <v>217</v>
      </c>
      <c r="O18" s="71" t="s">
        <v>203</v>
      </c>
      <c r="P18" s="71" t="s">
        <v>210</v>
      </c>
      <c r="Q18" s="71" t="s">
        <v>218</v>
      </c>
      <c r="R18" s="71" t="s">
        <v>220</v>
      </c>
    </row>
    <row r="19" spans="1:18">
      <c r="A19" s="71" t="str">
        <f>VLOOKUP(C19,classifications!C:F,4,FALSE)</f>
        <v>L</v>
      </c>
      <c r="B19" s="71" t="s">
        <v>454</v>
      </c>
      <c r="C19" s="71" t="s">
        <v>197</v>
      </c>
      <c r="D19" s="71" t="s">
        <v>208</v>
      </c>
      <c r="E19" s="71" t="s">
        <v>217</v>
      </c>
      <c r="F19" s="71" t="s">
        <v>202</v>
      </c>
      <c r="G19" s="71" t="s">
        <v>203</v>
      </c>
      <c r="H19" s="71" t="s">
        <v>204</v>
      </c>
      <c r="I19" s="71" t="s">
        <v>200</v>
      </c>
      <c r="J19" s="71" t="s">
        <v>210</v>
      </c>
      <c r="K19" s="71" t="s">
        <v>215</v>
      </c>
      <c r="L19" s="71" t="s">
        <v>394</v>
      </c>
      <c r="M19" s="71" t="s">
        <v>211</v>
      </c>
      <c r="N19" s="71" t="s">
        <v>219</v>
      </c>
      <c r="O19" s="71" t="s">
        <v>395</v>
      </c>
      <c r="P19" s="71" t="s">
        <v>198</v>
      </c>
      <c r="Q19" s="71" t="s">
        <v>222</v>
      </c>
      <c r="R19" s="71" t="s">
        <v>199</v>
      </c>
    </row>
    <row r="20" spans="1:18">
      <c r="A20" s="71" t="str">
        <f>VLOOKUP(C20,classifications!C:F,4,FALSE)</f>
        <v>L</v>
      </c>
      <c r="B20" s="71" t="s">
        <v>455</v>
      </c>
      <c r="C20" s="71" t="s">
        <v>198</v>
      </c>
      <c r="D20" s="71" t="s">
        <v>209</v>
      </c>
      <c r="E20" s="71" t="s">
        <v>219</v>
      </c>
      <c r="F20" s="71" t="s">
        <v>210</v>
      </c>
      <c r="G20" s="71" t="s">
        <v>217</v>
      </c>
      <c r="H20" s="71" t="s">
        <v>200</v>
      </c>
      <c r="I20" s="71" t="s">
        <v>215</v>
      </c>
      <c r="J20" s="71" t="s">
        <v>208</v>
      </c>
      <c r="K20" s="71" t="s">
        <v>394</v>
      </c>
      <c r="L20" s="71" t="s">
        <v>202</v>
      </c>
      <c r="M20" s="71" t="s">
        <v>204</v>
      </c>
      <c r="N20" s="71" t="s">
        <v>211</v>
      </c>
      <c r="O20" s="71" t="s">
        <v>197</v>
      </c>
      <c r="P20" s="71" t="s">
        <v>221</v>
      </c>
      <c r="Q20" s="71" t="s">
        <v>203</v>
      </c>
      <c r="R20" s="71" t="s">
        <v>395</v>
      </c>
    </row>
    <row r="21" spans="1:18">
      <c r="A21" s="71" t="str">
        <f>VLOOKUP(C21,classifications!C:F,4,FALSE)</f>
        <v>L</v>
      </c>
      <c r="B21" s="71" t="s">
        <v>456</v>
      </c>
      <c r="C21" s="71" t="s">
        <v>199</v>
      </c>
      <c r="D21" s="71" t="s">
        <v>203</v>
      </c>
      <c r="E21" s="71" t="s">
        <v>207</v>
      </c>
      <c r="F21" s="71" t="s">
        <v>221</v>
      </c>
      <c r="G21" s="71" t="s">
        <v>211</v>
      </c>
      <c r="H21" s="71" t="s">
        <v>204</v>
      </c>
      <c r="I21" s="71" t="s">
        <v>214</v>
      </c>
      <c r="J21" s="71" t="s">
        <v>213</v>
      </c>
      <c r="K21" s="71" t="s">
        <v>202</v>
      </c>
      <c r="L21" s="71" t="s">
        <v>217</v>
      </c>
      <c r="M21" s="71" t="s">
        <v>218</v>
      </c>
      <c r="N21" s="71" t="s">
        <v>205</v>
      </c>
      <c r="O21" s="71" t="s">
        <v>216</v>
      </c>
      <c r="P21" s="71" t="s">
        <v>215</v>
      </c>
      <c r="Q21" s="71" t="s">
        <v>206</v>
      </c>
      <c r="R21" s="71" t="s">
        <v>208</v>
      </c>
    </row>
    <row r="22" spans="1:18">
      <c r="A22" s="71" t="str">
        <f>VLOOKUP(C22,classifications!C:F,4,FALSE)</f>
        <v>L</v>
      </c>
      <c r="B22" s="71" t="s">
        <v>457</v>
      </c>
      <c r="C22" s="71" t="s">
        <v>200</v>
      </c>
      <c r="D22" s="71" t="s">
        <v>209</v>
      </c>
      <c r="E22" s="71" t="s">
        <v>198</v>
      </c>
      <c r="F22" s="71" t="s">
        <v>210</v>
      </c>
      <c r="G22" s="71" t="s">
        <v>197</v>
      </c>
      <c r="H22" s="71" t="s">
        <v>395</v>
      </c>
      <c r="I22" s="71" t="s">
        <v>219</v>
      </c>
      <c r="J22" s="71" t="s">
        <v>394</v>
      </c>
      <c r="K22" s="71" t="s">
        <v>208</v>
      </c>
      <c r="L22" s="71" t="s">
        <v>202</v>
      </c>
      <c r="M22" s="71" t="s">
        <v>217</v>
      </c>
      <c r="N22" s="71" t="s">
        <v>204</v>
      </c>
      <c r="O22" s="71" t="s">
        <v>215</v>
      </c>
      <c r="P22" s="71" t="s">
        <v>211</v>
      </c>
      <c r="Q22" s="71" t="s">
        <v>203</v>
      </c>
      <c r="R22" s="71" t="s">
        <v>222</v>
      </c>
    </row>
    <row r="23" spans="1:18">
      <c r="A23" s="71" t="str">
        <f>VLOOKUP(C23,classifications!C:F,4,FALSE)</f>
        <v>L</v>
      </c>
      <c r="B23" s="71" t="s">
        <v>458</v>
      </c>
      <c r="C23" s="71" t="s">
        <v>202</v>
      </c>
      <c r="D23" s="71" t="s">
        <v>204</v>
      </c>
      <c r="E23" s="71" t="s">
        <v>217</v>
      </c>
      <c r="F23" s="71" t="s">
        <v>203</v>
      </c>
      <c r="G23" s="71" t="s">
        <v>211</v>
      </c>
      <c r="H23" s="71" t="s">
        <v>221</v>
      </c>
      <c r="I23" s="71" t="s">
        <v>210</v>
      </c>
      <c r="J23" s="71" t="s">
        <v>197</v>
      </c>
      <c r="K23" s="71" t="s">
        <v>199</v>
      </c>
      <c r="L23" s="71" t="s">
        <v>198</v>
      </c>
      <c r="M23" s="71" t="s">
        <v>205</v>
      </c>
      <c r="N23" s="71" t="s">
        <v>215</v>
      </c>
      <c r="O23" s="71" t="s">
        <v>214</v>
      </c>
      <c r="P23" s="71" t="s">
        <v>219</v>
      </c>
      <c r="Q23" s="71" t="s">
        <v>207</v>
      </c>
      <c r="R23" s="71" t="s">
        <v>208</v>
      </c>
    </row>
    <row r="24" spans="1:18">
      <c r="A24" s="71" t="str">
        <f>VLOOKUP(C24,classifications!C:F,4,FALSE)</f>
        <v>L</v>
      </c>
      <c r="B24" s="71" t="s">
        <v>459</v>
      </c>
      <c r="C24" s="71" t="s">
        <v>203</v>
      </c>
      <c r="D24" s="71" t="s">
        <v>199</v>
      </c>
      <c r="E24" s="71" t="s">
        <v>211</v>
      </c>
      <c r="F24" s="71" t="s">
        <v>202</v>
      </c>
      <c r="G24" s="71" t="s">
        <v>217</v>
      </c>
      <c r="H24" s="71" t="s">
        <v>204</v>
      </c>
      <c r="I24" s="71" t="s">
        <v>221</v>
      </c>
      <c r="J24" s="71" t="s">
        <v>207</v>
      </c>
      <c r="K24" s="71" t="s">
        <v>215</v>
      </c>
      <c r="L24" s="71" t="s">
        <v>197</v>
      </c>
      <c r="M24" s="71" t="s">
        <v>208</v>
      </c>
      <c r="N24" s="71" t="s">
        <v>214</v>
      </c>
      <c r="O24" s="71" t="s">
        <v>213</v>
      </c>
      <c r="P24" s="71" t="s">
        <v>205</v>
      </c>
      <c r="Q24" s="71" t="s">
        <v>222</v>
      </c>
      <c r="R24" s="71" t="s">
        <v>210</v>
      </c>
    </row>
    <row r="25" spans="1:18">
      <c r="A25" s="71" t="str">
        <f>VLOOKUP(C25,classifications!C:F,4,FALSE)</f>
        <v>L</v>
      </c>
      <c r="B25" s="71" t="s">
        <v>460</v>
      </c>
      <c r="C25" s="71" t="s">
        <v>204</v>
      </c>
      <c r="D25" s="71" t="s">
        <v>202</v>
      </c>
      <c r="E25" s="71" t="s">
        <v>217</v>
      </c>
      <c r="F25" s="71" t="s">
        <v>203</v>
      </c>
      <c r="G25" s="71" t="s">
        <v>211</v>
      </c>
      <c r="H25" s="71" t="s">
        <v>221</v>
      </c>
      <c r="I25" s="71" t="s">
        <v>199</v>
      </c>
      <c r="J25" s="71" t="s">
        <v>210</v>
      </c>
      <c r="K25" s="71" t="s">
        <v>197</v>
      </c>
      <c r="L25" s="71" t="s">
        <v>208</v>
      </c>
      <c r="M25" s="71" t="s">
        <v>207</v>
      </c>
      <c r="N25" s="71" t="s">
        <v>198</v>
      </c>
      <c r="O25" s="71" t="s">
        <v>205</v>
      </c>
      <c r="P25" s="71" t="s">
        <v>215</v>
      </c>
      <c r="Q25" s="71" t="s">
        <v>214</v>
      </c>
      <c r="R25" s="71" t="s">
        <v>219</v>
      </c>
    </row>
    <row r="26" spans="1:18">
      <c r="A26" s="71" t="str">
        <f>VLOOKUP(C26,classifications!C:F,4,FALSE)</f>
        <v>L</v>
      </c>
      <c r="B26" s="71" t="s">
        <v>461</v>
      </c>
      <c r="C26" s="71" t="s">
        <v>207</v>
      </c>
      <c r="D26" s="71" t="s">
        <v>199</v>
      </c>
      <c r="E26" s="71" t="s">
        <v>221</v>
      </c>
      <c r="F26" s="71" t="s">
        <v>203</v>
      </c>
      <c r="G26" s="71" t="s">
        <v>214</v>
      </c>
      <c r="H26" s="71" t="s">
        <v>213</v>
      </c>
      <c r="I26" s="71" t="s">
        <v>218</v>
      </c>
      <c r="J26" s="71" t="s">
        <v>211</v>
      </c>
      <c r="K26" s="71" t="s">
        <v>206</v>
      </c>
      <c r="L26" s="71" t="s">
        <v>216</v>
      </c>
      <c r="M26" s="71" t="s">
        <v>204</v>
      </c>
      <c r="N26" s="71" t="s">
        <v>205</v>
      </c>
      <c r="O26" s="71" t="s">
        <v>202</v>
      </c>
      <c r="P26" s="71" t="s">
        <v>220</v>
      </c>
      <c r="Q26" s="71" t="s">
        <v>212</v>
      </c>
      <c r="R26" s="71" t="s">
        <v>217</v>
      </c>
    </row>
    <row r="27" spans="1:18">
      <c r="A27" s="71" t="str">
        <f>VLOOKUP(C27,classifications!C:F,4,FALSE)</f>
        <v>L</v>
      </c>
      <c r="B27" s="71" t="s">
        <v>462</v>
      </c>
      <c r="C27" s="71" t="s">
        <v>208</v>
      </c>
      <c r="D27" s="71" t="s">
        <v>215</v>
      </c>
      <c r="E27" s="71" t="s">
        <v>394</v>
      </c>
      <c r="F27" s="71" t="s">
        <v>217</v>
      </c>
      <c r="G27" s="71" t="s">
        <v>197</v>
      </c>
      <c r="H27" s="71" t="s">
        <v>219</v>
      </c>
      <c r="I27" s="71" t="s">
        <v>203</v>
      </c>
      <c r="J27" s="71" t="s">
        <v>198</v>
      </c>
      <c r="K27" s="71" t="s">
        <v>204</v>
      </c>
      <c r="L27" s="71" t="s">
        <v>211</v>
      </c>
      <c r="M27" s="71" t="s">
        <v>210</v>
      </c>
      <c r="N27" s="71" t="s">
        <v>202</v>
      </c>
      <c r="O27" s="71" t="s">
        <v>395</v>
      </c>
      <c r="P27" s="71" t="s">
        <v>199</v>
      </c>
      <c r="Q27" s="71" t="s">
        <v>200</v>
      </c>
      <c r="R27" s="71" t="s">
        <v>209</v>
      </c>
    </row>
    <row r="28" spans="1:18">
      <c r="A28" s="71" t="str">
        <f>VLOOKUP(C28,classifications!C:F,4,FALSE)</f>
        <v>L</v>
      </c>
      <c r="B28" s="71" t="s">
        <v>463</v>
      </c>
      <c r="C28" s="71" t="s">
        <v>209</v>
      </c>
      <c r="D28" s="71" t="s">
        <v>198</v>
      </c>
      <c r="E28" s="71" t="s">
        <v>200</v>
      </c>
      <c r="F28" s="71" t="s">
        <v>219</v>
      </c>
      <c r="G28" s="71" t="s">
        <v>210</v>
      </c>
      <c r="H28" s="71" t="s">
        <v>394</v>
      </c>
      <c r="I28" s="71" t="s">
        <v>217</v>
      </c>
      <c r="J28" s="71" t="s">
        <v>208</v>
      </c>
      <c r="K28" s="71" t="s">
        <v>215</v>
      </c>
      <c r="L28" s="71" t="s">
        <v>202</v>
      </c>
      <c r="M28" s="71" t="s">
        <v>204</v>
      </c>
      <c r="N28" s="71" t="s">
        <v>211</v>
      </c>
      <c r="O28" s="71" t="s">
        <v>197</v>
      </c>
      <c r="P28" s="71" t="s">
        <v>395</v>
      </c>
      <c r="Q28" s="71" t="s">
        <v>221</v>
      </c>
      <c r="R28" s="71" t="s">
        <v>203</v>
      </c>
    </row>
    <row r="29" spans="1:18">
      <c r="A29" s="71" t="str">
        <f>VLOOKUP(C29,classifications!C:F,4,FALSE)</f>
        <v>L</v>
      </c>
      <c r="B29" s="71" t="s">
        <v>464</v>
      </c>
      <c r="C29" s="71" t="s">
        <v>210</v>
      </c>
      <c r="D29" s="71" t="s">
        <v>211</v>
      </c>
      <c r="E29" s="71" t="s">
        <v>204</v>
      </c>
      <c r="F29" s="71" t="s">
        <v>198</v>
      </c>
      <c r="G29" s="71" t="s">
        <v>202</v>
      </c>
      <c r="H29" s="71" t="s">
        <v>209</v>
      </c>
      <c r="I29" s="71" t="s">
        <v>200</v>
      </c>
      <c r="J29" s="71" t="s">
        <v>219</v>
      </c>
      <c r="K29" s="71" t="s">
        <v>217</v>
      </c>
      <c r="L29" s="71" t="s">
        <v>197</v>
      </c>
      <c r="M29" s="71" t="s">
        <v>215</v>
      </c>
      <c r="N29" s="71" t="s">
        <v>208</v>
      </c>
      <c r="O29" s="71" t="s">
        <v>203</v>
      </c>
      <c r="P29" s="71" t="s">
        <v>221</v>
      </c>
      <c r="Q29" s="71" t="s">
        <v>394</v>
      </c>
      <c r="R29" s="71" t="s">
        <v>205</v>
      </c>
    </row>
    <row r="30" spans="1:18">
      <c r="A30" s="71" t="str">
        <f>VLOOKUP(C30,classifications!C:F,4,FALSE)</f>
        <v>L</v>
      </c>
      <c r="B30" s="71" t="s">
        <v>465</v>
      </c>
      <c r="C30" s="71" t="s">
        <v>211</v>
      </c>
      <c r="D30" s="71" t="s">
        <v>203</v>
      </c>
      <c r="E30" s="71" t="s">
        <v>221</v>
      </c>
      <c r="F30" s="71" t="s">
        <v>204</v>
      </c>
      <c r="G30" s="71" t="s">
        <v>215</v>
      </c>
      <c r="H30" s="71" t="s">
        <v>210</v>
      </c>
      <c r="I30" s="71" t="s">
        <v>199</v>
      </c>
      <c r="J30" s="71" t="s">
        <v>217</v>
      </c>
      <c r="K30" s="71" t="s">
        <v>202</v>
      </c>
      <c r="L30" s="71" t="s">
        <v>205</v>
      </c>
      <c r="M30" s="71" t="s">
        <v>207</v>
      </c>
      <c r="N30" s="71" t="s">
        <v>214</v>
      </c>
      <c r="O30" s="71" t="s">
        <v>219</v>
      </c>
      <c r="P30" s="71" t="s">
        <v>208</v>
      </c>
      <c r="Q30" s="71" t="s">
        <v>213</v>
      </c>
      <c r="R30" s="71" t="s">
        <v>197</v>
      </c>
    </row>
    <row r="31" spans="1:18">
      <c r="A31" s="71" t="str">
        <f>VLOOKUP(C31,classifications!C:F,4,FALSE)</f>
        <v>L</v>
      </c>
      <c r="B31" s="71" t="s">
        <v>466</v>
      </c>
      <c r="C31" s="72" t="s">
        <v>394</v>
      </c>
      <c r="D31" s="71" t="s">
        <v>215</v>
      </c>
      <c r="E31" s="71" t="s">
        <v>219</v>
      </c>
      <c r="F31" s="71" t="s">
        <v>208</v>
      </c>
      <c r="G31" s="71" t="s">
        <v>395</v>
      </c>
      <c r="H31" s="71" t="s">
        <v>198</v>
      </c>
      <c r="I31" s="71" t="s">
        <v>217</v>
      </c>
      <c r="J31" s="71" t="s">
        <v>197</v>
      </c>
      <c r="K31" s="71" t="s">
        <v>211</v>
      </c>
      <c r="L31" s="71" t="s">
        <v>210</v>
      </c>
      <c r="M31" s="71" t="s">
        <v>200</v>
      </c>
      <c r="N31" s="71" t="s">
        <v>209</v>
      </c>
      <c r="O31" s="71" t="s">
        <v>222</v>
      </c>
      <c r="P31" s="71" t="s">
        <v>203</v>
      </c>
      <c r="Q31" s="71" t="s">
        <v>204</v>
      </c>
      <c r="R31" s="71" t="s">
        <v>202</v>
      </c>
    </row>
    <row r="32" spans="1:18">
      <c r="A32" s="71" t="str">
        <f>VLOOKUP(C32,classifications!C:F,4,FALSE)</f>
        <v>L</v>
      </c>
      <c r="B32" s="71" t="s">
        <v>467</v>
      </c>
      <c r="C32" s="71" t="s">
        <v>215</v>
      </c>
      <c r="D32" s="71" t="s">
        <v>219</v>
      </c>
      <c r="E32" s="71" t="s">
        <v>394</v>
      </c>
      <c r="F32" s="71" t="s">
        <v>208</v>
      </c>
      <c r="G32" s="71" t="s">
        <v>217</v>
      </c>
      <c r="H32" s="71" t="s">
        <v>211</v>
      </c>
      <c r="I32" s="71" t="s">
        <v>203</v>
      </c>
      <c r="J32" s="71" t="s">
        <v>198</v>
      </c>
      <c r="K32" s="71" t="s">
        <v>222</v>
      </c>
      <c r="L32" s="71" t="s">
        <v>210</v>
      </c>
      <c r="M32" s="71" t="s">
        <v>221</v>
      </c>
      <c r="N32" s="71" t="s">
        <v>197</v>
      </c>
      <c r="O32" s="71" t="s">
        <v>202</v>
      </c>
      <c r="P32" s="71" t="s">
        <v>204</v>
      </c>
      <c r="Q32" s="71" t="s">
        <v>199</v>
      </c>
      <c r="R32" s="71" t="s">
        <v>207</v>
      </c>
    </row>
    <row r="33" spans="1:18">
      <c r="A33" s="71" t="str">
        <f>VLOOKUP(C33,classifications!C:F,4,FALSE)</f>
        <v>L</v>
      </c>
      <c r="B33" s="71" t="s">
        <v>468</v>
      </c>
      <c r="C33" s="71" t="s">
        <v>216</v>
      </c>
      <c r="D33" s="71" t="s">
        <v>221</v>
      </c>
      <c r="E33" s="71" t="s">
        <v>207</v>
      </c>
      <c r="F33" s="71" t="s">
        <v>199</v>
      </c>
      <c r="G33" s="71" t="s">
        <v>214</v>
      </c>
      <c r="H33" s="71" t="s">
        <v>206</v>
      </c>
      <c r="I33" s="71" t="s">
        <v>339</v>
      </c>
      <c r="J33" s="71" t="s">
        <v>205</v>
      </c>
      <c r="K33" s="71" t="s">
        <v>220</v>
      </c>
      <c r="L33" s="71" t="s">
        <v>218</v>
      </c>
      <c r="M33" s="71" t="s">
        <v>213</v>
      </c>
      <c r="N33" s="71" t="s">
        <v>203</v>
      </c>
      <c r="O33" s="71" t="s">
        <v>211</v>
      </c>
      <c r="P33" s="71" t="s">
        <v>204</v>
      </c>
      <c r="Q33" s="71" t="s">
        <v>202</v>
      </c>
      <c r="R33" s="71" t="s">
        <v>217</v>
      </c>
    </row>
    <row r="34" spans="1:18">
      <c r="A34" s="71" t="str">
        <f>VLOOKUP(C34,classifications!C:F,4,FALSE)</f>
        <v>L</v>
      </c>
      <c r="B34" s="71" t="s">
        <v>469</v>
      </c>
      <c r="C34" s="71" t="s">
        <v>217</v>
      </c>
      <c r="D34" s="71" t="s">
        <v>202</v>
      </c>
      <c r="E34" s="71" t="s">
        <v>204</v>
      </c>
      <c r="F34" s="71" t="s">
        <v>203</v>
      </c>
      <c r="G34" s="71" t="s">
        <v>208</v>
      </c>
      <c r="H34" s="71" t="s">
        <v>215</v>
      </c>
      <c r="I34" s="71" t="s">
        <v>211</v>
      </c>
      <c r="J34" s="71" t="s">
        <v>219</v>
      </c>
      <c r="K34" s="71" t="s">
        <v>221</v>
      </c>
      <c r="L34" s="71" t="s">
        <v>198</v>
      </c>
      <c r="M34" s="71" t="s">
        <v>197</v>
      </c>
      <c r="N34" s="71" t="s">
        <v>199</v>
      </c>
      <c r="O34" s="71" t="s">
        <v>210</v>
      </c>
      <c r="P34" s="71" t="s">
        <v>394</v>
      </c>
      <c r="Q34" s="71" t="s">
        <v>207</v>
      </c>
      <c r="R34" s="71" t="s">
        <v>205</v>
      </c>
    </row>
    <row r="35" spans="1:18">
      <c r="A35" s="71" t="str">
        <f>VLOOKUP(C35,classifications!C:F,4,FALSE)</f>
        <v>L</v>
      </c>
      <c r="B35" s="71" t="s">
        <v>470</v>
      </c>
      <c r="C35" s="72" t="s">
        <v>395</v>
      </c>
      <c r="D35" s="71" t="s">
        <v>394</v>
      </c>
      <c r="E35" s="71" t="s">
        <v>200</v>
      </c>
      <c r="F35" s="71" t="s">
        <v>208</v>
      </c>
      <c r="G35" s="71" t="s">
        <v>219</v>
      </c>
      <c r="H35" s="71" t="s">
        <v>197</v>
      </c>
      <c r="I35" s="71" t="s">
        <v>215</v>
      </c>
      <c r="J35" s="71" t="s">
        <v>198</v>
      </c>
      <c r="K35" s="71" t="s">
        <v>210</v>
      </c>
      <c r="L35" s="71" t="s">
        <v>209</v>
      </c>
      <c r="M35" s="71" t="s">
        <v>217</v>
      </c>
      <c r="N35" s="71" t="s">
        <v>222</v>
      </c>
      <c r="O35" s="71" t="s">
        <v>211</v>
      </c>
      <c r="P35" s="71" t="s">
        <v>201</v>
      </c>
      <c r="Q35" s="71" t="s">
        <v>204</v>
      </c>
      <c r="R35" s="71" t="s">
        <v>202</v>
      </c>
    </row>
    <row r="36" spans="1:18">
      <c r="A36" s="71" t="str">
        <f>VLOOKUP(C36,classifications!C:F,4,FALSE)</f>
        <v>L</v>
      </c>
      <c r="B36" s="71" t="s">
        <v>471</v>
      </c>
      <c r="C36" s="71" t="s">
        <v>219</v>
      </c>
      <c r="D36" s="71" t="s">
        <v>198</v>
      </c>
      <c r="E36" s="71" t="s">
        <v>215</v>
      </c>
      <c r="F36" s="71" t="s">
        <v>394</v>
      </c>
      <c r="G36" s="71" t="s">
        <v>208</v>
      </c>
      <c r="H36" s="71" t="s">
        <v>217</v>
      </c>
      <c r="I36" s="71" t="s">
        <v>209</v>
      </c>
      <c r="J36" s="71" t="s">
        <v>210</v>
      </c>
      <c r="K36" s="71" t="s">
        <v>211</v>
      </c>
      <c r="L36" s="71" t="s">
        <v>202</v>
      </c>
      <c r="M36" s="71" t="s">
        <v>197</v>
      </c>
      <c r="N36" s="71" t="s">
        <v>200</v>
      </c>
      <c r="O36" s="71" t="s">
        <v>204</v>
      </c>
      <c r="P36" s="71" t="s">
        <v>395</v>
      </c>
      <c r="Q36" s="71" t="s">
        <v>203</v>
      </c>
      <c r="R36" s="71" t="s">
        <v>221</v>
      </c>
    </row>
    <row r="37" spans="1:18">
      <c r="A37" s="71" t="str">
        <f>VLOOKUP(C37,classifications!C:F,4,FALSE)</f>
        <v>L</v>
      </c>
      <c r="B37" s="71" t="s">
        <v>472</v>
      </c>
      <c r="C37" s="71" t="s">
        <v>221</v>
      </c>
      <c r="D37" s="71" t="s">
        <v>207</v>
      </c>
      <c r="E37" s="71" t="s">
        <v>211</v>
      </c>
      <c r="F37" s="71" t="s">
        <v>199</v>
      </c>
      <c r="G37" s="71" t="s">
        <v>204</v>
      </c>
      <c r="H37" s="71" t="s">
        <v>203</v>
      </c>
      <c r="I37" s="71" t="s">
        <v>214</v>
      </c>
      <c r="J37" s="71" t="s">
        <v>205</v>
      </c>
      <c r="K37" s="71" t="s">
        <v>202</v>
      </c>
      <c r="L37" s="71" t="s">
        <v>216</v>
      </c>
      <c r="M37" s="71" t="s">
        <v>217</v>
      </c>
      <c r="N37" s="71" t="s">
        <v>339</v>
      </c>
      <c r="O37" s="71" t="s">
        <v>215</v>
      </c>
      <c r="P37" s="71" t="s">
        <v>213</v>
      </c>
      <c r="Q37" s="71" t="s">
        <v>218</v>
      </c>
      <c r="R37" s="71" t="s">
        <v>210</v>
      </c>
    </row>
    <row r="39" spans="1:18">
      <c r="B39" s="70" t="s">
        <v>415</v>
      </c>
    </row>
    <row r="40" spans="1:18">
      <c r="A40" s="71" t="str">
        <f>VLOOKUP(C40,classifications!C:F,4,FALSE)</f>
        <v>MD</v>
      </c>
      <c r="B40" s="71" t="s">
        <v>473</v>
      </c>
      <c r="C40" s="71" t="s">
        <v>225</v>
      </c>
      <c r="D40" s="71" t="s">
        <v>241</v>
      </c>
      <c r="E40" s="71" t="s">
        <v>240</v>
      </c>
      <c r="F40" s="71" t="s">
        <v>252</v>
      </c>
      <c r="G40" s="71" t="s">
        <v>266</v>
      </c>
      <c r="H40" s="71" t="s">
        <v>227</v>
      </c>
      <c r="I40" s="71" t="s">
        <v>256</v>
      </c>
      <c r="J40" s="71" t="s">
        <v>274</v>
      </c>
      <c r="K40" s="71" t="s">
        <v>233</v>
      </c>
      <c r="L40" s="71" t="s">
        <v>815</v>
      </c>
      <c r="M40" s="71" t="s">
        <v>292</v>
      </c>
      <c r="N40" s="71" t="s">
        <v>228</v>
      </c>
      <c r="O40" s="71" t="s">
        <v>229</v>
      </c>
      <c r="P40" s="71" t="s">
        <v>243</v>
      </c>
      <c r="Q40" s="71" t="s">
        <v>242</v>
      </c>
      <c r="R40" s="71" t="s">
        <v>291</v>
      </c>
    </row>
    <row r="41" spans="1:18">
      <c r="A41" s="71" t="str">
        <f>VLOOKUP(C41,classifications!C:F,4,FALSE)</f>
        <v>MD</v>
      </c>
      <c r="B41" s="71" t="s">
        <v>474</v>
      </c>
      <c r="C41" s="71" t="s">
        <v>227</v>
      </c>
      <c r="D41" s="71" t="s">
        <v>228</v>
      </c>
      <c r="E41" s="71" t="s">
        <v>274</v>
      </c>
      <c r="F41" s="71" t="s">
        <v>225</v>
      </c>
      <c r="G41" s="71" t="s">
        <v>233</v>
      </c>
      <c r="H41" s="71" t="s">
        <v>256</v>
      </c>
      <c r="I41" s="71" t="s">
        <v>252</v>
      </c>
      <c r="J41" s="71" t="s">
        <v>265</v>
      </c>
      <c r="K41" s="71" t="s">
        <v>815</v>
      </c>
      <c r="L41" s="71" t="s">
        <v>291</v>
      </c>
      <c r="M41" s="71" t="s">
        <v>296</v>
      </c>
      <c r="N41" s="71" t="s">
        <v>266</v>
      </c>
      <c r="O41" s="71" t="s">
        <v>249</v>
      </c>
      <c r="P41" s="71" t="s">
        <v>242</v>
      </c>
      <c r="Q41" s="71" t="s">
        <v>241</v>
      </c>
      <c r="R41" s="71" t="s">
        <v>250</v>
      </c>
    </row>
    <row r="42" spans="1:18">
      <c r="A42" s="71" t="str">
        <f>VLOOKUP(C42,classifications!C:F,4,FALSE)</f>
        <v>MD</v>
      </c>
      <c r="B42" s="71" t="s">
        <v>475</v>
      </c>
      <c r="C42" s="71" t="s">
        <v>237</v>
      </c>
      <c r="D42" s="71" t="s">
        <v>280</v>
      </c>
      <c r="E42" s="71" t="s">
        <v>236</v>
      </c>
      <c r="F42" s="71" t="s">
        <v>272</v>
      </c>
      <c r="G42" s="71" t="s">
        <v>289</v>
      </c>
      <c r="H42" s="71" t="s">
        <v>817</v>
      </c>
      <c r="I42" s="71" t="s">
        <v>813</v>
      </c>
      <c r="J42" s="71" t="s">
        <v>238</v>
      </c>
      <c r="K42" s="71" t="s">
        <v>243</v>
      </c>
      <c r="L42" s="71" t="s">
        <v>819</v>
      </c>
      <c r="M42" s="71" t="s">
        <v>235</v>
      </c>
      <c r="N42" s="71" t="s">
        <v>284</v>
      </c>
      <c r="O42" s="71" t="s">
        <v>246</v>
      </c>
      <c r="P42" s="71" t="s">
        <v>285</v>
      </c>
      <c r="Q42" s="71" t="s">
        <v>224</v>
      </c>
      <c r="R42" s="71" t="s">
        <v>225</v>
      </c>
    </row>
    <row r="43" spans="1:18">
      <c r="A43" s="71" t="str">
        <f>VLOOKUP(C43,classifications!C:F,4,FALSE)</f>
        <v>MD</v>
      </c>
      <c r="B43" s="71" t="s">
        <v>476</v>
      </c>
      <c r="C43" s="71" t="s">
        <v>240</v>
      </c>
      <c r="D43" s="71" t="s">
        <v>241</v>
      </c>
      <c r="E43" s="71" t="s">
        <v>225</v>
      </c>
      <c r="F43" s="71" t="s">
        <v>261</v>
      </c>
      <c r="G43" s="71" t="s">
        <v>252</v>
      </c>
      <c r="H43" s="71" t="s">
        <v>255</v>
      </c>
      <c r="I43" s="71" t="s">
        <v>266</v>
      </c>
      <c r="J43" s="71" t="s">
        <v>244</v>
      </c>
      <c r="K43" s="71" t="s">
        <v>292</v>
      </c>
      <c r="L43" s="71" t="s">
        <v>815</v>
      </c>
      <c r="M43" s="71" t="s">
        <v>226</v>
      </c>
      <c r="N43" s="71" t="s">
        <v>256</v>
      </c>
      <c r="O43" s="71" t="s">
        <v>274</v>
      </c>
      <c r="P43" s="71" t="s">
        <v>242</v>
      </c>
      <c r="Q43" s="71" t="s">
        <v>229</v>
      </c>
      <c r="R43" s="71" t="s">
        <v>227</v>
      </c>
    </row>
    <row r="44" spans="1:18">
      <c r="A44" s="71" t="str">
        <f>VLOOKUP(C44,classifications!C:F,4,FALSE)</f>
        <v>MD</v>
      </c>
      <c r="B44" s="71" t="s">
        <v>477</v>
      </c>
      <c r="C44" s="71" t="s">
        <v>241</v>
      </c>
      <c r="D44" s="71" t="s">
        <v>240</v>
      </c>
      <c r="E44" s="71" t="s">
        <v>225</v>
      </c>
      <c r="F44" s="71" t="s">
        <v>252</v>
      </c>
      <c r="G44" s="71" t="s">
        <v>292</v>
      </c>
      <c r="H44" s="71" t="s">
        <v>255</v>
      </c>
      <c r="I44" s="71" t="s">
        <v>243</v>
      </c>
      <c r="J44" s="71" t="s">
        <v>269</v>
      </c>
      <c r="K44" s="71" t="s">
        <v>244</v>
      </c>
      <c r="L44" s="71" t="s">
        <v>266</v>
      </c>
      <c r="M44" s="71" t="s">
        <v>815</v>
      </c>
      <c r="N44" s="71" t="s">
        <v>261</v>
      </c>
      <c r="O44" s="71" t="s">
        <v>242</v>
      </c>
      <c r="P44" s="71" t="s">
        <v>256</v>
      </c>
      <c r="Q44" s="71" t="s">
        <v>275</v>
      </c>
      <c r="R44" s="71" t="s">
        <v>249</v>
      </c>
    </row>
    <row r="45" spans="1:18">
      <c r="A45" s="71" t="str">
        <f>VLOOKUP(C45,classifications!C:F,4,FALSE)</f>
        <v>MD</v>
      </c>
      <c r="B45" s="71" t="s">
        <v>478</v>
      </c>
      <c r="C45" s="71" t="s">
        <v>243</v>
      </c>
      <c r="D45" s="71" t="s">
        <v>241</v>
      </c>
      <c r="E45" s="71" t="s">
        <v>292</v>
      </c>
      <c r="F45" s="71" t="s">
        <v>252</v>
      </c>
      <c r="G45" s="71" t="s">
        <v>225</v>
      </c>
      <c r="H45" s="71" t="s">
        <v>238</v>
      </c>
      <c r="I45" s="71" t="s">
        <v>232</v>
      </c>
      <c r="J45" s="71" t="s">
        <v>269</v>
      </c>
      <c r="K45" s="71" t="s">
        <v>280</v>
      </c>
      <c r="L45" s="71" t="s">
        <v>819</v>
      </c>
      <c r="M45" s="71" t="s">
        <v>240</v>
      </c>
      <c r="N45" s="71" t="s">
        <v>244</v>
      </c>
      <c r="O45" s="71" t="s">
        <v>275</v>
      </c>
      <c r="P45" s="71" t="s">
        <v>236</v>
      </c>
      <c r="Q45" s="71" t="s">
        <v>258</v>
      </c>
      <c r="R45" s="71" t="s">
        <v>234</v>
      </c>
    </row>
    <row r="46" spans="1:18">
      <c r="A46" s="71" t="str">
        <f>VLOOKUP(C46,classifications!C:F,4,FALSE)</f>
        <v>MD</v>
      </c>
      <c r="B46" s="71" t="s">
        <v>479</v>
      </c>
      <c r="C46" s="71" t="s">
        <v>250</v>
      </c>
      <c r="D46" s="71" t="s">
        <v>247</v>
      </c>
      <c r="E46" s="71" t="s">
        <v>300</v>
      </c>
      <c r="F46" s="71" t="s">
        <v>814</v>
      </c>
      <c r="G46" s="71" t="s">
        <v>227</v>
      </c>
      <c r="H46" s="71" t="s">
        <v>296</v>
      </c>
      <c r="I46" s="71" t="s">
        <v>228</v>
      </c>
      <c r="J46" s="71" t="s">
        <v>231</v>
      </c>
      <c r="K46" s="71" t="s">
        <v>305</v>
      </c>
      <c r="L46" s="71" t="s">
        <v>259</v>
      </c>
      <c r="M46" s="71" t="s">
        <v>265</v>
      </c>
      <c r="N46" s="71" t="s">
        <v>293</v>
      </c>
      <c r="O46" s="71" t="s">
        <v>260</v>
      </c>
      <c r="P46" s="71" t="s">
        <v>233</v>
      </c>
      <c r="Q46" s="71" t="s">
        <v>274</v>
      </c>
      <c r="R46" s="71" t="s">
        <v>326</v>
      </c>
    </row>
    <row r="47" spans="1:18">
      <c r="A47" s="71" t="str">
        <f>VLOOKUP(C47,classifications!C:F,4,FALSE)</f>
        <v>MD</v>
      </c>
      <c r="B47" s="71" t="s">
        <v>480</v>
      </c>
      <c r="C47" s="71" t="s">
        <v>252</v>
      </c>
      <c r="D47" s="71" t="s">
        <v>256</v>
      </c>
      <c r="E47" s="71" t="s">
        <v>225</v>
      </c>
      <c r="F47" s="71" t="s">
        <v>241</v>
      </c>
      <c r="G47" s="71" t="s">
        <v>292</v>
      </c>
      <c r="H47" s="71" t="s">
        <v>249</v>
      </c>
      <c r="I47" s="71" t="s">
        <v>240</v>
      </c>
      <c r="J47" s="71" t="s">
        <v>242</v>
      </c>
      <c r="K47" s="71" t="s">
        <v>269</v>
      </c>
      <c r="L47" s="71" t="s">
        <v>227</v>
      </c>
      <c r="M47" s="71" t="s">
        <v>243</v>
      </c>
      <c r="N47" s="71" t="s">
        <v>230</v>
      </c>
      <c r="O47" s="71" t="s">
        <v>254</v>
      </c>
      <c r="P47" s="71" t="s">
        <v>223</v>
      </c>
      <c r="Q47" s="71" t="s">
        <v>815</v>
      </c>
      <c r="R47" s="71" t="s">
        <v>228</v>
      </c>
    </row>
    <row r="48" spans="1:18">
      <c r="A48" s="71" t="str">
        <f>VLOOKUP(C48,classifications!C:F,4,FALSE)</f>
        <v>MD</v>
      </c>
      <c r="B48" s="71" t="s">
        <v>481</v>
      </c>
      <c r="C48" s="71" t="s">
        <v>253</v>
      </c>
      <c r="D48" s="71" t="s">
        <v>293</v>
      </c>
      <c r="E48" s="71" t="s">
        <v>247</v>
      </c>
      <c r="F48" s="71" t="s">
        <v>296</v>
      </c>
      <c r="G48" s="71" t="s">
        <v>300</v>
      </c>
      <c r="H48" s="71" t="s">
        <v>250</v>
      </c>
      <c r="I48" s="71" t="s">
        <v>294</v>
      </c>
      <c r="J48" s="71" t="s">
        <v>260</v>
      </c>
      <c r="K48" s="71" t="s">
        <v>288</v>
      </c>
      <c r="L48" s="71" t="s">
        <v>814</v>
      </c>
      <c r="M48" s="71" t="s">
        <v>276</v>
      </c>
      <c r="N48" s="71" t="s">
        <v>259</v>
      </c>
      <c r="O48" s="71" t="s">
        <v>291</v>
      </c>
      <c r="P48" s="71" t="s">
        <v>285</v>
      </c>
      <c r="Q48" s="71" t="s">
        <v>281</v>
      </c>
      <c r="R48" s="71" t="s">
        <v>817</v>
      </c>
    </row>
    <row r="49" spans="1:18">
      <c r="A49" s="71" t="str">
        <f>VLOOKUP(C49,classifications!C:F,4,FALSE)</f>
        <v>MD</v>
      </c>
      <c r="B49" s="71" t="s">
        <v>482</v>
      </c>
      <c r="C49" s="71" t="s">
        <v>256</v>
      </c>
      <c r="D49" s="71" t="s">
        <v>252</v>
      </c>
      <c r="E49" s="71" t="s">
        <v>242</v>
      </c>
      <c r="F49" s="71" t="s">
        <v>249</v>
      </c>
      <c r="G49" s="71" t="s">
        <v>230</v>
      </c>
      <c r="H49" s="71" t="s">
        <v>225</v>
      </c>
      <c r="I49" s="71" t="s">
        <v>254</v>
      </c>
      <c r="J49" s="71" t="s">
        <v>223</v>
      </c>
      <c r="K49" s="71" t="s">
        <v>227</v>
      </c>
      <c r="L49" s="71" t="s">
        <v>233</v>
      </c>
      <c r="M49" s="71" t="s">
        <v>292</v>
      </c>
      <c r="N49" s="71" t="s">
        <v>241</v>
      </c>
      <c r="O49" s="71" t="s">
        <v>228</v>
      </c>
      <c r="P49" s="71" t="s">
        <v>269</v>
      </c>
      <c r="Q49" s="71" t="s">
        <v>291</v>
      </c>
      <c r="R49" s="71" t="s">
        <v>815</v>
      </c>
    </row>
    <row r="50" spans="1:18">
      <c r="A50" s="71" t="str">
        <f>VLOOKUP(C50,classifications!C:F,4,FALSE)</f>
        <v>MD</v>
      </c>
      <c r="B50" s="71" t="s">
        <v>483</v>
      </c>
      <c r="C50" s="71" t="s">
        <v>234</v>
      </c>
      <c r="D50" s="71" t="s">
        <v>275</v>
      </c>
      <c r="E50" s="71" t="s">
        <v>292</v>
      </c>
      <c r="F50" s="71" t="s">
        <v>269</v>
      </c>
      <c r="G50" s="71" t="s">
        <v>249</v>
      </c>
      <c r="H50" s="71" t="s">
        <v>255</v>
      </c>
      <c r="I50" s="71" t="s">
        <v>241</v>
      </c>
      <c r="J50" s="71" t="s">
        <v>232</v>
      </c>
      <c r="K50" s="71" t="s">
        <v>819</v>
      </c>
      <c r="L50" s="71" t="s">
        <v>242</v>
      </c>
      <c r="M50" s="71" t="s">
        <v>252</v>
      </c>
      <c r="N50" s="71" t="s">
        <v>251</v>
      </c>
      <c r="O50" s="71" t="s">
        <v>244</v>
      </c>
      <c r="P50" s="71" t="s">
        <v>258</v>
      </c>
      <c r="Q50" s="71" t="s">
        <v>243</v>
      </c>
      <c r="R50" s="71" t="s">
        <v>223</v>
      </c>
    </row>
    <row r="51" spans="1:18">
      <c r="A51" s="71" t="str">
        <f>VLOOKUP(C51,classifications!C:F,4,FALSE)</f>
        <v>MD</v>
      </c>
      <c r="B51" s="71" t="s">
        <v>484</v>
      </c>
      <c r="C51" s="71" t="s">
        <v>236</v>
      </c>
      <c r="D51" s="71" t="s">
        <v>280</v>
      </c>
      <c r="E51" s="71" t="s">
        <v>238</v>
      </c>
      <c r="F51" s="71" t="s">
        <v>819</v>
      </c>
      <c r="G51" s="71" t="s">
        <v>243</v>
      </c>
      <c r="H51" s="71" t="s">
        <v>246</v>
      </c>
      <c r="I51" s="71" t="s">
        <v>292</v>
      </c>
      <c r="J51" s="71" t="s">
        <v>232</v>
      </c>
      <c r="K51" s="71" t="s">
        <v>275</v>
      </c>
      <c r="L51" s="71" t="s">
        <v>251</v>
      </c>
      <c r="M51" s="71" t="s">
        <v>258</v>
      </c>
      <c r="N51" s="71" t="s">
        <v>244</v>
      </c>
      <c r="O51" s="71" t="s">
        <v>234</v>
      </c>
      <c r="P51" s="71" t="s">
        <v>241</v>
      </c>
      <c r="Q51" s="71" t="s">
        <v>252</v>
      </c>
      <c r="R51" s="71" t="s">
        <v>225</v>
      </c>
    </row>
    <row r="52" spans="1:18">
      <c r="A52" s="71" t="str">
        <f>VLOOKUP(C52,classifications!C:F,4,FALSE)</f>
        <v>MD</v>
      </c>
      <c r="B52" s="71" t="s">
        <v>485</v>
      </c>
      <c r="C52" s="71" t="s">
        <v>249</v>
      </c>
      <c r="D52" s="71" t="s">
        <v>242</v>
      </c>
      <c r="E52" s="71" t="s">
        <v>223</v>
      </c>
      <c r="F52" s="71" t="s">
        <v>230</v>
      </c>
      <c r="G52" s="71" t="s">
        <v>256</v>
      </c>
      <c r="H52" s="71" t="s">
        <v>254</v>
      </c>
      <c r="I52" s="71" t="s">
        <v>265</v>
      </c>
      <c r="J52" s="71" t="s">
        <v>291</v>
      </c>
      <c r="K52" s="71" t="s">
        <v>252</v>
      </c>
      <c r="L52" s="71" t="s">
        <v>231</v>
      </c>
      <c r="M52" s="71" t="s">
        <v>232</v>
      </c>
      <c r="N52" s="71" t="s">
        <v>292</v>
      </c>
      <c r="O52" s="71" t="s">
        <v>269</v>
      </c>
      <c r="P52" s="71" t="s">
        <v>228</v>
      </c>
      <c r="Q52" s="71" t="s">
        <v>225</v>
      </c>
      <c r="R52" s="71" t="s">
        <v>234</v>
      </c>
    </row>
    <row r="53" spans="1:18">
      <c r="A53" s="71" t="str">
        <f>VLOOKUP(C53,classifications!C:F,4,FALSE)</f>
        <v>MD</v>
      </c>
      <c r="B53" s="71" t="s">
        <v>486</v>
      </c>
      <c r="C53" s="71" t="s">
        <v>245</v>
      </c>
      <c r="D53" s="71" t="s">
        <v>257</v>
      </c>
      <c r="E53" s="71" t="s">
        <v>239</v>
      </c>
      <c r="F53" s="71" t="s">
        <v>323</v>
      </c>
      <c r="G53" s="71" t="s">
        <v>290</v>
      </c>
      <c r="H53" s="71" t="s">
        <v>295</v>
      </c>
      <c r="I53" s="71" t="s">
        <v>282</v>
      </c>
      <c r="J53" s="71" t="s">
        <v>811</v>
      </c>
      <c r="K53" s="71" t="s">
        <v>263</v>
      </c>
      <c r="L53" s="71" t="s">
        <v>265</v>
      </c>
      <c r="M53" s="71" t="s">
        <v>231</v>
      </c>
      <c r="N53" s="71" t="s">
        <v>268</v>
      </c>
      <c r="O53" s="71" t="s">
        <v>250</v>
      </c>
      <c r="P53" s="71" t="s">
        <v>271</v>
      </c>
      <c r="Q53" s="71" t="s">
        <v>277</v>
      </c>
      <c r="R53" s="71" t="s">
        <v>283</v>
      </c>
    </row>
    <row r="54" spans="1:18">
      <c r="A54" s="71" t="str">
        <f>VLOOKUP(C54,classifications!C:F,4,FALSE)</f>
        <v>MD</v>
      </c>
      <c r="B54" s="71" t="s">
        <v>487</v>
      </c>
      <c r="C54" s="71" t="s">
        <v>257</v>
      </c>
      <c r="D54" s="71" t="s">
        <v>245</v>
      </c>
      <c r="E54" s="71" t="s">
        <v>239</v>
      </c>
      <c r="F54" s="71" t="s">
        <v>282</v>
      </c>
      <c r="G54" s="71" t="s">
        <v>323</v>
      </c>
      <c r="H54" s="71" t="s">
        <v>290</v>
      </c>
      <c r="I54" s="71" t="s">
        <v>811</v>
      </c>
      <c r="J54" s="71" t="s">
        <v>265</v>
      </c>
      <c r="K54" s="71" t="s">
        <v>231</v>
      </c>
      <c r="L54" s="71" t="s">
        <v>277</v>
      </c>
      <c r="M54" s="71" t="s">
        <v>249</v>
      </c>
      <c r="N54" s="71" t="s">
        <v>242</v>
      </c>
      <c r="O54" s="71" t="s">
        <v>228</v>
      </c>
      <c r="P54" s="71" t="s">
        <v>251</v>
      </c>
      <c r="Q54" s="71" t="s">
        <v>223</v>
      </c>
      <c r="R54" s="71" t="s">
        <v>230</v>
      </c>
    </row>
    <row r="55" spans="1:18">
      <c r="A55" s="71" t="str">
        <f>VLOOKUP(C55,classifications!C:F,4,FALSE)</f>
        <v>MD</v>
      </c>
      <c r="B55" s="71" t="s">
        <v>488</v>
      </c>
      <c r="C55" s="71" t="s">
        <v>223</v>
      </c>
      <c r="D55" s="71" t="s">
        <v>242</v>
      </c>
      <c r="E55" s="71" t="s">
        <v>230</v>
      </c>
      <c r="F55" s="71" t="s">
        <v>249</v>
      </c>
      <c r="G55" s="71" t="s">
        <v>254</v>
      </c>
      <c r="H55" s="71" t="s">
        <v>256</v>
      </c>
      <c r="I55" s="71" t="s">
        <v>267</v>
      </c>
      <c r="J55" s="71" t="s">
        <v>291</v>
      </c>
      <c r="K55" s="71" t="s">
        <v>228</v>
      </c>
      <c r="L55" s="71" t="s">
        <v>231</v>
      </c>
      <c r="M55" s="71" t="s">
        <v>265</v>
      </c>
      <c r="N55" s="71" t="s">
        <v>252</v>
      </c>
      <c r="O55" s="71" t="s">
        <v>292</v>
      </c>
      <c r="P55" s="71" t="s">
        <v>255</v>
      </c>
      <c r="Q55" s="71" t="s">
        <v>815</v>
      </c>
      <c r="R55" s="71" t="s">
        <v>233</v>
      </c>
    </row>
    <row r="56" spans="1:18">
      <c r="A56" s="71" t="str">
        <f>VLOOKUP(C56,classifications!C:F,4,FALSE)</f>
        <v>MD</v>
      </c>
      <c r="B56" s="71" t="s">
        <v>489</v>
      </c>
      <c r="C56" s="71" t="s">
        <v>230</v>
      </c>
      <c r="D56" s="71" t="s">
        <v>242</v>
      </c>
      <c r="E56" s="71" t="s">
        <v>223</v>
      </c>
      <c r="F56" s="71" t="s">
        <v>254</v>
      </c>
      <c r="G56" s="71" t="s">
        <v>249</v>
      </c>
      <c r="H56" s="71" t="s">
        <v>256</v>
      </c>
      <c r="I56" s="71" t="s">
        <v>292</v>
      </c>
      <c r="J56" s="71" t="s">
        <v>291</v>
      </c>
      <c r="K56" s="71" t="s">
        <v>267</v>
      </c>
      <c r="L56" s="71" t="s">
        <v>252</v>
      </c>
      <c r="M56" s="71" t="s">
        <v>228</v>
      </c>
      <c r="N56" s="71" t="s">
        <v>233</v>
      </c>
      <c r="O56" s="71" t="s">
        <v>231</v>
      </c>
      <c r="P56" s="71" t="s">
        <v>265</v>
      </c>
      <c r="Q56" s="71" t="s">
        <v>225</v>
      </c>
      <c r="R56" s="71" t="s">
        <v>255</v>
      </c>
    </row>
    <row r="57" spans="1:18">
      <c r="A57" s="71" t="str">
        <f>VLOOKUP(C57,classifications!C:F,4,FALSE)</f>
        <v>MD</v>
      </c>
      <c r="B57" s="71" t="s">
        <v>490</v>
      </c>
      <c r="C57" s="71" t="s">
        <v>242</v>
      </c>
      <c r="D57" s="71" t="s">
        <v>223</v>
      </c>
      <c r="E57" s="71" t="s">
        <v>230</v>
      </c>
      <c r="F57" s="71" t="s">
        <v>249</v>
      </c>
      <c r="G57" s="71" t="s">
        <v>254</v>
      </c>
      <c r="H57" s="71" t="s">
        <v>256</v>
      </c>
      <c r="I57" s="71" t="s">
        <v>291</v>
      </c>
      <c r="J57" s="71" t="s">
        <v>252</v>
      </c>
      <c r="K57" s="71" t="s">
        <v>228</v>
      </c>
      <c r="L57" s="71" t="s">
        <v>292</v>
      </c>
      <c r="M57" s="71" t="s">
        <v>231</v>
      </c>
      <c r="N57" s="71" t="s">
        <v>265</v>
      </c>
      <c r="O57" s="71" t="s">
        <v>241</v>
      </c>
      <c r="P57" s="71" t="s">
        <v>815</v>
      </c>
      <c r="Q57" s="71" t="s">
        <v>225</v>
      </c>
      <c r="R57" s="71" t="s">
        <v>255</v>
      </c>
    </row>
    <row r="58" spans="1:18">
      <c r="A58" s="71" t="str">
        <f>VLOOKUP(C58,classifications!C:F,4,FALSE)</f>
        <v>MD</v>
      </c>
      <c r="B58" s="71" t="s">
        <v>491</v>
      </c>
      <c r="C58" s="71" t="s">
        <v>246</v>
      </c>
      <c r="D58" s="71" t="s">
        <v>235</v>
      </c>
      <c r="E58" s="71" t="s">
        <v>238</v>
      </c>
      <c r="F58" s="71" t="s">
        <v>266</v>
      </c>
      <c r="G58" s="71" t="s">
        <v>229</v>
      </c>
      <c r="H58" s="71" t="s">
        <v>231</v>
      </c>
      <c r="I58" s="71" t="s">
        <v>225</v>
      </c>
      <c r="J58" s="71" t="s">
        <v>233</v>
      </c>
      <c r="K58" s="71" t="s">
        <v>254</v>
      </c>
      <c r="L58" s="71" t="s">
        <v>282</v>
      </c>
      <c r="M58" s="71" t="s">
        <v>243</v>
      </c>
      <c r="N58" s="71" t="s">
        <v>232</v>
      </c>
      <c r="O58" s="71" t="s">
        <v>242</v>
      </c>
      <c r="P58" s="71" t="s">
        <v>817</v>
      </c>
      <c r="Q58" s="71" t="s">
        <v>280</v>
      </c>
      <c r="R58" s="71" t="s">
        <v>236</v>
      </c>
    </row>
    <row r="59" spans="1:18">
      <c r="A59" s="71" t="str">
        <f>VLOOKUP(C59,classifications!C:F,4,FALSE)</f>
        <v>MD</v>
      </c>
      <c r="B59" s="71" t="s">
        <v>492</v>
      </c>
      <c r="C59" s="71" t="s">
        <v>232</v>
      </c>
      <c r="D59" s="71" t="s">
        <v>292</v>
      </c>
      <c r="E59" s="71" t="s">
        <v>249</v>
      </c>
      <c r="F59" s="71" t="s">
        <v>254</v>
      </c>
      <c r="G59" s="71" t="s">
        <v>242</v>
      </c>
      <c r="H59" s="71" t="s">
        <v>243</v>
      </c>
      <c r="I59" s="71" t="s">
        <v>269</v>
      </c>
      <c r="J59" s="71" t="s">
        <v>234</v>
      </c>
      <c r="K59" s="71" t="s">
        <v>252</v>
      </c>
      <c r="L59" s="71" t="s">
        <v>238</v>
      </c>
      <c r="M59" s="71" t="s">
        <v>251</v>
      </c>
      <c r="N59" s="71" t="s">
        <v>230</v>
      </c>
      <c r="O59" s="71" t="s">
        <v>223</v>
      </c>
      <c r="P59" s="71" t="s">
        <v>241</v>
      </c>
      <c r="Q59" s="71" t="s">
        <v>265</v>
      </c>
      <c r="R59" s="71" t="s">
        <v>291</v>
      </c>
    </row>
    <row r="60" spans="1:18">
      <c r="A60" s="71" t="str">
        <f>VLOOKUP(C60,classifications!C:F,4,FALSE)</f>
        <v>MD</v>
      </c>
      <c r="B60" s="71" t="s">
        <v>493</v>
      </c>
      <c r="C60" s="72" t="s">
        <v>238</v>
      </c>
      <c r="D60" s="71" t="s">
        <v>280</v>
      </c>
      <c r="E60" s="71" t="s">
        <v>243</v>
      </c>
      <c r="F60" s="71" t="s">
        <v>236</v>
      </c>
      <c r="G60" s="71" t="s">
        <v>232</v>
      </c>
      <c r="H60" s="71" t="s">
        <v>246</v>
      </c>
      <c r="I60" s="71" t="s">
        <v>292</v>
      </c>
      <c r="J60" s="71" t="s">
        <v>289</v>
      </c>
      <c r="K60" s="71" t="s">
        <v>229</v>
      </c>
      <c r="L60" s="71" t="s">
        <v>225</v>
      </c>
      <c r="M60" s="71" t="s">
        <v>266</v>
      </c>
      <c r="N60" s="71" t="s">
        <v>819</v>
      </c>
      <c r="O60" s="71" t="s">
        <v>282</v>
      </c>
      <c r="P60" s="71" t="s">
        <v>241</v>
      </c>
      <c r="Q60" s="71" t="s">
        <v>269</v>
      </c>
      <c r="R60" s="71" t="s">
        <v>258</v>
      </c>
    </row>
    <row r="61" spans="1:18">
      <c r="A61" s="71" t="str">
        <f>VLOOKUP(C61,classifications!C:F,4,FALSE)</f>
        <v>MD</v>
      </c>
      <c r="B61" s="71" t="s">
        <v>494</v>
      </c>
      <c r="C61" s="71" t="s">
        <v>239</v>
      </c>
      <c r="D61" s="71" t="s">
        <v>282</v>
      </c>
      <c r="E61" s="71" t="s">
        <v>257</v>
      </c>
      <c r="F61" s="71" t="s">
        <v>811</v>
      </c>
      <c r="G61" s="71" t="s">
        <v>245</v>
      </c>
      <c r="H61" s="71" t="s">
        <v>251</v>
      </c>
      <c r="I61" s="71" t="s">
        <v>231</v>
      </c>
      <c r="J61" s="71" t="s">
        <v>249</v>
      </c>
      <c r="K61" s="71" t="s">
        <v>265</v>
      </c>
      <c r="L61" s="71" t="s">
        <v>323</v>
      </c>
      <c r="M61" s="71" t="s">
        <v>277</v>
      </c>
      <c r="N61" s="71" t="s">
        <v>242</v>
      </c>
      <c r="O61" s="71" t="s">
        <v>223</v>
      </c>
      <c r="P61" s="71" t="s">
        <v>291</v>
      </c>
      <c r="Q61" s="71" t="s">
        <v>232</v>
      </c>
      <c r="R61" s="71" t="s">
        <v>248</v>
      </c>
    </row>
    <row r="62" spans="1:18">
      <c r="A62" s="71" t="str">
        <f>VLOOKUP(C62,classifications!C:F,4,FALSE)</f>
        <v>MD</v>
      </c>
      <c r="B62" s="71" t="s">
        <v>495</v>
      </c>
      <c r="C62" s="71" t="s">
        <v>248</v>
      </c>
      <c r="D62" s="71" t="s">
        <v>251</v>
      </c>
      <c r="E62" s="71" t="s">
        <v>270</v>
      </c>
      <c r="F62" s="71" t="s">
        <v>811</v>
      </c>
      <c r="G62" s="71" t="s">
        <v>234</v>
      </c>
      <c r="H62" s="71" t="s">
        <v>239</v>
      </c>
      <c r="I62" s="71" t="s">
        <v>232</v>
      </c>
      <c r="J62" s="71" t="s">
        <v>249</v>
      </c>
      <c r="K62" s="71" t="s">
        <v>258</v>
      </c>
      <c r="L62" s="71" t="s">
        <v>277</v>
      </c>
      <c r="M62" s="71" t="s">
        <v>275</v>
      </c>
      <c r="N62" s="71" t="s">
        <v>282</v>
      </c>
      <c r="O62" s="71" t="s">
        <v>292</v>
      </c>
      <c r="P62" s="71" t="s">
        <v>257</v>
      </c>
      <c r="Q62" s="71" t="s">
        <v>819</v>
      </c>
      <c r="R62" s="71" t="s">
        <v>255</v>
      </c>
    </row>
    <row r="63" spans="1:18">
      <c r="A63" s="71" t="str">
        <f>VLOOKUP(C63,classifications!C:F,4,FALSE)</f>
        <v>MD</v>
      </c>
      <c r="B63" s="71" t="s">
        <v>496</v>
      </c>
      <c r="C63" s="71" t="s">
        <v>251</v>
      </c>
      <c r="D63" s="71" t="s">
        <v>248</v>
      </c>
      <c r="E63" s="71" t="s">
        <v>282</v>
      </c>
      <c r="F63" s="71" t="s">
        <v>239</v>
      </c>
      <c r="G63" s="71" t="s">
        <v>232</v>
      </c>
      <c r="H63" s="71" t="s">
        <v>811</v>
      </c>
      <c r="I63" s="71" t="s">
        <v>270</v>
      </c>
      <c r="J63" s="71" t="s">
        <v>292</v>
      </c>
      <c r="K63" s="71" t="s">
        <v>234</v>
      </c>
      <c r="L63" s="71" t="s">
        <v>249</v>
      </c>
      <c r="M63" s="71" t="s">
        <v>277</v>
      </c>
      <c r="N63" s="71" t="s">
        <v>252</v>
      </c>
      <c r="O63" s="71" t="s">
        <v>242</v>
      </c>
      <c r="P63" s="71" t="s">
        <v>269</v>
      </c>
      <c r="Q63" s="71" t="s">
        <v>243</v>
      </c>
      <c r="R63" s="71" t="s">
        <v>254</v>
      </c>
    </row>
    <row r="64" spans="1:18">
      <c r="A64" s="71" t="str">
        <f>VLOOKUP(C64,classifications!C:F,4,FALSE)</f>
        <v>MD</v>
      </c>
      <c r="B64" s="71" t="s">
        <v>497</v>
      </c>
      <c r="C64" s="71" t="s">
        <v>224</v>
      </c>
      <c r="D64" s="71" t="s">
        <v>235</v>
      </c>
      <c r="E64" s="71" t="s">
        <v>226</v>
      </c>
      <c r="F64" s="71" t="s">
        <v>246</v>
      </c>
      <c r="G64" s="71" t="s">
        <v>244</v>
      </c>
      <c r="H64" s="71" t="s">
        <v>272</v>
      </c>
      <c r="I64" s="71" t="s">
        <v>229</v>
      </c>
      <c r="J64" s="71" t="s">
        <v>236</v>
      </c>
      <c r="K64" s="71" t="s">
        <v>233</v>
      </c>
      <c r="L64" s="71" t="s">
        <v>280</v>
      </c>
      <c r="M64" s="71" t="s">
        <v>225</v>
      </c>
      <c r="N64" s="71" t="s">
        <v>255</v>
      </c>
      <c r="O64" s="71" t="s">
        <v>258</v>
      </c>
      <c r="P64" s="71" t="s">
        <v>240</v>
      </c>
      <c r="Q64" s="71" t="s">
        <v>266</v>
      </c>
      <c r="R64" s="71" t="s">
        <v>817</v>
      </c>
    </row>
    <row r="65" spans="1:18">
      <c r="A65" s="71" t="str">
        <f>VLOOKUP(C65,classifications!C:F,4,FALSE)</f>
        <v>MD</v>
      </c>
      <c r="B65" s="71" t="s">
        <v>498</v>
      </c>
      <c r="C65" s="71" t="s">
        <v>229</v>
      </c>
      <c r="D65" s="71" t="s">
        <v>266</v>
      </c>
      <c r="E65" s="71" t="s">
        <v>225</v>
      </c>
      <c r="F65" s="71" t="s">
        <v>274</v>
      </c>
      <c r="G65" s="71" t="s">
        <v>246</v>
      </c>
      <c r="H65" s="71" t="s">
        <v>240</v>
      </c>
      <c r="I65" s="71" t="s">
        <v>233</v>
      </c>
      <c r="J65" s="71" t="s">
        <v>241</v>
      </c>
      <c r="K65" s="71" t="s">
        <v>226</v>
      </c>
      <c r="L65" s="71" t="s">
        <v>281</v>
      </c>
      <c r="M65" s="71" t="s">
        <v>255</v>
      </c>
      <c r="N65" s="71" t="s">
        <v>291</v>
      </c>
      <c r="O65" s="71" t="s">
        <v>244</v>
      </c>
      <c r="P65" s="71" t="s">
        <v>231</v>
      </c>
      <c r="Q65" s="71" t="s">
        <v>258</v>
      </c>
      <c r="R65" s="71" t="s">
        <v>293</v>
      </c>
    </row>
    <row r="66" spans="1:18">
      <c r="A66" s="71" t="str">
        <f>VLOOKUP(C66,classifications!C:F,4,FALSE)</f>
        <v>MD</v>
      </c>
      <c r="B66" s="71" t="s">
        <v>499</v>
      </c>
      <c r="C66" s="71" t="s">
        <v>231</v>
      </c>
      <c r="D66" s="71" t="s">
        <v>266</v>
      </c>
      <c r="E66" s="71" t="s">
        <v>291</v>
      </c>
      <c r="F66" s="71" t="s">
        <v>249</v>
      </c>
      <c r="G66" s="71" t="s">
        <v>265</v>
      </c>
      <c r="H66" s="71" t="s">
        <v>242</v>
      </c>
      <c r="I66" s="71" t="s">
        <v>255</v>
      </c>
      <c r="J66" s="71" t="s">
        <v>254</v>
      </c>
      <c r="K66" s="71" t="s">
        <v>223</v>
      </c>
      <c r="L66" s="71" t="s">
        <v>230</v>
      </c>
      <c r="M66" s="71" t="s">
        <v>233</v>
      </c>
      <c r="N66" s="71" t="s">
        <v>228</v>
      </c>
      <c r="O66" s="71" t="s">
        <v>225</v>
      </c>
      <c r="P66" s="71" t="s">
        <v>239</v>
      </c>
      <c r="Q66" s="71" t="s">
        <v>256</v>
      </c>
      <c r="R66" s="71" t="s">
        <v>250</v>
      </c>
    </row>
    <row r="67" spans="1:18">
      <c r="A67" s="71" t="str">
        <f>VLOOKUP(C67,classifications!C:F,4,FALSE)</f>
        <v>MD</v>
      </c>
      <c r="B67" s="71" t="s">
        <v>500</v>
      </c>
      <c r="C67" s="71" t="s">
        <v>244</v>
      </c>
      <c r="D67" s="71" t="s">
        <v>258</v>
      </c>
      <c r="E67" s="71" t="s">
        <v>255</v>
      </c>
      <c r="F67" s="71" t="s">
        <v>241</v>
      </c>
      <c r="G67" s="71" t="s">
        <v>819</v>
      </c>
      <c r="H67" s="71" t="s">
        <v>292</v>
      </c>
      <c r="I67" s="71" t="s">
        <v>240</v>
      </c>
      <c r="J67" s="71" t="s">
        <v>275</v>
      </c>
      <c r="K67" s="71" t="s">
        <v>243</v>
      </c>
      <c r="L67" s="71" t="s">
        <v>225</v>
      </c>
      <c r="M67" s="71" t="s">
        <v>266</v>
      </c>
      <c r="N67" s="71" t="s">
        <v>234</v>
      </c>
      <c r="O67" s="71" t="s">
        <v>229</v>
      </c>
      <c r="P67" s="71" t="s">
        <v>261</v>
      </c>
      <c r="Q67" s="71" t="s">
        <v>252</v>
      </c>
      <c r="R67" s="71" t="s">
        <v>280</v>
      </c>
    </row>
    <row r="68" spans="1:18">
      <c r="A68" s="71" t="str">
        <f>VLOOKUP(C68,classifications!C:F,4,FALSE)</f>
        <v>MD</v>
      </c>
      <c r="B68" s="71" t="s">
        <v>501</v>
      </c>
      <c r="C68" s="71" t="s">
        <v>247</v>
      </c>
      <c r="D68" s="71" t="s">
        <v>305</v>
      </c>
      <c r="E68" s="71" t="s">
        <v>259</v>
      </c>
      <c r="F68" s="71" t="s">
        <v>250</v>
      </c>
      <c r="G68" s="71" t="s">
        <v>814</v>
      </c>
      <c r="H68" s="71" t="s">
        <v>260</v>
      </c>
      <c r="I68" s="71" t="s">
        <v>253</v>
      </c>
      <c r="J68" s="71" t="s">
        <v>283</v>
      </c>
      <c r="K68" s="71" t="s">
        <v>300</v>
      </c>
      <c r="L68" s="71" t="s">
        <v>296</v>
      </c>
      <c r="M68" s="71" t="s">
        <v>288</v>
      </c>
      <c r="N68" s="71" t="s">
        <v>279</v>
      </c>
      <c r="O68" s="71" t="s">
        <v>326</v>
      </c>
      <c r="P68" s="71" t="s">
        <v>298</v>
      </c>
      <c r="Q68" s="71" t="s">
        <v>818</v>
      </c>
      <c r="R68" s="71" t="s">
        <v>293</v>
      </c>
    </row>
    <row r="69" spans="1:18">
      <c r="A69" s="71" t="str">
        <f>VLOOKUP(C69,classifications!C:F,4,FALSE)</f>
        <v>MD</v>
      </c>
      <c r="B69" s="71" t="s">
        <v>502</v>
      </c>
      <c r="C69" s="71" t="s">
        <v>255</v>
      </c>
      <c r="D69" s="71" t="s">
        <v>258</v>
      </c>
      <c r="E69" s="71" t="s">
        <v>244</v>
      </c>
      <c r="F69" s="71" t="s">
        <v>241</v>
      </c>
      <c r="G69" s="71" t="s">
        <v>266</v>
      </c>
      <c r="H69" s="71" t="s">
        <v>240</v>
      </c>
      <c r="I69" s="71" t="s">
        <v>242</v>
      </c>
      <c r="J69" s="71" t="s">
        <v>231</v>
      </c>
      <c r="K69" s="71" t="s">
        <v>292</v>
      </c>
      <c r="L69" s="71" t="s">
        <v>225</v>
      </c>
      <c r="M69" s="71" t="s">
        <v>249</v>
      </c>
      <c r="N69" s="71" t="s">
        <v>234</v>
      </c>
      <c r="O69" s="71" t="s">
        <v>230</v>
      </c>
      <c r="P69" s="71" t="s">
        <v>291</v>
      </c>
      <c r="Q69" s="71" t="s">
        <v>223</v>
      </c>
      <c r="R69" s="71" t="s">
        <v>252</v>
      </c>
    </row>
    <row r="70" spans="1:18">
      <c r="A70" s="71" t="str">
        <f>VLOOKUP(C70,classifications!C:F,4,FALSE)</f>
        <v>MD</v>
      </c>
      <c r="B70" s="71" t="s">
        <v>503</v>
      </c>
      <c r="C70" s="71" t="s">
        <v>258</v>
      </c>
      <c r="D70" s="71" t="s">
        <v>244</v>
      </c>
      <c r="E70" s="71" t="s">
        <v>255</v>
      </c>
      <c r="F70" s="71" t="s">
        <v>819</v>
      </c>
      <c r="G70" s="71" t="s">
        <v>241</v>
      </c>
      <c r="H70" s="71" t="s">
        <v>275</v>
      </c>
      <c r="I70" s="71" t="s">
        <v>292</v>
      </c>
      <c r="J70" s="71" t="s">
        <v>266</v>
      </c>
      <c r="K70" s="71" t="s">
        <v>243</v>
      </c>
      <c r="L70" s="71" t="s">
        <v>234</v>
      </c>
      <c r="M70" s="71" t="s">
        <v>240</v>
      </c>
      <c r="N70" s="71" t="s">
        <v>229</v>
      </c>
      <c r="O70" s="71" t="s">
        <v>225</v>
      </c>
      <c r="P70" s="71" t="s">
        <v>280</v>
      </c>
      <c r="Q70" s="71" t="s">
        <v>232</v>
      </c>
      <c r="R70" s="71" t="s">
        <v>242</v>
      </c>
    </row>
    <row r="71" spans="1:18">
      <c r="A71" s="71" t="str">
        <f>VLOOKUP(C71,classifications!C:F,4,FALSE)</f>
        <v>MD</v>
      </c>
      <c r="B71" s="71" t="s">
        <v>504</v>
      </c>
      <c r="C71" s="71" t="s">
        <v>226</v>
      </c>
      <c r="D71" s="71" t="s">
        <v>240</v>
      </c>
      <c r="E71" s="71" t="s">
        <v>233</v>
      </c>
      <c r="F71" s="71" t="s">
        <v>225</v>
      </c>
      <c r="G71" s="71" t="s">
        <v>229</v>
      </c>
      <c r="H71" s="71" t="s">
        <v>274</v>
      </c>
      <c r="I71" s="71" t="s">
        <v>266</v>
      </c>
      <c r="J71" s="71" t="s">
        <v>261</v>
      </c>
      <c r="K71" s="71" t="s">
        <v>241</v>
      </c>
      <c r="L71" s="71" t="s">
        <v>273</v>
      </c>
      <c r="M71" s="71" t="s">
        <v>244</v>
      </c>
      <c r="N71" s="71" t="s">
        <v>255</v>
      </c>
      <c r="O71" s="71" t="s">
        <v>227</v>
      </c>
      <c r="P71" s="71" t="s">
        <v>228</v>
      </c>
      <c r="Q71" s="71" t="s">
        <v>246</v>
      </c>
      <c r="R71" s="71" t="s">
        <v>252</v>
      </c>
    </row>
    <row r="72" spans="1:18">
      <c r="A72" s="71" t="str">
        <f>VLOOKUP(C72,classifications!C:F,4,FALSE)</f>
        <v>MD</v>
      </c>
      <c r="B72" s="71" t="s">
        <v>505</v>
      </c>
      <c r="C72" s="71" t="s">
        <v>228</v>
      </c>
      <c r="D72" s="71" t="s">
        <v>227</v>
      </c>
      <c r="E72" s="71" t="s">
        <v>233</v>
      </c>
      <c r="F72" s="71" t="s">
        <v>265</v>
      </c>
      <c r="G72" s="71" t="s">
        <v>291</v>
      </c>
      <c r="H72" s="71" t="s">
        <v>242</v>
      </c>
      <c r="I72" s="71" t="s">
        <v>274</v>
      </c>
      <c r="J72" s="71" t="s">
        <v>225</v>
      </c>
      <c r="K72" s="71" t="s">
        <v>266</v>
      </c>
      <c r="L72" s="71" t="s">
        <v>815</v>
      </c>
      <c r="M72" s="71" t="s">
        <v>256</v>
      </c>
      <c r="N72" s="71" t="s">
        <v>223</v>
      </c>
      <c r="O72" s="71" t="s">
        <v>230</v>
      </c>
      <c r="P72" s="71" t="s">
        <v>249</v>
      </c>
      <c r="Q72" s="71" t="s">
        <v>254</v>
      </c>
      <c r="R72" s="71" t="s">
        <v>296</v>
      </c>
    </row>
    <row r="73" spans="1:18">
      <c r="A73" s="71" t="str">
        <f>VLOOKUP(C73,classifications!C:F,4,FALSE)</f>
        <v>MD</v>
      </c>
      <c r="B73" s="71" t="s">
        <v>506</v>
      </c>
      <c r="C73" s="71" t="s">
        <v>233</v>
      </c>
      <c r="D73" s="71" t="s">
        <v>228</v>
      </c>
      <c r="E73" s="71" t="s">
        <v>274</v>
      </c>
      <c r="F73" s="71" t="s">
        <v>225</v>
      </c>
      <c r="G73" s="71" t="s">
        <v>227</v>
      </c>
      <c r="H73" s="71" t="s">
        <v>256</v>
      </c>
      <c r="I73" s="71" t="s">
        <v>266</v>
      </c>
      <c r="J73" s="71" t="s">
        <v>242</v>
      </c>
      <c r="K73" s="71" t="s">
        <v>291</v>
      </c>
      <c r="L73" s="71" t="s">
        <v>230</v>
      </c>
      <c r="M73" s="71" t="s">
        <v>231</v>
      </c>
      <c r="N73" s="71" t="s">
        <v>254</v>
      </c>
      <c r="O73" s="71" t="s">
        <v>815</v>
      </c>
      <c r="P73" s="71" t="s">
        <v>226</v>
      </c>
      <c r="Q73" s="71" t="s">
        <v>223</v>
      </c>
      <c r="R73" s="71" t="s">
        <v>229</v>
      </c>
    </row>
    <row r="74" spans="1:18">
      <c r="A74" s="71" t="str">
        <f>VLOOKUP(C74,classifications!C:F,4,FALSE)</f>
        <v>MD</v>
      </c>
      <c r="B74" s="71" t="s">
        <v>507</v>
      </c>
      <c r="C74" s="71" t="s">
        <v>235</v>
      </c>
      <c r="D74" s="71" t="s">
        <v>246</v>
      </c>
      <c r="E74" s="71" t="s">
        <v>233</v>
      </c>
      <c r="F74" s="71" t="s">
        <v>817</v>
      </c>
      <c r="G74" s="71" t="s">
        <v>238</v>
      </c>
      <c r="H74" s="71" t="s">
        <v>229</v>
      </c>
      <c r="I74" s="71" t="s">
        <v>225</v>
      </c>
      <c r="J74" s="71" t="s">
        <v>254</v>
      </c>
      <c r="K74" s="71" t="s">
        <v>266</v>
      </c>
      <c r="L74" s="71" t="s">
        <v>226</v>
      </c>
      <c r="M74" s="71" t="s">
        <v>231</v>
      </c>
      <c r="N74" s="71" t="s">
        <v>274</v>
      </c>
      <c r="O74" s="71" t="s">
        <v>236</v>
      </c>
      <c r="P74" s="71" t="s">
        <v>293</v>
      </c>
      <c r="Q74" s="71" t="s">
        <v>267</v>
      </c>
      <c r="R74" s="71" t="s">
        <v>296</v>
      </c>
    </row>
    <row r="75" spans="1:18">
      <c r="A75" s="71" t="str">
        <f>VLOOKUP(C75,classifications!C:F,4,FALSE)</f>
        <v>MD</v>
      </c>
      <c r="B75" s="71" t="s">
        <v>508</v>
      </c>
      <c r="C75" s="71" t="s">
        <v>254</v>
      </c>
      <c r="D75" s="71" t="s">
        <v>242</v>
      </c>
      <c r="E75" s="71" t="s">
        <v>230</v>
      </c>
      <c r="F75" s="71" t="s">
        <v>223</v>
      </c>
      <c r="G75" s="71" t="s">
        <v>249</v>
      </c>
      <c r="H75" s="71" t="s">
        <v>256</v>
      </c>
      <c r="I75" s="71" t="s">
        <v>291</v>
      </c>
      <c r="J75" s="71" t="s">
        <v>267</v>
      </c>
      <c r="K75" s="71" t="s">
        <v>231</v>
      </c>
      <c r="L75" s="71" t="s">
        <v>232</v>
      </c>
      <c r="M75" s="71" t="s">
        <v>292</v>
      </c>
      <c r="N75" s="71" t="s">
        <v>228</v>
      </c>
      <c r="O75" s="71" t="s">
        <v>815</v>
      </c>
      <c r="P75" s="71" t="s">
        <v>252</v>
      </c>
      <c r="Q75" s="71" t="s">
        <v>278</v>
      </c>
      <c r="R75" s="71" t="s">
        <v>225</v>
      </c>
    </row>
    <row r="77" spans="1:18">
      <c r="B77" s="70" t="s">
        <v>509</v>
      </c>
    </row>
    <row r="78" spans="1:18">
      <c r="A78" s="71" t="str">
        <f>VLOOKUP(C78,classifications!C:F,4,FALSE)</f>
        <v>UA</v>
      </c>
      <c r="B78" s="71" t="s">
        <v>510</v>
      </c>
      <c r="C78" s="72" t="s">
        <v>259</v>
      </c>
      <c r="D78" s="71" t="s">
        <v>305</v>
      </c>
      <c r="E78" s="71" t="s">
        <v>247</v>
      </c>
      <c r="F78" s="71" t="s">
        <v>814</v>
      </c>
      <c r="G78" s="71" t="s">
        <v>326</v>
      </c>
      <c r="H78" s="71" t="s">
        <v>818</v>
      </c>
      <c r="I78" s="71" t="s">
        <v>300</v>
      </c>
      <c r="J78" s="71" t="s">
        <v>250</v>
      </c>
      <c r="K78" s="71" t="s">
        <v>279</v>
      </c>
      <c r="L78" s="71" t="s">
        <v>298</v>
      </c>
      <c r="M78" s="71" t="s">
        <v>304</v>
      </c>
      <c r="N78" s="71" t="s">
        <v>260</v>
      </c>
      <c r="O78" s="71" t="s">
        <v>283</v>
      </c>
      <c r="P78" s="71" t="s">
        <v>288</v>
      </c>
      <c r="Q78" s="71" t="s">
        <v>268</v>
      </c>
      <c r="R78" s="71" t="s">
        <v>297</v>
      </c>
    </row>
    <row r="79" spans="1:18">
      <c r="A79" s="71" t="str">
        <f>VLOOKUP(C79,classifications!C:F,4,FALSE)</f>
        <v>UA</v>
      </c>
      <c r="B79" s="71" t="s">
        <v>511</v>
      </c>
      <c r="C79" s="72" t="s">
        <v>260</v>
      </c>
      <c r="D79" s="71" t="s">
        <v>293</v>
      </c>
      <c r="E79" s="71" t="s">
        <v>304</v>
      </c>
      <c r="F79" s="71" t="s">
        <v>247</v>
      </c>
      <c r="G79" s="71" t="s">
        <v>250</v>
      </c>
      <c r="H79" s="71" t="s">
        <v>259</v>
      </c>
      <c r="I79" s="71" t="s">
        <v>296</v>
      </c>
      <c r="J79" s="71" t="s">
        <v>814</v>
      </c>
      <c r="K79" s="71" t="s">
        <v>228</v>
      </c>
      <c r="L79" s="71" t="s">
        <v>281</v>
      </c>
      <c r="M79" s="71" t="s">
        <v>300</v>
      </c>
      <c r="N79" s="71" t="s">
        <v>276</v>
      </c>
      <c r="O79" s="71" t="s">
        <v>253</v>
      </c>
      <c r="P79" s="71" t="s">
        <v>274</v>
      </c>
      <c r="Q79" s="71" t="s">
        <v>288</v>
      </c>
      <c r="R79" s="71" t="s">
        <v>298</v>
      </c>
    </row>
    <row r="80" spans="1:18">
      <c r="A80" s="71" t="str">
        <f>VLOOKUP(C80,classifications!C:F,4,FALSE)</f>
        <v>UA</v>
      </c>
      <c r="B80" s="71" t="s">
        <v>512</v>
      </c>
      <c r="C80" s="72" t="s">
        <v>261</v>
      </c>
      <c r="D80" s="71" t="s">
        <v>240</v>
      </c>
      <c r="E80" s="71" t="s">
        <v>241</v>
      </c>
      <c r="F80" s="71" t="s">
        <v>225</v>
      </c>
      <c r="G80" s="71" t="s">
        <v>252</v>
      </c>
      <c r="H80" s="71" t="s">
        <v>226</v>
      </c>
      <c r="I80" s="71" t="s">
        <v>292</v>
      </c>
      <c r="J80" s="71" t="s">
        <v>266</v>
      </c>
      <c r="K80" s="71" t="s">
        <v>815</v>
      </c>
      <c r="L80" s="71" t="s">
        <v>244</v>
      </c>
      <c r="M80" s="71" t="s">
        <v>274</v>
      </c>
      <c r="N80" s="71" t="s">
        <v>273</v>
      </c>
      <c r="O80" s="71" t="s">
        <v>269</v>
      </c>
      <c r="P80" s="71" t="s">
        <v>229</v>
      </c>
      <c r="Q80" s="71" t="s">
        <v>227</v>
      </c>
      <c r="R80" s="71" t="s">
        <v>255</v>
      </c>
    </row>
    <row r="81" spans="1:18">
      <c r="A81" s="71" t="str">
        <f>VLOOKUP(C81,classifications!C:F,4,FALSE)</f>
        <v>UA</v>
      </c>
      <c r="B81" s="71" t="s">
        <v>513</v>
      </c>
      <c r="C81" s="72" t="s">
        <v>262</v>
      </c>
      <c r="D81" s="71" t="s">
        <v>277</v>
      </c>
      <c r="E81" s="71" t="s">
        <v>270</v>
      </c>
      <c r="F81" s="71" t="s">
        <v>811</v>
      </c>
      <c r="G81" s="71" t="s">
        <v>251</v>
      </c>
      <c r="H81" s="71" t="s">
        <v>257</v>
      </c>
      <c r="I81" s="71" t="s">
        <v>282</v>
      </c>
      <c r="J81" s="71" t="s">
        <v>248</v>
      </c>
      <c r="K81" s="71" t="s">
        <v>275</v>
      </c>
      <c r="L81" s="71" t="s">
        <v>265</v>
      </c>
      <c r="M81" s="71" t="s">
        <v>239</v>
      </c>
      <c r="N81" s="71" t="s">
        <v>245</v>
      </c>
      <c r="O81" s="71" t="s">
        <v>292</v>
      </c>
      <c r="P81" s="71" t="s">
        <v>249</v>
      </c>
      <c r="Q81" s="71" t="s">
        <v>232</v>
      </c>
      <c r="R81" s="71" t="s">
        <v>252</v>
      </c>
    </row>
    <row r="82" spans="1:18">
      <c r="A82" s="71" t="e">
        <f>VLOOKUP(C82,classifications!C:F,4,FALSE)</f>
        <v>#N/A</v>
      </c>
      <c r="B82" s="71" t="s">
        <v>514</v>
      </c>
      <c r="C82" s="72" t="s">
        <v>263</v>
      </c>
      <c r="D82" s="71" t="s">
        <v>290</v>
      </c>
      <c r="E82" s="71" t="s">
        <v>295</v>
      </c>
      <c r="F82" s="71" t="s">
        <v>245</v>
      </c>
      <c r="G82" s="71" t="s">
        <v>283</v>
      </c>
      <c r="H82" s="71" t="s">
        <v>282</v>
      </c>
      <c r="I82" s="71" t="s">
        <v>257</v>
      </c>
      <c r="J82" s="71" t="s">
        <v>300</v>
      </c>
      <c r="K82" s="71" t="s">
        <v>239</v>
      </c>
      <c r="L82" s="71" t="s">
        <v>813</v>
      </c>
      <c r="M82" s="71" t="s">
        <v>250</v>
      </c>
      <c r="N82" s="71" t="s">
        <v>279</v>
      </c>
      <c r="O82" s="71" t="s">
        <v>323</v>
      </c>
      <c r="P82" s="71" t="s">
        <v>265</v>
      </c>
      <c r="Q82" s="71" t="s">
        <v>817</v>
      </c>
      <c r="R82" s="71" t="s">
        <v>271</v>
      </c>
    </row>
    <row r="83" spans="1:18">
      <c r="A83" s="71" t="str">
        <f>VLOOKUP(C83,classifications!C:F,4,FALSE)</f>
        <v>UA</v>
      </c>
      <c r="B83" s="71" t="s">
        <v>515</v>
      </c>
      <c r="C83" s="72" t="s">
        <v>264</v>
      </c>
      <c r="D83" s="71" t="s">
        <v>297</v>
      </c>
      <c r="E83" s="71" t="s">
        <v>276</v>
      </c>
      <c r="F83" s="71" t="s">
        <v>260</v>
      </c>
      <c r="G83" s="71" t="s">
        <v>299</v>
      </c>
      <c r="H83" s="71" t="s">
        <v>285</v>
      </c>
      <c r="I83" s="71" t="s">
        <v>816</v>
      </c>
      <c r="J83" s="71" t="s">
        <v>304</v>
      </c>
      <c r="K83" s="71" t="s">
        <v>293</v>
      </c>
      <c r="L83" s="71" t="s">
        <v>294</v>
      </c>
      <c r="M83" s="71" t="s">
        <v>253</v>
      </c>
      <c r="N83" s="71" t="s">
        <v>288</v>
      </c>
      <c r="O83" s="71" t="s">
        <v>247</v>
      </c>
      <c r="P83" s="71" t="s">
        <v>259</v>
      </c>
      <c r="Q83" s="71" t="s">
        <v>296</v>
      </c>
      <c r="R83" s="71" t="s">
        <v>250</v>
      </c>
    </row>
    <row r="84" spans="1:18">
      <c r="A84" s="71" t="str">
        <f>VLOOKUP(C84,classifications!C:F,4,FALSE)</f>
        <v>UA</v>
      </c>
      <c r="B84" s="71" t="s">
        <v>516</v>
      </c>
      <c r="C84" s="72" t="s">
        <v>813</v>
      </c>
      <c r="D84" s="71" t="s">
        <v>284</v>
      </c>
      <c r="E84" s="71" t="s">
        <v>817</v>
      </c>
      <c r="F84" s="71" t="s">
        <v>289</v>
      </c>
      <c r="G84" s="71" t="s">
        <v>263</v>
      </c>
      <c r="H84" s="71" t="s">
        <v>290</v>
      </c>
      <c r="I84" s="71" t="s">
        <v>282</v>
      </c>
      <c r="J84" s="71" t="s">
        <v>300</v>
      </c>
      <c r="K84" s="71" t="s">
        <v>239</v>
      </c>
      <c r="L84" s="71" t="s">
        <v>246</v>
      </c>
      <c r="M84" s="71" t="s">
        <v>274</v>
      </c>
      <c r="N84" s="71" t="s">
        <v>238</v>
      </c>
      <c r="O84" s="71" t="s">
        <v>229</v>
      </c>
      <c r="P84" s="71" t="s">
        <v>293</v>
      </c>
      <c r="Q84" s="71" t="s">
        <v>285</v>
      </c>
      <c r="R84" s="71" t="s">
        <v>250</v>
      </c>
    </row>
    <row r="85" spans="1:18">
      <c r="A85" s="71" t="str">
        <f>VLOOKUP(C85,classifications!C:F,4,FALSE)</f>
        <v>UA</v>
      </c>
      <c r="B85" s="71" t="s">
        <v>517</v>
      </c>
      <c r="C85" s="72" t="s">
        <v>817</v>
      </c>
      <c r="D85" s="71" t="s">
        <v>289</v>
      </c>
      <c r="E85" s="71" t="s">
        <v>282</v>
      </c>
      <c r="F85" s="71" t="s">
        <v>284</v>
      </c>
      <c r="G85" s="71" t="s">
        <v>246</v>
      </c>
      <c r="H85" s="71" t="s">
        <v>813</v>
      </c>
      <c r="I85" s="71" t="s">
        <v>229</v>
      </c>
      <c r="J85" s="71" t="s">
        <v>235</v>
      </c>
      <c r="K85" s="71" t="s">
        <v>293</v>
      </c>
      <c r="L85" s="71" t="s">
        <v>238</v>
      </c>
      <c r="M85" s="71" t="s">
        <v>266</v>
      </c>
      <c r="N85" s="71" t="s">
        <v>225</v>
      </c>
      <c r="O85" s="71" t="s">
        <v>239</v>
      </c>
      <c r="P85" s="71" t="s">
        <v>274</v>
      </c>
      <c r="Q85" s="71" t="s">
        <v>290</v>
      </c>
      <c r="R85" s="71" t="s">
        <v>233</v>
      </c>
    </row>
    <row r="86" spans="1:18">
      <c r="A86" s="71" t="str">
        <f>VLOOKUP(C86,classifications!C:F,4,FALSE)</f>
        <v>UA</v>
      </c>
      <c r="B86" s="71" t="s">
        <v>518</v>
      </c>
      <c r="C86" s="72" t="s">
        <v>304</v>
      </c>
      <c r="D86" s="71" t="s">
        <v>298</v>
      </c>
      <c r="E86" s="71" t="s">
        <v>260</v>
      </c>
      <c r="F86" s="71" t="s">
        <v>305</v>
      </c>
      <c r="G86" s="71" t="s">
        <v>259</v>
      </c>
      <c r="H86" s="71" t="s">
        <v>297</v>
      </c>
      <c r="I86" s="71" t="s">
        <v>814</v>
      </c>
      <c r="J86" s="71" t="s">
        <v>326</v>
      </c>
      <c r="K86" s="71" t="s">
        <v>288</v>
      </c>
      <c r="L86" s="71" t="s">
        <v>818</v>
      </c>
      <c r="M86" s="71" t="s">
        <v>250</v>
      </c>
      <c r="N86" s="71" t="s">
        <v>296</v>
      </c>
      <c r="O86" s="71" t="s">
        <v>247</v>
      </c>
      <c r="P86" s="71" t="s">
        <v>293</v>
      </c>
      <c r="Q86" s="71" t="s">
        <v>279</v>
      </c>
      <c r="R86" s="71" t="s">
        <v>228</v>
      </c>
    </row>
    <row r="87" spans="1:18">
      <c r="A87" s="71" t="str">
        <f>VLOOKUP(C87,classifications!C:F,4,FALSE)</f>
        <v>UA</v>
      </c>
      <c r="B87" s="71" t="s">
        <v>519</v>
      </c>
      <c r="C87" s="72" t="s">
        <v>306</v>
      </c>
      <c r="D87" s="71" t="s">
        <v>268</v>
      </c>
      <c r="E87" s="71" t="s">
        <v>323</v>
      </c>
      <c r="F87" s="71" t="s">
        <v>326</v>
      </c>
      <c r="G87" s="71" t="s">
        <v>279</v>
      </c>
      <c r="H87" s="71" t="s">
        <v>271</v>
      </c>
      <c r="I87" s="71" t="s">
        <v>814</v>
      </c>
      <c r="J87" s="71" t="s">
        <v>818</v>
      </c>
      <c r="K87" s="71" t="s">
        <v>305</v>
      </c>
      <c r="L87" s="71" t="s">
        <v>298</v>
      </c>
      <c r="M87" s="71" t="s">
        <v>245</v>
      </c>
      <c r="N87" s="71" t="s">
        <v>267</v>
      </c>
      <c r="O87" s="71" t="s">
        <v>257</v>
      </c>
      <c r="P87" s="71" t="s">
        <v>259</v>
      </c>
      <c r="Q87" s="71" t="s">
        <v>283</v>
      </c>
      <c r="R87" s="71" t="s">
        <v>288</v>
      </c>
    </row>
    <row r="88" spans="1:18">
      <c r="A88" s="71" t="str">
        <f>VLOOKUP(C88,classifications!C:F,4,FALSE)</f>
        <v>UA</v>
      </c>
      <c r="B88" s="71" t="s">
        <v>520</v>
      </c>
      <c r="C88" s="72" t="s">
        <v>265</v>
      </c>
      <c r="D88" s="71" t="s">
        <v>249</v>
      </c>
      <c r="E88" s="71" t="s">
        <v>228</v>
      </c>
      <c r="F88" s="71" t="s">
        <v>291</v>
      </c>
      <c r="G88" s="71" t="s">
        <v>231</v>
      </c>
      <c r="H88" s="71" t="s">
        <v>227</v>
      </c>
      <c r="I88" s="71" t="s">
        <v>266</v>
      </c>
      <c r="J88" s="71" t="s">
        <v>242</v>
      </c>
      <c r="K88" s="71" t="s">
        <v>223</v>
      </c>
      <c r="L88" s="71" t="s">
        <v>230</v>
      </c>
      <c r="M88" s="71" t="s">
        <v>225</v>
      </c>
      <c r="N88" s="71" t="s">
        <v>254</v>
      </c>
      <c r="O88" s="71" t="s">
        <v>252</v>
      </c>
      <c r="P88" s="71" t="s">
        <v>274</v>
      </c>
      <c r="Q88" s="71" t="s">
        <v>239</v>
      </c>
      <c r="R88" s="71" t="s">
        <v>815</v>
      </c>
    </row>
    <row r="89" spans="1:18">
      <c r="A89" s="71" t="str">
        <f>VLOOKUP(C89,classifications!C:F,4,FALSE)</f>
        <v>UA</v>
      </c>
      <c r="B89" s="71" t="s">
        <v>521</v>
      </c>
      <c r="C89" s="72" t="s">
        <v>266</v>
      </c>
      <c r="D89" s="71" t="s">
        <v>229</v>
      </c>
      <c r="E89" s="71" t="s">
        <v>225</v>
      </c>
      <c r="F89" s="71" t="s">
        <v>231</v>
      </c>
      <c r="G89" s="71" t="s">
        <v>291</v>
      </c>
      <c r="H89" s="71" t="s">
        <v>255</v>
      </c>
      <c r="I89" s="71" t="s">
        <v>241</v>
      </c>
      <c r="J89" s="71" t="s">
        <v>265</v>
      </c>
      <c r="K89" s="71" t="s">
        <v>240</v>
      </c>
      <c r="L89" s="71" t="s">
        <v>233</v>
      </c>
      <c r="M89" s="71" t="s">
        <v>274</v>
      </c>
      <c r="N89" s="71" t="s">
        <v>228</v>
      </c>
      <c r="O89" s="71" t="s">
        <v>242</v>
      </c>
      <c r="P89" s="71" t="s">
        <v>227</v>
      </c>
      <c r="Q89" s="71" t="s">
        <v>815</v>
      </c>
      <c r="R89" s="71" t="s">
        <v>252</v>
      </c>
    </row>
    <row r="90" spans="1:18">
      <c r="A90" s="71" t="str">
        <f>VLOOKUP(C90,classifications!C:F,4,FALSE)</f>
        <v>UA</v>
      </c>
      <c r="B90" s="71" t="s">
        <v>522</v>
      </c>
      <c r="C90" s="72" t="s">
        <v>267</v>
      </c>
      <c r="D90" s="72" t="s">
        <v>223</v>
      </c>
      <c r="E90" s="71" t="s">
        <v>254</v>
      </c>
      <c r="F90" s="71" t="s">
        <v>230</v>
      </c>
      <c r="G90" s="71" t="s">
        <v>242</v>
      </c>
      <c r="H90" s="71" t="s">
        <v>256</v>
      </c>
      <c r="I90" s="71" t="s">
        <v>249</v>
      </c>
      <c r="J90" s="71" t="s">
        <v>233</v>
      </c>
      <c r="K90" s="71" t="s">
        <v>231</v>
      </c>
      <c r="L90" s="71" t="s">
        <v>228</v>
      </c>
      <c r="M90" s="71" t="s">
        <v>323</v>
      </c>
      <c r="N90" s="71" t="s">
        <v>252</v>
      </c>
      <c r="O90" s="71" t="s">
        <v>291</v>
      </c>
      <c r="P90" s="71" t="s">
        <v>246</v>
      </c>
      <c r="Q90" s="71" t="s">
        <v>232</v>
      </c>
      <c r="R90" s="71" t="s">
        <v>257</v>
      </c>
    </row>
    <row r="91" spans="1:18">
      <c r="A91" s="71" t="e">
        <f>VLOOKUP(C91,classifications!C:F,4,FALSE)</f>
        <v>#N/A</v>
      </c>
      <c r="B91" s="71" t="s">
        <v>522</v>
      </c>
      <c r="C91" t="s">
        <v>810</v>
      </c>
      <c r="D91" s="71" t="s">
        <v>223</v>
      </c>
      <c r="E91" s="71" t="s">
        <v>254</v>
      </c>
      <c r="F91" s="71" t="s">
        <v>230</v>
      </c>
      <c r="G91" s="71" t="s">
        <v>242</v>
      </c>
      <c r="H91" s="71" t="s">
        <v>256</v>
      </c>
      <c r="I91" s="71" t="s">
        <v>249</v>
      </c>
      <c r="J91" s="71" t="s">
        <v>233</v>
      </c>
      <c r="K91" s="71" t="s">
        <v>231</v>
      </c>
      <c r="L91" s="71" t="s">
        <v>228</v>
      </c>
      <c r="M91" s="71" t="s">
        <v>323</v>
      </c>
      <c r="N91" s="71" t="s">
        <v>252</v>
      </c>
      <c r="O91" s="71" t="s">
        <v>291</v>
      </c>
      <c r="P91" s="71" t="s">
        <v>246</v>
      </c>
      <c r="Q91" s="71" t="s">
        <v>232</v>
      </c>
      <c r="R91" s="71" t="s">
        <v>257</v>
      </c>
    </row>
    <row r="92" spans="1:18">
      <c r="A92" s="71" t="str">
        <f>VLOOKUP(C92,classifications!C:F,4,FALSE)</f>
        <v>UA</v>
      </c>
      <c r="B92" s="71" t="s">
        <v>523</v>
      </c>
      <c r="C92" s="72" t="s">
        <v>305</v>
      </c>
      <c r="D92" s="71" t="s">
        <v>814</v>
      </c>
      <c r="E92" s="71" t="s">
        <v>326</v>
      </c>
      <c r="F92" s="71" t="s">
        <v>298</v>
      </c>
      <c r="G92" s="71" t="s">
        <v>259</v>
      </c>
      <c r="H92" s="71" t="s">
        <v>818</v>
      </c>
      <c r="I92" s="71" t="s">
        <v>247</v>
      </c>
      <c r="J92" s="71" t="s">
        <v>250</v>
      </c>
      <c r="K92" s="71" t="s">
        <v>304</v>
      </c>
      <c r="L92" s="71" t="s">
        <v>279</v>
      </c>
      <c r="M92" s="71" t="s">
        <v>268</v>
      </c>
      <c r="N92" s="71" t="s">
        <v>300</v>
      </c>
      <c r="O92" s="71" t="s">
        <v>283</v>
      </c>
      <c r="P92" s="71" t="s">
        <v>260</v>
      </c>
      <c r="Q92" s="71" t="s">
        <v>288</v>
      </c>
      <c r="R92" s="71" t="s">
        <v>296</v>
      </c>
    </row>
    <row r="93" spans="1:18">
      <c r="A93" s="71" t="str">
        <f>VLOOKUP(C93,classifications!C:F,4,FALSE)</f>
        <v>UA</v>
      </c>
      <c r="B93" s="71" t="s">
        <v>524</v>
      </c>
      <c r="C93" s="72" t="s">
        <v>268</v>
      </c>
      <c r="D93" s="71" t="s">
        <v>323</v>
      </c>
      <c r="E93" s="71" t="s">
        <v>306</v>
      </c>
      <c r="F93" s="71" t="s">
        <v>326</v>
      </c>
      <c r="G93" s="71" t="s">
        <v>279</v>
      </c>
      <c r="H93" s="71" t="s">
        <v>271</v>
      </c>
      <c r="I93" s="71" t="s">
        <v>818</v>
      </c>
      <c r="J93" s="71" t="s">
        <v>814</v>
      </c>
      <c r="K93" s="71" t="s">
        <v>305</v>
      </c>
      <c r="L93" s="71" t="s">
        <v>245</v>
      </c>
      <c r="M93" s="71" t="s">
        <v>283</v>
      </c>
      <c r="N93" s="71" t="s">
        <v>288</v>
      </c>
      <c r="O93" s="71" t="s">
        <v>257</v>
      </c>
      <c r="P93" s="71" t="s">
        <v>250</v>
      </c>
      <c r="Q93" s="71" t="s">
        <v>298</v>
      </c>
      <c r="R93" s="71" t="s">
        <v>259</v>
      </c>
    </row>
    <row r="94" spans="1:18">
      <c r="A94" s="71" t="str">
        <f>VLOOKUP(C94,classifications!C:F,4,FALSE)</f>
        <v>UA</v>
      </c>
      <c r="B94" s="71" t="s">
        <v>525</v>
      </c>
      <c r="C94" s="72" t="s">
        <v>269</v>
      </c>
      <c r="D94" s="71" t="s">
        <v>292</v>
      </c>
      <c r="E94" s="71" t="s">
        <v>241</v>
      </c>
      <c r="F94" s="71" t="s">
        <v>252</v>
      </c>
      <c r="G94" s="71" t="s">
        <v>815</v>
      </c>
      <c r="H94" s="71" t="s">
        <v>249</v>
      </c>
      <c r="I94" s="71" t="s">
        <v>234</v>
      </c>
      <c r="J94" s="71" t="s">
        <v>242</v>
      </c>
      <c r="K94" s="71" t="s">
        <v>232</v>
      </c>
      <c r="L94" s="71" t="s">
        <v>256</v>
      </c>
      <c r="M94" s="71" t="s">
        <v>243</v>
      </c>
      <c r="N94" s="71" t="s">
        <v>225</v>
      </c>
      <c r="O94" s="71" t="s">
        <v>254</v>
      </c>
      <c r="P94" s="71" t="s">
        <v>291</v>
      </c>
      <c r="Q94" s="71" t="s">
        <v>275</v>
      </c>
      <c r="R94" s="71" t="s">
        <v>240</v>
      </c>
    </row>
    <row r="95" spans="1:18">
      <c r="A95" s="71" t="str">
        <f>VLOOKUP(C95,classifications!C:F,4,FALSE)</f>
        <v>UA</v>
      </c>
      <c r="B95" s="71" t="s">
        <v>526</v>
      </c>
      <c r="C95" s="72" t="s">
        <v>270</v>
      </c>
      <c r="D95" s="71" t="s">
        <v>811</v>
      </c>
      <c r="E95" s="71" t="s">
        <v>277</v>
      </c>
      <c r="F95" s="71" t="s">
        <v>251</v>
      </c>
      <c r="G95" s="71" t="s">
        <v>248</v>
      </c>
      <c r="H95" s="71" t="s">
        <v>275</v>
      </c>
      <c r="I95" s="71" t="s">
        <v>234</v>
      </c>
      <c r="J95" s="71" t="s">
        <v>255</v>
      </c>
      <c r="K95" s="71" t="s">
        <v>258</v>
      </c>
      <c r="L95" s="71" t="s">
        <v>819</v>
      </c>
      <c r="M95" s="71" t="s">
        <v>292</v>
      </c>
      <c r="N95" s="71" t="s">
        <v>232</v>
      </c>
      <c r="O95" s="71" t="s">
        <v>239</v>
      </c>
      <c r="P95" s="71" t="s">
        <v>249</v>
      </c>
      <c r="Q95" s="71" t="s">
        <v>269</v>
      </c>
      <c r="R95" s="71" t="s">
        <v>262</v>
      </c>
    </row>
    <row r="96" spans="1:18">
      <c r="A96" s="71" t="str">
        <f>VLOOKUP(C96,classifications!C:F,4,FALSE)</f>
        <v>UA</v>
      </c>
      <c r="B96" s="71" t="s">
        <v>527</v>
      </c>
      <c r="C96" s="72" t="s">
        <v>818</v>
      </c>
      <c r="D96" s="71" t="s">
        <v>326</v>
      </c>
      <c r="E96" s="71" t="s">
        <v>305</v>
      </c>
      <c r="F96" s="71" t="s">
        <v>259</v>
      </c>
      <c r="G96" s="71" t="s">
        <v>298</v>
      </c>
      <c r="H96" s="71" t="s">
        <v>286</v>
      </c>
      <c r="I96" s="71" t="s">
        <v>814</v>
      </c>
      <c r="J96" s="71" t="s">
        <v>279</v>
      </c>
      <c r="K96" s="71" t="s">
        <v>268</v>
      </c>
      <c r="L96" s="71" t="s">
        <v>304</v>
      </c>
      <c r="M96" s="71" t="s">
        <v>306</v>
      </c>
      <c r="N96" s="71" t="s">
        <v>247</v>
      </c>
      <c r="O96" s="71" t="s">
        <v>271</v>
      </c>
      <c r="P96" s="71" t="s">
        <v>323</v>
      </c>
      <c r="Q96" s="71" t="s">
        <v>250</v>
      </c>
      <c r="R96" s="71" t="s">
        <v>283</v>
      </c>
    </row>
    <row r="97" spans="1:18">
      <c r="A97" s="71" t="str">
        <f>VLOOKUP(C97,classifications!C:F,4,FALSE)</f>
        <v>UA</v>
      </c>
      <c r="B97" s="71" t="s">
        <v>528</v>
      </c>
      <c r="C97" s="72" t="s">
        <v>271</v>
      </c>
      <c r="D97" s="71" t="s">
        <v>279</v>
      </c>
      <c r="E97" s="71" t="s">
        <v>295</v>
      </c>
      <c r="F97" s="71" t="s">
        <v>268</v>
      </c>
      <c r="G97" s="71" t="s">
        <v>323</v>
      </c>
      <c r="H97" s="71" t="s">
        <v>306</v>
      </c>
      <c r="I97" s="71" t="s">
        <v>245</v>
      </c>
      <c r="J97" s="71" t="s">
        <v>283</v>
      </c>
      <c r="K97" s="71" t="s">
        <v>818</v>
      </c>
      <c r="L97" s="71" t="s">
        <v>326</v>
      </c>
      <c r="M97" s="71" t="s">
        <v>257</v>
      </c>
      <c r="N97" s="71" t="s">
        <v>263</v>
      </c>
      <c r="O97" s="71" t="s">
        <v>259</v>
      </c>
      <c r="P97" s="71" t="s">
        <v>290</v>
      </c>
      <c r="Q97" s="71" t="s">
        <v>814</v>
      </c>
      <c r="R97" s="71" t="s">
        <v>305</v>
      </c>
    </row>
    <row r="98" spans="1:18">
      <c r="A98" s="71" t="str">
        <f>VLOOKUP(C98,classifications!C:F,4,FALSE)</f>
        <v>UA</v>
      </c>
      <c r="B98" s="71" t="s">
        <v>529</v>
      </c>
      <c r="C98" s="72" t="s">
        <v>819</v>
      </c>
      <c r="D98" s="71" t="s">
        <v>275</v>
      </c>
      <c r="E98" s="71" t="s">
        <v>244</v>
      </c>
      <c r="F98" s="71" t="s">
        <v>292</v>
      </c>
      <c r="G98" s="71" t="s">
        <v>258</v>
      </c>
      <c r="H98" s="71" t="s">
        <v>234</v>
      </c>
      <c r="I98" s="71" t="s">
        <v>243</v>
      </c>
      <c r="J98" s="71" t="s">
        <v>236</v>
      </c>
      <c r="K98" s="71" t="s">
        <v>280</v>
      </c>
      <c r="L98" s="71" t="s">
        <v>241</v>
      </c>
      <c r="M98" s="71" t="s">
        <v>255</v>
      </c>
      <c r="N98" s="71" t="s">
        <v>232</v>
      </c>
      <c r="O98" s="71" t="s">
        <v>269</v>
      </c>
      <c r="P98" s="71" t="s">
        <v>251</v>
      </c>
      <c r="Q98" s="71" t="s">
        <v>270</v>
      </c>
      <c r="R98" s="71" t="s">
        <v>252</v>
      </c>
    </row>
    <row r="99" spans="1:18">
      <c r="A99" s="71" t="str">
        <f>VLOOKUP(C99,classifications!C:F,4,FALSE)</f>
        <v>UA</v>
      </c>
      <c r="B99" s="71" t="s">
        <v>530</v>
      </c>
      <c r="C99" s="72" t="s">
        <v>272</v>
      </c>
      <c r="D99" s="71" t="s">
        <v>273</v>
      </c>
      <c r="E99" s="71" t="s">
        <v>280</v>
      </c>
      <c r="F99" s="71" t="s">
        <v>229</v>
      </c>
      <c r="G99" s="71" t="s">
        <v>244</v>
      </c>
      <c r="H99" s="71" t="s">
        <v>261</v>
      </c>
      <c r="I99" s="71" t="s">
        <v>240</v>
      </c>
      <c r="J99" s="71" t="s">
        <v>226</v>
      </c>
      <c r="K99" s="71" t="s">
        <v>258</v>
      </c>
      <c r="L99" s="71" t="s">
        <v>266</v>
      </c>
      <c r="M99" s="71" t="s">
        <v>243</v>
      </c>
      <c r="N99" s="71" t="s">
        <v>241</v>
      </c>
      <c r="O99" s="71" t="s">
        <v>225</v>
      </c>
      <c r="P99" s="71" t="s">
        <v>819</v>
      </c>
      <c r="Q99" s="71" t="s">
        <v>289</v>
      </c>
      <c r="R99" s="71" t="s">
        <v>281</v>
      </c>
    </row>
    <row r="100" spans="1:18">
      <c r="A100" s="71" t="str">
        <f>VLOOKUP(C100,classifications!C:F,4,FALSE)</f>
        <v>UA</v>
      </c>
      <c r="B100" s="71" t="s">
        <v>531</v>
      </c>
      <c r="C100" s="72" t="s">
        <v>273</v>
      </c>
      <c r="D100" s="71" t="s">
        <v>272</v>
      </c>
      <c r="E100" s="71" t="s">
        <v>229</v>
      </c>
      <c r="F100" s="71" t="s">
        <v>281</v>
      </c>
      <c r="G100" s="71" t="s">
        <v>261</v>
      </c>
      <c r="H100" s="71" t="s">
        <v>226</v>
      </c>
      <c r="I100" s="71" t="s">
        <v>240</v>
      </c>
      <c r="J100" s="71" t="s">
        <v>225</v>
      </c>
      <c r="K100" s="71" t="s">
        <v>241</v>
      </c>
      <c r="L100" s="71" t="s">
        <v>274</v>
      </c>
      <c r="M100" s="71" t="s">
        <v>266</v>
      </c>
      <c r="N100" s="71" t="s">
        <v>244</v>
      </c>
      <c r="O100" s="71" t="s">
        <v>276</v>
      </c>
      <c r="P100" s="71" t="s">
        <v>243</v>
      </c>
      <c r="Q100" s="71" t="s">
        <v>280</v>
      </c>
      <c r="R100" s="71" t="s">
        <v>294</v>
      </c>
    </row>
    <row r="101" spans="1:18">
      <c r="A101" s="71" t="str">
        <f>VLOOKUP(C101,classifications!C:F,4,FALSE)</f>
        <v>UA</v>
      </c>
      <c r="B101" s="71" t="s">
        <v>532</v>
      </c>
      <c r="C101" s="72" t="s">
        <v>274</v>
      </c>
      <c r="D101" s="71" t="s">
        <v>227</v>
      </c>
      <c r="E101" s="71" t="s">
        <v>225</v>
      </c>
      <c r="F101" s="71" t="s">
        <v>233</v>
      </c>
      <c r="G101" s="71" t="s">
        <v>228</v>
      </c>
      <c r="H101" s="71" t="s">
        <v>293</v>
      </c>
      <c r="I101" s="71" t="s">
        <v>291</v>
      </c>
      <c r="J101" s="71" t="s">
        <v>266</v>
      </c>
      <c r="K101" s="71" t="s">
        <v>815</v>
      </c>
      <c r="L101" s="71" t="s">
        <v>229</v>
      </c>
      <c r="M101" s="71" t="s">
        <v>296</v>
      </c>
      <c r="N101" s="71" t="s">
        <v>256</v>
      </c>
      <c r="O101" s="71" t="s">
        <v>240</v>
      </c>
      <c r="P101" s="71" t="s">
        <v>265</v>
      </c>
      <c r="Q101" s="71" t="s">
        <v>241</v>
      </c>
      <c r="R101" s="71" t="s">
        <v>252</v>
      </c>
    </row>
    <row r="102" spans="1:18">
      <c r="A102" s="71" t="str">
        <f>VLOOKUP(C102,classifications!C:F,4,FALSE)</f>
        <v>UA</v>
      </c>
      <c r="B102" s="71" t="s">
        <v>533</v>
      </c>
      <c r="C102" s="72" t="s">
        <v>275</v>
      </c>
      <c r="D102" s="71" t="s">
        <v>819</v>
      </c>
      <c r="E102" s="71" t="s">
        <v>234</v>
      </c>
      <c r="F102" s="71" t="s">
        <v>292</v>
      </c>
      <c r="G102" s="71" t="s">
        <v>241</v>
      </c>
      <c r="H102" s="71" t="s">
        <v>244</v>
      </c>
      <c r="I102" s="71" t="s">
        <v>258</v>
      </c>
      <c r="J102" s="71" t="s">
        <v>269</v>
      </c>
      <c r="K102" s="71" t="s">
        <v>243</v>
      </c>
      <c r="L102" s="71" t="s">
        <v>255</v>
      </c>
      <c r="M102" s="71" t="s">
        <v>252</v>
      </c>
      <c r="N102" s="71" t="s">
        <v>240</v>
      </c>
      <c r="O102" s="71" t="s">
        <v>270</v>
      </c>
      <c r="P102" s="71" t="s">
        <v>232</v>
      </c>
      <c r="Q102" s="71" t="s">
        <v>249</v>
      </c>
      <c r="R102" s="71" t="s">
        <v>251</v>
      </c>
    </row>
    <row r="103" spans="1:18">
      <c r="A103" s="71" t="str">
        <f>VLOOKUP(C103,classifications!C:F,4,FALSE)</f>
        <v>UA</v>
      </c>
      <c r="B103" s="71" t="s">
        <v>534</v>
      </c>
      <c r="C103" s="72" t="s">
        <v>276</v>
      </c>
      <c r="D103" s="71" t="s">
        <v>294</v>
      </c>
      <c r="E103" s="71" t="s">
        <v>281</v>
      </c>
      <c r="F103" s="71" t="s">
        <v>293</v>
      </c>
      <c r="G103" s="71" t="s">
        <v>285</v>
      </c>
      <c r="H103" s="71" t="s">
        <v>260</v>
      </c>
      <c r="I103" s="71" t="s">
        <v>296</v>
      </c>
      <c r="J103" s="71" t="s">
        <v>274</v>
      </c>
      <c r="K103" s="71" t="s">
        <v>815</v>
      </c>
      <c r="L103" s="71" t="s">
        <v>225</v>
      </c>
      <c r="M103" s="71" t="s">
        <v>253</v>
      </c>
      <c r="N103" s="71" t="s">
        <v>264</v>
      </c>
      <c r="O103" s="71" t="s">
        <v>227</v>
      </c>
      <c r="P103" s="71" t="s">
        <v>229</v>
      </c>
      <c r="Q103" s="71" t="s">
        <v>233</v>
      </c>
      <c r="R103" s="71" t="s">
        <v>273</v>
      </c>
    </row>
    <row r="104" spans="1:18">
      <c r="A104" s="71" t="str">
        <f>VLOOKUP(C104,classifications!C:F,4,FALSE)</f>
        <v>UA</v>
      </c>
      <c r="B104" s="71" t="s">
        <v>535</v>
      </c>
      <c r="C104" s="72" t="s">
        <v>277</v>
      </c>
      <c r="D104" s="71" t="s">
        <v>811</v>
      </c>
      <c r="E104" s="71" t="s">
        <v>270</v>
      </c>
      <c r="F104" s="71" t="s">
        <v>251</v>
      </c>
      <c r="G104" s="71" t="s">
        <v>239</v>
      </c>
      <c r="H104" s="71" t="s">
        <v>230</v>
      </c>
      <c r="I104" s="71" t="s">
        <v>282</v>
      </c>
      <c r="J104" s="71" t="s">
        <v>265</v>
      </c>
      <c r="K104" s="71" t="s">
        <v>257</v>
      </c>
      <c r="L104" s="71" t="s">
        <v>249</v>
      </c>
      <c r="M104" s="71" t="s">
        <v>291</v>
      </c>
      <c r="N104" s="71" t="s">
        <v>242</v>
      </c>
      <c r="O104" s="71" t="s">
        <v>262</v>
      </c>
      <c r="P104" s="71" t="s">
        <v>292</v>
      </c>
      <c r="Q104" s="71" t="s">
        <v>254</v>
      </c>
      <c r="R104" s="71" t="s">
        <v>231</v>
      </c>
    </row>
    <row r="105" spans="1:18">
      <c r="A105" s="71" t="str">
        <f>VLOOKUP(C105,classifications!C:F,4,FALSE)</f>
        <v>UA</v>
      </c>
      <c r="B105" s="71" t="s">
        <v>536</v>
      </c>
      <c r="C105" s="72" t="s">
        <v>278</v>
      </c>
      <c r="D105" s="71" t="s">
        <v>291</v>
      </c>
      <c r="E105" s="71" t="s">
        <v>254</v>
      </c>
      <c r="F105" s="71" t="s">
        <v>230</v>
      </c>
      <c r="G105" s="71" t="s">
        <v>242</v>
      </c>
      <c r="H105" s="71" t="s">
        <v>228</v>
      </c>
      <c r="I105" s="71" t="s">
        <v>296</v>
      </c>
      <c r="J105" s="71" t="s">
        <v>265</v>
      </c>
      <c r="K105" s="71" t="s">
        <v>223</v>
      </c>
      <c r="L105" s="71" t="s">
        <v>815</v>
      </c>
      <c r="M105" s="71" t="s">
        <v>249</v>
      </c>
      <c r="N105" s="71" t="s">
        <v>231</v>
      </c>
      <c r="O105" s="71" t="s">
        <v>814</v>
      </c>
      <c r="P105" s="71" t="s">
        <v>266</v>
      </c>
      <c r="Q105" s="71" t="s">
        <v>293</v>
      </c>
      <c r="R105" s="71" t="s">
        <v>277</v>
      </c>
    </row>
    <row r="106" spans="1:18">
      <c r="A106" s="71" t="str">
        <f>VLOOKUP(C106,classifications!C:F,4,FALSE)</f>
        <v>UA</v>
      </c>
      <c r="B106" s="71" t="s">
        <v>537</v>
      </c>
      <c r="C106" s="72" t="s">
        <v>279</v>
      </c>
      <c r="D106" s="71" t="s">
        <v>283</v>
      </c>
      <c r="E106" s="71" t="s">
        <v>268</v>
      </c>
      <c r="F106" s="71" t="s">
        <v>271</v>
      </c>
      <c r="G106" s="71" t="s">
        <v>259</v>
      </c>
      <c r="H106" s="71" t="s">
        <v>305</v>
      </c>
      <c r="I106" s="71" t="s">
        <v>818</v>
      </c>
      <c r="J106" s="71" t="s">
        <v>326</v>
      </c>
      <c r="K106" s="71" t="s">
        <v>323</v>
      </c>
      <c r="L106" s="71" t="s">
        <v>288</v>
      </c>
      <c r="M106" s="71" t="s">
        <v>306</v>
      </c>
      <c r="N106" s="71" t="s">
        <v>298</v>
      </c>
      <c r="O106" s="71" t="s">
        <v>814</v>
      </c>
      <c r="P106" s="71" t="s">
        <v>250</v>
      </c>
      <c r="Q106" s="71" t="s">
        <v>247</v>
      </c>
      <c r="R106" s="71" t="s">
        <v>245</v>
      </c>
    </row>
    <row r="107" spans="1:18">
      <c r="A107" s="71" t="str">
        <f>VLOOKUP(C107,classifications!C:F,4,FALSE)</f>
        <v>UA</v>
      </c>
      <c r="B107" s="71" t="s">
        <v>538</v>
      </c>
      <c r="C107" s="72" t="s">
        <v>323</v>
      </c>
      <c r="D107" s="71" t="s">
        <v>268</v>
      </c>
      <c r="E107" s="71" t="s">
        <v>245</v>
      </c>
      <c r="F107" s="71" t="s">
        <v>257</v>
      </c>
      <c r="G107" s="71" t="s">
        <v>306</v>
      </c>
      <c r="H107" s="71" t="s">
        <v>239</v>
      </c>
      <c r="I107" s="71" t="s">
        <v>326</v>
      </c>
      <c r="J107" s="71" t="s">
        <v>267</v>
      </c>
      <c r="K107" s="71" t="s">
        <v>814</v>
      </c>
      <c r="L107" s="71" t="s">
        <v>279</v>
      </c>
      <c r="M107" s="71" t="s">
        <v>271</v>
      </c>
      <c r="N107" s="71" t="s">
        <v>223</v>
      </c>
      <c r="O107" s="71" t="s">
        <v>811</v>
      </c>
      <c r="P107" s="71" t="s">
        <v>228</v>
      </c>
      <c r="Q107" s="71" t="s">
        <v>254</v>
      </c>
      <c r="R107" s="71" t="s">
        <v>250</v>
      </c>
    </row>
    <row r="108" spans="1:18">
      <c r="A108" s="71" t="str">
        <f>VLOOKUP(C108,classifications!C:F,4,FALSE)</f>
        <v>UA</v>
      </c>
      <c r="B108" s="71" t="s">
        <v>539</v>
      </c>
      <c r="C108" s="72" t="s">
        <v>280</v>
      </c>
      <c r="D108" s="71" t="s">
        <v>238</v>
      </c>
      <c r="E108" s="71" t="s">
        <v>236</v>
      </c>
      <c r="F108" s="71" t="s">
        <v>243</v>
      </c>
      <c r="G108" s="71" t="s">
        <v>819</v>
      </c>
      <c r="H108" s="71" t="s">
        <v>272</v>
      </c>
      <c r="I108" s="71" t="s">
        <v>244</v>
      </c>
      <c r="J108" s="71" t="s">
        <v>258</v>
      </c>
      <c r="K108" s="71" t="s">
        <v>229</v>
      </c>
      <c r="L108" s="71" t="s">
        <v>246</v>
      </c>
      <c r="M108" s="71" t="s">
        <v>292</v>
      </c>
      <c r="N108" s="71" t="s">
        <v>289</v>
      </c>
      <c r="O108" s="71" t="s">
        <v>241</v>
      </c>
      <c r="P108" s="71" t="s">
        <v>225</v>
      </c>
      <c r="Q108" s="71" t="s">
        <v>266</v>
      </c>
      <c r="R108" s="71" t="s">
        <v>232</v>
      </c>
    </row>
    <row r="109" spans="1:18">
      <c r="A109" s="71" t="str">
        <f>VLOOKUP(C109,classifications!C:F,4,FALSE)</f>
        <v>UA</v>
      </c>
      <c r="B109" s="71" t="s">
        <v>540</v>
      </c>
      <c r="C109" s="72" t="s">
        <v>281</v>
      </c>
      <c r="D109" s="71" t="s">
        <v>294</v>
      </c>
      <c r="E109" s="71" t="s">
        <v>293</v>
      </c>
      <c r="F109" s="71" t="s">
        <v>276</v>
      </c>
      <c r="G109" s="71" t="s">
        <v>229</v>
      </c>
      <c r="H109" s="71" t="s">
        <v>225</v>
      </c>
      <c r="I109" s="71" t="s">
        <v>266</v>
      </c>
      <c r="J109" s="71" t="s">
        <v>815</v>
      </c>
      <c r="K109" s="71" t="s">
        <v>241</v>
      </c>
      <c r="L109" s="71" t="s">
        <v>274</v>
      </c>
      <c r="M109" s="71" t="s">
        <v>273</v>
      </c>
      <c r="N109" s="71" t="s">
        <v>240</v>
      </c>
      <c r="O109" s="71" t="s">
        <v>260</v>
      </c>
      <c r="P109" s="71" t="s">
        <v>228</v>
      </c>
      <c r="Q109" s="71" t="s">
        <v>291</v>
      </c>
      <c r="R109" s="71" t="s">
        <v>227</v>
      </c>
    </row>
    <row r="110" spans="1:18">
      <c r="A110" s="71" t="str">
        <f>VLOOKUP(C110,classifications!C:F,4,FALSE)</f>
        <v>UA</v>
      </c>
      <c r="B110" s="71" t="s">
        <v>541</v>
      </c>
      <c r="C110" s="72" t="s">
        <v>282</v>
      </c>
      <c r="D110" s="71" t="s">
        <v>239</v>
      </c>
      <c r="E110" s="71" t="s">
        <v>257</v>
      </c>
      <c r="F110" s="71" t="s">
        <v>251</v>
      </c>
      <c r="G110" s="71" t="s">
        <v>289</v>
      </c>
      <c r="H110" s="71" t="s">
        <v>817</v>
      </c>
      <c r="I110" s="71" t="s">
        <v>811</v>
      </c>
      <c r="J110" s="71" t="s">
        <v>266</v>
      </c>
      <c r="K110" s="71" t="s">
        <v>265</v>
      </c>
      <c r="L110" s="71" t="s">
        <v>249</v>
      </c>
      <c r="M110" s="71" t="s">
        <v>277</v>
      </c>
      <c r="N110" s="71" t="s">
        <v>245</v>
      </c>
      <c r="O110" s="71" t="s">
        <v>231</v>
      </c>
      <c r="P110" s="71" t="s">
        <v>232</v>
      </c>
      <c r="Q110" s="71" t="s">
        <v>225</v>
      </c>
      <c r="R110" s="71" t="s">
        <v>252</v>
      </c>
    </row>
    <row r="111" spans="1:18">
      <c r="A111" s="71" t="e">
        <f>VLOOKUP(C111,classifications!C:F,4,FALSE)</f>
        <v>#N/A</v>
      </c>
      <c r="B111" s="71" t="s">
        <v>542</v>
      </c>
      <c r="C111" s="72" t="s">
        <v>283</v>
      </c>
      <c r="D111" s="71" t="s">
        <v>279</v>
      </c>
      <c r="E111" s="71" t="s">
        <v>247</v>
      </c>
      <c r="F111" s="71" t="s">
        <v>263</v>
      </c>
      <c r="G111" s="71" t="s">
        <v>290</v>
      </c>
      <c r="H111" s="71" t="s">
        <v>259</v>
      </c>
      <c r="I111" s="71" t="s">
        <v>295</v>
      </c>
      <c r="J111" s="71" t="s">
        <v>250</v>
      </c>
      <c r="K111" s="71" t="s">
        <v>305</v>
      </c>
      <c r="L111" s="71" t="s">
        <v>245</v>
      </c>
      <c r="M111" s="71" t="s">
        <v>268</v>
      </c>
      <c r="N111" s="71" t="s">
        <v>271</v>
      </c>
      <c r="O111" s="71" t="s">
        <v>300</v>
      </c>
      <c r="P111" s="71" t="s">
        <v>288</v>
      </c>
      <c r="Q111" s="71" t="s">
        <v>323</v>
      </c>
      <c r="R111" s="71" t="s">
        <v>814</v>
      </c>
    </row>
    <row r="112" spans="1:18">
      <c r="A112" s="71" t="str">
        <f>VLOOKUP(C112,classifications!C:F,4,FALSE)</f>
        <v>UA</v>
      </c>
      <c r="B112" s="71" t="s">
        <v>543</v>
      </c>
      <c r="C112" s="72" t="s">
        <v>284</v>
      </c>
      <c r="D112" s="71" t="s">
        <v>289</v>
      </c>
      <c r="E112" s="71" t="s">
        <v>817</v>
      </c>
      <c r="F112" s="71" t="s">
        <v>813</v>
      </c>
      <c r="G112" s="71" t="s">
        <v>282</v>
      </c>
      <c r="H112" s="71" t="s">
        <v>229</v>
      </c>
      <c r="I112" s="71" t="s">
        <v>290</v>
      </c>
      <c r="J112" s="71" t="s">
        <v>239</v>
      </c>
      <c r="K112" s="71" t="s">
        <v>238</v>
      </c>
      <c r="L112" s="71" t="s">
        <v>225</v>
      </c>
      <c r="M112" s="71" t="s">
        <v>266</v>
      </c>
      <c r="N112" s="71" t="s">
        <v>243</v>
      </c>
      <c r="O112" s="71" t="s">
        <v>274</v>
      </c>
      <c r="P112" s="71" t="s">
        <v>280</v>
      </c>
      <c r="Q112" s="71" t="s">
        <v>246</v>
      </c>
      <c r="R112" s="71" t="s">
        <v>293</v>
      </c>
    </row>
    <row r="113" spans="1:18">
      <c r="A113" s="71" t="str">
        <f>VLOOKUP(C113,classifications!C:F,4,FALSE)</f>
        <v>UA</v>
      </c>
      <c r="B113" s="71" t="s">
        <v>544</v>
      </c>
      <c r="C113" s="72" t="s">
        <v>285</v>
      </c>
      <c r="D113" s="71" t="s">
        <v>276</v>
      </c>
      <c r="E113" s="71" t="s">
        <v>294</v>
      </c>
      <c r="F113" s="71" t="s">
        <v>281</v>
      </c>
      <c r="G113" s="71" t="s">
        <v>293</v>
      </c>
      <c r="H113" s="71" t="s">
        <v>287</v>
      </c>
      <c r="I113" s="71" t="s">
        <v>817</v>
      </c>
      <c r="J113" s="71" t="s">
        <v>253</v>
      </c>
      <c r="K113" s="71" t="s">
        <v>289</v>
      </c>
      <c r="L113" s="71" t="s">
        <v>264</v>
      </c>
      <c r="M113" s="71" t="s">
        <v>260</v>
      </c>
      <c r="N113" s="71" t="s">
        <v>296</v>
      </c>
      <c r="O113" s="71" t="s">
        <v>273</v>
      </c>
      <c r="P113" s="71" t="s">
        <v>229</v>
      </c>
      <c r="Q113" s="71" t="s">
        <v>274</v>
      </c>
      <c r="R113" s="71" t="s">
        <v>284</v>
      </c>
    </row>
    <row r="114" spans="1:18">
      <c r="A114" s="71" t="str">
        <f>VLOOKUP(C114,classifications!C:F,4,FALSE)</f>
        <v>UA</v>
      </c>
      <c r="B114" s="71" t="s">
        <v>545</v>
      </c>
      <c r="C114" s="72" t="s">
        <v>811</v>
      </c>
      <c r="D114" s="71" t="s">
        <v>277</v>
      </c>
      <c r="E114" s="71" t="s">
        <v>270</v>
      </c>
      <c r="F114" s="71" t="s">
        <v>239</v>
      </c>
      <c r="G114" s="71" t="s">
        <v>251</v>
      </c>
      <c r="H114" s="71" t="s">
        <v>257</v>
      </c>
      <c r="I114" s="71" t="s">
        <v>249</v>
      </c>
      <c r="J114" s="71" t="s">
        <v>282</v>
      </c>
      <c r="K114" s="71" t="s">
        <v>265</v>
      </c>
      <c r="L114" s="71" t="s">
        <v>291</v>
      </c>
      <c r="M114" s="71" t="s">
        <v>248</v>
      </c>
      <c r="N114" s="71" t="s">
        <v>245</v>
      </c>
      <c r="O114" s="71" t="s">
        <v>231</v>
      </c>
      <c r="P114" s="71" t="s">
        <v>242</v>
      </c>
      <c r="Q114" s="71" t="s">
        <v>223</v>
      </c>
      <c r="R114" s="71" t="s">
        <v>230</v>
      </c>
    </row>
    <row r="115" spans="1:18">
      <c r="A115" s="71" t="str">
        <f>VLOOKUP(C115,classifications!C:F,4,FALSE)</f>
        <v>UA</v>
      </c>
      <c r="B115" s="71" t="s">
        <v>546</v>
      </c>
      <c r="C115" s="72" t="s">
        <v>286</v>
      </c>
      <c r="D115" s="71" t="s">
        <v>818</v>
      </c>
      <c r="E115" s="71" t="s">
        <v>326</v>
      </c>
      <c r="F115" s="71" t="s">
        <v>298</v>
      </c>
      <c r="G115" s="71" t="s">
        <v>305</v>
      </c>
      <c r="H115" s="71" t="s">
        <v>259</v>
      </c>
      <c r="I115" s="71" t="s">
        <v>304</v>
      </c>
      <c r="J115" s="71" t="s">
        <v>279</v>
      </c>
      <c r="K115" s="71" t="s">
        <v>814</v>
      </c>
      <c r="L115" s="71" t="s">
        <v>268</v>
      </c>
      <c r="M115" s="71" t="s">
        <v>297</v>
      </c>
      <c r="N115" s="71" t="s">
        <v>247</v>
      </c>
      <c r="O115" s="71" t="s">
        <v>260</v>
      </c>
      <c r="P115" s="71" t="s">
        <v>271</v>
      </c>
      <c r="Q115" s="71" t="s">
        <v>306</v>
      </c>
      <c r="R115" s="71" t="s">
        <v>283</v>
      </c>
    </row>
    <row r="116" spans="1:18">
      <c r="A116" s="71" t="str">
        <f>VLOOKUP(C116,classifications!C:F,4,FALSE)</f>
        <v>UA</v>
      </c>
      <c r="B116" s="71" t="s">
        <v>547</v>
      </c>
      <c r="C116" s="72" t="s">
        <v>326</v>
      </c>
      <c r="D116" s="71" t="s">
        <v>818</v>
      </c>
      <c r="E116" s="71" t="s">
        <v>305</v>
      </c>
      <c r="F116" s="71" t="s">
        <v>814</v>
      </c>
      <c r="G116" s="71" t="s">
        <v>298</v>
      </c>
      <c r="H116" s="71" t="s">
        <v>268</v>
      </c>
      <c r="I116" s="71" t="s">
        <v>259</v>
      </c>
      <c r="J116" s="71" t="s">
        <v>279</v>
      </c>
      <c r="K116" s="71" t="s">
        <v>323</v>
      </c>
      <c r="L116" s="71" t="s">
        <v>306</v>
      </c>
      <c r="M116" s="71" t="s">
        <v>250</v>
      </c>
      <c r="N116" s="71" t="s">
        <v>304</v>
      </c>
      <c r="O116" s="71" t="s">
        <v>300</v>
      </c>
      <c r="P116" s="71" t="s">
        <v>247</v>
      </c>
      <c r="Q116" s="71" t="s">
        <v>286</v>
      </c>
      <c r="R116" s="71" t="s">
        <v>271</v>
      </c>
    </row>
    <row r="117" spans="1:18">
      <c r="A117" s="71" t="str">
        <f>VLOOKUP(C117,classifications!C:F,4,FALSE)</f>
        <v>UA</v>
      </c>
      <c r="B117" s="71" t="s">
        <v>548</v>
      </c>
      <c r="C117" s="72" t="s">
        <v>287</v>
      </c>
      <c r="D117" s="71" t="s">
        <v>285</v>
      </c>
      <c r="E117" s="71" t="s">
        <v>273</v>
      </c>
      <c r="F117" s="71" t="s">
        <v>276</v>
      </c>
      <c r="G117" s="71" t="s">
        <v>281</v>
      </c>
      <c r="H117" s="71" t="s">
        <v>294</v>
      </c>
      <c r="I117" s="71" t="s">
        <v>272</v>
      </c>
      <c r="J117" s="71" t="s">
        <v>293</v>
      </c>
      <c r="K117" s="71" t="s">
        <v>264</v>
      </c>
      <c r="L117" s="71" t="s">
        <v>289</v>
      </c>
      <c r="M117" s="71" t="s">
        <v>229</v>
      </c>
      <c r="N117" s="71" t="s">
        <v>817</v>
      </c>
      <c r="O117" s="71" t="s">
        <v>260</v>
      </c>
      <c r="P117" s="71" t="s">
        <v>226</v>
      </c>
      <c r="Q117" s="71" t="s">
        <v>261</v>
      </c>
      <c r="R117" s="71" t="s">
        <v>225</v>
      </c>
    </row>
    <row r="118" spans="1:18">
      <c r="A118" s="71" t="str">
        <f>VLOOKUP(C118,classifications!C:F,4,FALSE)</f>
        <v>UA</v>
      </c>
      <c r="B118" s="71" t="s">
        <v>549</v>
      </c>
      <c r="C118" s="72" t="s">
        <v>288</v>
      </c>
      <c r="D118" s="71" t="s">
        <v>279</v>
      </c>
      <c r="E118" s="71" t="s">
        <v>250</v>
      </c>
      <c r="F118" s="71" t="s">
        <v>304</v>
      </c>
      <c r="G118" s="71" t="s">
        <v>300</v>
      </c>
      <c r="H118" s="71" t="s">
        <v>814</v>
      </c>
      <c r="I118" s="71" t="s">
        <v>259</v>
      </c>
      <c r="J118" s="71" t="s">
        <v>296</v>
      </c>
      <c r="K118" s="71" t="s">
        <v>247</v>
      </c>
      <c r="L118" s="71" t="s">
        <v>293</v>
      </c>
      <c r="M118" s="71" t="s">
        <v>260</v>
      </c>
      <c r="N118" s="71" t="s">
        <v>305</v>
      </c>
      <c r="O118" s="71" t="s">
        <v>253</v>
      </c>
      <c r="P118" s="71" t="s">
        <v>268</v>
      </c>
      <c r="Q118" s="71" t="s">
        <v>283</v>
      </c>
      <c r="R118" s="71" t="s">
        <v>298</v>
      </c>
    </row>
    <row r="119" spans="1:18">
      <c r="A119" s="71" t="str">
        <f>VLOOKUP(C119,classifications!C:F,4,FALSE)</f>
        <v>UA</v>
      </c>
      <c r="B119" s="71" t="s">
        <v>550</v>
      </c>
      <c r="C119" s="72" t="s">
        <v>289</v>
      </c>
      <c r="D119" s="71" t="s">
        <v>817</v>
      </c>
      <c r="E119" s="71" t="s">
        <v>284</v>
      </c>
      <c r="F119" s="71" t="s">
        <v>282</v>
      </c>
      <c r="G119" s="71" t="s">
        <v>238</v>
      </c>
      <c r="H119" s="71" t="s">
        <v>229</v>
      </c>
      <c r="I119" s="71" t="s">
        <v>280</v>
      </c>
      <c r="J119" s="71" t="s">
        <v>813</v>
      </c>
      <c r="K119" s="71" t="s">
        <v>243</v>
      </c>
      <c r="L119" s="71" t="s">
        <v>246</v>
      </c>
      <c r="M119" s="71" t="s">
        <v>266</v>
      </c>
      <c r="N119" s="71" t="s">
        <v>239</v>
      </c>
      <c r="O119" s="71" t="s">
        <v>225</v>
      </c>
      <c r="P119" s="71" t="s">
        <v>293</v>
      </c>
      <c r="Q119" s="71" t="s">
        <v>281</v>
      </c>
      <c r="R119" s="71" t="s">
        <v>274</v>
      </c>
    </row>
    <row r="120" spans="1:18">
      <c r="A120" s="71" t="str">
        <f>VLOOKUP(C120,classifications!C:F,4,FALSE)</f>
        <v>UA</v>
      </c>
      <c r="B120" s="71" t="s">
        <v>551</v>
      </c>
      <c r="C120" s="72" t="s">
        <v>290</v>
      </c>
      <c r="D120" s="71" t="s">
        <v>263</v>
      </c>
      <c r="E120" s="71" t="s">
        <v>257</v>
      </c>
      <c r="F120" s="71" t="s">
        <v>245</v>
      </c>
      <c r="G120" s="71" t="s">
        <v>239</v>
      </c>
      <c r="H120" s="71" t="s">
        <v>282</v>
      </c>
      <c r="I120" s="71" t="s">
        <v>295</v>
      </c>
      <c r="J120" s="71" t="s">
        <v>265</v>
      </c>
      <c r="K120" s="71" t="s">
        <v>250</v>
      </c>
      <c r="L120" s="71" t="s">
        <v>283</v>
      </c>
      <c r="M120" s="71" t="s">
        <v>228</v>
      </c>
      <c r="N120" s="71" t="s">
        <v>266</v>
      </c>
      <c r="O120" s="71" t="s">
        <v>279</v>
      </c>
      <c r="P120" s="71" t="s">
        <v>231</v>
      </c>
      <c r="Q120" s="71" t="s">
        <v>323</v>
      </c>
      <c r="R120" s="71" t="s">
        <v>811</v>
      </c>
    </row>
    <row r="121" spans="1:18">
      <c r="A121" s="71" t="str">
        <f>VLOOKUP(C121,classifications!C:F,4,FALSE)</f>
        <v>UA</v>
      </c>
      <c r="B121" s="71" t="s">
        <v>552</v>
      </c>
      <c r="C121" s="72" t="s">
        <v>291</v>
      </c>
      <c r="D121" s="71" t="s">
        <v>815</v>
      </c>
      <c r="E121" s="71" t="s">
        <v>265</v>
      </c>
      <c r="F121" s="71" t="s">
        <v>249</v>
      </c>
      <c r="G121" s="71" t="s">
        <v>242</v>
      </c>
      <c r="H121" s="71" t="s">
        <v>228</v>
      </c>
      <c r="I121" s="71" t="s">
        <v>231</v>
      </c>
      <c r="J121" s="71" t="s">
        <v>266</v>
      </c>
      <c r="K121" s="71" t="s">
        <v>254</v>
      </c>
      <c r="L121" s="71" t="s">
        <v>274</v>
      </c>
      <c r="M121" s="71" t="s">
        <v>230</v>
      </c>
      <c r="N121" s="71" t="s">
        <v>223</v>
      </c>
      <c r="O121" s="71" t="s">
        <v>225</v>
      </c>
      <c r="P121" s="71" t="s">
        <v>227</v>
      </c>
      <c r="Q121" s="71" t="s">
        <v>296</v>
      </c>
      <c r="R121" s="71" t="s">
        <v>278</v>
      </c>
    </row>
    <row r="122" spans="1:18">
      <c r="A122" s="71" t="str">
        <f>VLOOKUP(C122,classifications!C:F,4,FALSE)</f>
        <v>UA</v>
      </c>
      <c r="B122" s="71" t="s">
        <v>553</v>
      </c>
      <c r="C122" s="72" t="s">
        <v>292</v>
      </c>
      <c r="D122" s="71" t="s">
        <v>252</v>
      </c>
      <c r="E122" s="71" t="s">
        <v>241</v>
      </c>
      <c r="F122" s="71" t="s">
        <v>269</v>
      </c>
      <c r="G122" s="71" t="s">
        <v>232</v>
      </c>
      <c r="H122" s="71" t="s">
        <v>242</v>
      </c>
      <c r="I122" s="71" t="s">
        <v>225</v>
      </c>
      <c r="J122" s="71" t="s">
        <v>234</v>
      </c>
      <c r="K122" s="71" t="s">
        <v>243</v>
      </c>
      <c r="L122" s="71" t="s">
        <v>249</v>
      </c>
      <c r="M122" s="71" t="s">
        <v>230</v>
      </c>
      <c r="N122" s="71" t="s">
        <v>256</v>
      </c>
      <c r="O122" s="71" t="s">
        <v>244</v>
      </c>
      <c r="P122" s="71" t="s">
        <v>819</v>
      </c>
      <c r="Q122" s="71" t="s">
        <v>240</v>
      </c>
      <c r="R122" s="71" t="s">
        <v>275</v>
      </c>
    </row>
    <row r="123" spans="1:18">
      <c r="A123" s="71" t="str">
        <f>VLOOKUP(C123,classifications!C:F,4,FALSE)</f>
        <v>UA</v>
      </c>
      <c r="B123" s="71" t="s">
        <v>554</v>
      </c>
      <c r="C123" s="72" t="s">
        <v>293</v>
      </c>
      <c r="D123" s="71" t="s">
        <v>296</v>
      </c>
      <c r="E123" s="71" t="s">
        <v>274</v>
      </c>
      <c r="F123" s="71" t="s">
        <v>294</v>
      </c>
      <c r="G123" s="71" t="s">
        <v>281</v>
      </c>
      <c r="H123" s="71" t="s">
        <v>260</v>
      </c>
      <c r="I123" s="71" t="s">
        <v>291</v>
      </c>
      <c r="J123" s="71" t="s">
        <v>227</v>
      </c>
      <c r="K123" s="71" t="s">
        <v>276</v>
      </c>
      <c r="L123" s="71" t="s">
        <v>815</v>
      </c>
      <c r="M123" s="71" t="s">
        <v>266</v>
      </c>
      <c r="N123" s="71" t="s">
        <v>228</v>
      </c>
      <c r="O123" s="71" t="s">
        <v>253</v>
      </c>
      <c r="P123" s="71" t="s">
        <v>250</v>
      </c>
      <c r="Q123" s="71" t="s">
        <v>225</v>
      </c>
      <c r="R123" s="71" t="s">
        <v>233</v>
      </c>
    </row>
    <row r="124" spans="1:18">
      <c r="A124" s="71" t="str">
        <f>VLOOKUP(C124,classifications!C:F,4,FALSE)</f>
        <v>UA</v>
      </c>
      <c r="B124" s="71" t="s">
        <v>555</v>
      </c>
      <c r="C124" s="72" t="s">
        <v>294</v>
      </c>
      <c r="D124" s="71" t="s">
        <v>276</v>
      </c>
      <c r="E124" s="71" t="s">
        <v>293</v>
      </c>
      <c r="F124" s="71" t="s">
        <v>281</v>
      </c>
      <c r="G124" s="71" t="s">
        <v>285</v>
      </c>
      <c r="H124" s="71" t="s">
        <v>296</v>
      </c>
      <c r="I124" s="71" t="s">
        <v>253</v>
      </c>
      <c r="J124" s="71" t="s">
        <v>815</v>
      </c>
      <c r="K124" s="71" t="s">
        <v>274</v>
      </c>
      <c r="L124" s="71" t="s">
        <v>225</v>
      </c>
      <c r="M124" s="71" t="s">
        <v>291</v>
      </c>
      <c r="N124" s="71" t="s">
        <v>260</v>
      </c>
      <c r="O124" s="71" t="s">
        <v>266</v>
      </c>
      <c r="P124" s="71" t="s">
        <v>229</v>
      </c>
      <c r="Q124" s="71" t="s">
        <v>241</v>
      </c>
      <c r="R124" s="71" t="s">
        <v>228</v>
      </c>
    </row>
    <row r="125" spans="1:18">
      <c r="A125" s="71" t="str">
        <f>VLOOKUP(C125,classifications!C:F,4,FALSE)</f>
        <v>UA</v>
      </c>
      <c r="B125" s="71" t="s">
        <v>556</v>
      </c>
      <c r="C125" s="72" t="s">
        <v>295</v>
      </c>
      <c r="D125" s="71" t="s">
        <v>245</v>
      </c>
      <c r="E125" s="71" t="s">
        <v>271</v>
      </c>
      <c r="F125" s="71" t="s">
        <v>263</v>
      </c>
      <c r="G125" s="71" t="s">
        <v>290</v>
      </c>
      <c r="H125" s="71" t="s">
        <v>283</v>
      </c>
      <c r="I125" s="71" t="s">
        <v>257</v>
      </c>
      <c r="J125" s="71" t="s">
        <v>279</v>
      </c>
      <c r="K125" s="71" t="s">
        <v>323</v>
      </c>
      <c r="L125" s="71" t="s">
        <v>239</v>
      </c>
      <c r="M125" s="71" t="s">
        <v>265</v>
      </c>
      <c r="N125" s="71" t="s">
        <v>268</v>
      </c>
      <c r="O125" s="71" t="s">
        <v>811</v>
      </c>
      <c r="P125" s="71" t="s">
        <v>262</v>
      </c>
      <c r="Q125" s="71" t="s">
        <v>277</v>
      </c>
      <c r="R125" s="71" t="s">
        <v>306</v>
      </c>
    </row>
    <row r="126" spans="1:18">
      <c r="A126" s="71" t="str">
        <f>VLOOKUP(C126,classifications!C:F,4,FALSE)</f>
        <v>UA</v>
      </c>
      <c r="B126" s="71" t="s">
        <v>557</v>
      </c>
      <c r="C126" s="72" t="s">
        <v>296</v>
      </c>
      <c r="D126" s="71" t="s">
        <v>293</v>
      </c>
      <c r="E126" s="71" t="s">
        <v>291</v>
      </c>
      <c r="F126" s="71" t="s">
        <v>228</v>
      </c>
      <c r="G126" s="71" t="s">
        <v>227</v>
      </c>
      <c r="H126" s="71" t="s">
        <v>815</v>
      </c>
      <c r="I126" s="71" t="s">
        <v>274</v>
      </c>
      <c r="J126" s="71" t="s">
        <v>814</v>
      </c>
      <c r="K126" s="71" t="s">
        <v>300</v>
      </c>
      <c r="L126" s="71" t="s">
        <v>250</v>
      </c>
      <c r="M126" s="71" t="s">
        <v>278</v>
      </c>
      <c r="N126" s="71" t="s">
        <v>265</v>
      </c>
      <c r="O126" s="71" t="s">
        <v>253</v>
      </c>
      <c r="P126" s="71" t="s">
        <v>233</v>
      </c>
      <c r="Q126" s="71" t="s">
        <v>254</v>
      </c>
      <c r="R126" s="71" t="s">
        <v>225</v>
      </c>
    </row>
    <row r="127" spans="1:18">
      <c r="A127" s="71" t="str">
        <f>VLOOKUP(C127,classifications!C:F,4,FALSE)</f>
        <v>UA</v>
      </c>
      <c r="B127" s="71" t="s">
        <v>558</v>
      </c>
      <c r="C127" s="72" t="s">
        <v>297</v>
      </c>
      <c r="D127" s="71" t="s">
        <v>304</v>
      </c>
      <c r="E127" s="71" t="s">
        <v>264</v>
      </c>
      <c r="F127" s="71" t="s">
        <v>299</v>
      </c>
      <c r="G127" s="71" t="s">
        <v>816</v>
      </c>
      <c r="H127" s="71" t="s">
        <v>260</v>
      </c>
      <c r="I127" s="71" t="s">
        <v>259</v>
      </c>
      <c r="J127" s="71" t="s">
        <v>298</v>
      </c>
      <c r="K127" s="71" t="s">
        <v>247</v>
      </c>
      <c r="L127" s="71" t="s">
        <v>288</v>
      </c>
      <c r="M127" s="71" t="s">
        <v>305</v>
      </c>
      <c r="N127" s="71" t="s">
        <v>814</v>
      </c>
      <c r="O127" s="71" t="s">
        <v>276</v>
      </c>
      <c r="P127" s="71" t="s">
        <v>253</v>
      </c>
      <c r="Q127" s="71" t="s">
        <v>293</v>
      </c>
      <c r="R127" s="71" t="s">
        <v>296</v>
      </c>
    </row>
    <row r="128" spans="1:18">
      <c r="A128" s="71" t="str">
        <f>VLOOKUP(C128,classifications!C:F,4,FALSE)</f>
        <v>UA</v>
      </c>
      <c r="B128" s="71" t="s">
        <v>559</v>
      </c>
      <c r="C128" s="72" t="s">
        <v>814</v>
      </c>
      <c r="D128" s="71" t="s">
        <v>305</v>
      </c>
      <c r="E128" s="71" t="s">
        <v>326</v>
      </c>
      <c r="F128" s="71" t="s">
        <v>300</v>
      </c>
      <c r="G128" s="71" t="s">
        <v>296</v>
      </c>
      <c r="H128" s="71" t="s">
        <v>259</v>
      </c>
      <c r="I128" s="71" t="s">
        <v>250</v>
      </c>
      <c r="J128" s="71" t="s">
        <v>247</v>
      </c>
      <c r="K128" s="71" t="s">
        <v>298</v>
      </c>
      <c r="L128" s="71" t="s">
        <v>818</v>
      </c>
      <c r="M128" s="71" t="s">
        <v>304</v>
      </c>
      <c r="N128" s="71" t="s">
        <v>268</v>
      </c>
      <c r="O128" s="71" t="s">
        <v>278</v>
      </c>
      <c r="P128" s="71" t="s">
        <v>260</v>
      </c>
      <c r="Q128" s="71" t="s">
        <v>323</v>
      </c>
      <c r="R128" s="71" t="s">
        <v>228</v>
      </c>
    </row>
    <row r="129" spans="1:18">
      <c r="A129" s="71" t="str">
        <f>VLOOKUP(C129,classifications!C:F,4,FALSE)</f>
        <v>UA</v>
      </c>
      <c r="B129" s="71" t="s">
        <v>560</v>
      </c>
      <c r="C129" s="72" t="s">
        <v>298</v>
      </c>
      <c r="D129" s="71" t="s">
        <v>305</v>
      </c>
      <c r="E129" s="71" t="s">
        <v>304</v>
      </c>
      <c r="F129" s="71" t="s">
        <v>326</v>
      </c>
      <c r="G129" s="71" t="s">
        <v>818</v>
      </c>
      <c r="H129" s="71" t="s">
        <v>814</v>
      </c>
      <c r="I129" s="71" t="s">
        <v>259</v>
      </c>
      <c r="J129" s="71" t="s">
        <v>279</v>
      </c>
      <c r="K129" s="71" t="s">
        <v>260</v>
      </c>
      <c r="L129" s="71" t="s">
        <v>247</v>
      </c>
      <c r="M129" s="71" t="s">
        <v>250</v>
      </c>
      <c r="N129" s="71" t="s">
        <v>268</v>
      </c>
      <c r="O129" s="71" t="s">
        <v>286</v>
      </c>
      <c r="P129" s="71" t="s">
        <v>306</v>
      </c>
      <c r="Q129" s="71" t="s">
        <v>297</v>
      </c>
      <c r="R129" s="71" t="s">
        <v>288</v>
      </c>
    </row>
    <row r="130" spans="1:18">
      <c r="A130" s="71" t="str">
        <f>VLOOKUP(C130,classifications!C:F,4,FALSE)</f>
        <v>UA</v>
      </c>
      <c r="B130" s="71" t="s">
        <v>561</v>
      </c>
      <c r="C130" s="72" t="s">
        <v>816</v>
      </c>
      <c r="D130" s="71" t="s">
        <v>299</v>
      </c>
      <c r="E130" s="71" t="s">
        <v>297</v>
      </c>
      <c r="F130" s="71" t="s">
        <v>264</v>
      </c>
      <c r="G130" s="71" t="s">
        <v>304</v>
      </c>
      <c r="H130" s="71" t="s">
        <v>259</v>
      </c>
      <c r="I130" s="71" t="s">
        <v>247</v>
      </c>
      <c r="J130" s="71" t="s">
        <v>260</v>
      </c>
      <c r="K130" s="71" t="s">
        <v>298</v>
      </c>
      <c r="L130" s="71" t="s">
        <v>305</v>
      </c>
      <c r="M130" s="71" t="s">
        <v>286</v>
      </c>
      <c r="N130" s="71" t="s">
        <v>279</v>
      </c>
      <c r="O130" s="71" t="s">
        <v>814</v>
      </c>
      <c r="P130" s="71" t="s">
        <v>288</v>
      </c>
      <c r="Q130" s="71" t="s">
        <v>253</v>
      </c>
      <c r="R130" s="71" t="s">
        <v>818</v>
      </c>
    </row>
    <row r="131" spans="1:18">
      <c r="A131" s="71" t="str">
        <f>VLOOKUP(C131,classifications!C:F,4,FALSE)</f>
        <v>UA</v>
      </c>
      <c r="B131" s="71" t="s">
        <v>562</v>
      </c>
      <c r="C131" s="72" t="s">
        <v>299</v>
      </c>
      <c r="D131" s="71" t="s">
        <v>816</v>
      </c>
      <c r="E131" s="71" t="s">
        <v>297</v>
      </c>
      <c r="F131" s="71" t="s">
        <v>264</v>
      </c>
      <c r="G131" s="71" t="s">
        <v>304</v>
      </c>
      <c r="H131" s="71" t="s">
        <v>259</v>
      </c>
      <c r="I131" s="71" t="s">
        <v>298</v>
      </c>
      <c r="J131" s="71" t="s">
        <v>305</v>
      </c>
      <c r="K131" s="71" t="s">
        <v>247</v>
      </c>
      <c r="L131" s="71" t="s">
        <v>260</v>
      </c>
      <c r="M131" s="71" t="s">
        <v>288</v>
      </c>
      <c r="N131" s="71" t="s">
        <v>286</v>
      </c>
      <c r="O131" s="71" t="s">
        <v>279</v>
      </c>
      <c r="P131" s="71" t="s">
        <v>250</v>
      </c>
      <c r="Q131" s="71" t="s">
        <v>814</v>
      </c>
      <c r="R131" s="71" t="s">
        <v>818</v>
      </c>
    </row>
    <row r="132" spans="1:18">
      <c r="A132" s="71" t="str">
        <f>VLOOKUP(C132,classifications!C:F,4,FALSE)</f>
        <v>UA</v>
      </c>
      <c r="B132" s="71" t="s">
        <v>563</v>
      </c>
      <c r="C132" s="72" t="s">
        <v>815</v>
      </c>
      <c r="D132" s="71" t="s">
        <v>291</v>
      </c>
      <c r="E132" s="71" t="s">
        <v>225</v>
      </c>
      <c r="F132" s="71" t="s">
        <v>269</v>
      </c>
      <c r="G132" s="71" t="s">
        <v>241</v>
      </c>
      <c r="H132" s="71" t="s">
        <v>242</v>
      </c>
      <c r="I132" s="71" t="s">
        <v>228</v>
      </c>
      <c r="J132" s="71" t="s">
        <v>274</v>
      </c>
      <c r="K132" s="71" t="s">
        <v>254</v>
      </c>
      <c r="L132" s="71" t="s">
        <v>227</v>
      </c>
      <c r="M132" s="71" t="s">
        <v>256</v>
      </c>
      <c r="N132" s="71" t="s">
        <v>266</v>
      </c>
      <c r="O132" s="71" t="s">
        <v>296</v>
      </c>
      <c r="P132" s="71" t="s">
        <v>249</v>
      </c>
      <c r="Q132" s="71" t="s">
        <v>252</v>
      </c>
      <c r="R132" s="71" t="s">
        <v>233</v>
      </c>
    </row>
    <row r="133" spans="1:18">
      <c r="A133" s="71" t="str">
        <f>VLOOKUP(C133,classifications!C:F,4,FALSE)</f>
        <v>UA</v>
      </c>
      <c r="B133" s="71" t="s">
        <v>564</v>
      </c>
      <c r="C133" s="72" t="s">
        <v>300</v>
      </c>
      <c r="D133" s="71" t="s">
        <v>814</v>
      </c>
      <c r="E133" s="71" t="s">
        <v>250</v>
      </c>
      <c r="F133" s="71" t="s">
        <v>296</v>
      </c>
      <c r="G133" s="71" t="s">
        <v>259</v>
      </c>
      <c r="H133" s="71" t="s">
        <v>247</v>
      </c>
      <c r="I133" s="71" t="s">
        <v>293</v>
      </c>
      <c r="J133" s="71" t="s">
        <v>305</v>
      </c>
      <c r="K133" s="71" t="s">
        <v>253</v>
      </c>
      <c r="L133" s="71" t="s">
        <v>288</v>
      </c>
      <c r="M133" s="71" t="s">
        <v>326</v>
      </c>
      <c r="N133" s="71" t="s">
        <v>260</v>
      </c>
      <c r="O133" s="71" t="s">
        <v>228</v>
      </c>
      <c r="P133" s="71" t="s">
        <v>278</v>
      </c>
      <c r="Q133" s="71" t="s">
        <v>265</v>
      </c>
      <c r="R133" s="71" t="s">
        <v>283</v>
      </c>
    </row>
    <row r="135" spans="1:18">
      <c r="B135" s="70" t="s">
        <v>417</v>
      </c>
    </row>
    <row r="136" spans="1:18">
      <c r="A136" s="71" t="str">
        <f>VLOOKUP(C136,classifications!C:F,4,FALSE)</f>
        <v>UA</v>
      </c>
      <c r="B136" s="71" t="s">
        <v>565</v>
      </c>
      <c r="C136" s="71" t="s">
        <v>301</v>
      </c>
      <c r="D136" s="71" t="s">
        <v>325</v>
      </c>
      <c r="E136" s="71" t="s">
        <v>330</v>
      </c>
      <c r="F136" s="71" t="s">
        <v>303</v>
      </c>
      <c r="G136" s="71" t="s">
        <v>314</v>
      </c>
      <c r="H136" s="71" t="s">
        <v>313</v>
      </c>
      <c r="I136" s="71" t="s">
        <v>331</v>
      </c>
      <c r="J136" s="71" t="s">
        <v>315</v>
      </c>
      <c r="K136" s="71" t="s">
        <v>318</v>
      </c>
      <c r="L136" s="71" t="s">
        <v>332</v>
      </c>
      <c r="M136" s="71" t="s">
        <v>321</v>
      </c>
      <c r="N136" s="71" t="s">
        <v>333</v>
      </c>
      <c r="O136" s="71" t="s">
        <v>327</v>
      </c>
      <c r="P136" s="71" t="s">
        <v>312</v>
      </c>
      <c r="Q136" s="71" t="s">
        <v>329</v>
      </c>
      <c r="R136" s="71" t="s">
        <v>322</v>
      </c>
    </row>
    <row r="137" spans="1:18">
      <c r="A137" s="71" t="str">
        <f>VLOOKUP(C137,classifications!C:F,4,FALSE)</f>
        <v>SC</v>
      </c>
      <c r="B137" s="71" t="s">
        <v>566</v>
      </c>
      <c r="C137" s="71" t="s">
        <v>303</v>
      </c>
      <c r="D137" s="71" t="s">
        <v>325</v>
      </c>
      <c r="E137" s="71" t="s">
        <v>331</v>
      </c>
      <c r="F137" s="71" t="s">
        <v>313</v>
      </c>
      <c r="G137" s="71" t="s">
        <v>318</v>
      </c>
      <c r="H137" s="71" t="s">
        <v>329</v>
      </c>
      <c r="I137" s="71" t="s">
        <v>333</v>
      </c>
      <c r="J137" s="71" t="s">
        <v>301</v>
      </c>
      <c r="K137" s="71" t="s">
        <v>314</v>
      </c>
      <c r="L137" s="71" t="s">
        <v>322</v>
      </c>
      <c r="M137" s="71" t="s">
        <v>327</v>
      </c>
      <c r="N137" s="71" t="s">
        <v>328</v>
      </c>
      <c r="O137" s="71" t="s">
        <v>312</v>
      </c>
      <c r="P137" s="71" t="s">
        <v>321</v>
      </c>
      <c r="Q137" s="71" t="s">
        <v>315</v>
      </c>
      <c r="R137" s="71" t="s">
        <v>332</v>
      </c>
    </row>
    <row r="138" spans="1:18">
      <c r="A138" s="71" t="str">
        <f>VLOOKUP(C138,classifications!C:F,4,FALSE)</f>
        <v>SC</v>
      </c>
      <c r="B138" s="71" t="s">
        <v>567</v>
      </c>
      <c r="C138" s="71" t="s">
        <v>307</v>
      </c>
      <c r="D138" s="71" t="s">
        <v>308</v>
      </c>
      <c r="E138" s="71" t="s">
        <v>321</v>
      </c>
      <c r="F138" s="71" t="s">
        <v>319</v>
      </c>
      <c r="G138" s="71" t="s">
        <v>328</v>
      </c>
      <c r="H138" s="71" t="s">
        <v>324</v>
      </c>
      <c r="I138" s="71" t="s">
        <v>329</v>
      </c>
      <c r="J138" s="71" t="s">
        <v>333</v>
      </c>
      <c r="K138" s="71" t="s">
        <v>320</v>
      </c>
      <c r="L138" s="71" t="s">
        <v>327</v>
      </c>
      <c r="M138" s="71" t="s">
        <v>331</v>
      </c>
      <c r="N138" s="71" t="s">
        <v>313</v>
      </c>
      <c r="O138" s="71" t="s">
        <v>309</v>
      </c>
      <c r="P138" s="71" t="s">
        <v>317</v>
      </c>
      <c r="Q138" s="71" t="s">
        <v>318</v>
      </c>
      <c r="R138" s="71" t="s">
        <v>310</v>
      </c>
    </row>
    <row r="139" spans="1:18">
      <c r="A139" s="71" t="str">
        <f>VLOOKUP(C139,classifications!C:F,4,FALSE)</f>
        <v>SC</v>
      </c>
      <c r="B139" s="71" t="s">
        <v>568</v>
      </c>
      <c r="C139" s="72" t="s">
        <v>308</v>
      </c>
      <c r="D139" s="71" t="s">
        <v>324</v>
      </c>
      <c r="E139" s="71" t="s">
        <v>328</v>
      </c>
      <c r="F139" s="71" t="s">
        <v>333</v>
      </c>
      <c r="G139" s="71" t="s">
        <v>329</v>
      </c>
      <c r="H139" s="71" t="s">
        <v>307</v>
      </c>
      <c r="I139" s="71" t="s">
        <v>319</v>
      </c>
      <c r="J139" s="71" t="s">
        <v>331</v>
      </c>
      <c r="K139" s="71" t="s">
        <v>320</v>
      </c>
      <c r="L139" s="71" t="s">
        <v>317</v>
      </c>
      <c r="M139" s="71" t="s">
        <v>313</v>
      </c>
      <c r="N139" s="71" t="s">
        <v>322</v>
      </c>
      <c r="O139" s="71" t="s">
        <v>327</v>
      </c>
      <c r="P139" s="71" t="s">
        <v>318</v>
      </c>
      <c r="Q139" s="71" t="s">
        <v>321</v>
      </c>
      <c r="R139" s="71" t="s">
        <v>312</v>
      </c>
    </row>
    <row r="140" spans="1:18">
      <c r="A140" s="71" t="str">
        <f>VLOOKUP(C140,classifications!C:F,4,FALSE)</f>
        <v>SC</v>
      </c>
      <c r="B140" s="71" t="s">
        <v>569</v>
      </c>
      <c r="C140" s="71" t="s">
        <v>309</v>
      </c>
      <c r="D140" s="71" t="s">
        <v>321</v>
      </c>
      <c r="E140" s="71" t="s">
        <v>311</v>
      </c>
      <c r="F140" s="71" t="s">
        <v>310</v>
      </c>
      <c r="G140" s="71" t="s">
        <v>327</v>
      </c>
      <c r="H140" s="71" t="s">
        <v>313</v>
      </c>
      <c r="I140" s="71" t="s">
        <v>332</v>
      </c>
      <c r="J140" s="71" t="s">
        <v>307</v>
      </c>
      <c r="K140" s="71" t="s">
        <v>333</v>
      </c>
      <c r="L140" s="71" t="s">
        <v>329</v>
      </c>
      <c r="M140" s="71" t="s">
        <v>331</v>
      </c>
      <c r="N140" s="71" t="s">
        <v>319</v>
      </c>
      <c r="O140" s="71" t="s">
        <v>320</v>
      </c>
      <c r="P140" s="71" t="s">
        <v>312</v>
      </c>
      <c r="Q140" s="71" t="s">
        <v>318</v>
      </c>
      <c r="R140" s="71" t="s">
        <v>314</v>
      </c>
    </row>
    <row r="141" spans="1:18">
      <c r="A141" s="71" t="str">
        <f>VLOOKUP(C141,classifications!C:F,4,FALSE)</f>
        <v>UA</v>
      </c>
      <c r="B141" s="71" t="s">
        <v>570</v>
      </c>
      <c r="C141" s="71" t="s">
        <v>310</v>
      </c>
      <c r="D141" s="71" t="s">
        <v>309</v>
      </c>
      <c r="E141" s="71" t="s">
        <v>327</v>
      </c>
      <c r="F141" s="71" t="s">
        <v>321</v>
      </c>
      <c r="G141" s="71" t="s">
        <v>313</v>
      </c>
      <c r="H141" s="71" t="s">
        <v>311</v>
      </c>
      <c r="I141" s="71" t="s">
        <v>329</v>
      </c>
      <c r="J141" s="71" t="s">
        <v>332</v>
      </c>
      <c r="K141" s="71" t="s">
        <v>333</v>
      </c>
      <c r="L141" s="71" t="s">
        <v>320</v>
      </c>
      <c r="M141" s="71" t="s">
        <v>307</v>
      </c>
      <c r="N141" s="71" t="s">
        <v>331</v>
      </c>
      <c r="O141" s="71" t="s">
        <v>318</v>
      </c>
      <c r="P141" s="71" t="s">
        <v>314</v>
      </c>
      <c r="Q141" s="71" t="s">
        <v>319</v>
      </c>
      <c r="R141" s="71" t="s">
        <v>301</v>
      </c>
    </row>
    <row r="142" spans="1:18">
      <c r="A142" s="71" t="str">
        <f>VLOOKUP(C142,classifications!C:F,4,FALSE)</f>
        <v>SC</v>
      </c>
      <c r="B142" s="71" t="s">
        <v>571</v>
      </c>
      <c r="C142" s="71" t="s">
        <v>311</v>
      </c>
      <c r="D142" s="71" t="s">
        <v>332</v>
      </c>
      <c r="E142" s="71" t="s">
        <v>309</v>
      </c>
      <c r="F142" s="71" t="s">
        <v>313</v>
      </c>
      <c r="G142" s="71" t="s">
        <v>333</v>
      </c>
      <c r="H142" s="71" t="s">
        <v>327</v>
      </c>
      <c r="I142" s="71" t="s">
        <v>310</v>
      </c>
      <c r="J142" s="71" t="s">
        <v>329</v>
      </c>
      <c r="K142" s="71" t="s">
        <v>316</v>
      </c>
      <c r="L142" s="71" t="s">
        <v>312</v>
      </c>
      <c r="M142" s="71" t="s">
        <v>331</v>
      </c>
      <c r="N142" s="71" t="s">
        <v>321</v>
      </c>
      <c r="O142" s="71" t="s">
        <v>320</v>
      </c>
      <c r="P142" s="71" t="s">
        <v>314</v>
      </c>
      <c r="Q142" s="71" t="s">
        <v>319</v>
      </c>
      <c r="R142" s="71" t="s">
        <v>307</v>
      </c>
    </row>
    <row r="143" spans="1:18">
      <c r="A143" s="71" t="str">
        <f>VLOOKUP(C143,classifications!C:F,4,FALSE)</f>
        <v>SC</v>
      </c>
      <c r="B143" s="71" t="s">
        <v>572</v>
      </c>
      <c r="C143" s="71" t="s">
        <v>312</v>
      </c>
      <c r="D143" s="71" t="s">
        <v>316</v>
      </c>
      <c r="E143" s="71" t="s">
        <v>314</v>
      </c>
      <c r="F143" s="71" t="s">
        <v>332</v>
      </c>
      <c r="G143" s="71" t="s">
        <v>331</v>
      </c>
      <c r="H143" s="71" t="s">
        <v>333</v>
      </c>
      <c r="I143" s="71" t="s">
        <v>313</v>
      </c>
      <c r="J143" s="71" t="s">
        <v>328</v>
      </c>
      <c r="K143" s="71" t="s">
        <v>329</v>
      </c>
      <c r="L143" s="71" t="s">
        <v>322</v>
      </c>
      <c r="M143" s="71" t="s">
        <v>324</v>
      </c>
      <c r="N143" s="71" t="s">
        <v>317</v>
      </c>
      <c r="O143" s="71" t="s">
        <v>308</v>
      </c>
      <c r="P143" s="71" t="s">
        <v>315</v>
      </c>
      <c r="Q143" s="71" t="s">
        <v>311</v>
      </c>
      <c r="R143" s="71" t="s">
        <v>309</v>
      </c>
    </row>
    <row r="144" spans="1:18">
      <c r="A144" s="71" t="str">
        <f>VLOOKUP(C144,classifications!C:F,4,FALSE)</f>
        <v>SC</v>
      </c>
      <c r="B144" s="71" t="s">
        <v>573</v>
      </c>
      <c r="C144" s="71" t="s">
        <v>313</v>
      </c>
      <c r="D144" s="71" t="s">
        <v>331</v>
      </c>
      <c r="E144" s="71" t="s">
        <v>333</v>
      </c>
      <c r="F144" s="71" t="s">
        <v>329</v>
      </c>
      <c r="G144" s="71" t="s">
        <v>327</v>
      </c>
      <c r="H144" s="71" t="s">
        <v>321</v>
      </c>
      <c r="I144" s="71" t="s">
        <v>318</v>
      </c>
      <c r="J144" s="71" t="s">
        <v>328</v>
      </c>
      <c r="K144" s="71" t="s">
        <v>301</v>
      </c>
      <c r="L144" s="71" t="s">
        <v>332</v>
      </c>
      <c r="M144" s="71" t="s">
        <v>325</v>
      </c>
      <c r="N144" s="71" t="s">
        <v>309</v>
      </c>
      <c r="O144" s="71" t="s">
        <v>324</v>
      </c>
      <c r="P144" s="71" t="s">
        <v>312</v>
      </c>
      <c r="Q144" s="71" t="s">
        <v>308</v>
      </c>
      <c r="R144" s="71" t="s">
        <v>314</v>
      </c>
    </row>
    <row r="145" spans="1:18">
      <c r="A145" s="71" t="str">
        <f>VLOOKUP(C145,classifications!C:F,4,FALSE)</f>
        <v>SC</v>
      </c>
      <c r="B145" s="71" t="s">
        <v>574</v>
      </c>
      <c r="C145" s="71" t="s">
        <v>314</v>
      </c>
      <c r="D145" s="71" t="s">
        <v>312</v>
      </c>
      <c r="E145" s="71" t="s">
        <v>332</v>
      </c>
      <c r="F145" s="71" t="s">
        <v>316</v>
      </c>
      <c r="G145" s="71" t="s">
        <v>313</v>
      </c>
      <c r="H145" s="71" t="s">
        <v>331</v>
      </c>
      <c r="I145" s="71" t="s">
        <v>325</v>
      </c>
      <c r="J145" s="71" t="s">
        <v>301</v>
      </c>
      <c r="K145" s="71" t="s">
        <v>333</v>
      </c>
      <c r="L145" s="71" t="s">
        <v>318</v>
      </c>
      <c r="M145" s="71" t="s">
        <v>315</v>
      </c>
      <c r="N145" s="71" t="s">
        <v>328</v>
      </c>
      <c r="O145" s="71" t="s">
        <v>329</v>
      </c>
      <c r="P145" s="71" t="s">
        <v>309</v>
      </c>
      <c r="Q145" s="71" t="s">
        <v>303</v>
      </c>
      <c r="R145" s="71" t="s">
        <v>330</v>
      </c>
    </row>
    <row r="146" spans="1:18">
      <c r="A146" s="71" t="str">
        <f>VLOOKUP(C146,classifications!C:F,4,FALSE)</f>
        <v>SC</v>
      </c>
      <c r="B146" s="71" t="s">
        <v>575</v>
      </c>
      <c r="C146" s="71" t="s">
        <v>333</v>
      </c>
      <c r="D146" s="71" t="s">
        <v>331</v>
      </c>
      <c r="E146" s="71" t="s">
        <v>313</v>
      </c>
      <c r="F146" s="71" t="s">
        <v>329</v>
      </c>
      <c r="G146" s="71" t="s">
        <v>328</v>
      </c>
      <c r="H146" s="71" t="s">
        <v>308</v>
      </c>
      <c r="I146" s="71" t="s">
        <v>324</v>
      </c>
      <c r="J146" s="71" t="s">
        <v>327</v>
      </c>
      <c r="K146" s="71" t="s">
        <v>320</v>
      </c>
      <c r="L146" s="71" t="s">
        <v>321</v>
      </c>
      <c r="M146" s="71" t="s">
        <v>307</v>
      </c>
      <c r="N146" s="71" t="s">
        <v>318</v>
      </c>
      <c r="O146" s="71" t="s">
        <v>312</v>
      </c>
      <c r="P146" s="71" t="s">
        <v>322</v>
      </c>
      <c r="Q146" s="71" t="s">
        <v>319</v>
      </c>
      <c r="R146" s="71" t="s">
        <v>301</v>
      </c>
    </row>
    <row r="147" spans="1:18">
      <c r="A147" s="71" t="str">
        <f>VLOOKUP(C147,classifications!C:F,4,FALSE)</f>
        <v>SC</v>
      </c>
      <c r="B147" s="71" t="s">
        <v>576</v>
      </c>
      <c r="C147" s="71" t="s">
        <v>315</v>
      </c>
      <c r="D147" s="71" t="s">
        <v>325</v>
      </c>
      <c r="E147" s="71" t="s">
        <v>314</v>
      </c>
      <c r="F147" s="71" t="s">
        <v>312</v>
      </c>
      <c r="G147" s="71" t="s">
        <v>316</v>
      </c>
      <c r="H147" s="71" t="s">
        <v>330</v>
      </c>
      <c r="I147" s="71" t="s">
        <v>332</v>
      </c>
      <c r="J147" s="71" t="s">
        <v>301</v>
      </c>
      <c r="K147" s="71" t="s">
        <v>322</v>
      </c>
      <c r="L147" s="71" t="s">
        <v>331</v>
      </c>
      <c r="M147" s="71" t="s">
        <v>303</v>
      </c>
      <c r="N147" s="71" t="s">
        <v>313</v>
      </c>
      <c r="O147" s="71" t="s">
        <v>333</v>
      </c>
      <c r="P147" s="71" t="s">
        <v>328</v>
      </c>
      <c r="Q147" s="71" t="s">
        <v>329</v>
      </c>
      <c r="R147" s="71" t="s">
        <v>324</v>
      </c>
    </row>
    <row r="148" spans="1:18">
      <c r="A148" s="71" t="str">
        <f>VLOOKUP(C148,classifications!C:F,4,FALSE)</f>
        <v>SC</v>
      </c>
      <c r="B148" s="71" t="s">
        <v>577</v>
      </c>
      <c r="C148" s="71" t="s">
        <v>316</v>
      </c>
      <c r="D148" s="71" t="s">
        <v>312</v>
      </c>
      <c r="E148" s="71" t="s">
        <v>314</v>
      </c>
      <c r="F148" s="71" t="s">
        <v>332</v>
      </c>
      <c r="G148" s="71" t="s">
        <v>313</v>
      </c>
      <c r="H148" s="71" t="s">
        <v>333</v>
      </c>
      <c r="I148" s="71" t="s">
        <v>331</v>
      </c>
      <c r="J148" s="71" t="s">
        <v>322</v>
      </c>
      <c r="K148" s="71" t="s">
        <v>317</v>
      </c>
      <c r="L148" s="71" t="s">
        <v>329</v>
      </c>
      <c r="M148" s="71" t="s">
        <v>328</v>
      </c>
      <c r="N148" s="71" t="s">
        <v>324</v>
      </c>
      <c r="O148" s="71" t="s">
        <v>311</v>
      </c>
      <c r="P148" s="71" t="s">
        <v>315</v>
      </c>
      <c r="Q148" s="71" t="s">
        <v>308</v>
      </c>
      <c r="R148" s="71" t="s">
        <v>319</v>
      </c>
    </row>
    <row r="149" spans="1:18">
      <c r="A149" s="71" t="str">
        <f>VLOOKUP(C149,classifications!C:F,4,FALSE)</f>
        <v>SC</v>
      </c>
      <c r="B149" s="71" t="s">
        <v>578</v>
      </c>
      <c r="C149" s="71" t="s">
        <v>317</v>
      </c>
      <c r="D149" s="71" t="s">
        <v>324</v>
      </c>
      <c r="E149" s="71" t="s">
        <v>328</v>
      </c>
      <c r="F149" s="71" t="s">
        <v>308</v>
      </c>
      <c r="G149" s="71" t="s">
        <v>307</v>
      </c>
      <c r="H149" s="71" t="s">
        <v>322</v>
      </c>
      <c r="I149" s="71" t="s">
        <v>316</v>
      </c>
      <c r="J149" s="71" t="s">
        <v>331</v>
      </c>
      <c r="K149" s="71" t="s">
        <v>333</v>
      </c>
      <c r="L149" s="71" t="s">
        <v>313</v>
      </c>
      <c r="M149" s="71" t="s">
        <v>312</v>
      </c>
      <c r="N149" s="71" t="s">
        <v>329</v>
      </c>
      <c r="O149" s="71" t="s">
        <v>319</v>
      </c>
      <c r="P149" s="71" t="s">
        <v>320</v>
      </c>
      <c r="Q149" s="71" t="s">
        <v>318</v>
      </c>
      <c r="R149" s="71" t="s">
        <v>321</v>
      </c>
    </row>
    <row r="150" spans="1:18">
      <c r="A150" s="71" t="str">
        <f>VLOOKUP(C150,classifications!C:F,4,FALSE)</f>
        <v>SC</v>
      </c>
      <c r="B150" s="71" t="s">
        <v>579</v>
      </c>
      <c r="C150" s="72" t="s">
        <v>318</v>
      </c>
      <c r="D150" s="71" t="s">
        <v>331</v>
      </c>
      <c r="E150" s="71" t="s">
        <v>313</v>
      </c>
      <c r="F150" s="71" t="s">
        <v>328</v>
      </c>
      <c r="G150" s="71" t="s">
        <v>321</v>
      </c>
      <c r="H150" s="71" t="s">
        <v>333</v>
      </c>
      <c r="I150" s="71" t="s">
        <v>324</v>
      </c>
      <c r="J150" s="71" t="s">
        <v>329</v>
      </c>
      <c r="K150" s="71" t="s">
        <v>301</v>
      </c>
      <c r="L150" s="71" t="s">
        <v>327</v>
      </c>
      <c r="M150" s="71" t="s">
        <v>308</v>
      </c>
      <c r="N150" s="71" t="s">
        <v>325</v>
      </c>
      <c r="O150" s="71" t="s">
        <v>314</v>
      </c>
      <c r="P150" s="71" t="s">
        <v>322</v>
      </c>
      <c r="Q150" s="71" t="s">
        <v>307</v>
      </c>
      <c r="R150" s="71" t="s">
        <v>309</v>
      </c>
    </row>
    <row r="151" spans="1:18">
      <c r="A151" s="71" t="str">
        <f>VLOOKUP(C151,classifications!C:F,4,FALSE)</f>
        <v>SC</v>
      </c>
      <c r="B151" s="71" t="s">
        <v>580</v>
      </c>
      <c r="C151" s="71" t="s">
        <v>319</v>
      </c>
      <c r="D151" s="71" t="s">
        <v>320</v>
      </c>
      <c r="E151" s="71" t="s">
        <v>308</v>
      </c>
      <c r="F151" s="71" t="s">
        <v>329</v>
      </c>
      <c r="G151" s="71" t="s">
        <v>307</v>
      </c>
      <c r="H151" s="71" t="s">
        <v>324</v>
      </c>
      <c r="I151" s="71" t="s">
        <v>333</v>
      </c>
      <c r="J151" s="71" t="s">
        <v>328</v>
      </c>
      <c r="K151" s="71" t="s">
        <v>327</v>
      </c>
      <c r="L151" s="71" t="s">
        <v>331</v>
      </c>
      <c r="M151" s="71" t="s">
        <v>313</v>
      </c>
      <c r="N151" s="71" t="s">
        <v>309</v>
      </c>
      <c r="O151" s="71" t="s">
        <v>321</v>
      </c>
      <c r="P151" s="71" t="s">
        <v>317</v>
      </c>
      <c r="Q151" s="71" t="s">
        <v>318</v>
      </c>
      <c r="R151" s="71" t="s">
        <v>312</v>
      </c>
    </row>
    <row r="152" spans="1:18">
      <c r="A152" s="71" t="str">
        <f>VLOOKUP(C152,classifications!C:F,4,FALSE)</f>
        <v>SC</v>
      </c>
      <c r="B152" s="71" t="s">
        <v>581</v>
      </c>
      <c r="C152" s="71" t="s">
        <v>320</v>
      </c>
      <c r="D152" s="71" t="s">
        <v>329</v>
      </c>
      <c r="E152" s="71" t="s">
        <v>319</v>
      </c>
      <c r="F152" s="71" t="s">
        <v>327</v>
      </c>
      <c r="G152" s="71" t="s">
        <v>308</v>
      </c>
      <c r="H152" s="71" t="s">
        <v>333</v>
      </c>
      <c r="I152" s="71" t="s">
        <v>307</v>
      </c>
      <c r="J152" s="71" t="s">
        <v>313</v>
      </c>
      <c r="K152" s="71" t="s">
        <v>324</v>
      </c>
      <c r="L152" s="71" t="s">
        <v>331</v>
      </c>
      <c r="M152" s="71" t="s">
        <v>328</v>
      </c>
      <c r="N152" s="71" t="s">
        <v>321</v>
      </c>
      <c r="O152" s="71" t="s">
        <v>309</v>
      </c>
      <c r="P152" s="71" t="s">
        <v>318</v>
      </c>
      <c r="Q152" s="71" t="s">
        <v>317</v>
      </c>
      <c r="R152" s="71" t="s">
        <v>311</v>
      </c>
    </row>
    <row r="153" spans="1:18">
      <c r="A153" s="71" t="str">
        <f>VLOOKUP(C153,classifications!C:F,4,FALSE)</f>
        <v>SC</v>
      </c>
      <c r="B153" s="71" t="s">
        <v>582</v>
      </c>
      <c r="C153" s="72" t="s">
        <v>321</v>
      </c>
      <c r="D153" s="71" t="s">
        <v>327</v>
      </c>
      <c r="E153" s="71" t="s">
        <v>313</v>
      </c>
      <c r="F153" s="71" t="s">
        <v>309</v>
      </c>
      <c r="G153" s="71" t="s">
        <v>307</v>
      </c>
      <c r="H153" s="71" t="s">
        <v>331</v>
      </c>
      <c r="I153" s="71" t="s">
        <v>333</v>
      </c>
      <c r="J153" s="71" t="s">
        <v>318</v>
      </c>
      <c r="K153" s="71" t="s">
        <v>310</v>
      </c>
      <c r="L153" s="71" t="s">
        <v>329</v>
      </c>
      <c r="M153" s="71" t="s">
        <v>320</v>
      </c>
      <c r="N153" s="71" t="s">
        <v>328</v>
      </c>
      <c r="O153" s="71" t="s">
        <v>308</v>
      </c>
      <c r="P153" s="71" t="s">
        <v>319</v>
      </c>
      <c r="Q153" s="71" t="s">
        <v>332</v>
      </c>
      <c r="R153" s="71" t="s">
        <v>311</v>
      </c>
    </row>
    <row r="154" spans="1:18">
      <c r="A154" s="71" t="e">
        <f>VLOOKUP(C154,classifications!C:F,4,FALSE)</f>
        <v>#N/A</v>
      </c>
      <c r="B154" s="71" t="s">
        <v>583</v>
      </c>
      <c r="C154" s="71" t="s">
        <v>322</v>
      </c>
      <c r="D154" s="71" t="s">
        <v>324</v>
      </c>
      <c r="E154" s="71" t="s">
        <v>331</v>
      </c>
      <c r="F154" s="71" t="s">
        <v>328</v>
      </c>
      <c r="G154" s="71" t="s">
        <v>333</v>
      </c>
      <c r="H154" s="71" t="s">
        <v>308</v>
      </c>
      <c r="I154" s="71" t="s">
        <v>329</v>
      </c>
      <c r="J154" s="71" t="s">
        <v>313</v>
      </c>
      <c r="K154" s="71" t="s">
        <v>316</v>
      </c>
      <c r="L154" s="71" t="s">
        <v>312</v>
      </c>
      <c r="M154" s="71" t="s">
        <v>317</v>
      </c>
      <c r="N154" s="71" t="s">
        <v>301</v>
      </c>
      <c r="O154" s="71" t="s">
        <v>318</v>
      </c>
      <c r="P154" s="71" t="s">
        <v>325</v>
      </c>
      <c r="Q154" s="71" t="s">
        <v>314</v>
      </c>
      <c r="R154" s="71" t="s">
        <v>315</v>
      </c>
    </row>
    <row r="155" spans="1:18">
      <c r="A155" s="71" t="str">
        <f>VLOOKUP(C155,classifications!C:F,4,FALSE)</f>
        <v>SC</v>
      </c>
      <c r="B155" s="71" t="s">
        <v>584</v>
      </c>
      <c r="C155" s="71" t="s">
        <v>324</v>
      </c>
      <c r="D155" s="71" t="s">
        <v>328</v>
      </c>
      <c r="E155" s="71" t="s">
        <v>308</v>
      </c>
      <c r="F155" s="71" t="s">
        <v>331</v>
      </c>
      <c r="G155" s="71" t="s">
        <v>317</v>
      </c>
      <c r="H155" s="71" t="s">
        <v>333</v>
      </c>
      <c r="I155" s="71" t="s">
        <v>322</v>
      </c>
      <c r="J155" s="71" t="s">
        <v>329</v>
      </c>
      <c r="K155" s="71" t="s">
        <v>307</v>
      </c>
      <c r="L155" s="71" t="s">
        <v>319</v>
      </c>
      <c r="M155" s="71" t="s">
        <v>313</v>
      </c>
      <c r="N155" s="71" t="s">
        <v>318</v>
      </c>
      <c r="O155" s="71" t="s">
        <v>320</v>
      </c>
      <c r="P155" s="71" t="s">
        <v>312</v>
      </c>
      <c r="Q155" s="71" t="s">
        <v>316</v>
      </c>
      <c r="R155" s="71" t="s">
        <v>327</v>
      </c>
    </row>
    <row r="156" spans="1:18">
      <c r="A156" s="71" t="str">
        <f>VLOOKUP(C156,classifications!C:F,4,FALSE)</f>
        <v>SC</v>
      </c>
      <c r="B156" s="71" t="s">
        <v>585</v>
      </c>
      <c r="C156" s="71" t="s">
        <v>325</v>
      </c>
      <c r="D156" s="71" t="s">
        <v>301</v>
      </c>
      <c r="E156" s="71" t="s">
        <v>303</v>
      </c>
      <c r="F156" s="71" t="s">
        <v>331</v>
      </c>
      <c r="G156" s="71" t="s">
        <v>313</v>
      </c>
      <c r="H156" s="71" t="s">
        <v>314</v>
      </c>
      <c r="I156" s="71" t="s">
        <v>315</v>
      </c>
      <c r="J156" s="71" t="s">
        <v>318</v>
      </c>
      <c r="K156" s="71" t="s">
        <v>333</v>
      </c>
      <c r="L156" s="71" t="s">
        <v>330</v>
      </c>
      <c r="M156" s="71" t="s">
        <v>322</v>
      </c>
      <c r="N156" s="71" t="s">
        <v>332</v>
      </c>
      <c r="O156" s="71" t="s">
        <v>312</v>
      </c>
      <c r="P156" s="71" t="s">
        <v>329</v>
      </c>
      <c r="Q156" s="71" t="s">
        <v>321</v>
      </c>
      <c r="R156" s="71" t="s">
        <v>327</v>
      </c>
    </row>
    <row r="157" spans="1:18">
      <c r="A157" s="71" t="str">
        <f>VLOOKUP(C157,classifications!C:F,4,FALSE)</f>
        <v>SC</v>
      </c>
      <c r="B157" s="71" t="s">
        <v>586</v>
      </c>
      <c r="C157" s="71" t="s">
        <v>327</v>
      </c>
      <c r="D157" s="71" t="s">
        <v>329</v>
      </c>
      <c r="E157" s="71" t="s">
        <v>321</v>
      </c>
      <c r="F157" s="71" t="s">
        <v>313</v>
      </c>
      <c r="G157" s="71" t="s">
        <v>320</v>
      </c>
      <c r="H157" s="71" t="s">
        <v>333</v>
      </c>
      <c r="I157" s="71" t="s">
        <v>331</v>
      </c>
      <c r="J157" s="71" t="s">
        <v>309</v>
      </c>
      <c r="K157" s="71" t="s">
        <v>310</v>
      </c>
      <c r="L157" s="71" t="s">
        <v>307</v>
      </c>
      <c r="M157" s="71" t="s">
        <v>318</v>
      </c>
      <c r="N157" s="71" t="s">
        <v>308</v>
      </c>
      <c r="O157" s="71" t="s">
        <v>319</v>
      </c>
      <c r="P157" s="71" t="s">
        <v>328</v>
      </c>
      <c r="Q157" s="71" t="s">
        <v>301</v>
      </c>
      <c r="R157" s="71" t="s">
        <v>311</v>
      </c>
    </row>
    <row r="158" spans="1:18">
      <c r="A158" s="71" t="str">
        <f>VLOOKUP(C158,classifications!C:F,4,FALSE)</f>
        <v>SC</v>
      </c>
      <c r="B158" s="71" t="s">
        <v>587</v>
      </c>
      <c r="C158" s="71" t="s">
        <v>328</v>
      </c>
      <c r="D158" s="71" t="s">
        <v>324</v>
      </c>
      <c r="E158" s="71" t="s">
        <v>308</v>
      </c>
      <c r="F158" s="71" t="s">
        <v>333</v>
      </c>
      <c r="G158" s="71" t="s">
        <v>331</v>
      </c>
      <c r="H158" s="71" t="s">
        <v>329</v>
      </c>
      <c r="I158" s="71" t="s">
        <v>313</v>
      </c>
      <c r="J158" s="71" t="s">
        <v>322</v>
      </c>
      <c r="K158" s="71" t="s">
        <v>307</v>
      </c>
      <c r="L158" s="71" t="s">
        <v>318</v>
      </c>
      <c r="M158" s="71" t="s">
        <v>317</v>
      </c>
      <c r="N158" s="71" t="s">
        <v>312</v>
      </c>
      <c r="O158" s="71" t="s">
        <v>319</v>
      </c>
      <c r="P158" s="71" t="s">
        <v>320</v>
      </c>
      <c r="Q158" s="71" t="s">
        <v>316</v>
      </c>
      <c r="R158" s="71" t="s">
        <v>327</v>
      </c>
    </row>
    <row r="159" spans="1:18">
      <c r="A159" s="71" t="str">
        <f>VLOOKUP(C159,classifications!C:F,4,FALSE)</f>
        <v>SC</v>
      </c>
      <c r="B159" s="71" t="s">
        <v>588</v>
      </c>
      <c r="C159" s="71" t="s">
        <v>329</v>
      </c>
      <c r="D159" s="71" t="s">
        <v>333</v>
      </c>
      <c r="E159" s="71" t="s">
        <v>320</v>
      </c>
      <c r="F159" s="71" t="s">
        <v>313</v>
      </c>
      <c r="G159" s="71" t="s">
        <v>331</v>
      </c>
      <c r="H159" s="71" t="s">
        <v>327</v>
      </c>
      <c r="I159" s="71" t="s">
        <v>308</v>
      </c>
      <c r="J159" s="71" t="s">
        <v>328</v>
      </c>
      <c r="K159" s="71" t="s">
        <v>324</v>
      </c>
      <c r="L159" s="71" t="s">
        <v>319</v>
      </c>
      <c r="M159" s="71" t="s">
        <v>307</v>
      </c>
      <c r="N159" s="71" t="s">
        <v>321</v>
      </c>
      <c r="O159" s="71" t="s">
        <v>318</v>
      </c>
      <c r="P159" s="71" t="s">
        <v>322</v>
      </c>
      <c r="Q159" s="71" t="s">
        <v>312</v>
      </c>
      <c r="R159" s="71" t="s">
        <v>301</v>
      </c>
    </row>
    <row r="160" spans="1:18">
      <c r="A160" s="71" t="str">
        <f>VLOOKUP(C160,classifications!C:F,4,FALSE)</f>
        <v>SC</v>
      </c>
      <c r="B160" s="71" t="s">
        <v>589</v>
      </c>
      <c r="C160" s="71" t="s">
        <v>330</v>
      </c>
      <c r="D160" s="71" t="s">
        <v>303</v>
      </c>
      <c r="E160" s="71" t="s">
        <v>325</v>
      </c>
      <c r="F160" s="71" t="s">
        <v>314</v>
      </c>
      <c r="G160" s="71" t="s">
        <v>315</v>
      </c>
      <c r="H160" s="71" t="s">
        <v>332</v>
      </c>
      <c r="I160" s="71" t="s">
        <v>301</v>
      </c>
      <c r="J160" s="71" t="s">
        <v>313</v>
      </c>
      <c r="K160" s="71" t="s">
        <v>312</v>
      </c>
      <c r="L160" s="71" t="s">
        <v>331</v>
      </c>
      <c r="M160" s="71" t="s">
        <v>321</v>
      </c>
      <c r="N160" s="71" t="s">
        <v>316</v>
      </c>
      <c r="O160" s="71" t="s">
        <v>318</v>
      </c>
      <c r="P160" s="71" t="s">
        <v>333</v>
      </c>
      <c r="Q160" s="71" t="s">
        <v>309</v>
      </c>
      <c r="R160" s="71" t="s">
        <v>311</v>
      </c>
    </row>
    <row r="161" spans="1:18">
      <c r="A161" s="71" t="str">
        <f>VLOOKUP(C161,classifications!C:F,4,FALSE)</f>
        <v>SC</v>
      </c>
      <c r="B161" s="71" t="s">
        <v>590</v>
      </c>
      <c r="C161" s="71" t="s">
        <v>331</v>
      </c>
      <c r="D161" s="71" t="s">
        <v>313</v>
      </c>
      <c r="E161" s="71" t="s">
        <v>333</v>
      </c>
      <c r="F161" s="71" t="s">
        <v>328</v>
      </c>
      <c r="G161" s="71" t="s">
        <v>329</v>
      </c>
      <c r="H161" s="71" t="s">
        <v>318</v>
      </c>
      <c r="I161" s="71" t="s">
        <v>324</v>
      </c>
      <c r="J161" s="71" t="s">
        <v>308</v>
      </c>
      <c r="K161" s="71" t="s">
        <v>322</v>
      </c>
      <c r="L161" s="71" t="s">
        <v>301</v>
      </c>
      <c r="M161" s="71" t="s">
        <v>327</v>
      </c>
      <c r="N161" s="71" t="s">
        <v>321</v>
      </c>
      <c r="O161" s="71" t="s">
        <v>325</v>
      </c>
      <c r="P161" s="71" t="s">
        <v>312</v>
      </c>
      <c r="Q161" s="71" t="s">
        <v>307</v>
      </c>
      <c r="R161" s="71" t="s">
        <v>314</v>
      </c>
    </row>
    <row r="162" spans="1:18">
      <c r="A162" s="71" t="str">
        <f>VLOOKUP(C162,classifications!C:F,4,FALSE)</f>
        <v>SC</v>
      </c>
      <c r="B162" s="71" t="s">
        <v>591</v>
      </c>
      <c r="C162" s="71" t="s">
        <v>332</v>
      </c>
      <c r="D162" s="71" t="s">
        <v>311</v>
      </c>
      <c r="E162" s="71" t="s">
        <v>314</v>
      </c>
      <c r="F162" s="71" t="s">
        <v>312</v>
      </c>
      <c r="G162" s="71" t="s">
        <v>313</v>
      </c>
      <c r="H162" s="71" t="s">
        <v>309</v>
      </c>
      <c r="I162" s="71" t="s">
        <v>316</v>
      </c>
      <c r="J162" s="71" t="s">
        <v>331</v>
      </c>
      <c r="K162" s="71" t="s">
        <v>333</v>
      </c>
      <c r="L162" s="71" t="s">
        <v>329</v>
      </c>
      <c r="M162" s="71" t="s">
        <v>325</v>
      </c>
      <c r="N162" s="71" t="s">
        <v>321</v>
      </c>
      <c r="O162" s="71" t="s">
        <v>327</v>
      </c>
      <c r="P162" s="71" t="s">
        <v>328</v>
      </c>
      <c r="Q162" s="71" t="s">
        <v>315</v>
      </c>
      <c r="R162" s="71" t="s">
        <v>310</v>
      </c>
    </row>
    <row r="164" spans="1:18">
      <c r="B164" s="70" t="s">
        <v>592</v>
      </c>
    </row>
    <row r="165" spans="1:18">
      <c r="A165" s="71" t="e">
        <f>VLOOKUP(C165,classifications!C:F,4,FALSE)</f>
        <v>#N/A</v>
      </c>
      <c r="B165" s="71" t="s">
        <v>593</v>
      </c>
      <c r="C165" s="71" t="s">
        <v>11</v>
      </c>
      <c r="D165" s="71" t="s">
        <v>88</v>
      </c>
      <c r="E165" s="71" t="s">
        <v>194</v>
      </c>
      <c r="F165" s="71" t="s">
        <v>344</v>
      </c>
      <c r="G165" s="71" t="s">
        <v>147</v>
      </c>
      <c r="H165" s="71" t="s">
        <v>35</v>
      </c>
      <c r="I165" s="71" t="s">
        <v>56</v>
      </c>
      <c r="J165" s="71" t="s">
        <v>96</v>
      </c>
      <c r="K165" s="71" t="s">
        <v>167</v>
      </c>
      <c r="L165" s="71" t="s">
        <v>174</v>
      </c>
      <c r="M165" s="71" t="s">
        <v>136</v>
      </c>
      <c r="N165" s="71" t="s">
        <v>186</v>
      </c>
      <c r="O165" s="71" t="s">
        <v>55</v>
      </c>
      <c r="P165" s="71" t="s">
        <v>33</v>
      </c>
      <c r="Q165" s="71" t="s">
        <v>139</v>
      </c>
      <c r="R165" s="71" t="s">
        <v>64</v>
      </c>
    </row>
    <row r="166" spans="1:18">
      <c r="A166" s="71" t="e">
        <f>VLOOKUP(C166,classifications!C:F,4,FALSE)</f>
        <v>#N/A</v>
      </c>
      <c r="B166" s="71" t="s">
        <v>594</v>
      </c>
      <c r="C166" s="71" t="s">
        <v>38</v>
      </c>
      <c r="D166" s="71" t="s">
        <v>138</v>
      </c>
      <c r="E166" s="71" t="s">
        <v>82</v>
      </c>
      <c r="F166" s="71" t="s">
        <v>136</v>
      </c>
      <c r="G166" s="71" t="s">
        <v>87</v>
      </c>
      <c r="H166" s="71" t="s">
        <v>189</v>
      </c>
      <c r="I166" s="71" t="s">
        <v>170</v>
      </c>
      <c r="J166" s="71" t="s">
        <v>152</v>
      </c>
      <c r="K166" s="71" t="s">
        <v>173</v>
      </c>
      <c r="L166" s="71" t="s">
        <v>55</v>
      </c>
      <c r="M166" s="71" t="s">
        <v>178</v>
      </c>
      <c r="N166" s="71" t="s">
        <v>104</v>
      </c>
      <c r="O166" s="71" t="s">
        <v>21</v>
      </c>
      <c r="P166" s="71" t="s">
        <v>147</v>
      </c>
      <c r="Q166" s="71" t="s">
        <v>56</v>
      </c>
      <c r="R166" s="71" t="s">
        <v>105</v>
      </c>
    </row>
    <row r="167" spans="1:18">
      <c r="A167" s="71" t="e">
        <f>VLOOKUP(C167,classifications!C:F,4,FALSE)</f>
        <v>#N/A</v>
      </c>
      <c r="B167" s="71" t="s">
        <v>595</v>
      </c>
      <c r="C167" s="71" t="s">
        <v>138</v>
      </c>
      <c r="D167" s="71" t="s">
        <v>38</v>
      </c>
      <c r="E167" s="71" t="s">
        <v>21</v>
      </c>
      <c r="F167" s="71" t="s">
        <v>136</v>
      </c>
      <c r="G167" s="71" t="s">
        <v>173</v>
      </c>
      <c r="H167" s="71" t="s">
        <v>87</v>
      </c>
      <c r="I167" s="71" t="s">
        <v>170</v>
      </c>
      <c r="J167" s="71" t="s">
        <v>189</v>
      </c>
      <c r="K167" s="71" t="s">
        <v>105</v>
      </c>
      <c r="L167" s="71" t="s">
        <v>55</v>
      </c>
      <c r="M167" s="71" t="s">
        <v>82</v>
      </c>
      <c r="N167" s="71" t="s">
        <v>44</v>
      </c>
      <c r="O167" s="71" t="s">
        <v>163</v>
      </c>
      <c r="P167" s="71" t="s">
        <v>157</v>
      </c>
      <c r="Q167" s="71" t="s">
        <v>147</v>
      </c>
      <c r="R167" s="71" t="s">
        <v>178</v>
      </c>
    </row>
    <row r="168" spans="1:18">
      <c r="A168" s="71" t="e">
        <f>VLOOKUP(C168,classifications!C:F,4,FALSE)</f>
        <v>#N/A</v>
      </c>
      <c r="B168" s="71" t="s">
        <v>596</v>
      </c>
      <c r="C168" s="71" t="s">
        <v>194</v>
      </c>
      <c r="D168" s="71" t="s">
        <v>11</v>
      </c>
      <c r="E168" s="71" t="s">
        <v>344</v>
      </c>
      <c r="F168" s="71" t="s">
        <v>56</v>
      </c>
      <c r="G168" s="71" t="s">
        <v>350</v>
      </c>
      <c r="H168" s="71" t="s">
        <v>96</v>
      </c>
      <c r="I168" s="71" t="s">
        <v>174</v>
      </c>
      <c r="J168" s="71" t="s">
        <v>33</v>
      </c>
      <c r="K168" s="71" t="s">
        <v>64</v>
      </c>
      <c r="L168" s="71" t="s">
        <v>35</v>
      </c>
      <c r="M168" s="71" t="s">
        <v>152</v>
      </c>
      <c r="N168" s="71" t="s">
        <v>88</v>
      </c>
      <c r="O168" s="71" t="s">
        <v>77</v>
      </c>
      <c r="P168" s="71" t="s">
        <v>147</v>
      </c>
      <c r="Q168" s="71" t="s">
        <v>47</v>
      </c>
      <c r="R168" s="71" t="s">
        <v>104</v>
      </c>
    </row>
    <row r="169" spans="1:18">
      <c r="A169" s="71" t="str">
        <f>VLOOKUP(C169,classifications!C:F,4,FALSE)</f>
        <v>SD</v>
      </c>
      <c r="B169" s="71" t="s">
        <v>597</v>
      </c>
      <c r="C169" s="71" t="s">
        <v>27</v>
      </c>
      <c r="D169" s="71" t="s">
        <v>118</v>
      </c>
      <c r="E169" s="71" t="s">
        <v>176</v>
      </c>
      <c r="F169" s="71" t="s">
        <v>66</v>
      </c>
      <c r="G169" s="71" t="s">
        <v>181</v>
      </c>
      <c r="H169" s="71" t="s">
        <v>34</v>
      </c>
      <c r="I169" s="71" t="s">
        <v>131</v>
      </c>
      <c r="J169" s="71" t="s">
        <v>46</v>
      </c>
      <c r="K169" s="71" t="s">
        <v>175</v>
      </c>
      <c r="L169" s="71" t="s">
        <v>48</v>
      </c>
      <c r="M169" s="71" t="s">
        <v>129</v>
      </c>
      <c r="N169" s="71" t="s">
        <v>85</v>
      </c>
      <c r="O169" s="71" t="s">
        <v>190</v>
      </c>
      <c r="P169" s="71" t="s">
        <v>47</v>
      </c>
      <c r="Q169" s="71" t="s">
        <v>120</v>
      </c>
      <c r="R169" s="71" t="s">
        <v>117</v>
      </c>
    </row>
    <row r="170" spans="1:18">
      <c r="A170" s="71" t="str">
        <f>VLOOKUP(C170,classifications!C:F,4,FALSE)</f>
        <v>SD</v>
      </c>
      <c r="B170" s="71" t="s">
        <v>598</v>
      </c>
      <c r="C170" s="71" t="s">
        <v>52</v>
      </c>
      <c r="D170" s="71" t="s">
        <v>103</v>
      </c>
      <c r="E170" s="71" t="s">
        <v>146</v>
      </c>
      <c r="F170" s="71" t="s">
        <v>102</v>
      </c>
      <c r="G170" s="71" t="s">
        <v>12</v>
      </c>
      <c r="H170" s="71" t="s">
        <v>100</v>
      </c>
      <c r="I170" s="71" t="s">
        <v>186</v>
      </c>
      <c r="J170" s="71" t="s">
        <v>145</v>
      </c>
      <c r="K170" s="71" t="s">
        <v>109</v>
      </c>
      <c r="L170" s="71" t="s">
        <v>58</v>
      </c>
      <c r="M170" s="71" t="s">
        <v>167</v>
      </c>
      <c r="N170" s="71" t="s">
        <v>168</v>
      </c>
      <c r="O170" s="71" t="s">
        <v>10</v>
      </c>
      <c r="P170" s="71" t="s">
        <v>70</v>
      </c>
      <c r="Q170" s="71" t="s">
        <v>153</v>
      </c>
      <c r="R170" s="71" t="s">
        <v>130</v>
      </c>
    </row>
    <row r="171" spans="1:18">
      <c r="A171" s="71" t="str">
        <f>VLOOKUP(C171,classifications!C:F,4,FALSE)</f>
        <v>SD</v>
      </c>
      <c r="B171" s="71" t="s">
        <v>599</v>
      </c>
      <c r="C171" s="71" t="s">
        <v>68</v>
      </c>
      <c r="D171" s="71" t="s">
        <v>142</v>
      </c>
      <c r="E171" s="71" t="s">
        <v>20</v>
      </c>
      <c r="F171" s="71" t="s">
        <v>15</v>
      </c>
      <c r="G171" s="71" t="s">
        <v>196</v>
      </c>
      <c r="H171" s="71" t="s">
        <v>7</v>
      </c>
      <c r="I171" s="71" t="s">
        <v>65</v>
      </c>
      <c r="J171" s="71" t="s">
        <v>347</v>
      </c>
      <c r="K171" s="71" t="s">
        <v>30</v>
      </c>
      <c r="L171" s="71" t="s">
        <v>378</v>
      </c>
      <c r="M171" s="71" t="s">
        <v>18</v>
      </c>
      <c r="N171" s="71" t="s">
        <v>91</v>
      </c>
      <c r="O171" s="71" t="s">
        <v>99</v>
      </c>
      <c r="P171" s="71" t="s">
        <v>184</v>
      </c>
      <c r="Q171" s="71" t="s">
        <v>59</v>
      </c>
      <c r="R171" s="71" t="s">
        <v>143</v>
      </c>
    </row>
    <row r="172" spans="1:18">
      <c r="A172" s="71" t="str">
        <f>VLOOKUP(C172,classifications!C:F,4,FALSE)</f>
        <v>SD</v>
      </c>
      <c r="B172" s="71" t="s">
        <v>600</v>
      </c>
      <c r="C172" s="71" t="s">
        <v>88</v>
      </c>
      <c r="D172" s="71" t="s">
        <v>35</v>
      </c>
      <c r="E172" s="71" t="s">
        <v>96</v>
      </c>
      <c r="F172" s="71" t="s">
        <v>344</v>
      </c>
      <c r="G172" s="71" t="s">
        <v>11</v>
      </c>
      <c r="H172" s="71" t="s">
        <v>32</v>
      </c>
      <c r="I172" s="71" t="s">
        <v>41</v>
      </c>
      <c r="J172" s="71" t="s">
        <v>19</v>
      </c>
      <c r="K172" s="71" t="s">
        <v>33</v>
      </c>
      <c r="L172" s="71" t="s">
        <v>167</v>
      </c>
      <c r="M172" s="71" t="s">
        <v>154</v>
      </c>
      <c r="N172" s="71" t="s">
        <v>128</v>
      </c>
      <c r="O172" s="71" t="s">
        <v>10</v>
      </c>
      <c r="P172" s="71" t="s">
        <v>143</v>
      </c>
      <c r="Q172" s="71" t="s">
        <v>346</v>
      </c>
      <c r="R172" s="71" t="s">
        <v>153</v>
      </c>
    </row>
    <row r="173" spans="1:18">
      <c r="A173" s="71" t="e">
        <f>VLOOKUP(C173,classifications!C:F,4,FALSE)</f>
        <v>#N/A</v>
      </c>
      <c r="B173" s="71" t="s">
        <v>601</v>
      </c>
      <c r="C173" s="71" t="s">
        <v>139</v>
      </c>
      <c r="D173" s="71" t="s">
        <v>174</v>
      </c>
      <c r="E173" s="71" t="s">
        <v>147</v>
      </c>
      <c r="F173" s="71" t="s">
        <v>173</v>
      </c>
      <c r="G173" s="71" t="s">
        <v>167</v>
      </c>
      <c r="H173" s="71" t="s">
        <v>189</v>
      </c>
      <c r="I173" s="71" t="s">
        <v>11</v>
      </c>
      <c r="J173" s="71" t="s">
        <v>136</v>
      </c>
      <c r="K173" s="71" t="s">
        <v>351</v>
      </c>
      <c r="L173" s="71" t="s">
        <v>146</v>
      </c>
      <c r="M173" s="71" t="s">
        <v>186</v>
      </c>
      <c r="N173" s="71" t="s">
        <v>55</v>
      </c>
      <c r="O173" s="71" t="s">
        <v>56</v>
      </c>
      <c r="P173" s="71" t="s">
        <v>79</v>
      </c>
      <c r="Q173" s="71" t="s">
        <v>52</v>
      </c>
      <c r="R173" s="71" t="s">
        <v>88</v>
      </c>
    </row>
    <row r="174" spans="1:18">
      <c r="A174" s="71" t="str">
        <f>VLOOKUP(C174,classifications!C:F,4,FALSE)</f>
        <v>SD</v>
      </c>
      <c r="B174" s="71" t="s">
        <v>602</v>
      </c>
      <c r="C174" s="71" t="s">
        <v>6</v>
      </c>
      <c r="D174" s="71" t="s">
        <v>51</v>
      </c>
      <c r="E174" s="71" t="s">
        <v>30</v>
      </c>
      <c r="F174" s="71" t="s">
        <v>177</v>
      </c>
      <c r="G174" s="71" t="s">
        <v>15</v>
      </c>
      <c r="H174" s="71" t="s">
        <v>108</v>
      </c>
      <c r="I174" s="71" t="s">
        <v>134</v>
      </c>
      <c r="J174" s="71" t="s">
        <v>171</v>
      </c>
      <c r="K174" s="71" t="s">
        <v>347</v>
      </c>
      <c r="L174" s="71" t="s">
        <v>7</v>
      </c>
      <c r="M174" s="71" t="s">
        <v>42</v>
      </c>
      <c r="N174" s="71" t="s">
        <v>107</v>
      </c>
      <c r="O174" s="71" t="s">
        <v>196</v>
      </c>
      <c r="P174" s="71" t="s">
        <v>110</v>
      </c>
      <c r="Q174" s="71" t="s">
        <v>17</v>
      </c>
      <c r="R174" s="71" t="s">
        <v>195</v>
      </c>
    </row>
    <row r="175" spans="1:18">
      <c r="A175" s="71" t="str">
        <f>VLOOKUP(C175,classifications!C:F,4,FALSE)</f>
        <v>SD</v>
      </c>
      <c r="B175" s="71" t="s">
        <v>603</v>
      </c>
      <c r="C175" s="71" t="s">
        <v>13</v>
      </c>
      <c r="D175" s="71" t="s">
        <v>119</v>
      </c>
      <c r="E175" s="71" t="s">
        <v>76</v>
      </c>
      <c r="F175" s="71" t="s">
        <v>28</v>
      </c>
      <c r="G175" s="71" t="s">
        <v>99</v>
      </c>
      <c r="H175" s="71" t="s">
        <v>65</v>
      </c>
      <c r="I175" s="71" t="s">
        <v>30</v>
      </c>
      <c r="J175" s="71" t="s">
        <v>177</v>
      </c>
      <c r="K175" s="71" t="s">
        <v>89</v>
      </c>
      <c r="L175" s="71" t="s">
        <v>51</v>
      </c>
      <c r="M175" s="71" t="s">
        <v>92</v>
      </c>
      <c r="N175" s="71" t="s">
        <v>6</v>
      </c>
      <c r="O175" s="71" t="s">
        <v>74</v>
      </c>
      <c r="P175" s="71" t="s">
        <v>9</v>
      </c>
      <c r="Q175" s="71" t="s">
        <v>196</v>
      </c>
      <c r="R175" s="71" t="s">
        <v>348</v>
      </c>
    </row>
    <row r="176" spans="1:18">
      <c r="A176" s="71" t="str">
        <f>VLOOKUP(C176,classifications!C:F,4,FALSE)</f>
        <v>SD</v>
      </c>
      <c r="B176" s="71" t="s">
        <v>604</v>
      </c>
      <c r="C176" s="71" t="s">
        <v>30</v>
      </c>
      <c r="D176" s="71" t="s">
        <v>15</v>
      </c>
      <c r="E176" s="71" t="s">
        <v>107</v>
      </c>
      <c r="F176" s="71" t="s">
        <v>196</v>
      </c>
      <c r="G176" s="71" t="s">
        <v>7</v>
      </c>
      <c r="H176" s="71" t="s">
        <v>99</v>
      </c>
      <c r="I176" s="71" t="s">
        <v>86</v>
      </c>
      <c r="J176" s="71" t="s">
        <v>65</v>
      </c>
      <c r="K176" s="71" t="s">
        <v>28</v>
      </c>
      <c r="L176" s="71" t="s">
        <v>59</v>
      </c>
      <c r="M176" s="71" t="s">
        <v>347</v>
      </c>
      <c r="N176" s="71" t="s">
        <v>36</v>
      </c>
      <c r="O176" s="71" t="s">
        <v>39</v>
      </c>
      <c r="P176" s="71" t="s">
        <v>143</v>
      </c>
      <c r="Q176" s="71" t="s">
        <v>191</v>
      </c>
      <c r="R176" s="71" t="s">
        <v>42</v>
      </c>
    </row>
    <row r="177" spans="1:18">
      <c r="A177" s="71" t="str">
        <f>VLOOKUP(C177,classifications!C:F,4,FALSE)</f>
        <v>SD</v>
      </c>
      <c r="B177" s="71" t="s">
        <v>605</v>
      </c>
      <c r="C177" s="71" t="s">
        <v>42</v>
      </c>
      <c r="D177" s="71" t="s">
        <v>15</v>
      </c>
      <c r="E177" s="71" t="s">
        <v>114</v>
      </c>
      <c r="F177" s="71" t="s">
        <v>17</v>
      </c>
      <c r="G177" s="71" t="s">
        <v>30</v>
      </c>
      <c r="H177" s="71" t="s">
        <v>115</v>
      </c>
      <c r="I177" s="71" t="s">
        <v>347</v>
      </c>
      <c r="J177" s="71" t="s">
        <v>196</v>
      </c>
      <c r="K177" s="71" t="s">
        <v>184</v>
      </c>
      <c r="L177" s="71" t="s">
        <v>107</v>
      </c>
      <c r="M177" s="71" t="s">
        <v>99</v>
      </c>
      <c r="N177" s="71" t="s">
        <v>7</v>
      </c>
      <c r="O177" s="71" t="s">
        <v>6</v>
      </c>
      <c r="P177" s="71" t="s">
        <v>135</v>
      </c>
      <c r="Q177" s="71" t="s">
        <v>59</v>
      </c>
      <c r="R177" s="71" t="s">
        <v>28</v>
      </c>
    </row>
    <row r="178" spans="1:18">
      <c r="A178" s="71" t="str">
        <f>VLOOKUP(C178,classifications!C:F,4,FALSE)</f>
        <v>SD</v>
      </c>
      <c r="B178" s="71" t="s">
        <v>606</v>
      </c>
      <c r="C178" s="71" t="s">
        <v>62</v>
      </c>
      <c r="D178" s="71" t="s">
        <v>132</v>
      </c>
      <c r="E178" s="71" t="s">
        <v>45</v>
      </c>
      <c r="F178" s="71" t="s">
        <v>50</v>
      </c>
      <c r="G178" s="71" t="s">
        <v>182</v>
      </c>
      <c r="H178" s="71" t="s">
        <v>78</v>
      </c>
      <c r="I178" s="71" t="s">
        <v>123</v>
      </c>
      <c r="J178" s="71" t="s">
        <v>12</v>
      </c>
      <c r="K178" s="71" t="s">
        <v>109</v>
      </c>
      <c r="L178" s="71" t="s">
        <v>100</v>
      </c>
      <c r="M178" s="71" t="s">
        <v>155</v>
      </c>
      <c r="N178" s="71" t="s">
        <v>124</v>
      </c>
      <c r="O178" s="71" t="s">
        <v>97</v>
      </c>
      <c r="P178" s="71" t="s">
        <v>44</v>
      </c>
      <c r="Q178" s="71" t="s">
        <v>102</v>
      </c>
      <c r="R178" s="71" t="s">
        <v>168</v>
      </c>
    </row>
    <row r="179" spans="1:18">
      <c r="A179" s="71" t="str">
        <f>VLOOKUP(C179,classifications!C:F,4,FALSE)</f>
        <v>SD</v>
      </c>
      <c r="B179" s="71" t="s">
        <v>607</v>
      </c>
      <c r="C179" s="71" t="s">
        <v>144</v>
      </c>
      <c r="D179" s="71" t="s">
        <v>141</v>
      </c>
      <c r="E179" s="71" t="s">
        <v>183</v>
      </c>
      <c r="F179" s="71" t="s">
        <v>45</v>
      </c>
      <c r="G179" s="71" t="s">
        <v>71</v>
      </c>
      <c r="H179" s="71" t="s">
        <v>37</v>
      </c>
      <c r="I179" s="71" t="s">
        <v>53</v>
      </c>
      <c r="J179" s="71" t="s">
        <v>108</v>
      </c>
      <c r="K179" s="71" t="s">
        <v>44</v>
      </c>
      <c r="L179" s="71" t="s">
        <v>50</v>
      </c>
      <c r="M179" s="71" t="s">
        <v>159</v>
      </c>
      <c r="N179" s="71" t="s">
        <v>121</v>
      </c>
      <c r="O179" s="71" t="s">
        <v>132</v>
      </c>
      <c r="P179" s="71" t="s">
        <v>165</v>
      </c>
      <c r="Q179" s="71" t="s">
        <v>113</v>
      </c>
      <c r="R179" s="71" t="s">
        <v>62</v>
      </c>
    </row>
    <row r="180" spans="1:18">
      <c r="A180" s="71" t="str">
        <f>VLOOKUP(C180,classifications!C:F,4,FALSE)</f>
        <v>SD</v>
      </c>
      <c r="B180" s="71" t="s">
        <v>608</v>
      </c>
      <c r="C180" s="71" t="s">
        <v>7</v>
      </c>
      <c r="D180" s="71" t="s">
        <v>347</v>
      </c>
      <c r="E180" s="71" t="s">
        <v>65</v>
      </c>
      <c r="F180" s="71" t="s">
        <v>143</v>
      </c>
      <c r="G180" s="71" t="s">
        <v>346</v>
      </c>
      <c r="H180" s="71" t="s">
        <v>184</v>
      </c>
      <c r="I180" s="71" t="s">
        <v>15</v>
      </c>
      <c r="J180" s="71" t="s">
        <v>39</v>
      </c>
      <c r="K180" s="71" t="s">
        <v>86</v>
      </c>
      <c r="L180" s="71" t="s">
        <v>196</v>
      </c>
      <c r="M180" s="71" t="s">
        <v>148</v>
      </c>
      <c r="N180" s="71" t="s">
        <v>107</v>
      </c>
      <c r="O180" s="71" t="s">
        <v>72</v>
      </c>
      <c r="P180" s="71" t="s">
        <v>155</v>
      </c>
      <c r="Q180" s="71" t="s">
        <v>30</v>
      </c>
      <c r="R180" s="71" t="s">
        <v>154</v>
      </c>
    </row>
    <row r="181" spans="1:18">
      <c r="A181" s="71" t="str">
        <f>VLOOKUP(C181,classifications!C:F,4,FALSE)</f>
        <v>SD</v>
      </c>
      <c r="B181" s="71" t="s">
        <v>609</v>
      </c>
      <c r="C181" s="71" t="s">
        <v>17</v>
      </c>
      <c r="D181" s="71" t="s">
        <v>9</v>
      </c>
      <c r="E181" s="71" t="s">
        <v>99</v>
      </c>
      <c r="F181" s="71" t="s">
        <v>42</v>
      </c>
      <c r="G181" s="71" t="s">
        <v>15</v>
      </c>
      <c r="H181" s="71" t="s">
        <v>126</v>
      </c>
      <c r="I181" s="71" t="s">
        <v>30</v>
      </c>
      <c r="J181" s="71" t="s">
        <v>348</v>
      </c>
      <c r="K181" s="71" t="s">
        <v>107</v>
      </c>
      <c r="L181" s="71" t="s">
        <v>28</v>
      </c>
      <c r="M181" s="71" t="s">
        <v>347</v>
      </c>
      <c r="N181" s="71" t="s">
        <v>36</v>
      </c>
      <c r="O181" s="71" t="s">
        <v>110</v>
      </c>
      <c r="P181" s="71" t="s">
        <v>65</v>
      </c>
      <c r="Q181" s="71" t="s">
        <v>7</v>
      </c>
      <c r="R181" s="71" t="s">
        <v>6</v>
      </c>
    </row>
    <row r="182" spans="1:18">
      <c r="A182" s="71" t="str">
        <f>VLOOKUP(C182,classifications!C:F,4,FALSE)</f>
        <v>SD</v>
      </c>
      <c r="B182" s="71" t="s">
        <v>610</v>
      </c>
      <c r="C182" s="71" t="s">
        <v>36</v>
      </c>
      <c r="D182" s="71" t="s">
        <v>99</v>
      </c>
      <c r="E182" s="71" t="s">
        <v>28</v>
      </c>
      <c r="F182" s="71" t="s">
        <v>30</v>
      </c>
      <c r="G182" s="71" t="s">
        <v>107</v>
      </c>
      <c r="H182" s="71" t="s">
        <v>196</v>
      </c>
      <c r="I182" s="71" t="s">
        <v>9</v>
      </c>
      <c r="J182" s="71" t="s">
        <v>191</v>
      </c>
      <c r="K182" s="71" t="s">
        <v>65</v>
      </c>
      <c r="L182" s="71" t="s">
        <v>15</v>
      </c>
      <c r="M182" s="71" t="s">
        <v>348</v>
      </c>
      <c r="N182" s="71" t="s">
        <v>95</v>
      </c>
      <c r="O182" s="71" t="s">
        <v>17</v>
      </c>
      <c r="P182" s="71" t="s">
        <v>90</v>
      </c>
      <c r="Q182" s="71" t="s">
        <v>162</v>
      </c>
      <c r="R182" s="71" t="s">
        <v>42</v>
      </c>
    </row>
    <row r="183" spans="1:18">
      <c r="A183" s="71" t="str">
        <f>VLOOKUP(C183,classifications!C:F,4,FALSE)</f>
        <v>SD</v>
      </c>
      <c r="B183" s="71" t="s">
        <v>611</v>
      </c>
      <c r="C183" s="71" t="s">
        <v>50</v>
      </c>
      <c r="D183" s="71" t="s">
        <v>132</v>
      </c>
      <c r="E183" s="71" t="s">
        <v>78</v>
      </c>
      <c r="F183" s="71" t="s">
        <v>45</v>
      </c>
      <c r="G183" s="71" t="s">
        <v>44</v>
      </c>
      <c r="H183" s="71" t="s">
        <v>62</v>
      </c>
      <c r="I183" s="71" t="s">
        <v>109</v>
      </c>
      <c r="J183" s="71" t="s">
        <v>123</v>
      </c>
      <c r="K183" s="71" t="s">
        <v>182</v>
      </c>
      <c r="L183" s="71" t="s">
        <v>98</v>
      </c>
      <c r="M183" s="71" t="s">
        <v>193</v>
      </c>
      <c r="N183" s="71" t="s">
        <v>97</v>
      </c>
      <c r="O183" s="71" t="s">
        <v>157</v>
      </c>
      <c r="P183" s="71" t="s">
        <v>12</v>
      </c>
      <c r="Q183" s="71" t="s">
        <v>141</v>
      </c>
      <c r="R183" s="71" t="s">
        <v>101</v>
      </c>
    </row>
    <row r="184" spans="1:18">
      <c r="A184" s="71" t="str">
        <f>VLOOKUP(C184,classifications!C:F,4,FALSE)</f>
        <v>SD</v>
      </c>
      <c r="B184" s="71" t="s">
        <v>612</v>
      </c>
      <c r="C184" s="71" t="s">
        <v>65</v>
      </c>
      <c r="D184" s="71" t="s">
        <v>7</v>
      </c>
      <c r="E184" s="71" t="s">
        <v>196</v>
      </c>
      <c r="F184" s="71" t="s">
        <v>72</v>
      </c>
      <c r="G184" s="71" t="s">
        <v>348</v>
      </c>
      <c r="H184" s="71" t="s">
        <v>107</v>
      </c>
      <c r="I184" s="71" t="s">
        <v>28</v>
      </c>
      <c r="J184" s="71" t="s">
        <v>91</v>
      </c>
      <c r="K184" s="71" t="s">
        <v>99</v>
      </c>
      <c r="L184" s="71" t="s">
        <v>86</v>
      </c>
      <c r="M184" s="71" t="s">
        <v>30</v>
      </c>
      <c r="N184" s="71" t="s">
        <v>25</v>
      </c>
      <c r="O184" s="71" t="s">
        <v>39</v>
      </c>
      <c r="P184" s="71" t="s">
        <v>9</v>
      </c>
      <c r="Q184" s="71" t="s">
        <v>143</v>
      </c>
      <c r="R184" s="71" t="s">
        <v>148</v>
      </c>
    </row>
    <row r="185" spans="1:18">
      <c r="A185" s="71" t="str">
        <f>VLOOKUP(C185,classifications!C:F,4,FALSE)</f>
        <v>SD</v>
      </c>
      <c r="B185" s="71" t="s">
        <v>613</v>
      </c>
      <c r="C185" s="71" t="s">
        <v>86</v>
      </c>
      <c r="D185" s="71" t="s">
        <v>39</v>
      </c>
      <c r="E185" s="71" t="s">
        <v>126</v>
      </c>
      <c r="F185" s="71" t="s">
        <v>7</v>
      </c>
      <c r="G185" s="71" t="s">
        <v>347</v>
      </c>
      <c r="H185" s="71" t="s">
        <v>148</v>
      </c>
      <c r="I185" s="71" t="s">
        <v>184</v>
      </c>
      <c r="J185" s="71" t="s">
        <v>196</v>
      </c>
      <c r="K185" s="71" t="s">
        <v>143</v>
      </c>
      <c r="L185" s="71" t="s">
        <v>30</v>
      </c>
      <c r="M185" s="71" t="s">
        <v>65</v>
      </c>
      <c r="N185" s="71" t="s">
        <v>94</v>
      </c>
      <c r="O185" s="71" t="s">
        <v>91</v>
      </c>
      <c r="P185" s="71" t="s">
        <v>346</v>
      </c>
      <c r="Q185" s="71" t="s">
        <v>101</v>
      </c>
      <c r="R185" s="71" t="s">
        <v>58</v>
      </c>
    </row>
    <row r="186" spans="1:18">
      <c r="A186" s="71" t="str">
        <f>VLOOKUP(C186,classifications!C:F,4,FALSE)</f>
        <v>SD</v>
      </c>
      <c r="B186" s="71" t="s">
        <v>614</v>
      </c>
      <c r="C186" s="71" t="s">
        <v>110</v>
      </c>
      <c r="D186" s="71" t="s">
        <v>107</v>
      </c>
      <c r="E186" s="71" t="s">
        <v>150</v>
      </c>
      <c r="F186" s="71" t="s">
        <v>184</v>
      </c>
      <c r="G186" s="71" t="s">
        <v>347</v>
      </c>
      <c r="H186" s="71" t="s">
        <v>185</v>
      </c>
      <c r="I186" s="71" t="s">
        <v>7</v>
      </c>
      <c r="J186" s="71" t="s">
        <v>196</v>
      </c>
      <c r="K186" s="71" t="s">
        <v>20</v>
      </c>
      <c r="L186" s="71" t="s">
        <v>15</v>
      </c>
      <c r="M186" s="71" t="s">
        <v>65</v>
      </c>
      <c r="N186" s="71" t="s">
        <v>70</v>
      </c>
      <c r="O186" s="71" t="s">
        <v>112</v>
      </c>
      <c r="P186" s="71" t="s">
        <v>346</v>
      </c>
      <c r="Q186" s="71" t="s">
        <v>39</v>
      </c>
      <c r="R186" s="71" t="s">
        <v>94</v>
      </c>
    </row>
    <row r="187" spans="1:18">
      <c r="A187" s="71" t="str">
        <f>VLOOKUP(C187,classifications!C:F,4,FALSE)</f>
        <v>SD</v>
      </c>
      <c r="B187" s="71" t="s">
        <v>615</v>
      </c>
      <c r="C187" s="71" t="s">
        <v>140</v>
      </c>
      <c r="D187" s="71" t="s">
        <v>58</v>
      </c>
      <c r="E187" s="71" t="s">
        <v>346</v>
      </c>
      <c r="F187" s="71" t="s">
        <v>39</v>
      </c>
      <c r="G187" s="71" t="s">
        <v>135</v>
      </c>
      <c r="H187" s="71" t="s">
        <v>347</v>
      </c>
      <c r="I187" s="71" t="s">
        <v>112</v>
      </c>
      <c r="J187" s="71" t="s">
        <v>100</v>
      </c>
      <c r="K187" s="71" t="s">
        <v>115</v>
      </c>
      <c r="L187" s="71" t="s">
        <v>148</v>
      </c>
      <c r="M187" s="71" t="s">
        <v>49</v>
      </c>
      <c r="N187" s="71" t="s">
        <v>185</v>
      </c>
      <c r="O187" s="71" t="s">
        <v>184</v>
      </c>
      <c r="P187" s="71" t="s">
        <v>158</v>
      </c>
      <c r="Q187" s="71" t="s">
        <v>155</v>
      </c>
      <c r="R187" s="71" t="s">
        <v>94</v>
      </c>
    </row>
    <row r="188" spans="1:18">
      <c r="A188" s="71" t="str">
        <f>VLOOKUP(C188,classifications!C:F,4,FALSE)</f>
        <v>SD</v>
      </c>
      <c r="B188" s="71" t="s">
        <v>616</v>
      </c>
      <c r="C188" s="71" t="s">
        <v>53</v>
      </c>
      <c r="D188" s="71" t="s">
        <v>183</v>
      </c>
      <c r="E188" s="71" t="s">
        <v>127</v>
      </c>
      <c r="F188" s="71" t="s">
        <v>106</v>
      </c>
      <c r="G188" s="71" t="s">
        <v>165</v>
      </c>
      <c r="H188" s="71" t="s">
        <v>37</v>
      </c>
      <c r="I188" s="71" t="s">
        <v>8</v>
      </c>
      <c r="J188" s="71" t="s">
        <v>113</v>
      </c>
      <c r="K188" s="71" t="s">
        <v>141</v>
      </c>
      <c r="L188" s="71" t="s">
        <v>71</v>
      </c>
      <c r="M188" s="71" t="s">
        <v>179</v>
      </c>
      <c r="N188" s="71" t="s">
        <v>159</v>
      </c>
      <c r="O188" s="71" t="s">
        <v>144</v>
      </c>
      <c r="P188" s="71" t="s">
        <v>93</v>
      </c>
      <c r="Q188" s="71" t="s">
        <v>54</v>
      </c>
      <c r="R188" s="71" t="s">
        <v>195</v>
      </c>
    </row>
    <row r="189" spans="1:18">
      <c r="A189" s="71" t="str">
        <f>VLOOKUP(C189,classifications!C:F,4,FALSE)</f>
        <v>SD</v>
      </c>
      <c r="B189" s="71" t="s">
        <v>617</v>
      </c>
      <c r="C189" s="71" t="s">
        <v>66</v>
      </c>
      <c r="D189" s="71" t="s">
        <v>34</v>
      </c>
      <c r="E189" s="71" t="s">
        <v>191</v>
      </c>
      <c r="F189" s="71" t="s">
        <v>175</v>
      </c>
      <c r="G189" s="71" t="s">
        <v>73</v>
      </c>
      <c r="H189" s="71" t="s">
        <v>92</v>
      </c>
      <c r="I189" s="71" t="s">
        <v>131</v>
      </c>
      <c r="J189" s="71" t="s">
        <v>120</v>
      </c>
      <c r="K189" s="71" t="s">
        <v>95</v>
      </c>
      <c r="L189" s="71" t="s">
        <v>30</v>
      </c>
      <c r="M189" s="71" t="s">
        <v>90</v>
      </c>
      <c r="N189" s="71" t="s">
        <v>41</v>
      </c>
      <c r="O189" s="71" t="s">
        <v>29</v>
      </c>
      <c r="P189" s="71" t="s">
        <v>59</v>
      </c>
      <c r="Q189" s="71" t="s">
        <v>60</v>
      </c>
      <c r="R189" s="71" t="s">
        <v>181</v>
      </c>
    </row>
    <row r="190" spans="1:18">
      <c r="A190" s="71" t="str">
        <f>VLOOKUP(C190,classifications!C:F,4,FALSE)</f>
        <v>SD</v>
      </c>
      <c r="B190" s="71" t="s">
        <v>618</v>
      </c>
      <c r="C190" s="71" t="s">
        <v>102</v>
      </c>
      <c r="D190" s="71" t="s">
        <v>12</v>
      </c>
      <c r="E190" s="71" t="s">
        <v>109</v>
      </c>
      <c r="F190" s="71" t="s">
        <v>101</v>
      </c>
      <c r="G190" s="71" t="s">
        <v>100</v>
      </c>
      <c r="H190" s="71" t="s">
        <v>158</v>
      </c>
      <c r="I190" s="71" t="s">
        <v>78</v>
      </c>
      <c r="J190" s="71" t="s">
        <v>58</v>
      </c>
      <c r="K190" s="71" t="s">
        <v>97</v>
      </c>
      <c r="L190" s="71" t="s">
        <v>346</v>
      </c>
      <c r="M190" s="71" t="s">
        <v>168</v>
      </c>
      <c r="N190" s="71" t="s">
        <v>94</v>
      </c>
      <c r="O190" s="71" t="s">
        <v>103</v>
      </c>
      <c r="P190" s="71" t="s">
        <v>164</v>
      </c>
      <c r="Q190" s="71" t="s">
        <v>153</v>
      </c>
      <c r="R190" s="71" t="s">
        <v>145</v>
      </c>
    </row>
    <row r="191" spans="1:18">
      <c r="A191" s="71" t="str">
        <f>VLOOKUP(C191,classifications!C:F,4,FALSE)</f>
        <v>SD</v>
      </c>
      <c r="B191" s="71" t="s">
        <v>619</v>
      </c>
      <c r="C191" s="71" t="s">
        <v>108</v>
      </c>
      <c r="D191" s="71" t="s">
        <v>195</v>
      </c>
      <c r="E191" s="71" t="s">
        <v>171</v>
      </c>
      <c r="F191" s="71" t="s">
        <v>71</v>
      </c>
      <c r="G191" s="71" t="s">
        <v>165</v>
      </c>
      <c r="H191" s="71" t="s">
        <v>134</v>
      </c>
      <c r="I191" s="71" t="s">
        <v>133</v>
      </c>
      <c r="J191" s="71" t="s">
        <v>137</v>
      </c>
      <c r="K191" s="71" t="s">
        <v>6</v>
      </c>
      <c r="L191" s="71" t="s">
        <v>51</v>
      </c>
      <c r="M191" s="71" t="s">
        <v>93</v>
      </c>
      <c r="N191" s="71" t="s">
        <v>177</v>
      </c>
      <c r="O191" s="71" t="s">
        <v>4</v>
      </c>
      <c r="P191" s="71" t="s">
        <v>141</v>
      </c>
      <c r="Q191" s="71" t="s">
        <v>101</v>
      </c>
      <c r="R191" s="71" t="s">
        <v>92</v>
      </c>
    </row>
    <row r="192" spans="1:18">
      <c r="A192" s="71" t="str">
        <f>VLOOKUP(C192,classifications!C:F,4,FALSE)</f>
        <v>SD</v>
      </c>
      <c r="B192" s="71" t="s">
        <v>620</v>
      </c>
      <c r="C192" s="71" t="s">
        <v>141</v>
      </c>
      <c r="D192" s="71" t="s">
        <v>183</v>
      </c>
      <c r="E192" s="71" t="s">
        <v>37</v>
      </c>
      <c r="F192" s="71" t="s">
        <v>144</v>
      </c>
      <c r="G192" s="71" t="s">
        <v>121</v>
      </c>
      <c r="H192" s="71" t="s">
        <v>159</v>
      </c>
      <c r="I192" s="71" t="s">
        <v>71</v>
      </c>
      <c r="J192" s="71" t="s">
        <v>44</v>
      </c>
      <c r="K192" s="71" t="s">
        <v>165</v>
      </c>
      <c r="L192" s="71" t="s">
        <v>45</v>
      </c>
      <c r="M192" s="71" t="s">
        <v>50</v>
      </c>
      <c r="N192" s="71" t="s">
        <v>157</v>
      </c>
      <c r="O192" s="71" t="s">
        <v>78</v>
      </c>
      <c r="P192" s="71" t="s">
        <v>93</v>
      </c>
      <c r="Q192" s="71" t="s">
        <v>53</v>
      </c>
      <c r="R192" s="71" t="s">
        <v>132</v>
      </c>
    </row>
    <row r="193" spans="1:18">
      <c r="A193" s="71" t="str">
        <f>VLOOKUP(C193,classifications!C:F,4,FALSE)</f>
        <v>SD</v>
      </c>
      <c r="B193" s="71" t="s">
        <v>621</v>
      </c>
      <c r="C193" s="71" t="s">
        <v>165</v>
      </c>
      <c r="D193" s="71" t="s">
        <v>93</v>
      </c>
      <c r="E193" s="71" t="s">
        <v>71</v>
      </c>
      <c r="F193" s="71" t="s">
        <v>159</v>
      </c>
      <c r="G193" s="71" t="s">
        <v>8</v>
      </c>
      <c r="H193" s="71" t="s">
        <v>53</v>
      </c>
      <c r="I193" s="71" t="s">
        <v>134</v>
      </c>
      <c r="J193" s="71" t="s">
        <v>171</v>
      </c>
      <c r="K193" s="71" t="s">
        <v>108</v>
      </c>
      <c r="L193" s="71" t="s">
        <v>183</v>
      </c>
      <c r="M193" s="71" t="s">
        <v>195</v>
      </c>
      <c r="N193" s="71" t="s">
        <v>179</v>
      </c>
      <c r="O193" s="71" t="s">
        <v>106</v>
      </c>
      <c r="P193" s="71" t="s">
        <v>141</v>
      </c>
      <c r="Q193" s="71" t="s">
        <v>37</v>
      </c>
      <c r="R193" s="71" t="s">
        <v>164</v>
      </c>
    </row>
    <row r="194" spans="1:18">
      <c r="A194" s="71" t="str">
        <f>VLOOKUP(C194,classifications!C:F,4,FALSE)</f>
        <v>SD</v>
      </c>
      <c r="B194" s="71" t="s">
        <v>622</v>
      </c>
      <c r="C194" s="71" t="s">
        <v>171</v>
      </c>
      <c r="D194" s="71" t="s">
        <v>108</v>
      </c>
      <c r="E194" s="71" t="s">
        <v>165</v>
      </c>
      <c r="F194" s="71" t="s">
        <v>195</v>
      </c>
      <c r="G194" s="71" t="s">
        <v>134</v>
      </c>
      <c r="H194" s="71" t="s">
        <v>71</v>
      </c>
      <c r="I194" s="71" t="s">
        <v>182</v>
      </c>
      <c r="J194" s="71" t="s">
        <v>4</v>
      </c>
      <c r="K194" s="71" t="s">
        <v>6</v>
      </c>
      <c r="L194" s="71" t="s">
        <v>93</v>
      </c>
      <c r="M194" s="71" t="s">
        <v>155</v>
      </c>
      <c r="N194" s="71" t="s">
        <v>177</v>
      </c>
      <c r="O194" s="71" t="s">
        <v>185</v>
      </c>
      <c r="P194" s="71" t="s">
        <v>51</v>
      </c>
      <c r="Q194" s="71" t="s">
        <v>132</v>
      </c>
      <c r="R194" s="71" t="s">
        <v>113</v>
      </c>
    </row>
    <row r="195" spans="1:18">
      <c r="A195" s="71" t="str">
        <f>VLOOKUP(C195,classifications!C:F,4,FALSE)</f>
        <v>SD</v>
      </c>
      <c r="B195" s="71" t="s">
        <v>623</v>
      </c>
      <c r="C195" s="71" t="s">
        <v>182</v>
      </c>
      <c r="D195" s="71" t="s">
        <v>132</v>
      </c>
      <c r="E195" s="71" t="s">
        <v>45</v>
      </c>
      <c r="F195" s="71" t="s">
        <v>62</v>
      </c>
      <c r="G195" s="71" t="s">
        <v>50</v>
      </c>
      <c r="H195" s="71" t="s">
        <v>97</v>
      </c>
      <c r="I195" s="71" t="s">
        <v>98</v>
      </c>
      <c r="J195" s="71" t="s">
        <v>109</v>
      </c>
      <c r="K195" s="71" t="s">
        <v>78</v>
      </c>
      <c r="L195" s="71" t="s">
        <v>102</v>
      </c>
      <c r="M195" s="71" t="s">
        <v>12</v>
      </c>
      <c r="N195" s="71" t="s">
        <v>155</v>
      </c>
      <c r="O195" s="71" t="s">
        <v>171</v>
      </c>
      <c r="P195" s="71" t="s">
        <v>23</v>
      </c>
      <c r="Q195" s="71" t="s">
        <v>158</v>
      </c>
      <c r="R195" s="71" t="s">
        <v>101</v>
      </c>
    </row>
    <row r="196" spans="1:18">
      <c r="A196" s="71" t="e">
        <f>VLOOKUP(C196,classifications!C:F,4,FALSE)</f>
        <v>#N/A</v>
      </c>
      <c r="B196" s="71" t="s">
        <v>624</v>
      </c>
      <c r="C196" s="71" t="s">
        <v>40</v>
      </c>
      <c r="D196" s="71" t="s">
        <v>183</v>
      </c>
      <c r="E196" s="71" t="s">
        <v>127</v>
      </c>
      <c r="F196" s="71" t="s">
        <v>53</v>
      </c>
      <c r="G196" s="71" t="s">
        <v>93</v>
      </c>
      <c r="H196" s="71" t="s">
        <v>121</v>
      </c>
      <c r="I196" s="71" t="s">
        <v>37</v>
      </c>
      <c r="J196" s="71" t="s">
        <v>187</v>
      </c>
      <c r="K196" s="71" t="s">
        <v>71</v>
      </c>
      <c r="L196" s="71" t="s">
        <v>141</v>
      </c>
      <c r="M196" s="71" t="s">
        <v>8</v>
      </c>
      <c r="N196" s="71" t="s">
        <v>54</v>
      </c>
      <c r="O196" s="71" t="s">
        <v>113</v>
      </c>
      <c r="P196" s="71" t="s">
        <v>165</v>
      </c>
      <c r="Q196" s="71" t="s">
        <v>45</v>
      </c>
      <c r="R196" s="71" t="s">
        <v>159</v>
      </c>
    </row>
    <row r="197" spans="1:18">
      <c r="A197" s="71" t="e">
        <f>VLOOKUP(C197,classifications!C:F,4,FALSE)</f>
        <v>#N/A</v>
      </c>
      <c r="B197" s="71" t="s">
        <v>625</v>
      </c>
      <c r="C197" s="71" t="s">
        <v>54</v>
      </c>
      <c r="D197" s="71" t="s">
        <v>44</v>
      </c>
      <c r="E197" s="71" t="s">
        <v>53</v>
      </c>
      <c r="F197" s="71" t="s">
        <v>98</v>
      </c>
      <c r="G197" s="71" t="s">
        <v>78</v>
      </c>
      <c r="H197" s="71" t="s">
        <v>157</v>
      </c>
      <c r="I197" s="71" t="s">
        <v>37</v>
      </c>
      <c r="J197" s="71" t="s">
        <v>183</v>
      </c>
      <c r="K197" s="71" t="s">
        <v>179</v>
      </c>
      <c r="L197" s="71" t="s">
        <v>109</v>
      </c>
      <c r="M197" s="71" t="s">
        <v>182</v>
      </c>
      <c r="N197" s="71" t="s">
        <v>121</v>
      </c>
      <c r="O197" s="71" t="s">
        <v>45</v>
      </c>
      <c r="P197" s="71" t="s">
        <v>127</v>
      </c>
      <c r="Q197" s="71" t="s">
        <v>50</v>
      </c>
      <c r="R197" s="71" t="s">
        <v>193</v>
      </c>
    </row>
    <row r="198" spans="1:18">
      <c r="A198" s="71" t="e">
        <f>VLOOKUP(C198,classifications!C:F,4,FALSE)</f>
        <v>#N/A</v>
      </c>
      <c r="B198" s="71" t="s">
        <v>626</v>
      </c>
      <c r="C198" s="71" t="s">
        <v>109</v>
      </c>
      <c r="D198" s="71" t="s">
        <v>12</v>
      </c>
      <c r="E198" s="71" t="s">
        <v>78</v>
      </c>
      <c r="F198" s="71" t="s">
        <v>102</v>
      </c>
      <c r="G198" s="71" t="s">
        <v>193</v>
      </c>
      <c r="H198" s="71" t="s">
        <v>100</v>
      </c>
      <c r="I198" s="71" t="s">
        <v>98</v>
      </c>
      <c r="J198" s="71" t="s">
        <v>97</v>
      </c>
      <c r="K198" s="71" t="s">
        <v>168</v>
      </c>
      <c r="L198" s="71" t="s">
        <v>103</v>
      </c>
      <c r="M198" s="71" t="s">
        <v>101</v>
      </c>
      <c r="N198" s="71" t="s">
        <v>50</v>
      </c>
      <c r="O198" s="71" t="s">
        <v>158</v>
      </c>
      <c r="P198" s="71" t="s">
        <v>123</v>
      </c>
      <c r="Q198" s="71" t="s">
        <v>145</v>
      </c>
      <c r="R198" s="71" t="s">
        <v>182</v>
      </c>
    </row>
    <row r="199" spans="1:18">
      <c r="A199" s="71" t="e">
        <f>VLOOKUP(C199,classifications!C:F,4,FALSE)</f>
        <v>#N/A</v>
      </c>
      <c r="B199" s="71" t="s">
        <v>627</v>
      </c>
      <c r="C199" s="71" t="s">
        <v>121</v>
      </c>
      <c r="D199" s="71" t="s">
        <v>141</v>
      </c>
      <c r="E199" s="71" t="s">
        <v>183</v>
      </c>
      <c r="F199" s="71" t="s">
        <v>159</v>
      </c>
      <c r="G199" s="71" t="s">
        <v>37</v>
      </c>
      <c r="H199" s="71" t="s">
        <v>93</v>
      </c>
      <c r="I199" s="71" t="s">
        <v>44</v>
      </c>
      <c r="J199" s="71" t="s">
        <v>78</v>
      </c>
      <c r="K199" s="71" t="s">
        <v>109</v>
      </c>
      <c r="L199" s="71" t="s">
        <v>62</v>
      </c>
      <c r="M199" s="71" t="s">
        <v>12</v>
      </c>
      <c r="N199" s="71" t="s">
        <v>50</v>
      </c>
      <c r="O199" s="71" t="s">
        <v>45</v>
      </c>
      <c r="P199" s="71" t="s">
        <v>171</v>
      </c>
      <c r="Q199" s="71" t="s">
        <v>157</v>
      </c>
      <c r="R199" s="71" t="s">
        <v>71</v>
      </c>
    </row>
    <row r="200" spans="1:18">
      <c r="A200" s="71" t="e">
        <f>VLOOKUP(C200,classifications!C:F,4,FALSE)</f>
        <v>#N/A</v>
      </c>
      <c r="B200" s="71" t="s">
        <v>628</v>
      </c>
      <c r="C200" s="71" t="s">
        <v>183</v>
      </c>
      <c r="D200" s="71" t="s">
        <v>141</v>
      </c>
      <c r="E200" s="71" t="s">
        <v>37</v>
      </c>
      <c r="F200" s="71" t="s">
        <v>53</v>
      </c>
      <c r="G200" s="71" t="s">
        <v>127</v>
      </c>
      <c r="H200" s="71" t="s">
        <v>144</v>
      </c>
      <c r="I200" s="71" t="s">
        <v>165</v>
      </c>
      <c r="J200" s="71" t="s">
        <v>113</v>
      </c>
      <c r="K200" s="71" t="s">
        <v>71</v>
      </c>
      <c r="L200" s="71" t="s">
        <v>121</v>
      </c>
      <c r="M200" s="71" t="s">
        <v>159</v>
      </c>
      <c r="N200" s="71" t="s">
        <v>93</v>
      </c>
      <c r="O200" s="71" t="s">
        <v>106</v>
      </c>
      <c r="P200" s="71" t="s">
        <v>44</v>
      </c>
      <c r="Q200" s="71" t="s">
        <v>108</v>
      </c>
      <c r="R200" s="71" t="s">
        <v>50</v>
      </c>
    </row>
    <row r="201" spans="1:18">
      <c r="A201" s="71" t="e">
        <f>VLOOKUP(C201,classifications!C:F,4,FALSE)</f>
        <v>#N/A</v>
      </c>
      <c r="B201" s="71" t="s">
        <v>629</v>
      </c>
      <c r="C201" s="71" t="s">
        <v>352</v>
      </c>
      <c r="D201" s="71" t="s">
        <v>108</v>
      </c>
      <c r="E201" s="71" t="s">
        <v>4</v>
      </c>
      <c r="F201" s="71" t="s">
        <v>171</v>
      </c>
      <c r="G201" s="71" t="s">
        <v>165</v>
      </c>
      <c r="H201" s="71" t="s">
        <v>71</v>
      </c>
      <c r="I201" s="71" t="s">
        <v>195</v>
      </c>
      <c r="J201" s="71" t="s">
        <v>164</v>
      </c>
      <c r="K201" s="71" t="s">
        <v>192</v>
      </c>
      <c r="L201" s="71" t="s">
        <v>6</v>
      </c>
      <c r="M201" s="71" t="s">
        <v>134</v>
      </c>
      <c r="N201" s="71" t="s">
        <v>93</v>
      </c>
      <c r="O201" s="71" t="s">
        <v>30</v>
      </c>
      <c r="P201" s="71" t="s">
        <v>101</v>
      </c>
      <c r="Q201" s="71" t="s">
        <v>92</v>
      </c>
      <c r="R201" s="71" t="s">
        <v>183</v>
      </c>
    </row>
    <row r="202" spans="1:18">
      <c r="A202" s="71" t="str">
        <f>VLOOKUP(C202,classifications!C:F,4,FALSE)</f>
        <v>SD</v>
      </c>
      <c r="B202" s="71" t="s">
        <v>630</v>
      </c>
      <c r="C202" s="71" t="s">
        <v>60</v>
      </c>
      <c r="D202" s="71" t="s">
        <v>192</v>
      </c>
      <c r="E202" s="71" t="s">
        <v>137</v>
      </c>
      <c r="F202" s="71" t="s">
        <v>34</v>
      </c>
      <c r="G202" s="71" t="s">
        <v>169</v>
      </c>
      <c r="H202" s="71" t="s">
        <v>66</v>
      </c>
      <c r="I202" s="71" t="s">
        <v>8</v>
      </c>
      <c r="J202" s="71" t="s">
        <v>4</v>
      </c>
      <c r="K202" s="71" t="s">
        <v>196</v>
      </c>
      <c r="L202" s="71" t="s">
        <v>83</v>
      </c>
      <c r="M202" s="71" t="s">
        <v>164</v>
      </c>
      <c r="N202" s="71" t="s">
        <v>133</v>
      </c>
      <c r="O202" s="71" t="s">
        <v>191</v>
      </c>
      <c r="P202" s="71" t="s">
        <v>93</v>
      </c>
      <c r="Q202" s="71" t="s">
        <v>29</v>
      </c>
      <c r="R202" s="71" t="s">
        <v>90</v>
      </c>
    </row>
    <row r="203" spans="1:18">
      <c r="A203" s="71" t="str">
        <f>VLOOKUP(C203,classifications!C:F,4,FALSE)</f>
        <v>SD</v>
      </c>
      <c r="B203" s="71" t="s">
        <v>631</v>
      </c>
      <c r="C203" s="71" t="s">
        <v>83</v>
      </c>
      <c r="D203" s="71" t="s">
        <v>169</v>
      </c>
      <c r="E203" s="71" t="s">
        <v>76</v>
      </c>
      <c r="F203" s="71" t="s">
        <v>137</v>
      </c>
      <c r="G203" s="71" t="s">
        <v>74</v>
      </c>
      <c r="H203" s="71" t="s">
        <v>95</v>
      </c>
      <c r="I203" s="71" t="s">
        <v>90</v>
      </c>
      <c r="J203" s="71" t="s">
        <v>191</v>
      </c>
      <c r="K203" s="71" t="s">
        <v>192</v>
      </c>
      <c r="L203" s="71" t="s">
        <v>60</v>
      </c>
      <c r="M203" s="71" t="s">
        <v>13</v>
      </c>
      <c r="N203" s="71" t="s">
        <v>120</v>
      </c>
      <c r="O203" s="71" t="s">
        <v>89</v>
      </c>
      <c r="P203" s="71" t="s">
        <v>51</v>
      </c>
      <c r="Q203" s="71" t="s">
        <v>119</v>
      </c>
      <c r="R203" s="71" t="s">
        <v>36</v>
      </c>
    </row>
    <row r="204" spans="1:18">
      <c r="A204" s="71" t="str">
        <f>VLOOKUP(C204,classifications!C:F,4,FALSE)</f>
        <v>SD</v>
      </c>
      <c r="B204" s="71" t="s">
        <v>632</v>
      </c>
      <c r="C204" s="71" t="s">
        <v>93</v>
      </c>
      <c r="D204" s="71" t="s">
        <v>165</v>
      </c>
      <c r="E204" s="71" t="s">
        <v>134</v>
      </c>
      <c r="F204" s="71" t="s">
        <v>125</v>
      </c>
      <c r="G204" s="71" t="s">
        <v>159</v>
      </c>
      <c r="H204" s="71" t="s">
        <v>4</v>
      </c>
      <c r="I204" s="71" t="s">
        <v>8</v>
      </c>
      <c r="J204" s="71" t="s">
        <v>71</v>
      </c>
      <c r="K204" s="71" t="s">
        <v>37</v>
      </c>
      <c r="L204" s="71" t="s">
        <v>137</v>
      </c>
      <c r="M204" s="71" t="s">
        <v>183</v>
      </c>
      <c r="N204" s="71" t="s">
        <v>171</v>
      </c>
      <c r="O204" s="71" t="s">
        <v>67</v>
      </c>
      <c r="P204" s="71" t="s">
        <v>108</v>
      </c>
      <c r="Q204" s="71" t="s">
        <v>179</v>
      </c>
      <c r="R204" s="71" t="s">
        <v>141</v>
      </c>
    </row>
    <row r="205" spans="1:18">
      <c r="A205" s="71" t="str">
        <f>VLOOKUP(C205,classifications!C:F,4,FALSE)</f>
        <v>SD</v>
      </c>
      <c r="B205" s="71" t="s">
        <v>633</v>
      </c>
      <c r="C205" s="71" t="s">
        <v>127</v>
      </c>
      <c r="D205" s="71" t="s">
        <v>53</v>
      </c>
      <c r="E205" s="71" t="s">
        <v>183</v>
      </c>
      <c r="F205" s="71" t="s">
        <v>113</v>
      </c>
      <c r="G205" s="71" t="s">
        <v>37</v>
      </c>
      <c r="H205" s="71" t="s">
        <v>71</v>
      </c>
      <c r="I205" s="71" t="s">
        <v>165</v>
      </c>
      <c r="J205" s="71" t="s">
        <v>141</v>
      </c>
      <c r="K205" s="71" t="s">
        <v>93</v>
      </c>
      <c r="L205" s="71" t="s">
        <v>8</v>
      </c>
      <c r="M205" s="71" t="s">
        <v>98</v>
      </c>
      <c r="N205" s="71" t="s">
        <v>40</v>
      </c>
      <c r="O205" s="71" t="s">
        <v>106</v>
      </c>
      <c r="P205" s="71" t="s">
        <v>121</v>
      </c>
      <c r="Q205" s="71" t="s">
        <v>187</v>
      </c>
      <c r="R205" s="71" t="s">
        <v>159</v>
      </c>
    </row>
    <row r="206" spans="1:18">
      <c r="A206" s="71" t="str">
        <f>VLOOKUP(C206,classifications!C:F,4,FALSE)</f>
        <v>SD</v>
      </c>
      <c r="B206" s="71" t="s">
        <v>634</v>
      </c>
      <c r="C206" s="71" t="s">
        <v>179</v>
      </c>
      <c r="D206" s="71" t="s">
        <v>106</v>
      </c>
      <c r="E206" s="71" t="s">
        <v>165</v>
      </c>
      <c r="F206" s="71" t="s">
        <v>159</v>
      </c>
      <c r="G206" s="71" t="s">
        <v>37</v>
      </c>
      <c r="H206" s="71" t="s">
        <v>87</v>
      </c>
      <c r="I206" s="71" t="s">
        <v>93</v>
      </c>
      <c r="J206" s="71" t="s">
        <v>53</v>
      </c>
      <c r="K206" s="71" t="s">
        <v>67</v>
      </c>
      <c r="L206" s="71" t="s">
        <v>141</v>
      </c>
      <c r="M206" s="71" t="s">
        <v>157</v>
      </c>
      <c r="N206" s="71" t="s">
        <v>55</v>
      </c>
      <c r="O206" s="71" t="s">
        <v>81</v>
      </c>
      <c r="P206" s="71" t="s">
        <v>183</v>
      </c>
      <c r="Q206" s="71" t="s">
        <v>104</v>
      </c>
      <c r="R206" s="71" t="s">
        <v>78</v>
      </c>
    </row>
    <row r="207" spans="1:18">
      <c r="A207" s="71" t="str">
        <f>VLOOKUP(C207,classifications!C:F,4,FALSE)</f>
        <v>SD</v>
      </c>
      <c r="B207" s="71" t="s">
        <v>635</v>
      </c>
      <c r="C207" s="71" t="s">
        <v>14</v>
      </c>
      <c r="D207" s="71" t="s">
        <v>47</v>
      </c>
      <c r="E207" s="71" t="s">
        <v>41</v>
      </c>
      <c r="F207" s="71" t="s">
        <v>19</v>
      </c>
      <c r="G207" s="71" t="s">
        <v>73</v>
      </c>
      <c r="H207" s="71" t="s">
        <v>111</v>
      </c>
      <c r="I207" s="71" t="s">
        <v>344</v>
      </c>
      <c r="J207" s="71" t="s">
        <v>116</v>
      </c>
      <c r="K207" s="71" t="s">
        <v>156</v>
      </c>
      <c r="L207" s="71" t="s">
        <v>90</v>
      </c>
      <c r="M207" s="71" t="s">
        <v>122</v>
      </c>
      <c r="N207" s="71" t="s">
        <v>348</v>
      </c>
      <c r="O207" s="71" t="s">
        <v>96</v>
      </c>
      <c r="P207" s="71" t="s">
        <v>75</v>
      </c>
      <c r="Q207" s="71" t="s">
        <v>33</v>
      </c>
      <c r="R207" s="71" t="s">
        <v>161</v>
      </c>
    </row>
    <row r="208" spans="1:18">
      <c r="A208" s="71" t="str">
        <f>VLOOKUP(C208,classifications!C:F,4,FALSE)</f>
        <v>SD</v>
      </c>
      <c r="B208" s="71" t="s">
        <v>636</v>
      </c>
      <c r="C208" s="71" t="s">
        <v>19</v>
      </c>
      <c r="D208" s="71" t="s">
        <v>96</v>
      </c>
      <c r="E208" s="71" t="s">
        <v>143</v>
      </c>
      <c r="F208" s="71" t="s">
        <v>111</v>
      </c>
      <c r="G208" s="71" t="s">
        <v>41</v>
      </c>
      <c r="H208" s="71" t="s">
        <v>347</v>
      </c>
      <c r="I208" s="71" t="s">
        <v>39</v>
      </c>
      <c r="J208" s="71" t="s">
        <v>184</v>
      </c>
      <c r="K208" s="71" t="s">
        <v>88</v>
      </c>
      <c r="L208" s="71" t="s">
        <v>158</v>
      </c>
      <c r="M208" s="71" t="s">
        <v>153</v>
      </c>
      <c r="N208" s="71" t="s">
        <v>128</v>
      </c>
      <c r="O208" s="71" t="s">
        <v>58</v>
      </c>
      <c r="P208" s="71" t="s">
        <v>154</v>
      </c>
      <c r="Q208" s="71" t="s">
        <v>10</v>
      </c>
      <c r="R208" s="71" t="s">
        <v>32</v>
      </c>
    </row>
    <row r="209" spans="1:18">
      <c r="A209" s="71" t="str">
        <f>VLOOKUP(C209,classifications!C:F,4,FALSE)</f>
        <v>SD</v>
      </c>
      <c r="B209" s="71" t="s">
        <v>637</v>
      </c>
      <c r="C209" s="71" t="s">
        <v>21</v>
      </c>
      <c r="D209" s="71" t="s">
        <v>64</v>
      </c>
      <c r="E209" s="71" t="s">
        <v>189</v>
      </c>
      <c r="F209" s="71" t="s">
        <v>55</v>
      </c>
      <c r="G209" s="71" t="s">
        <v>136</v>
      </c>
      <c r="H209" s="71" t="s">
        <v>170</v>
      </c>
      <c r="I209" s="71" t="s">
        <v>87</v>
      </c>
      <c r="J209" s="71" t="s">
        <v>160</v>
      </c>
      <c r="K209" s="71" t="s">
        <v>174</v>
      </c>
      <c r="L209" s="71" t="s">
        <v>151</v>
      </c>
      <c r="M209" s="71" t="s">
        <v>105</v>
      </c>
      <c r="N209" s="71" t="s">
        <v>167</v>
      </c>
      <c r="O209" s="71" t="s">
        <v>163</v>
      </c>
      <c r="P209" s="71" t="s">
        <v>350</v>
      </c>
      <c r="Q209" s="71" t="s">
        <v>104</v>
      </c>
      <c r="R209" s="71" t="s">
        <v>186</v>
      </c>
    </row>
    <row r="210" spans="1:18">
      <c r="A210" s="71" t="str">
        <f>VLOOKUP(C210,classifications!C:F,4,FALSE)</f>
        <v>SD</v>
      </c>
      <c r="B210" s="71" t="s">
        <v>638</v>
      </c>
      <c r="C210" s="71" t="s">
        <v>31</v>
      </c>
      <c r="D210" s="71" t="s">
        <v>72</v>
      </c>
      <c r="E210" s="71" t="s">
        <v>155</v>
      </c>
      <c r="F210" s="71" t="s">
        <v>148</v>
      </c>
      <c r="G210" s="71" t="s">
        <v>25</v>
      </c>
      <c r="H210" s="71" t="s">
        <v>346</v>
      </c>
      <c r="I210" s="71" t="s">
        <v>94</v>
      </c>
      <c r="J210" s="71" t="s">
        <v>150</v>
      </c>
      <c r="K210" s="71" t="s">
        <v>349</v>
      </c>
      <c r="L210" s="71" t="s">
        <v>196</v>
      </c>
      <c r="M210" s="71" t="s">
        <v>86</v>
      </c>
      <c r="N210" s="71" t="s">
        <v>65</v>
      </c>
      <c r="O210" s="71" t="s">
        <v>39</v>
      </c>
      <c r="P210" s="71" t="s">
        <v>7</v>
      </c>
      <c r="Q210" s="71" t="s">
        <v>23</v>
      </c>
      <c r="R210" s="71" t="s">
        <v>158</v>
      </c>
    </row>
    <row r="211" spans="1:18">
      <c r="A211" s="71" t="str">
        <f>VLOOKUP(C211,classifications!C:F,4,FALSE)</f>
        <v>SD</v>
      </c>
      <c r="B211" s="71" t="s">
        <v>639</v>
      </c>
      <c r="C211" s="71" t="s">
        <v>33</v>
      </c>
      <c r="D211" s="71" t="s">
        <v>96</v>
      </c>
      <c r="E211" s="71" t="s">
        <v>41</v>
      </c>
      <c r="F211" s="71" t="s">
        <v>175</v>
      </c>
      <c r="G211" s="71" t="s">
        <v>344</v>
      </c>
      <c r="H211" s="71" t="s">
        <v>88</v>
      </c>
      <c r="I211" s="71" t="s">
        <v>47</v>
      </c>
      <c r="J211" s="71" t="s">
        <v>32</v>
      </c>
      <c r="K211" s="71" t="s">
        <v>56</v>
      </c>
      <c r="L211" s="71" t="s">
        <v>154</v>
      </c>
      <c r="M211" s="71" t="s">
        <v>81</v>
      </c>
      <c r="N211" s="71" t="s">
        <v>19</v>
      </c>
      <c r="O211" s="71" t="s">
        <v>111</v>
      </c>
      <c r="P211" s="71" t="s">
        <v>104</v>
      </c>
      <c r="Q211" s="71" t="s">
        <v>167</v>
      </c>
      <c r="R211" s="71" t="s">
        <v>194</v>
      </c>
    </row>
    <row r="212" spans="1:18">
      <c r="A212" s="71" t="str">
        <f>VLOOKUP(C212,classifications!C:F,4,FALSE)</f>
        <v>SD</v>
      </c>
      <c r="B212" s="71" t="s">
        <v>640</v>
      </c>
      <c r="C212" s="71" t="s">
        <v>41</v>
      </c>
      <c r="D212" s="71" t="s">
        <v>96</v>
      </c>
      <c r="E212" s="71" t="s">
        <v>32</v>
      </c>
      <c r="F212" s="71" t="s">
        <v>33</v>
      </c>
      <c r="G212" s="71" t="s">
        <v>19</v>
      </c>
      <c r="H212" s="71" t="s">
        <v>88</v>
      </c>
      <c r="I212" s="71" t="s">
        <v>111</v>
      </c>
      <c r="J212" s="71" t="s">
        <v>344</v>
      </c>
      <c r="K212" s="71" t="s">
        <v>154</v>
      </c>
      <c r="L212" s="71" t="s">
        <v>175</v>
      </c>
      <c r="M212" s="71" t="s">
        <v>128</v>
      </c>
      <c r="N212" s="71" t="s">
        <v>143</v>
      </c>
      <c r="O212" s="71" t="s">
        <v>47</v>
      </c>
      <c r="P212" s="71" t="s">
        <v>35</v>
      </c>
      <c r="Q212" s="71" t="s">
        <v>153</v>
      </c>
      <c r="R212" s="71" t="s">
        <v>59</v>
      </c>
    </row>
    <row r="213" spans="1:18">
      <c r="A213" s="71" t="str">
        <f>VLOOKUP(C213,classifications!C:F,4,FALSE)</f>
        <v>SD</v>
      </c>
      <c r="B213" s="71" t="s">
        <v>641</v>
      </c>
      <c r="C213" s="71" t="s">
        <v>64</v>
      </c>
      <c r="D213" s="71" t="s">
        <v>136</v>
      </c>
      <c r="E213" s="71" t="s">
        <v>55</v>
      </c>
      <c r="F213" s="71" t="s">
        <v>111</v>
      </c>
      <c r="G213" s="71" t="s">
        <v>87</v>
      </c>
      <c r="H213" s="71" t="s">
        <v>56</v>
      </c>
      <c r="I213" s="71" t="s">
        <v>21</v>
      </c>
      <c r="J213" s="71" t="s">
        <v>167</v>
      </c>
      <c r="K213" s="71" t="s">
        <v>189</v>
      </c>
      <c r="L213" s="71" t="s">
        <v>147</v>
      </c>
      <c r="M213" s="71" t="s">
        <v>170</v>
      </c>
      <c r="N213" s="71" t="s">
        <v>104</v>
      </c>
      <c r="O213" s="71" t="s">
        <v>350</v>
      </c>
      <c r="P213" s="71" t="s">
        <v>174</v>
      </c>
      <c r="Q213" s="71" t="s">
        <v>186</v>
      </c>
      <c r="R213" s="71" t="s">
        <v>96</v>
      </c>
    </row>
    <row r="214" spans="1:18">
      <c r="A214" s="71" t="str">
        <f>VLOOKUP(C214,classifications!C:F,4,FALSE)</f>
        <v>SD</v>
      </c>
      <c r="B214" s="71" t="s">
        <v>642</v>
      </c>
      <c r="C214" s="71" t="s">
        <v>80</v>
      </c>
      <c r="D214" s="71" t="s">
        <v>156</v>
      </c>
      <c r="E214" s="71" t="s">
        <v>90</v>
      </c>
      <c r="F214" s="71" t="s">
        <v>122</v>
      </c>
      <c r="G214" s="71" t="s">
        <v>14</v>
      </c>
      <c r="H214" s="71" t="s">
        <v>43</v>
      </c>
      <c r="I214" s="71" t="s">
        <v>162</v>
      </c>
      <c r="J214" s="71" t="s">
        <v>131</v>
      </c>
      <c r="K214" s="71" t="s">
        <v>75</v>
      </c>
      <c r="L214" s="71" t="s">
        <v>181</v>
      </c>
      <c r="M214" s="71" t="s">
        <v>46</v>
      </c>
      <c r="N214" s="71" t="s">
        <v>36</v>
      </c>
      <c r="O214" s="71" t="s">
        <v>120</v>
      </c>
      <c r="P214" s="71" t="s">
        <v>95</v>
      </c>
      <c r="Q214" s="71" t="s">
        <v>180</v>
      </c>
      <c r="R214" s="71" t="s">
        <v>73</v>
      </c>
    </row>
    <row r="215" spans="1:18">
      <c r="A215" s="71" t="str">
        <f>VLOOKUP(C215,classifications!C:F,4,FALSE)</f>
        <v>SD</v>
      </c>
      <c r="B215" s="71" t="s">
        <v>643</v>
      </c>
      <c r="C215" s="71" t="s">
        <v>97</v>
      </c>
      <c r="D215" s="71" t="s">
        <v>100</v>
      </c>
      <c r="E215" s="71" t="s">
        <v>124</v>
      </c>
      <c r="F215" s="71" t="s">
        <v>168</v>
      </c>
      <c r="G215" s="71" t="s">
        <v>158</v>
      </c>
      <c r="H215" s="71" t="s">
        <v>23</v>
      </c>
      <c r="I215" s="71" t="s">
        <v>109</v>
      </c>
      <c r="J215" s="71" t="s">
        <v>94</v>
      </c>
      <c r="K215" s="71" t="s">
        <v>123</v>
      </c>
      <c r="L215" s="71" t="s">
        <v>78</v>
      </c>
      <c r="M215" s="71" t="s">
        <v>12</v>
      </c>
      <c r="N215" s="71" t="s">
        <v>102</v>
      </c>
      <c r="O215" s="71" t="s">
        <v>79</v>
      </c>
      <c r="P215" s="71" t="s">
        <v>182</v>
      </c>
      <c r="Q215" s="71" t="s">
        <v>70</v>
      </c>
      <c r="R215" s="71" t="s">
        <v>150</v>
      </c>
    </row>
    <row r="216" spans="1:18">
      <c r="A216" s="71" t="str">
        <f>VLOOKUP(C216,classifications!C:F,4,FALSE)</f>
        <v>SD</v>
      </c>
      <c r="B216" s="71" t="s">
        <v>644</v>
      </c>
      <c r="C216" s="71" t="s">
        <v>125</v>
      </c>
      <c r="D216" s="71" t="s">
        <v>67</v>
      </c>
      <c r="E216" s="71" t="s">
        <v>93</v>
      </c>
      <c r="F216" s="71" t="s">
        <v>61</v>
      </c>
      <c r="G216" s="71" t="s">
        <v>130</v>
      </c>
      <c r="H216" s="71" t="s">
        <v>94</v>
      </c>
      <c r="I216" s="71" t="s">
        <v>16</v>
      </c>
      <c r="J216" s="71" t="s">
        <v>102</v>
      </c>
      <c r="K216" s="71" t="s">
        <v>165</v>
      </c>
      <c r="L216" s="71" t="s">
        <v>346</v>
      </c>
      <c r="M216" s="71" t="s">
        <v>31</v>
      </c>
      <c r="N216" s="71" t="s">
        <v>4</v>
      </c>
      <c r="O216" s="71" t="s">
        <v>134</v>
      </c>
      <c r="P216" s="71" t="s">
        <v>148</v>
      </c>
      <c r="Q216" s="71" t="s">
        <v>171</v>
      </c>
      <c r="R216" s="71" t="s">
        <v>179</v>
      </c>
    </row>
    <row r="217" spans="1:18">
      <c r="A217" s="71" t="str">
        <f>VLOOKUP(C217,classifications!C:F,4,FALSE)</f>
        <v>SD</v>
      </c>
      <c r="B217" s="71" t="s">
        <v>645</v>
      </c>
      <c r="C217" s="71" t="s">
        <v>166</v>
      </c>
      <c r="D217" s="71" t="s">
        <v>177</v>
      </c>
      <c r="E217" s="71" t="s">
        <v>195</v>
      </c>
      <c r="F217" s="71" t="s">
        <v>137</v>
      </c>
      <c r="G217" s="71" t="s">
        <v>8</v>
      </c>
      <c r="H217" s="71" t="s">
        <v>57</v>
      </c>
      <c r="I217" s="71" t="s">
        <v>51</v>
      </c>
      <c r="J217" s="71" t="s">
        <v>133</v>
      </c>
      <c r="K217" s="71" t="s">
        <v>165</v>
      </c>
      <c r="L217" s="71" t="s">
        <v>171</v>
      </c>
      <c r="M217" s="71" t="s">
        <v>113</v>
      </c>
      <c r="N217" s="71" t="s">
        <v>108</v>
      </c>
      <c r="O217" s="71" t="s">
        <v>134</v>
      </c>
      <c r="P217" s="71" t="s">
        <v>169</v>
      </c>
      <c r="Q217" s="71" t="s">
        <v>71</v>
      </c>
      <c r="R217" s="71" t="s">
        <v>76</v>
      </c>
    </row>
    <row r="218" spans="1:18">
      <c r="A218" s="71" t="str">
        <f>VLOOKUP(C218,classifications!C:F,4,FALSE)</f>
        <v>SD</v>
      </c>
      <c r="B218" s="71" t="s">
        <v>646</v>
      </c>
      <c r="C218" s="71" t="s">
        <v>173</v>
      </c>
      <c r="D218" s="71" t="s">
        <v>79</v>
      </c>
      <c r="E218" s="71" t="s">
        <v>146</v>
      </c>
      <c r="F218" s="71" t="s">
        <v>189</v>
      </c>
      <c r="G218" s="71" t="s">
        <v>136</v>
      </c>
      <c r="H218" s="71" t="s">
        <v>139</v>
      </c>
      <c r="I218" s="71" t="s">
        <v>351</v>
      </c>
      <c r="J218" s="71" t="s">
        <v>167</v>
      </c>
      <c r="K218" s="71" t="s">
        <v>174</v>
      </c>
      <c r="L218" s="71" t="s">
        <v>147</v>
      </c>
      <c r="M218" s="71" t="s">
        <v>82</v>
      </c>
      <c r="N218" s="71" t="s">
        <v>168</v>
      </c>
      <c r="O218" s="71" t="s">
        <v>55</v>
      </c>
      <c r="P218" s="71" t="s">
        <v>157</v>
      </c>
      <c r="Q218" s="71" t="s">
        <v>87</v>
      </c>
      <c r="R218" s="71" t="s">
        <v>186</v>
      </c>
    </row>
    <row r="219" spans="1:18">
      <c r="A219" s="71" t="str">
        <f>VLOOKUP(C219,classifications!C:F,4,FALSE)</f>
        <v>SD</v>
      </c>
      <c r="B219" s="71" t="s">
        <v>647</v>
      </c>
      <c r="C219" s="71" t="s">
        <v>34</v>
      </c>
      <c r="D219" s="71" t="s">
        <v>175</v>
      </c>
      <c r="E219" s="71" t="s">
        <v>66</v>
      </c>
      <c r="F219" s="71" t="s">
        <v>191</v>
      </c>
      <c r="G219" s="71" t="s">
        <v>24</v>
      </c>
      <c r="H219" s="71" t="s">
        <v>73</v>
      </c>
      <c r="I219" s="71" t="s">
        <v>33</v>
      </c>
      <c r="J219" s="71" t="s">
        <v>41</v>
      </c>
      <c r="K219" s="71" t="s">
        <v>128</v>
      </c>
      <c r="L219" s="71" t="s">
        <v>29</v>
      </c>
      <c r="M219" s="71" t="s">
        <v>164</v>
      </c>
      <c r="N219" s="71" t="s">
        <v>172</v>
      </c>
      <c r="O219" s="71" t="s">
        <v>131</v>
      </c>
      <c r="P219" s="71" t="s">
        <v>96</v>
      </c>
      <c r="Q219" s="71" t="s">
        <v>192</v>
      </c>
      <c r="R219" s="71" t="s">
        <v>111</v>
      </c>
    </row>
    <row r="220" spans="1:18">
      <c r="A220" s="71" t="str">
        <f>VLOOKUP(C220,classifications!C:F,4,FALSE)</f>
        <v>SD</v>
      </c>
      <c r="B220" s="71" t="s">
        <v>648</v>
      </c>
      <c r="C220" s="71" t="s">
        <v>44</v>
      </c>
      <c r="D220" s="71" t="s">
        <v>157</v>
      </c>
      <c r="E220" s="71" t="s">
        <v>78</v>
      </c>
      <c r="F220" s="71" t="s">
        <v>50</v>
      </c>
      <c r="G220" s="71" t="s">
        <v>45</v>
      </c>
      <c r="H220" s="71" t="s">
        <v>193</v>
      </c>
      <c r="I220" s="71" t="s">
        <v>141</v>
      </c>
      <c r="J220" s="71" t="s">
        <v>109</v>
      </c>
      <c r="K220" s="71" t="s">
        <v>132</v>
      </c>
      <c r="L220" s="71" t="s">
        <v>37</v>
      </c>
      <c r="M220" s="71" t="s">
        <v>98</v>
      </c>
      <c r="N220" s="71" t="s">
        <v>62</v>
      </c>
      <c r="O220" s="71" t="s">
        <v>183</v>
      </c>
      <c r="P220" s="71" t="s">
        <v>182</v>
      </c>
      <c r="Q220" s="71" t="s">
        <v>121</v>
      </c>
      <c r="R220" s="71" t="s">
        <v>12</v>
      </c>
    </row>
    <row r="221" spans="1:18">
      <c r="A221" s="71" t="str">
        <f>VLOOKUP(C221,classifications!C:F,4,FALSE)</f>
        <v>SD</v>
      </c>
      <c r="B221" s="71" t="s">
        <v>649</v>
      </c>
      <c r="C221" s="71" t="s">
        <v>70</v>
      </c>
      <c r="D221" s="71" t="s">
        <v>185</v>
      </c>
      <c r="E221" s="71" t="s">
        <v>100</v>
      </c>
      <c r="F221" s="71" t="s">
        <v>12</v>
      </c>
      <c r="G221" s="71" t="s">
        <v>347</v>
      </c>
      <c r="H221" s="71" t="s">
        <v>97</v>
      </c>
      <c r="I221" s="71" t="s">
        <v>112</v>
      </c>
      <c r="J221" s="71" t="s">
        <v>184</v>
      </c>
      <c r="K221" s="71" t="s">
        <v>145</v>
      </c>
      <c r="L221" s="71" t="s">
        <v>103</v>
      </c>
      <c r="M221" s="71" t="s">
        <v>109</v>
      </c>
      <c r="N221" s="71" t="s">
        <v>158</v>
      </c>
      <c r="O221" s="71" t="s">
        <v>155</v>
      </c>
      <c r="P221" s="71" t="s">
        <v>346</v>
      </c>
      <c r="Q221" s="71" t="s">
        <v>20</v>
      </c>
      <c r="R221" s="71" t="s">
        <v>102</v>
      </c>
    </row>
    <row r="222" spans="1:18">
      <c r="A222" s="71" t="str">
        <f>VLOOKUP(C222,classifications!C:F,4,FALSE)</f>
        <v>SD</v>
      </c>
      <c r="B222" s="71" t="s">
        <v>650</v>
      </c>
      <c r="C222" s="71" t="s">
        <v>73</v>
      </c>
      <c r="D222" s="71" t="s">
        <v>191</v>
      </c>
      <c r="E222" s="71" t="s">
        <v>91</v>
      </c>
      <c r="F222" s="71" t="s">
        <v>348</v>
      </c>
      <c r="G222" s="71" t="s">
        <v>131</v>
      </c>
      <c r="H222" s="71" t="s">
        <v>59</v>
      </c>
      <c r="I222" s="71" t="s">
        <v>75</v>
      </c>
      <c r="J222" s="71" t="s">
        <v>28</v>
      </c>
      <c r="K222" s="71" t="s">
        <v>90</v>
      </c>
      <c r="L222" s="71" t="s">
        <v>128</v>
      </c>
      <c r="M222" s="71" t="s">
        <v>122</v>
      </c>
      <c r="N222" s="71" t="s">
        <v>119</v>
      </c>
      <c r="O222" s="71" t="s">
        <v>162</v>
      </c>
      <c r="P222" s="71" t="s">
        <v>65</v>
      </c>
      <c r="Q222" s="71" t="s">
        <v>99</v>
      </c>
      <c r="R222" s="71" t="s">
        <v>41</v>
      </c>
    </row>
    <row r="223" spans="1:18">
      <c r="A223" s="71" t="str">
        <f>VLOOKUP(C223,classifications!C:F,4,FALSE)</f>
        <v>SD</v>
      </c>
      <c r="B223" s="71" t="s">
        <v>651</v>
      </c>
      <c r="C223" s="71" t="s">
        <v>158</v>
      </c>
      <c r="D223" s="71" t="s">
        <v>94</v>
      </c>
      <c r="E223" s="71" t="s">
        <v>101</v>
      </c>
      <c r="F223" s="71" t="s">
        <v>23</v>
      </c>
      <c r="G223" s="71" t="s">
        <v>346</v>
      </c>
      <c r="H223" s="71" t="s">
        <v>150</v>
      </c>
      <c r="I223" s="71" t="s">
        <v>168</v>
      </c>
      <c r="J223" s="71" t="s">
        <v>97</v>
      </c>
      <c r="K223" s="71" t="s">
        <v>154</v>
      </c>
      <c r="L223" s="71" t="s">
        <v>164</v>
      </c>
      <c r="M223" s="71" t="s">
        <v>186</v>
      </c>
      <c r="N223" s="71" t="s">
        <v>55</v>
      </c>
      <c r="O223" s="71" t="s">
        <v>102</v>
      </c>
      <c r="P223" s="71" t="s">
        <v>12</v>
      </c>
      <c r="Q223" s="71" t="s">
        <v>167</v>
      </c>
      <c r="R223" s="71" t="s">
        <v>347</v>
      </c>
    </row>
    <row r="224" spans="1:18">
      <c r="A224" s="71" t="str">
        <f>VLOOKUP(C224,classifications!C:F,4,FALSE)</f>
        <v>SD</v>
      </c>
      <c r="B224" s="71" t="s">
        <v>652</v>
      </c>
      <c r="C224" s="71" t="s">
        <v>168</v>
      </c>
      <c r="D224" s="71" t="s">
        <v>167</v>
      </c>
      <c r="E224" s="71" t="s">
        <v>12</v>
      </c>
      <c r="F224" s="71" t="s">
        <v>97</v>
      </c>
      <c r="G224" s="71" t="s">
        <v>158</v>
      </c>
      <c r="H224" s="71" t="s">
        <v>79</v>
      </c>
      <c r="I224" s="71" t="s">
        <v>100</v>
      </c>
      <c r="J224" s="71" t="s">
        <v>94</v>
      </c>
      <c r="K224" s="71" t="s">
        <v>186</v>
      </c>
      <c r="L224" s="71" t="s">
        <v>109</v>
      </c>
      <c r="M224" s="71" t="s">
        <v>193</v>
      </c>
      <c r="N224" s="71" t="s">
        <v>78</v>
      </c>
      <c r="O224" s="71" t="s">
        <v>23</v>
      </c>
      <c r="P224" s="71" t="s">
        <v>130</v>
      </c>
      <c r="Q224" s="71" t="s">
        <v>49</v>
      </c>
      <c r="R224" s="71" t="s">
        <v>346</v>
      </c>
    </row>
    <row r="225" spans="1:18">
      <c r="A225" s="71" t="str">
        <f>VLOOKUP(C225,classifications!C:F,4,FALSE)</f>
        <v>SD</v>
      </c>
      <c r="B225" s="71" t="s">
        <v>653</v>
      </c>
      <c r="C225" s="71" t="s">
        <v>344</v>
      </c>
      <c r="D225" s="71" t="s">
        <v>88</v>
      </c>
      <c r="E225" s="71" t="s">
        <v>47</v>
      </c>
      <c r="F225" s="71" t="s">
        <v>33</v>
      </c>
      <c r="G225" s="71" t="s">
        <v>96</v>
      </c>
      <c r="H225" s="71" t="s">
        <v>194</v>
      </c>
      <c r="I225" s="71" t="s">
        <v>11</v>
      </c>
      <c r="J225" s="71" t="s">
        <v>35</v>
      </c>
      <c r="K225" s="71" t="s">
        <v>41</v>
      </c>
      <c r="L225" s="71" t="s">
        <v>351</v>
      </c>
      <c r="M225" s="71" t="s">
        <v>56</v>
      </c>
      <c r="N225" s="71" t="s">
        <v>19</v>
      </c>
      <c r="O225" s="71" t="s">
        <v>111</v>
      </c>
      <c r="P225" s="71" t="s">
        <v>167</v>
      </c>
      <c r="Q225" s="71" t="s">
        <v>174</v>
      </c>
      <c r="R225" s="71" t="s">
        <v>10</v>
      </c>
    </row>
    <row r="226" spans="1:18">
      <c r="A226" s="71" t="str">
        <f>VLOOKUP(C226,classifications!C:F,4,FALSE)</f>
        <v>SD</v>
      </c>
      <c r="B226" s="71" t="s">
        <v>654</v>
      </c>
      <c r="C226" s="71" t="s">
        <v>55</v>
      </c>
      <c r="D226" s="71" t="s">
        <v>147</v>
      </c>
      <c r="E226" s="71" t="s">
        <v>136</v>
      </c>
      <c r="F226" s="71" t="s">
        <v>186</v>
      </c>
      <c r="G226" s="71" t="s">
        <v>87</v>
      </c>
      <c r="H226" s="71" t="s">
        <v>167</v>
      </c>
      <c r="I226" s="71" t="s">
        <v>64</v>
      </c>
      <c r="J226" s="71" t="s">
        <v>104</v>
      </c>
      <c r="K226" s="71" t="s">
        <v>158</v>
      </c>
      <c r="L226" s="71" t="s">
        <v>56</v>
      </c>
      <c r="M226" s="71" t="s">
        <v>174</v>
      </c>
      <c r="N226" s="71" t="s">
        <v>189</v>
      </c>
      <c r="O226" s="71" t="s">
        <v>130</v>
      </c>
      <c r="P226" s="71" t="s">
        <v>79</v>
      </c>
      <c r="Q226" s="71" t="s">
        <v>23</v>
      </c>
      <c r="R226" s="71" t="s">
        <v>168</v>
      </c>
    </row>
    <row r="227" spans="1:18">
      <c r="A227" s="71" t="str">
        <f>VLOOKUP(C227,classifications!C:F,4,FALSE)</f>
        <v>SD</v>
      </c>
      <c r="B227" s="71" t="s">
        <v>655</v>
      </c>
      <c r="C227" s="71" t="s">
        <v>61</v>
      </c>
      <c r="D227" s="71" t="s">
        <v>67</v>
      </c>
      <c r="E227" s="71" t="s">
        <v>125</v>
      </c>
      <c r="F227" s="71" t="s">
        <v>33</v>
      </c>
      <c r="G227" s="71" t="s">
        <v>128</v>
      </c>
      <c r="H227" s="71" t="s">
        <v>88</v>
      </c>
      <c r="I227" s="71" t="s">
        <v>96</v>
      </c>
      <c r="J227" s="71" t="s">
        <v>84</v>
      </c>
      <c r="K227" s="71" t="s">
        <v>16</v>
      </c>
      <c r="L227" s="71" t="s">
        <v>35</v>
      </c>
      <c r="M227" s="71" t="s">
        <v>167</v>
      </c>
      <c r="N227" s="71" t="s">
        <v>344</v>
      </c>
      <c r="O227" s="71" t="s">
        <v>148</v>
      </c>
      <c r="P227" s="71" t="s">
        <v>29</v>
      </c>
      <c r="Q227" s="71" t="s">
        <v>154</v>
      </c>
      <c r="R227" s="71" t="s">
        <v>161</v>
      </c>
    </row>
    <row r="228" spans="1:18">
      <c r="A228" s="71" t="str">
        <f>VLOOKUP(C228,classifications!C:F,4,FALSE)</f>
        <v>SD</v>
      </c>
      <c r="B228" s="71" t="s">
        <v>656</v>
      </c>
      <c r="C228" s="71" t="s">
        <v>67</v>
      </c>
      <c r="D228" s="71" t="s">
        <v>125</v>
      </c>
      <c r="E228" s="71" t="s">
        <v>61</v>
      </c>
      <c r="F228" s="71" t="s">
        <v>93</v>
      </c>
      <c r="G228" s="71" t="s">
        <v>130</v>
      </c>
      <c r="H228" s="71" t="s">
        <v>159</v>
      </c>
      <c r="I228" s="71" t="s">
        <v>165</v>
      </c>
      <c r="J228" s="71" t="s">
        <v>179</v>
      </c>
      <c r="K228" s="71" t="s">
        <v>94</v>
      </c>
      <c r="L228" s="71" t="s">
        <v>16</v>
      </c>
      <c r="M228" s="71" t="s">
        <v>23</v>
      </c>
      <c r="N228" s="71" t="s">
        <v>154</v>
      </c>
      <c r="O228" s="71" t="s">
        <v>186</v>
      </c>
      <c r="P228" s="71" t="s">
        <v>168</v>
      </c>
      <c r="Q228" s="71" t="s">
        <v>167</v>
      </c>
      <c r="R228" s="71" t="s">
        <v>148</v>
      </c>
    </row>
    <row r="229" spans="1:18">
      <c r="A229" s="71" t="str">
        <f>VLOOKUP(C229,classifications!C:F,4,FALSE)</f>
        <v>SD</v>
      </c>
      <c r="B229" s="71" t="s">
        <v>657</v>
      </c>
      <c r="C229" s="71" t="s">
        <v>74</v>
      </c>
      <c r="D229" s="71" t="s">
        <v>84</v>
      </c>
      <c r="E229" s="71" t="s">
        <v>4</v>
      </c>
      <c r="F229" s="71" t="s">
        <v>161</v>
      </c>
      <c r="G229" s="71" t="s">
        <v>75</v>
      </c>
      <c r="H229" s="71" t="s">
        <v>73</v>
      </c>
      <c r="I229" s="71" t="s">
        <v>51</v>
      </c>
      <c r="J229" s="71" t="s">
        <v>137</v>
      </c>
      <c r="K229" s="71" t="s">
        <v>348</v>
      </c>
      <c r="L229" s="71" t="s">
        <v>28</v>
      </c>
      <c r="M229" s="71" t="s">
        <v>91</v>
      </c>
      <c r="N229" s="71" t="s">
        <v>13</v>
      </c>
      <c r="O229" s="71" t="s">
        <v>191</v>
      </c>
      <c r="P229" s="71" t="s">
        <v>99</v>
      </c>
      <c r="Q229" s="71" t="s">
        <v>162</v>
      </c>
      <c r="R229" s="71" t="s">
        <v>122</v>
      </c>
    </row>
    <row r="230" spans="1:18">
      <c r="A230" s="71" t="str">
        <f>VLOOKUP(C230,classifications!C:F,4,FALSE)</f>
        <v>SD</v>
      </c>
      <c r="B230" s="71" t="s">
        <v>658</v>
      </c>
      <c r="C230" s="71" t="s">
        <v>82</v>
      </c>
      <c r="D230" s="71" t="s">
        <v>136</v>
      </c>
      <c r="E230" s="71" t="s">
        <v>38</v>
      </c>
      <c r="F230" s="71" t="s">
        <v>147</v>
      </c>
      <c r="G230" s="71" t="s">
        <v>55</v>
      </c>
      <c r="H230" s="71" t="s">
        <v>104</v>
      </c>
      <c r="I230" s="71" t="s">
        <v>170</v>
      </c>
      <c r="J230" s="71" t="s">
        <v>56</v>
      </c>
      <c r="K230" s="71" t="s">
        <v>87</v>
      </c>
      <c r="L230" s="71" t="s">
        <v>173</v>
      </c>
      <c r="M230" s="71" t="s">
        <v>189</v>
      </c>
      <c r="N230" s="71" t="s">
        <v>152</v>
      </c>
      <c r="O230" s="71" t="s">
        <v>146</v>
      </c>
      <c r="P230" s="71" t="s">
        <v>160</v>
      </c>
      <c r="Q230" s="71" t="s">
        <v>79</v>
      </c>
      <c r="R230" s="71" t="s">
        <v>174</v>
      </c>
    </row>
    <row r="231" spans="1:18">
      <c r="A231" s="71" t="str">
        <f>VLOOKUP(C231,classifications!C:F,4,FALSE)</f>
        <v>SD</v>
      </c>
      <c r="B231" s="71" t="s">
        <v>659</v>
      </c>
      <c r="C231" s="71" t="s">
        <v>84</v>
      </c>
      <c r="D231" s="71" t="s">
        <v>4</v>
      </c>
      <c r="E231" s="71" t="s">
        <v>51</v>
      </c>
      <c r="F231" s="71" t="s">
        <v>29</v>
      </c>
      <c r="G231" s="71" t="s">
        <v>61</v>
      </c>
      <c r="H231" s="71" t="s">
        <v>74</v>
      </c>
      <c r="I231" s="71" t="s">
        <v>137</v>
      </c>
      <c r="J231" s="71" t="s">
        <v>134</v>
      </c>
      <c r="K231" s="71" t="s">
        <v>107</v>
      </c>
      <c r="L231" s="71" t="s">
        <v>196</v>
      </c>
      <c r="M231" s="71" t="s">
        <v>93</v>
      </c>
      <c r="N231" s="71" t="s">
        <v>161</v>
      </c>
      <c r="O231" s="71" t="s">
        <v>177</v>
      </c>
      <c r="P231" s="71" t="s">
        <v>65</v>
      </c>
      <c r="Q231" s="71" t="s">
        <v>154</v>
      </c>
      <c r="R231" s="71" t="s">
        <v>67</v>
      </c>
    </row>
    <row r="232" spans="1:18">
      <c r="A232" s="71" t="str">
        <f>VLOOKUP(C232,classifications!C:F,4,FALSE)</f>
        <v>SD</v>
      </c>
      <c r="B232" s="71" t="s">
        <v>660</v>
      </c>
      <c r="C232" s="71" t="s">
        <v>106</v>
      </c>
      <c r="D232" s="71" t="s">
        <v>53</v>
      </c>
      <c r="E232" s="71" t="s">
        <v>179</v>
      </c>
      <c r="F232" s="71" t="s">
        <v>159</v>
      </c>
      <c r="G232" s="71" t="s">
        <v>165</v>
      </c>
      <c r="H232" s="71" t="s">
        <v>37</v>
      </c>
      <c r="I232" s="71" t="s">
        <v>183</v>
      </c>
      <c r="J232" s="71" t="s">
        <v>8</v>
      </c>
      <c r="K232" s="71" t="s">
        <v>93</v>
      </c>
      <c r="L232" s="71" t="s">
        <v>141</v>
      </c>
      <c r="M232" s="71" t="s">
        <v>157</v>
      </c>
      <c r="N232" s="71" t="s">
        <v>149</v>
      </c>
      <c r="O232" s="71" t="s">
        <v>67</v>
      </c>
      <c r="P232" s="71" t="s">
        <v>127</v>
      </c>
      <c r="Q232" s="71" t="s">
        <v>81</v>
      </c>
      <c r="R232" s="71" t="s">
        <v>144</v>
      </c>
    </row>
    <row r="233" spans="1:18">
      <c r="A233" s="71" t="str">
        <f>VLOOKUP(C233,classifications!C:F,4,FALSE)</f>
        <v>SD</v>
      </c>
      <c r="B233" s="71" t="s">
        <v>661</v>
      </c>
      <c r="C233" s="71" t="s">
        <v>131</v>
      </c>
      <c r="D233" s="71" t="s">
        <v>73</v>
      </c>
      <c r="E233" s="71" t="s">
        <v>191</v>
      </c>
      <c r="F233" s="71" t="s">
        <v>24</v>
      </c>
      <c r="G233" s="71" t="s">
        <v>122</v>
      </c>
      <c r="H233" s="71" t="s">
        <v>128</v>
      </c>
      <c r="I233" s="71" t="s">
        <v>75</v>
      </c>
      <c r="J233" s="71" t="s">
        <v>91</v>
      </c>
      <c r="K233" s="71" t="s">
        <v>156</v>
      </c>
      <c r="L233" s="71" t="s">
        <v>48</v>
      </c>
      <c r="M233" s="71" t="s">
        <v>34</v>
      </c>
      <c r="N233" s="71" t="s">
        <v>180</v>
      </c>
      <c r="O233" s="71" t="s">
        <v>59</v>
      </c>
      <c r="P233" s="71" t="s">
        <v>176</v>
      </c>
      <c r="Q233" s="71" t="s">
        <v>90</v>
      </c>
      <c r="R233" s="71" t="s">
        <v>162</v>
      </c>
    </row>
    <row r="234" spans="1:18">
      <c r="A234" s="71" t="str">
        <f>VLOOKUP(C234,classifications!C:F,4,FALSE)</f>
        <v>SD</v>
      </c>
      <c r="B234" s="71" t="s">
        <v>662</v>
      </c>
      <c r="C234" s="71" t="s">
        <v>167</v>
      </c>
      <c r="D234" s="71" t="s">
        <v>174</v>
      </c>
      <c r="E234" s="71" t="s">
        <v>186</v>
      </c>
      <c r="F234" s="71" t="s">
        <v>147</v>
      </c>
      <c r="G234" s="71" t="s">
        <v>55</v>
      </c>
      <c r="H234" s="71" t="s">
        <v>168</v>
      </c>
      <c r="I234" s="71" t="s">
        <v>351</v>
      </c>
      <c r="J234" s="71" t="s">
        <v>136</v>
      </c>
      <c r="K234" s="71" t="s">
        <v>189</v>
      </c>
      <c r="L234" s="71" t="s">
        <v>158</v>
      </c>
      <c r="M234" s="71" t="s">
        <v>56</v>
      </c>
      <c r="N234" s="71" t="s">
        <v>96</v>
      </c>
      <c r="O234" s="71" t="s">
        <v>64</v>
      </c>
      <c r="P234" s="71" t="s">
        <v>10</v>
      </c>
      <c r="Q234" s="71" t="s">
        <v>87</v>
      </c>
      <c r="R234" s="71" t="s">
        <v>79</v>
      </c>
    </row>
    <row r="235" spans="1:18">
      <c r="A235" s="71" t="str">
        <f>VLOOKUP(C235,classifications!C:F,4,FALSE)</f>
        <v>SD</v>
      </c>
      <c r="B235" s="71" t="s">
        <v>663</v>
      </c>
      <c r="C235" s="71" t="s">
        <v>189</v>
      </c>
      <c r="D235" s="71" t="s">
        <v>174</v>
      </c>
      <c r="E235" s="71" t="s">
        <v>136</v>
      </c>
      <c r="F235" s="71" t="s">
        <v>167</v>
      </c>
      <c r="G235" s="71" t="s">
        <v>87</v>
      </c>
      <c r="H235" s="71" t="s">
        <v>55</v>
      </c>
      <c r="I235" s="71" t="s">
        <v>147</v>
      </c>
      <c r="J235" s="71" t="s">
        <v>64</v>
      </c>
      <c r="K235" s="71" t="s">
        <v>104</v>
      </c>
      <c r="L235" s="71" t="s">
        <v>21</v>
      </c>
      <c r="M235" s="71" t="s">
        <v>157</v>
      </c>
      <c r="N235" s="71" t="s">
        <v>56</v>
      </c>
      <c r="O235" s="71" t="s">
        <v>351</v>
      </c>
      <c r="P235" s="71" t="s">
        <v>186</v>
      </c>
      <c r="Q235" s="71" t="s">
        <v>173</v>
      </c>
      <c r="R235" s="71" t="s">
        <v>170</v>
      </c>
    </row>
    <row r="236" spans="1:18">
      <c r="A236" s="71" t="str">
        <f>VLOOKUP(C236,classifications!C:F,4,FALSE)</f>
        <v>SD</v>
      </c>
      <c r="B236" s="71" t="s">
        <v>664</v>
      </c>
      <c r="C236" s="71" t="s">
        <v>23</v>
      </c>
      <c r="D236" s="71" t="s">
        <v>158</v>
      </c>
      <c r="E236" s="71" t="s">
        <v>94</v>
      </c>
      <c r="F236" s="71" t="s">
        <v>97</v>
      </c>
      <c r="G236" s="71" t="s">
        <v>150</v>
      </c>
      <c r="H236" s="71" t="s">
        <v>168</v>
      </c>
      <c r="I236" s="71" t="s">
        <v>130</v>
      </c>
      <c r="J236" s="71" t="s">
        <v>55</v>
      </c>
      <c r="K236" s="71" t="s">
        <v>79</v>
      </c>
      <c r="L236" s="71" t="s">
        <v>155</v>
      </c>
      <c r="M236" s="71" t="s">
        <v>346</v>
      </c>
      <c r="N236" s="71" t="s">
        <v>98</v>
      </c>
      <c r="O236" s="71" t="s">
        <v>154</v>
      </c>
      <c r="P236" s="71" t="s">
        <v>182</v>
      </c>
      <c r="Q236" s="71" t="s">
        <v>78</v>
      </c>
      <c r="R236" s="71" t="s">
        <v>123</v>
      </c>
    </row>
    <row r="237" spans="1:18">
      <c r="A237" s="71" t="str">
        <f>VLOOKUP(C237,classifications!C:F,4,FALSE)</f>
        <v>SD</v>
      </c>
      <c r="B237" s="71" t="s">
        <v>665</v>
      </c>
      <c r="C237" s="71" t="s">
        <v>122</v>
      </c>
      <c r="D237" s="71" t="s">
        <v>162</v>
      </c>
      <c r="E237" s="71" t="s">
        <v>28</v>
      </c>
      <c r="F237" s="71" t="s">
        <v>156</v>
      </c>
      <c r="G237" s="71" t="s">
        <v>191</v>
      </c>
      <c r="H237" s="71" t="s">
        <v>75</v>
      </c>
      <c r="I237" s="71" t="s">
        <v>180</v>
      </c>
      <c r="J237" s="71" t="s">
        <v>91</v>
      </c>
      <c r="K237" s="71" t="s">
        <v>73</v>
      </c>
      <c r="L237" s="71" t="s">
        <v>131</v>
      </c>
      <c r="M237" s="71" t="s">
        <v>348</v>
      </c>
      <c r="N237" s="71" t="s">
        <v>90</v>
      </c>
      <c r="O237" s="71" t="s">
        <v>128</v>
      </c>
      <c r="P237" s="71" t="s">
        <v>99</v>
      </c>
      <c r="Q237" s="71" t="s">
        <v>59</v>
      </c>
      <c r="R237" s="71" t="s">
        <v>107</v>
      </c>
    </row>
    <row r="238" spans="1:18">
      <c r="A238" s="71" t="str">
        <f>VLOOKUP(C238,classifications!C:F,4,FALSE)</f>
        <v>SD</v>
      </c>
      <c r="B238" s="71" t="s">
        <v>666</v>
      </c>
      <c r="C238" s="71" t="s">
        <v>191</v>
      </c>
      <c r="D238" s="71" t="s">
        <v>73</v>
      </c>
      <c r="E238" s="71" t="s">
        <v>28</v>
      </c>
      <c r="F238" s="71" t="s">
        <v>91</v>
      </c>
      <c r="G238" s="71" t="s">
        <v>59</v>
      </c>
      <c r="H238" s="71" t="s">
        <v>30</v>
      </c>
      <c r="I238" s="71" t="s">
        <v>131</v>
      </c>
      <c r="J238" s="71" t="s">
        <v>122</v>
      </c>
      <c r="K238" s="71" t="s">
        <v>86</v>
      </c>
      <c r="L238" s="71" t="s">
        <v>120</v>
      </c>
      <c r="M238" s="71" t="s">
        <v>348</v>
      </c>
      <c r="N238" s="71" t="s">
        <v>34</v>
      </c>
      <c r="O238" s="71" t="s">
        <v>162</v>
      </c>
      <c r="P238" s="71" t="s">
        <v>99</v>
      </c>
      <c r="Q238" s="71" t="s">
        <v>90</v>
      </c>
      <c r="R238" s="71" t="s">
        <v>75</v>
      </c>
    </row>
    <row r="239" spans="1:18">
      <c r="A239" s="71" t="str">
        <f>VLOOKUP(C239,classifications!C:F,4,FALSE)</f>
        <v>SD</v>
      </c>
      <c r="B239" s="71" t="s">
        <v>667</v>
      </c>
      <c r="C239" s="71" t="s">
        <v>193</v>
      </c>
      <c r="D239" s="71" t="s">
        <v>157</v>
      </c>
      <c r="E239" s="71" t="s">
        <v>78</v>
      </c>
      <c r="F239" s="71" t="s">
        <v>12</v>
      </c>
      <c r="G239" s="71" t="s">
        <v>109</v>
      </c>
      <c r="H239" s="71" t="s">
        <v>168</v>
      </c>
      <c r="I239" s="71" t="s">
        <v>149</v>
      </c>
      <c r="J239" s="71" t="s">
        <v>98</v>
      </c>
      <c r="K239" s="71" t="s">
        <v>145</v>
      </c>
      <c r="L239" s="71" t="s">
        <v>158</v>
      </c>
      <c r="M239" s="71" t="s">
        <v>101</v>
      </c>
      <c r="N239" s="71" t="s">
        <v>103</v>
      </c>
      <c r="O239" s="71" t="s">
        <v>50</v>
      </c>
      <c r="P239" s="71" t="s">
        <v>164</v>
      </c>
      <c r="Q239" s="71" t="s">
        <v>97</v>
      </c>
      <c r="R239" s="71" t="s">
        <v>154</v>
      </c>
    </row>
    <row r="240" spans="1:18">
      <c r="A240" s="71" t="str">
        <f>VLOOKUP(C240,classifications!C:F,4,FALSE)</f>
        <v>SD</v>
      </c>
      <c r="B240" s="71" t="s">
        <v>668</v>
      </c>
      <c r="C240" s="71" t="s">
        <v>196</v>
      </c>
      <c r="D240" s="71" t="s">
        <v>65</v>
      </c>
      <c r="E240" s="71" t="s">
        <v>7</v>
      </c>
      <c r="F240" s="71" t="s">
        <v>107</v>
      </c>
      <c r="G240" s="71" t="s">
        <v>30</v>
      </c>
      <c r="H240" s="71" t="s">
        <v>86</v>
      </c>
      <c r="I240" s="71" t="s">
        <v>184</v>
      </c>
      <c r="J240" s="71" t="s">
        <v>15</v>
      </c>
      <c r="K240" s="71" t="s">
        <v>72</v>
      </c>
      <c r="L240" s="71" t="s">
        <v>347</v>
      </c>
      <c r="M240" s="71" t="s">
        <v>143</v>
      </c>
      <c r="N240" s="71" t="s">
        <v>68</v>
      </c>
      <c r="O240" s="71" t="s">
        <v>28</v>
      </c>
      <c r="P240" s="71" t="s">
        <v>91</v>
      </c>
      <c r="Q240" s="71" t="s">
        <v>164</v>
      </c>
      <c r="R240" s="71" t="s">
        <v>99</v>
      </c>
    </row>
    <row r="241" spans="1:18">
      <c r="A241" s="71" t="str">
        <f>VLOOKUP(C241,classifications!C:F,4,FALSE)</f>
        <v>SD</v>
      </c>
      <c r="B241" s="71" t="s">
        <v>669</v>
      </c>
      <c r="C241" s="71" t="s">
        <v>98</v>
      </c>
      <c r="D241" s="71" t="s">
        <v>109</v>
      </c>
      <c r="E241" s="71" t="s">
        <v>193</v>
      </c>
      <c r="F241" s="71" t="s">
        <v>12</v>
      </c>
      <c r="G241" s="71" t="s">
        <v>182</v>
      </c>
      <c r="H241" s="71" t="s">
        <v>78</v>
      </c>
      <c r="I241" s="71" t="s">
        <v>50</v>
      </c>
      <c r="J241" s="71" t="s">
        <v>97</v>
      </c>
      <c r="K241" s="71" t="s">
        <v>70</v>
      </c>
      <c r="L241" s="71" t="s">
        <v>168</v>
      </c>
      <c r="M241" s="71" t="s">
        <v>157</v>
      </c>
      <c r="N241" s="71" t="s">
        <v>23</v>
      </c>
      <c r="O241" s="71" t="s">
        <v>158</v>
      </c>
      <c r="P241" s="71" t="s">
        <v>132</v>
      </c>
      <c r="Q241" s="71" t="s">
        <v>44</v>
      </c>
      <c r="R241" s="71" t="s">
        <v>102</v>
      </c>
    </row>
    <row r="242" spans="1:18">
      <c r="A242" s="71" t="str">
        <f>VLOOKUP(C242,classifications!C:F,4,FALSE)</f>
        <v>SD</v>
      </c>
      <c r="B242" s="71" t="s">
        <v>670</v>
      </c>
      <c r="C242" s="71" t="s">
        <v>24</v>
      </c>
      <c r="D242" s="71" t="s">
        <v>128</v>
      </c>
      <c r="E242" s="71" t="s">
        <v>85</v>
      </c>
      <c r="F242" s="71" t="s">
        <v>75</v>
      </c>
      <c r="G242" s="71" t="s">
        <v>96</v>
      </c>
      <c r="H242" s="71" t="s">
        <v>47</v>
      </c>
      <c r="I242" s="71" t="s">
        <v>131</v>
      </c>
      <c r="J242" s="71" t="s">
        <v>111</v>
      </c>
      <c r="K242" s="71" t="s">
        <v>10</v>
      </c>
      <c r="L242" s="71" t="s">
        <v>172</v>
      </c>
      <c r="M242" s="71" t="s">
        <v>91</v>
      </c>
      <c r="N242" s="71" t="s">
        <v>73</v>
      </c>
      <c r="O242" s="71" t="s">
        <v>34</v>
      </c>
      <c r="P242" s="71" t="s">
        <v>33</v>
      </c>
      <c r="Q242" s="71" t="s">
        <v>191</v>
      </c>
      <c r="R242" s="71" t="s">
        <v>170</v>
      </c>
    </row>
    <row r="243" spans="1:18">
      <c r="A243" s="71" t="str">
        <f>VLOOKUP(C243,classifications!C:F,4,FALSE)</f>
        <v>SD</v>
      </c>
      <c r="B243" s="71" t="s">
        <v>671</v>
      </c>
      <c r="C243" s="71" t="s">
        <v>47</v>
      </c>
      <c r="D243" s="71" t="s">
        <v>111</v>
      </c>
      <c r="E243" s="71" t="s">
        <v>344</v>
      </c>
      <c r="F243" s="71" t="s">
        <v>33</v>
      </c>
      <c r="G243" s="71" t="s">
        <v>96</v>
      </c>
      <c r="H243" s="71" t="s">
        <v>181</v>
      </c>
      <c r="I243" s="71" t="s">
        <v>85</v>
      </c>
      <c r="J243" s="71" t="s">
        <v>172</v>
      </c>
      <c r="K243" s="71" t="s">
        <v>19</v>
      </c>
      <c r="L243" s="71" t="s">
        <v>351</v>
      </c>
      <c r="M243" s="71" t="s">
        <v>24</v>
      </c>
      <c r="N243" s="71" t="s">
        <v>41</v>
      </c>
      <c r="O243" s="71" t="s">
        <v>56</v>
      </c>
      <c r="P243" s="71" t="s">
        <v>64</v>
      </c>
      <c r="Q243" s="71" t="s">
        <v>10</v>
      </c>
      <c r="R243" s="71" t="s">
        <v>128</v>
      </c>
    </row>
    <row r="244" spans="1:18">
      <c r="A244" s="71" t="str">
        <f>VLOOKUP(C244,classifications!C:F,4,FALSE)</f>
        <v>SD</v>
      </c>
      <c r="B244" s="71" t="s">
        <v>672</v>
      </c>
      <c r="C244" s="71" t="s">
        <v>56</v>
      </c>
      <c r="D244" s="71" t="s">
        <v>104</v>
      </c>
      <c r="E244" s="71" t="s">
        <v>87</v>
      </c>
      <c r="F244" s="71" t="s">
        <v>55</v>
      </c>
      <c r="G244" s="71" t="s">
        <v>96</v>
      </c>
      <c r="H244" s="71" t="s">
        <v>351</v>
      </c>
      <c r="I244" s="71" t="s">
        <v>167</v>
      </c>
      <c r="J244" s="71" t="s">
        <v>136</v>
      </c>
      <c r="K244" s="71" t="s">
        <v>64</v>
      </c>
      <c r="L244" s="71" t="s">
        <v>147</v>
      </c>
      <c r="M244" s="71" t="s">
        <v>33</v>
      </c>
      <c r="N244" s="71" t="s">
        <v>194</v>
      </c>
      <c r="O244" s="71" t="s">
        <v>11</v>
      </c>
      <c r="P244" s="71" t="s">
        <v>170</v>
      </c>
      <c r="Q244" s="71" t="s">
        <v>174</v>
      </c>
      <c r="R244" s="71" t="s">
        <v>189</v>
      </c>
    </row>
    <row r="245" spans="1:18">
      <c r="A245" s="71" t="str">
        <f>VLOOKUP(C245,classifications!C:F,4,FALSE)</f>
        <v>SD</v>
      </c>
      <c r="B245" s="71" t="s">
        <v>673</v>
      </c>
      <c r="C245" s="71" t="s">
        <v>85</v>
      </c>
      <c r="D245" s="71" t="s">
        <v>170</v>
      </c>
      <c r="E245" s="71" t="s">
        <v>24</v>
      </c>
      <c r="F245" s="71" t="s">
        <v>47</v>
      </c>
      <c r="G245" s="71" t="s">
        <v>172</v>
      </c>
      <c r="H245" s="71" t="s">
        <v>111</v>
      </c>
      <c r="I245" s="71" t="s">
        <v>64</v>
      </c>
      <c r="J245" s="71" t="s">
        <v>181</v>
      </c>
      <c r="K245" s="71" t="s">
        <v>56</v>
      </c>
      <c r="L245" s="71" t="s">
        <v>152</v>
      </c>
      <c r="M245" s="71" t="s">
        <v>194</v>
      </c>
      <c r="N245" s="71" t="s">
        <v>128</v>
      </c>
      <c r="O245" s="71" t="s">
        <v>96</v>
      </c>
      <c r="P245" s="71" t="s">
        <v>189</v>
      </c>
      <c r="Q245" s="71" t="s">
        <v>351</v>
      </c>
      <c r="R245" s="71" t="s">
        <v>21</v>
      </c>
    </row>
    <row r="246" spans="1:18">
      <c r="A246" s="71" t="str">
        <f>VLOOKUP(C246,classifications!C:F,4,FALSE)</f>
        <v>SD</v>
      </c>
      <c r="B246" s="71" t="s">
        <v>674</v>
      </c>
      <c r="C246" s="71" t="s">
        <v>111</v>
      </c>
      <c r="D246" s="71" t="s">
        <v>47</v>
      </c>
      <c r="E246" s="71" t="s">
        <v>19</v>
      </c>
      <c r="F246" s="71" t="s">
        <v>96</v>
      </c>
      <c r="G246" s="71" t="s">
        <v>64</v>
      </c>
      <c r="H246" s="71" t="s">
        <v>128</v>
      </c>
      <c r="I246" s="71" t="s">
        <v>164</v>
      </c>
      <c r="J246" s="71" t="s">
        <v>167</v>
      </c>
      <c r="K246" s="71" t="s">
        <v>41</v>
      </c>
      <c r="L246" s="71" t="s">
        <v>33</v>
      </c>
      <c r="M246" s="71" t="s">
        <v>158</v>
      </c>
      <c r="N246" s="71" t="s">
        <v>56</v>
      </c>
      <c r="O246" s="71" t="s">
        <v>10</v>
      </c>
      <c r="P246" s="71" t="s">
        <v>344</v>
      </c>
      <c r="Q246" s="71" t="s">
        <v>85</v>
      </c>
      <c r="R246" s="71" t="s">
        <v>153</v>
      </c>
    </row>
    <row r="247" spans="1:18">
      <c r="A247" s="71" t="str">
        <f>VLOOKUP(C247,classifications!C:F,4,FALSE)</f>
        <v>SD</v>
      </c>
      <c r="B247" s="71" t="s">
        <v>675</v>
      </c>
      <c r="C247" s="71" t="s">
        <v>152</v>
      </c>
      <c r="D247" s="71" t="s">
        <v>104</v>
      </c>
      <c r="E247" s="71" t="s">
        <v>56</v>
      </c>
      <c r="F247" s="71" t="s">
        <v>170</v>
      </c>
      <c r="G247" s="71" t="s">
        <v>194</v>
      </c>
      <c r="H247" s="71" t="s">
        <v>82</v>
      </c>
      <c r="I247" s="71" t="s">
        <v>189</v>
      </c>
      <c r="J247" s="71" t="s">
        <v>87</v>
      </c>
      <c r="K247" s="71" t="s">
        <v>85</v>
      </c>
      <c r="L247" s="71" t="s">
        <v>172</v>
      </c>
      <c r="M247" s="71" t="s">
        <v>351</v>
      </c>
      <c r="N247" s="71" t="s">
        <v>38</v>
      </c>
      <c r="O247" s="71" t="s">
        <v>136</v>
      </c>
      <c r="P247" s="71" t="s">
        <v>174</v>
      </c>
      <c r="Q247" s="71" t="s">
        <v>350</v>
      </c>
      <c r="R247" s="71" t="s">
        <v>63</v>
      </c>
    </row>
    <row r="248" spans="1:18">
      <c r="A248" s="71" t="str">
        <f>VLOOKUP(C248,classifications!C:F,4,FALSE)</f>
        <v>SD</v>
      </c>
      <c r="B248" s="71" t="s">
        <v>676</v>
      </c>
      <c r="C248" s="71" t="s">
        <v>156</v>
      </c>
      <c r="D248" s="71" t="s">
        <v>80</v>
      </c>
      <c r="E248" s="71" t="s">
        <v>122</v>
      </c>
      <c r="F248" s="71" t="s">
        <v>90</v>
      </c>
      <c r="G248" s="71" t="s">
        <v>131</v>
      </c>
      <c r="H248" s="71" t="s">
        <v>14</v>
      </c>
      <c r="I248" s="71" t="s">
        <v>162</v>
      </c>
      <c r="J248" s="71" t="s">
        <v>181</v>
      </c>
      <c r="K248" s="71" t="s">
        <v>75</v>
      </c>
      <c r="L248" s="71" t="s">
        <v>191</v>
      </c>
      <c r="M248" s="71" t="s">
        <v>73</v>
      </c>
      <c r="N248" s="71" t="s">
        <v>43</v>
      </c>
      <c r="O248" s="71" t="s">
        <v>120</v>
      </c>
      <c r="P248" s="71" t="s">
        <v>28</v>
      </c>
      <c r="Q248" s="71" t="s">
        <v>36</v>
      </c>
      <c r="R248" s="71" t="s">
        <v>180</v>
      </c>
    </row>
    <row r="249" spans="1:18">
      <c r="A249" s="71" t="str">
        <f>VLOOKUP(C249,classifications!C:F,4,FALSE)</f>
        <v>SD</v>
      </c>
      <c r="B249" s="71" t="s">
        <v>677</v>
      </c>
      <c r="C249" s="71" t="s">
        <v>170</v>
      </c>
      <c r="D249" s="71" t="s">
        <v>85</v>
      </c>
      <c r="E249" s="71" t="s">
        <v>87</v>
      </c>
      <c r="F249" s="71" t="s">
        <v>56</v>
      </c>
      <c r="G249" s="71" t="s">
        <v>64</v>
      </c>
      <c r="H249" s="71" t="s">
        <v>55</v>
      </c>
      <c r="I249" s="71" t="s">
        <v>104</v>
      </c>
      <c r="J249" s="71" t="s">
        <v>21</v>
      </c>
      <c r="K249" s="71" t="s">
        <v>189</v>
      </c>
      <c r="L249" s="71" t="s">
        <v>152</v>
      </c>
      <c r="M249" s="71" t="s">
        <v>167</v>
      </c>
      <c r="N249" s="71" t="s">
        <v>136</v>
      </c>
      <c r="O249" s="71" t="s">
        <v>82</v>
      </c>
      <c r="P249" s="71" t="s">
        <v>351</v>
      </c>
      <c r="Q249" s="71" t="s">
        <v>174</v>
      </c>
      <c r="R249" s="71" t="s">
        <v>24</v>
      </c>
    </row>
    <row r="250" spans="1:18">
      <c r="A250" s="71" t="str">
        <f>VLOOKUP(C250,classifications!C:F,4,FALSE)</f>
        <v>SD</v>
      </c>
      <c r="B250" s="71" t="s">
        <v>678</v>
      </c>
      <c r="C250" s="71" t="s">
        <v>176</v>
      </c>
      <c r="D250" s="71" t="s">
        <v>48</v>
      </c>
      <c r="E250" s="71" t="s">
        <v>131</v>
      </c>
      <c r="F250" s="71" t="s">
        <v>118</v>
      </c>
      <c r="G250" s="71" t="s">
        <v>120</v>
      </c>
      <c r="H250" s="71" t="s">
        <v>66</v>
      </c>
      <c r="I250" s="71" t="s">
        <v>24</v>
      </c>
      <c r="J250" s="71" t="s">
        <v>34</v>
      </c>
      <c r="K250" s="71" t="s">
        <v>191</v>
      </c>
      <c r="L250" s="71" t="s">
        <v>156</v>
      </c>
      <c r="M250" s="71" t="s">
        <v>27</v>
      </c>
      <c r="N250" s="71" t="s">
        <v>73</v>
      </c>
      <c r="O250" s="71" t="s">
        <v>85</v>
      </c>
      <c r="P250" s="71" t="s">
        <v>116</v>
      </c>
      <c r="Q250" s="71" t="s">
        <v>46</v>
      </c>
      <c r="R250" s="71" t="s">
        <v>181</v>
      </c>
    </row>
    <row r="251" spans="1:18">
      <c r="A251" s="71" t="str">
        <f>VLOOKUP(C251,classifications!C:F,4,FALSE)</f>
        <v>SD</v>
      </c>
      <c r="B251" s="71" t="s">
        <v>679</v>
      </c>
      <c r="C251" s="71" t="s">
        <v>181</v>
      </c>
      <c r="D251" s="71" t="s">
        <v>47</v>
      </c>
      <c r="E251" s="71" t="s">
        <v>85</v>
      </c>
      <c r="F251" s="71" t="s">
        <v>111</v>
      </c>
      <c r="G251" s="71" t="s">
        <v>24</v>
      </c>
      <c r="H251" s="71" t="s">
        <v>156</v>
      </c>
      <c r="I251" s="71" t="s">
        <v>344</v>
      </c>
      <c r="J251" s="71" t="s">
        <v>128</v>
      </c>
      <c r="K251" s="71" t="s">
        <v>122</v>
      </c>
      <c r="L251" s="71" t="s">
        <v>175</v>
      </c>
      <c r="M251" s="71" t="s">
        <v>131</v>
      </c>
      <c r="N251" s="71" t="s">
        <v>41</v>
      </c>
      <c r="O251" s="71" t="s">
        <v>172</v>
      </c>
      <c r="P251" s="71" t="s">
        <v>33</v>
      </c>
      <c r="Q251" s="71" t="s">
        <v>14</v>
      </c>
      <c r="R251" s="71" t="s">
        <v>96</v>
      </c>
    </row>
    <row r="252" spans="1:18">
      <c r="A252" s="71" t="str">
        <f>VLOOKUP(C252,classifications!C:F,4,FALSE)</f>
        <v>SD</v>
      </c>
      <c r="B252" s="71" t="s">
        <v>680</v>
      </c>
      <c r="C252" s="71" t="s">
        <v>10</v>
      </c>
      <c r="D252" s="71" t="s">
        <v>351</v>
      </c>
      <c r="E252" s="71" t="s">
        <v>96</v>
      </c>
      <c r="F252" s="71" t="s">
        <v>128</v>
      </c>
      <c r="G252" s="71" t="s">
        <v>58</v>
      </c>
      <c r="H252" s="71" t="s">
        <v>101</v>
      </c>
      <c r="I252" s="71" t="s">
        <v>153</v>
      </c>
      <c r="J252" s="71" t="s">
        <v>19</v>
      </c>
      <c r="K252" s="71" t="s">
        <v>167</v>
      </c>
      <c r="L252" s="71" t="s">
        <v>143</v>
      </c>
      <c r="M252" s="71" t="s">
        <v>59</v>
      </c>
      <c r="N252" s="71" t="s">
        <v>35</v>
      </c>
      <c r="O252" s="71" t="s">
        <v>88</v>
      </c>
      <c r="P252" s="71" t="s">
        <v>164</v>
      </c>
      <c r="Q252" s="71" t="s">
        <v>94</v>
      </c>
      <c r="R252" s="71" t="s">
        <v>111</v>
      </c>
    </row>
    <row r="253" spans="1:18">
      <c r="A253" s="71" t="str">
        <f>VLOOKUP(C253,classifications!C:F,4,FALSE)</f>
        <v>SD</v>
      </c>
      <c r="B253" s="71" t="s">
        <v>681</v>
      </c>
      <c r="C253" s="71" t="s">
        <v>29</v>
      </c>
      <c r="D253" s="71" t="s">
        <v>137</v>
      </c>
      <c r="E253" s="71" t="s">
        <v>92</v>
      </c>
      <c r="F253" s="71" t="s">
        <v>51</v>
      </c>
      <c r="G253" s="71" t="s">
        <v>41</v>
      </c>
      <c r="H253" s="71" t="s">
        <v>32</v>
      </c>
      <c r="I253" s="71" t="s">
        <v>84</v>
      </c>
      <c r="J253" s="71" t="s">
        <v>175</v>
      </c>
      <c r="K253" s="71" t="s">
        <v>134</v>
      </c>
      <c r="L253" s="71" t="s">
        <v>93</v>
      </c>
      <c r="M253" s="71" t="s">
        <v>34</v>
      </c>
      <c r="N253" s="71" t="s">
        <v>154</v>
      </c>
      <c r="O253" s="71" t="s">
        <v>165</v>
      </c>
      <c r="P253" s="71" t="s">
        <v>61</v>
      </c>
      <c r="Q253" s="71" t="s">
        <v>96</v>
      </c>
      <c r="R253" s="71" t="s">
        <v>33</v>
      </c>
    </row>
    <row r="254" spans="1:18">
      <c r="A254" s="71" t="str">
        <f>VLOOKUP(C254,classifications!C:F,4,FALSE)</f>
        <v>SD</v>
      </c>
      <c r="B254" s="71" t="s">
        <v>682</v>
      </c>
      <c r="C254" s="71" t="s">
        <v>48</v>
      </c>
      <c r="D254" s="71" t="s">
        <v>131</v>
      </c>
      <c r="E254" s="71" t="s">
        <v>176</v>
      </c>
      <c r="F254" s="71" t="s">
        <v>191</v>
      </c>
      <c r="G254" s="71" t="s">
        <v>73</v>
      </c>
      <c r="H254" s="71" t="s">
        <v>24</v>
      </c>
      <c r="I254" s="71" t="s">
        <v>59</v>
      </c>
      <c r="J254" s="71" t="s">
        <v>120</v>
      </c>
      <c r="K254" s="71" t="s">
        <v>128</v>
      </c>
      <c r="L254" s="71" t="s">
        <v>34</v>
      </c>
      <c r="M254" s="71" t="s">
        <v>156</v>
      </c>
      <c r="N254" s="71" t="s">
        <v>35</v>
      </c>
      <c r="O254" s="71" t="s">
        <v>66</v>
      </c>
      <c r="P254" s="71" t="s">
        <v>46</v>
      </c>
      <c r="Q254" s="71" t="s">
        <v>14</v>
      </c>
      <c r="R254" s="71" t="s">
        <v>91</v>
      </c>
    </row>
    <row r="255" spans="1:18">
      <c r="A255" s="71" t="str">
        <f>VLOOKUP(C255,classifications!C:F,4,FALSE)</f>
        <v>SD</v>
      </c>
      <c r="B255" s="71" t="s">
        <v>683</v>
      </c>
      <c r="C255" s="71" t="s">
        <v>51</v>
      </c>
      <c r="D255" s="71" t="s">
        <v>134</v>
      </c>
      <c r="E255" s="71" t="s">
        <v>137</v>
      </c>
      <c r="F255" s="71" t="s">
        <v>161</v>
      </c>
      <c r="G255" s="71" t="s">
        <v>177</v>
      </c>
      <c r="H255" s="71" t="s">
        <v>196</v>
      </c>
      <c r="I255" s="71" t="s">
        <v>29</v>
      </c>
      <c r="J255" s="71" t="s">
        <v>6</v>
      </c>
      <c r="K255" s="71" t="s">
        <v>84</v>
      </c>
      <c r="L255" s="71" t="s">
        <v>108</v>
      </c>
      <c r="M255" s="71" t="s">
        <v>184</v>
      </c>
      <c r="N255" s="71" t="s">
        <v>4</v>
      </c>
      <c r="O255" s="71" t="s">
        <v>15</v>
      </c>
      <c r="P255" s="71" t="s">
        <v>347</v>
      </c>
      <c r="Q255" s="71" t="s">
        <v>68</v>
      </c>
      <c r="R255" s="71" t="s">
        <v>92</v>
      </c>
    </row>
    <row r="256" spans="1:18">
      <c r="A256" s="71" t="str">
        <f>VLOOKUP(C256,classifications!C:F,4,FALSE)</f>
        <v>SD</v>
      </c>
      <c r="B256" s="71" t="s">
        <v>684</v>
      </c>
      <c r="C256" s="71" t="s">
        <v>75</v>
      </c>
      <c r="D256" s="71" t="s">
        <v>73</v>
      </c>
      <c r="E256" s="71" t="s">
        <v>24</v>
      </c>
      <c r="F256" s="71" t="s">
        <v>180</v>
      </c>
      <c r="G256" s="71" t="s">
        <v>122</v>
      </c>
      <c r="H256" s="71" t="s">
        <v>91</v>
      </c>
      <c r="I256" s="71" t="s">
        <v>90</v>
      </c>
      <c r="J256" s="71" t="s">
        <v>191</v>
      </c>
      <c r="K256" s="71" t="s">
        <v>128</v>
      </c>
      <c r="L256" s="71" t="s">
        <v>131</v>
      </c>
      <c r="M256" s="71" t="s">
        <v>348</v>
      </c>
      <c r="N256" s="71" t="s">
        <v>119</v>
      </c>
      <c r="O256" s="71" t="s">
        <v>162</v>
      </c>
      <c r="P256" s="71" t="s">
        <v>59</v>
      </c>
      <c r="Q256" s="71" t="s">
        <v>74</v>
      </c>
      <c r="R256" s="71" t="s">
        <v>161</v>
      </c>
    </row>
    <row r="257" spans="1:18">
      <c r="A257" s="71" t="str">
        <f>VLOOKUP(C257,classifications!C:F,4,FALSE)</f>
        <v>SD</v>
      </c>
      <c r="B257" s="71" t="s">
        <v>685</v>
      </c>
      <c r="C257" s="71" t="s">
        <v>96</v>
      </c>
      <c r="D257" s="71" t="s">
        <v>33</v>
      </c>
      <c r="E257" s="71" t="s">
        <v>41</v>
      </c>
      <c r="F257" s="71" t="s">
        <v>19</v>
      </c>
      <c r="G257" s="71" t="s">
        <v>88</v>
      </c>
      <c r="H257" s="71" t="s">
        <v>10</v>
      </c>
      <c r="I257" s="71" t="s">
        <v>111</v>
      </c>
      <c r="J257" s="71" t="s">
        <v>32</v>
      </c>
      <c r="K257" s="71" t="s">
        <v>56</v>
      </c>
      <c r="L257" s="71" t="s">
        <v>128</v>
      </c>
      <c r="M257" s="71" t="s">
        <v>344</v>
      </c>
      <c r="N257" s="71" t="s">
        <v>81</v>
      </c>
      <c r="O257" s="71" t="s">
        <v>35</v>
      </c>
      <c r="P257" s="71" t="s">
        <v>167</v>
      </c>
      <c r="Q257" s="71" t="s">
        <v>154</v>
      </c>
      <c r="R257" s="71" t="s">
        <v>47</v>
      </c>
    </row>
    <row r="258" spans="1:18">
      <c r="A258" s="71" t="str">
        <f>VLOOKUP(C258,classifications!C:F,4,FALSE)</f>
        <v>SD</v>
      </c>
      <c r="B258" s="71" t="s">
        <v>686</v>
      </c>
      <c r="C258" s="71" t="s">
        <v>136</v>
      </c>
      <c r="D258" s="71" t="s">
        <v>147</v>
      </c>
      <c r="E258" s="71" t="s">
        <v>55</v>
      </c>
      <c r="F258" s="71" t="s">
        <v>189</v>
      </c>
      <c r="G258" s="71" t="s">
        <v>64</v>
      </c>
      <c r="H258" s="71" t="s">
        <v>167</v>
      </c>
      <c r="I258" s="71" t="s">
        <v>186</v>
      </c>
      <c r="J258" s="71" t="s">
        <v>87</v>
      </c>
      <c r="K258" s="71" t="s">
        <v>174</v>
      </c>
      <c r="L258" s="71" t="s">
        <v>56</v>
      </c>
      <c r="M258" s="71" t="s">
        <v>178</v>
      </c>
      <c r="N258" s="71" t="s">
        <v>21</v>
      </c>
      <c r="O258" s="71" t="s">
        <v>104</v>
      </c>
      <c r="P258" s="71" t="s">
        <v>163</v>
      </c>
      <c r="Q258" s="71" t="s">
        <v>157</v>
      </c>
      <c r="R258" s="71" t="s">
        <v>173</v>
      </c>
    </row>
    <row r="259" spans="1:18">
      <c r="A259" s="71" t="e">
        <f>VLOOKUP(C259,classifications!C:F,4,FALSE)</f>
        <v>#N/A</v>
      </c>
      <c r="B259" s="71" t="s">
        <v>687</v>
      </c>
      <c r="C259" s="71" t="s">
        <v>137</v>
      </c>
      <c r="D259" s="71" t="s">
        <v>51</v>
      </c>
      <c r="E259" s="71" t="s">
        <v>29</v>
      </c>
      <c r="F259" s="71" t="s">
        <v>177</v>
      </c>
      <c r="G259" s="71" t="s">
        <v>192</v>
      </c>
      <c r="H259" s="71" t="s">
        <v>4</v>
      </c>
      <c r="I259" s="71" t="s">
        <v>134</v>
      </c>
      <c r="J259" s="71" t="s">
        <v>108</v>
      </c>
      <c r="K259" s="71" t="s">
        <v>169</v>
      </c>
      <c r="L259" s="71" t="s">
        <v>93</v>
      </c>
      <c r="M259" s="71" t="s">
        <v>133</v>
      </c>
      <c r="N259" s="71" t="s">
        <v>196</v>
      </c>
      <c r="O259" s="71" t="s">
        <v>92</v>
      </c>
      <c r="P259" s="71" t="s">
        <v>84</v>
      </c>
      <c r="Q259" s="71" t="s">
        <v>161</v>
      </c>
      <c r="R259" s="71" t="s">
        <v>166</v>
      </c>
    </row>
    <row r="260" spans="1:18">
      <c r="A260" s="71" t="str">
        <f>VLOOKUP(C260,classifications!C:F,4,FALSE)</f>
        <v>SD</v>
      </c>
      <c r="B260" s="71" t="s">
        <v>688</v>
      </c>
      <c r="C260" s="71" t="s">
        <v>161</v>
      </c>
      <c r="D260" s="71" t="s">
        <v>51</v>
      </c>
      <c r="E260" s="71" t="s">
        <v>134</v>
      </c>
      <c r="F260" s="71" t="s">
        <v>91</v>
      </c>
      <c r="G260" s="71" t="s">
        <v>348</v>
      </c>
      <c r="H260" s="71" t="s">
        <v>19</v>
      </c>
      <c r="I260" s="71" t="s">
        <v>65</v>
      </c>
      <c r="J260" s="71" t="s">
        <v>59</v>
      </c>
      <c r="K260" s="71" t="s">
        <v>73</v>
      </c>
      <c r="L260" s="71" t="s">
        <v>184</v>
      </c>
      <c r="M260" s="71" t="s">
        <v>137</v>
      </c>
      <c r="N260" s="71" t="s">
        <v>74</v>
      </c>
      <c r="O260" s="71" t="s">
        <v>61</v>
      </c>
      <c r="P260" s="71" t="s">
        <v>84</v>
      </c>
      <c r="Q260" s="71" t="s">
        <v>128</v>
      </c>
      <c r="R260" s="71" t="s">
        <v>196</v>
      </c>
    </row>
    <row r="261" spans="1:18">
      <c r="A261" s="71" t="str">
        <f>VLOOKUP(C261,classifications!C:F,4,FALSE)</f>
        <v>SD</v>
      </c>
      <c r="B261" s="71" t="s">
        <v>689</v>
      </c>
      <c r="C261" s="71" t="s">
        <v>169</v>
      </c>
      <c r="D261" s="71" t="s">
        <v>83</v>
      </c>
      <c r="E261" s="71" t="s">
        <v>76</v>
      </c>
      <c r="F261" s="71" t="s">
        <v>137</v>
      </c>
      <c r="G261" s="71" t="s">
        <v>177</v>
      </c>
      <c r="H261" s="71" t="s">
        <v>51</v>
      </c>
      <c r="I261" s="71" t="s">
        <v>133</v>
      </c>
      <c r="J261" s="71" t="s">
        <v>166</v>
      </c>
      <c r="K261" s="71" t="s">
        <v>60</v>
      </c>
      <c r="L261" s="71" t="s">
        <v>192</v>
      </c>
      <c r="M261" s="71" t="s">
        <v>74</v>
      </c>
      <c r="N261" s="71" t="s">
        <v>90</v>
      </c>
      <c r="O261" s="71" t="s">
        <v>13</v>
      </c>
      <c r="P261" s="71" t="s">
        <v>92</v>
      </c>
      <c r="Q261" s="71" t="s">
        <v>161</v>
      </c>
      <c r="R261" s="71" t="s">
        <v>119</v>
      </c>
    </row>
    <row r="262" spans="1:18">
      <c r="A262" s="71" t="str">
        <f>VLOOKUP(C262,classifications!C:F,4,FALSE)</f>
        <v>SD</v>
      </c>
      <c r="B262" s="71" t="s">
        <v>690</v>
      </c>
      <c r="C262" s="71" t="s">
        <v>351</v>
      </c>
      <c r="D262" s="71" t="s">
        <v>10</v>
      </c>
      <c r="E262" s="71" t="s">
        <v>167</v>
      </c>
      <c r="F262" s="71" t="s">
        <v>56</v>
      </c>
      <c r="G262" s="71" t="s">
        <v>96</v>
      </c>
      <c r="H262" s="71" t="s">
        <v>174</v>
      </c>
      <c r="I262" s="71" t="s">
        <v>189</v>
      </c>
      <c r="J262" s="71" t="s">
        <v>344</v>
      </c>
      <c r="K262" s="71" t="s">
        <v>173</v>
      </c>
      <c r="L262" s="71" t="s">
        <v>47</v>
      </c>
      <c r="M262" s="71" t="s">
        <v>33</v>
      </c>
      <c r="N262" s="71" t="s">
        <v>87</v>
      </c>
      <c r="O262" s="71" t="s">
        <v>136</v>
      </c>
      <c r="P262" s="71" t="s">
        <v>104</v>
      </c>
      <c r="Q262" s="71" t="s">
        <v>168</v>
      </c>
      <c r="R262" s="71" t="s">
        <v>147</v>
      </c>
    </row>
    <row r="263" spans="1:18">
      <c r="A263" s="71" t="str">
        <f>VLOOKUP(C263,classifications!C:F,4,FALSE)</f>
        <v>SD</v>
      </c>
      <c r="B263" s="71" t="s">
        <v>691</v>
      </c>
      <c r="C263" s="71" t="s">
        <v>172</v>
      </c>
      <c r="D263" s="71" t="s">
        <v>56</v>
      </c>
      <c r="E263" s="71" t="s">
        <v>47</v>
      </c>
      <c r="F263" s="71" t="s">
        <v>85</v>
      </c>
      <c r="G263" s="71" t="s">
        <v>104</v>
      </c>
      <c r="H263" s="71" t="s">
        <v>175</v>
      </c>
      <c r="I263" s="71" t="s">
        <v>111</v>
      </c>
      <c r="J263" s="71" t="s">
        <v>10</v>
      </c>
      <c r="K263" s="71" t="s">
        <v>351</v>
      </c>
      <c r="L263" s="71" t="s">
        <v>189</v>
      </c>
      <c r="M263" s="71" t="s">
        <v>24</v>
      </c>
      <c r="N263" s="71" t="s">
        <v>64</v>
      </c>
      <c r="O263" s="71" t="s">
        <v>96</v>
      </c>
      <c r="P263" s="71" t="s">
        <v>81</v>
      </c>
      <c r="Q263" s="71" t="s">
        <v>33</v>
      </c>
      <c r="R263" s="71" t="s">
        <v>87</v>
      </c>
    </row>
    <row r="264" spans="1:18">
      <c r="A264" s="71" t="str">
        <f>VLOOKUP(C264,classifications!C:F,4,FALSE)</f>
        <v>SD</v>
      </c>
      <c r="B264" s="71" t="s">
        <v>692</v>
      </c>
      <c r="C264" s="71" t="s">
        <v>26</v>
      </c>
      <c r="D264" s="71" t="s">
        <v>89</v>
      </c>
      <c r="E264" s="71" t="s">
        <v>119</v>
      </c>
      <c r="F264" s="71" t="s">
        <v>99</v>
      </c>
      <c r="G264" s="71" t="s">
        <v>9</v>
      </c>
      <c r="H264" s="71" t="s">
        <v>120</v>
      </c>
      <c r="I264" s="71" t="s">
        <v>28</v>
      </c>
      <c r="J264" s="71" t="s">
        <v>95</v>
      </c>
      <c r="K264" s="71" t="s">
        <v>348</v>
      </c>
      <c r="L264" s="71" t="s">
        <v>13</v>
      </c>
      <c r="M264" s="71" t="s">
        <v>17</v>
      </c>
      <c r="N264" s="71" t="s">
        <v>36</v>
      </c>
      <c r="O264" s="71" t="s">
        <v>191</v>
      </c>
      <c r="P264" s="71" t="s">
        <v>76</v>
      </c>
      <c r="Q264" s="71" t="s">
        <v>30</v>
      </c>
      <c r="R264" s="71" t="s">
        <v>126</v>
      </c>
    </row>
    <row r="265" spans="1:18">
      <c r="A265" s="71" t="str">
        <f>VLOOKUP(C265,classifications!C:F,4,FALSE)</f>
        <v>SD</v>
      </c>
      <c r="B265" s="71" t="s">
        <v>693</v>
      </c>
      <c r="C265" s="71" t="s">
        <v>39</v>
      </c>
      <c r="D265" s="71" t="s">
        <v>86</v>
      </c>
      <c r="E265" s="71" t="s">
        <v>148</v>
      </c>
      <c r="F265" s="71" t="s">
        <v>346</v>
      </c>
      <c r="G265" s="71" t="s">
        <v>347</v>
      </c>
      <c r="H265" s="71" t="s">
        <v>7</v>
      </c>
      <c r="I265" s="71" t="s">
        <v>58</v>
      </c>
      <c r="J265" s="71" t="s">
        <v>143</v>
      </c>
      <c r="K265" s="71" t="s">
        <v>72</v>
      </c>
      <c r="L265" s="71" t="s">
        <v>94</v>
      </c>
      <c r="M265" s="71" t="s">
        <v>19</v>
      </c>
      <c r="N265" s="71" t="s">
        <v>91</v>
      </c>
      <c r="O265" s="71" t="s">
        <v>184</v>
      </c>
      <c r="P265" s="71" t="s">
        <v>107</v>
      </c>
      <c r="Q265" s="71" t="s">
        <v>126</v>
      </c>
      <c r="R265" s="71" t="s">
        <v>140</v>
      </c>
    </row>
    <row r="266" spans="1:18">
      <c r="A266" s="71" t="str">
        <f>VLOOKUP(C266,classifications!C:F,4,FALSE)</f>
        <v>SD</v>
      </c>
      <c r="B266" s="71" t="s">
        <v>694</v>
      </c>
      <c r="C266" s="71" t="s">
        <v>71</v>
      </c>
      <c r="D266" s="71" t="s">
        <v>195</v>
      </c>
      <c r="E266" s="71" t="s">
        <v>165</v>
      </c>
      <c r="F266" s="71" t="s">
        <v>108</v>
      </c>
      <c r="G266" s="71" t="s">
        <v>141</v>
      </c>
      <c r="H266" s="71" t="s">
        <v>183</v>
      </c>
      <c r="I266" s="71" t="s">
        <v>171</v>
      </c>
      <c r="J266" s="71" t="s">
        <v>93</v>
      </c>
      <c r="K266" s="71" t="s">
        <v>53</v>
      </c>
      <c r="L266" s="71" t="s">
        <v>4</v>
      </c>
      <c r="M266" s="71" t="s">
        <v>182</v>
      </c>
      <c r="N266" s="71" t="s">
        <v>127</v>
      </c>
      <c r="O266" s="71" t="s">
        <v>8</v>
      </c>
      <c r="P266" s="71" t="s">
        <v>45</v>
      </c>
      <c r="Q266" s="71" t="s">
        <v>144</v>
      </c>
      <c r="R266" s="71" t="s">
        <v>159</v>
      </c>
    </row>
    <row r="267" spans="1:18">
      <c r="A267" s="71" t="str">
        <f>VLOOKUP(C267,classifications!C:F,4,FALSE)</f>
        <v>SD</v>
      </c>
      <c r="B267" s="71" t="s">
        <v>695</v>
      </c>
      <c r="C267" s="71" t="s">
        <v>89</v>
      </c>
      <c r="D267" s="71" t="s">
        <v>119</v>
      </c>
      <c r="E267" s="71" t="s">
        <v>26</v>
      </c>
      <c r="F267" s="71" t="s">
        <v>99</v>
      </c>
      <c r="G267" s="71" t="s">
        <v>9</v>
      </c>
      <c r="H267" s="71" t="s">
        <v>28</v>
      </c>
      <c r="I267" s="71" t="s">
        <v>126</v>
      </c>
      <c r="J267" s="71" t="s">
        <v>13</v>
      </c>
      <c r="K267" s="71" t="s">
        <v>348</v>
      </c>
      <c r="L267" s="71" t="s">
        <v>191</v>
      </c>
      <c r="M267" s="71" t="s">
        <v>120</v>
      </c>
      <c r="N267" s="71" t="s">
        <v>73</v>
      </c>
      <c r="O267" s="71" t="s">
        <v>30</v>
      </c>
      <c r="P267" s="71" t="s">
        <v>91</v>
      </c>
      <c r="Q267" s="71" t="s">
        <v>36</v>
      </c>
      <c r="R267" s="71" t="s">
        <v>17</v>
      </c>
    </row>
    <row r="268" spans="1:18">
      <c r="A268" s="71" t="str">
        <f>VLOOKUP(C268,classifications!C:F,4,FALSE)</f>
        <v>SD</v>
      </c>
      <c r="B268" s="71" t="s">
        <v>696</v>
      </c>
      <c r="C268" s="71" t="s">
        <v>92</v>
      </c>
      <c r="D268" s="71" t="s">
        <v>29</v>
      </c>
      <c r="E268" s="71" t="s">
        <v>30</v>
      </c>
      <c r="F268" s="71" t="s">
        <v>137</v>
      </c>
      <c r="G268" s="71" t="s">
        <v>51</v>
      </c>
      <c r="H268" s="71" t="s">
        <v>108</v>
      </c>
      <c r="I268" s="71" t="s">
        <v>195</v>
      </c>
      <c r="J268" s="71" t="s">
        <v>13</v>
      </c>
      <c r="K268" s="71" t="s">
        <v>191</v>
      </c>
      <c r="L268" s="71" t="s">
        <v>192</v>
      </c>
      <c r="M268" s="71" t="s">
        <v>133</v>
      </c>
      <c r="N268" s="71" t="s">
        <v>59</v>
      </c>
      <c r="O268" s="71" t="s">
        <v>34</v>
      </c>
      <c r="P268" s="71" t="s">
        <v>134</v>
      </c>
      <c r="Q268" s="71" t="s">
        <v>86</v>
      </c>
      <c r="R268" s="71" t="s">
        <v>4</v>
      </c>
    </row>
    <row r="269" spans="1:18">
      <c r="A269" s="71" t="str">
        <f>VLOOKUP(C269,classifications!C:F,4,FALSE)</f>
        <v>SD</v>
      </c>
      <c r="B269" s="71" t="s">
        <v>697</v>
      </c>
      <c r="C269" s="71" t="s">
        <v>119</v>
      </c>
      <c r="D269" s="71" t="s">
        <v>89</v>
      </c>
      <c r="E269" s="71" t="s">
        <v>99</v>
      </c>
      <c r="F269" s="71" t="s">
        <v>91</v>
      </c>
      <c r="G269" s="71" t="s">
        <v>73</v>
      </c>
      <c r="H269" s="71" t="s">
        <v>348</v>
      </c>
      <c r="I269" s="71" t="s">
        <v>191</v>
      </c>
      <c r="J269" s="71" t="s">
        <v>126</v>
      </c>
      <c r="K269" s="71" t="s">
        <v>28</v>
      </c>
      <c r="L269" s="71" t="s">
        <v>9</v>
      </c>
      <c r="M269" s="71" t="s">
        <v>65</v>
      </c>
      <c r="N269" s="71" t="s">
        <v>26</v>
      </c>
      <c r="O269" s="71" t="s">
        <v>59</v>
      </c>
      <c r="P269" s="71" t="s">
        <v>13</v>
      </c>
      <c r="Q269" s="71" t="s">
        <v>30</v>
      </c>
      <c r="R269" s="71" t="s">
        <v>75</v>
      </c>
    </row>
    <row r="270" spans="1:18">
      <c r="A270" s="71" t="str">
        <f>VLOOKUP(C270,classifications!C:F,4,FALSE)</f>
        <v>SD</v>
      </c>
      <c r="B270" s="71" t="s">
        <v>698</v>
      </c>
      <c r="C270" s="71" t="s">
        <v>120</v>
      </c>
      <c r="D270" s="71" t="s">
        <v>95</v>
      </c>
      <c r="E270" s="71" t="s">
        <v>90</v>
      </c>
      <c r="F270" s="71" t="s">
        <v>191</v>
      </c>
      <c r="G270" s="71" t="s">
        <v>73</v>
      </c>
      <c r="H270" s="71" t="s">
        <v>116</v>
      </c>
      <c r="I270" s="71" t="s">
        <v>28</v>
      </c>
      <c r="J270" s="71" t="s">
        <v>99</v>
      </c>
      <c r="K270" s="71" t="s">
        <v>89</v>
      </c>
      <c r="L270" s="71" t="s">
        <v>119</v>
      </c>
      <c r="M270" s="71" t="s">
        <v>131</v>
      </c>
      <c r="N270" s="71" t="s">
        <v>36</v>
      </c>
      <c r="O270" s="71" t="s">
        <v>348</v>
      </c>
      <c r="P270" s="71" t="s">
        <v>26</v>
      </c>
      <c r="Q270" s="71" t="s">
        <v>122</v>
      </c>
      <c r="R270" s="71" t="s">
        <v>30</v>
      </c>
    </row>
    <row r="271" spans="1:18">
      <c r="A271" s="71" t="str">
        <f>VLOOKUP(C271,classifications!C:F,4,FALSE)</f>
        <v>SD</v>
      </c>
      <c r="B271" s="71" t="s">
        <v>699</v>
      </c>
      <c r="C271" s="71" t="s">
        <v>123</v>
      </c>
      <c r="D271" s="71" t="s">
        <v>79</v>
      </c>
      <c r="E271" s="71" t="s">
        <v>97</v>
      </c>
      <c r="F271" s="71" t="s">
        <v>50</v>
      </c>
      <c r="G271" s="71" t="s">
        <v>124</v>
      </c>
      <c r="H271" s="71" t="s">
        <v>100</v>
      </c>
      <c r="I271" s="71" t="s">
        <v>109</v>
      </c>
      <c r="J271" s="71" t="s">
        <v>78</v>
      </c>
      <c r="K271" s="71" t="s">
        <v>62</v>
      </c>
      <c r="L271" s="71" t="s">
        <v>45</v>
      </c>
      <c r="M271" s="71" t="s">
        <v>23</v>
      </c>
      <c r="N271" s="71" t="s">
        <v>12</v>
      </c>
      <c r="O271" s="71" t="s">
        <v>132</v>
      </c>
      <c r="P271" s="71" t="s">
        <v>182</v>
      </c>
      <c r="Q271" s="71" t="s">
        <v>130</v>
      </c>
      <c r="R271" s="71" t="s">
        <v>168</v>
      </c>
    </row>
    <row r="272" spans="1:18">
      <c r="A272" s="71" t="str">
        <f>VLOOKUP(C272,classifications!C:F,4,FALSE)</f>
        <v>SD</v>
      </c>
      <c r="B272" s="71" t="s">
        <v>700</v>
      </c>
      <c r="C272" s="71" t="s">
        <v>126</v>
      </c>
      <c r="D272" s="71" t="s">
        <v>86</v>
      </c>
      <c r="E272" s="71" t="s">
        <v>39</v>
      </c>
      <c r="F272" s="71" t="s">
        <v>91</v>
      </c>
      <c r="G272" s="71" t="s">
        <v>28</v>
      </c>
      <c r="H272" s="71" t="s">
        <v>65</v>
      </c>
      <c r="I272" s="71" t="s">
        <v>347</v>
      </c>
      <c r="J272" s="71" t="s">
        <v>15</v>
      </c>
      <c r="K272" s="71" t="s">
        <v>184</v>
      </c>
      <c r="L272" s="71" t="s">
        <v>99</v>
      </c>
      <c r="M272" s="71" t="s">
        <v>9</v>
      </c>
      <c r="N272" s="71" t="s">
        <v>30</v>
      </c>
      <c r="O272" s="71" t="s">
        <v>7</v>
      </c>
      <c r="P272" s="71" t="s">
        <v>58</v>
      </c>
      <c r="Q272" s="71" t="s">
        <v>348</v>
      </c>
      <c r="R272" s="71" t="s">
        <v>196</v>
      </c>
    </row>
    <row r="273" spans="1:18">
      <c r="A273" s="71" t="str">
        <f>VLOOKUP(C273,classifications!C:F,4,FALSE)</f>
        <v>SD</v>
      </c>
      <c r="B273" s="71" t="s">
        <v>701</v>
      </c>
      <c r="C273" s="71" t="s">
        <v>148</v>
      </c>
      <c r="D273" s="71" t="s">
        <v>346</v>
      </c>
      <c r="E273" s="71" t="s">
        <v>39</v>
      </c>
      <c r="F273" s="71" t="s">
        <v>94</v>
      </c>
      <c r="G273" s="71" t="s">
        <v>72</v>
      </c>
      <c r="H273" s="71" t="s">
        <v>143</v>
      </c>
      <c r="I273" s="71" t="s">
        <v>7</v>
      </c>
      <c r="J273" s="71" t="s">
        <v>154</v>
      </c>
      <c r="K273" s="71" t="s">
        <v>16</v>
      </c>
      <c r="L273" s="71" t="s">
        <v>58</v>
      </c>
      <c r="M273" s="71" t="s">
        <v>86</v>
      </c>
      <c r="N273" s="71" t="s">
        <v>155</v>
      </c>
      <c r="O273" s="71" t="s">
        <v>347</v>
      </c>
      <c r="P273" s="71" t="s">
        <v>112</v>
      </c>
      <c r="Q273" s="71" t="s">
        <v>65</v>
      </c>
      <c r="R273" s="71" t="s">
        <v>91</v>
      </c>
    </row>
    <row r="274" spans="1:18">
      <c r="A274" s="71" t="str">
        <f>VLOOKUP(C274,classifications!C:F,4,FALSE)</f>
        <v>SD</v>
      </c>
      <c r="B274" s="71" t="s">
        <v>702</v>
      </c>
      <c r="C274" s="71" t="s">
        <v>184</v>
      </c>
      <c r="D274" s="71" t="s">
        <v>347</v>
      </c>
      <c r="E274" s="71" t="s">
        <v>7</v>
      </c>
      <c r="F274" s="71" t="s">
        <v>185</v>
      </c>
      <c r="G274" s="71" t="s">
        <v>15</v>
      </c>
      <c r="H274" s="71" t="s">
        <v>94</v>
      </c>
      <c r="I274" s="71" t="s">
        <v>115</v>
      </c>
      <c r="J274" s="71" t="s">
        <v>86</v>
      </c>
      <c r="K274" s="71" t="s">
        <v>346</v>
      </c>
      <c r="L274" s="71" t="s">
        <v>196</v>
      </c>
      <c r="M274" s="71" t="s">
        <v>143</v>
      </c>
      <c r="N274" s="71" t="s">
        <v>39</v>
      </c>
      <c r="O274" s="71" t="s">
        <v>150</v>
      </c>
      <c r="P274" s="71" t="s">
        <v>154</v>
      </c>
      <c r="Q274" s="71" t="s">
        <v>153</v>
      </c>
      <c r="R274" s="71" t="s">
        <v>19</v>
      </c>
    </row>
    <row r="275" spans="1:18">
      <c r="A275" s="71" t="str">
        <f>VLOOKUP(C275,classifications!C:F,4,FALSE)</f>
        <v>SD</v>
      </c>
      <c r="B275" s="71" t="s">
        <v>703</v>
      </c>
      <c r="C275" s="71" t="s">
        <v>195</v>
      </c>
      <c r="D275" s="71" t="s">
        <v>71</v>
      </c>
      <c r="E275" s="71" t="s">
        <v>108</v>
      </c>
      <c r="F275" s="71" t="s">
        <v>171</v>
      </c>
      <c r="G275" s="71" t="s">
        <v>165</v>
      </c>
      <c r="H275" s="71" t="s">
        <v>133</v>
      </c>
      <c r="I275" s="71" t="s">
        <v>177</v>
      </c>
      <c r="J275" s="71" t="s">
        <v>166</v>
      </c>
      <c r="K275" s="71" t="s">
        <v>92</v>
      </c>
      <c r="L275" s="71" t="s">
        <v>6</v>
      </c>
      <c r="M275" s="71" t="s">
        <v>113</v>
      </c>
      <c r="N275" s="71" t="s">
        <v>8</v>
      </c>
      <c r="O275" s="71" t="s">
        <v>4</v>
      </c>
      <c r="P275" s="71" t="s">
        <v>137</v>
      </c>
      <c r="Q275" s="71" t="s">
        <v>134</v>
      </c>
      <c r="R275" s="71" t="s">
        <v>51</v>
      </c>
    </row>
    <row r="276" spans="1:18">
      <c r="A276" s="71" t="str">
        <f>VLOOKUP(C276,classifications!C:F,4,FALSE)</f>
        <v>SD</v>
      </c>
      <c r="B276" s="71" t="s">
        <v>704</v>
      </c>
      <c r="C276" s="71" t="s">
        <v>16</v>
      </c>
      <c r="D276" s="71" t="s">
        <v>148</v>
      </c>
      <c r="E276" s="71" t="s">
        <v>346</v>
      </c>
      <c r="F276" s="71" t="s">
        <v>130</v>
      </c>
      <c r="G276" s="71" t="s">
        <v>58</v>
      </c>
      <c r="H276" s="71" t="s">
        <v>94</v>
      </c>
      <c r="I276" s="71" t="s">
        <v>112</v>
      </c>
      <c r="J276" s="71" t="s">
        <v>168</v>
      </c>
      <c r="K276" s="71" t="s">
        <v>154</v>
      </c>
      <c r="L276" s="71" t="s">
        <v>22</v>
      </c>
      <c r="M276" s="71" t="s">
        <v>128</v>
      </c>
      <c r="N276" s="71" t="s">
        <v>102</v>
      </c>
      <c r="O276" s="71" t="s">
        <v>79</v>
      </c>
      <c r="P276" s="71" t="s">
        <v>100</v>
      </c>
      <c r="Q276" s="71" t="s">
        <v>140</v>
      </c>
      <c r="R276" s="71" t="s">
        <v>349</v>
      </c>
    </row>
    <row r="277" spans="1:18">
      <c r="A277" s="71" t="str">
        <f>VLOOKUP(C277,classifications!C:F,4,FALSE)</f>
        <v>SD</v>
      </c>
      <c r="B277" s="71" t="s">
        <v>705</v>
      </c>
      <c r="C277" s="71" t="s">
        <v>32</v>
      </c>
      <c r="D277" s="71" t="s">
        <v>41</v>
      </c>
      <c r="E277" s="71" t="s">
        <v>154</v>
      </c>
      <c r="F277" s="71" t="s">
        <v>88</v>
      </c>
      <c r="G277" s="71" t="s">
        <v>96</v>
      </c>
      <c r="H277" s="71" t="s">
        <v>143</v>
      </c>
      <c r="I277" s="71" t="s">
        <v>19</v>
      </c>
      <c r="J277" s="71" t="s">
        <v>33</v>
      </c>
      <c r="K277" s="71" t="s">
        <v>148</v>
      </c>
      <c r="L277" s="71" t="s">
        <v>39</v>
      </c>
      <c r="M277" s="71" t="s">
        <v>72</v>
      </c>
      <c r="N277" s="71" t="s">
        <v>346</v>
      </c>
      <c r="O277" s="71" t="s">
        <v>175</v>
      </c>
      <c r="P277" s="71" t="s">
        <v>7</v>
      </c>
      <c r="Q277" s="71" t="s">
        <v>153</v>
      </c>
      <c r="R277" s="71" t="s">
        <v>94</v>
      </c>
    </row>
    <row r="278" spans="1:18">
      <c r="A278" s="71" t="str">
        <f>VLOOKUP(C278,classifications!C:F,4,FALSE)</f>
        <v>SD</v>
      </c>
      <c r="B278" s="71" t="s">
        <v>706</v>
      </c>
      <c r="C278" s="71" t="s">
        <v>79</v>
      </c>
      <c r="D278" s="71" t="s">
        <v>168</v>
      </c>
      <c r="E278" s="71" t="s">
        <v>123</v>
      </c>
      <c r="F278" s="71" t="s">
        <v>130</v>
      </c>
      <c r="G278" s="71" t="s">
        <v>146</v>
      </c>
      <c r="H278" s="71" t="s">
        <v>186</v>
      </c>
      <c r="I278" s="71" t="s">
        <v>97</v>
      </c>
      <c r="J278" s="71" t="s">
        <v>167</v>
      </c>
      <c r="K278" s="71" t="s">
        <v>100</v>
      </c>
      <c r="L278" s="71" t="s">
        <v>173</v>
      </c>
      <c r="M278" s="71" t="s">
        <v>55</v>
      </c>
      <c r="N278" s="71" t="s">
        <v>124</v>
      </c>
      <c r="O278" s="71" t="s">
        <v>23</v>
      </c>
      <c r="P278" s="71" t="s">
        <v>78</v>
      </c>
      <c r="Q278" s="71" t="s">
        <v>49</v>
      </c>
      <c r="R278" s="71" t="s">
        <v>103</v>
      </c>
    </row>
    <row r="279" spans="1:18">
      <c r="A279" s="71" t="str">
        <f>VLOOKUP(C279,classifications!C:F,4,FALSE)</f>
        <v>SD</v>
      </c>
      <c r="B279" s="71" t="s">
        <v>707</v>
      </c>
      <c r="C279" s="71" t="s">
        <v>346</v>
      </c>
      <c r="D279" s="71" t="s">
        <v>148</v>
      </c>
      <c r="E279" s="71" t="s">
        <v>155</v>
      </c>
      <c r="F279" s="71" t="s">
        <v>94</v>
      </c>
      <c r="G279" s="71" t="s">
        <v>112</v>
      </c>
      <c r="H279" s="71" t="s">
        <v>58</v>
      </c>
      <c r="I279" s="71" t="s">
        <v>39</v>
      </c>
      <c r="J279" s="71" t="s">
        <v>154</v>
      </c>
      <c r="K279" s="71" t="s">
        <v>7</v>
      </c>
      <c r="L279" s="71" t="s">
        <v>347</v>
      </c>
      <c r="M279" s="71" t="s">
        <v>158</v>
      </c>
      <c r="N279" s="71" t="s">
        <v>150</v>
      </c>
      <c r="O279" s="71" t="s">
        <v>140</v>
      </c>
      <c r="P279" s="71" t="s">
        <v>143</v>
      </c>
      <c r="Q279" s="71" t="s">
        <v>16</v>
      </c>
      <c r="R279" s="71" t="s">
        <v>100</v>
      </c>
    </row>
    <row r="280" spans="1:18">
      <c r="A280" s="71" t="str">
        <f>VLOOKUP(C280,classifications!C:F,4,FALSE)</f>
        <v>SD</v>
      </c>
      <c r="B280" s="71" t="s">
        <v>708</v>
      </c>
      <c r="C280" s="71" t="s">
        <v>100</v>
      </c>
      <c r="D280" s="71" t="s">
        <v>97</v>
      </c>
      <c r="E280" s="71" t="s">
        <v>124</v>
      </c>
      <c r="F280" s="71" t="s">
        <v>12</v>
      </c>
      <c r="G280" s="71" t="s">
        <v>168</v>
      </c>
      <c r="H280" s="71" t="s">
        <v>102</v>
      </c>
      <c r="I280" s="71" t="s">
        <v>109</v>
      </c>
      <c r="J280" s="71" t="s">
        <v>58</v>
      </c>
      <c r="K280" s="71" t="s">
        <v>70</v>
      </c>
      <c r="L280" s="71" t="s">
        <v>346</v>
      </c>
      <c r="M280" s="71" t="s">
        <v>103</v>
      </c>
      <c r="N280" s="71" t="s">
        <v>158</v>
      </c>
      <c r="O280" s="71" t="s">
        <v>79</v>
      </c>
      <c r="P280" s="71" t="s">
        <v>185</v>
      </c>
      <c r="Q280" s="71" t="s">
        <v>112</v>
      </c>
      <c r="R280" s="71" t="s">
        <v>94</v>
      </c>
    </row>
    <row r="281" spans="1:18">
      <c r="A281" s="71" t="str">
        <f>VLOOKUP(C281,classifications!C:F,4,FALSE)</f>
        <v>SD</v>
      </c>
      <c r="B281" s="71" t="s">
        <v>709</v>
      </c>
      <c r="C281" s="71" t="s">
        <v>115</v>
      </c>
      <c r="D281" s="71" t="s">
        <v>135</v>
      </c>
      <c r="E281" s="71" t="s">
        <v>114</v>
      </c>
      <c r="F281" s="71" t="s">
        <v>347</v>
      </c>
      <c r="G281" s="71" t="s">
        <v>15</v>
      </c>
      <c r="H281" s="71" t="s">
        <v>153</v>
      </c>
      <c r="I281" s="71" t="s">
        <v>184</v>
      </c>
      <c r="J281" s="71" t="s">
        <v>49</v>
      </c>
      <c r="K281" s="71" t="s">
        <v>58</v>
      </c>
      <c r="L281" s="71" t="s">
        <v>346</v>
      </c>
      <c r="M281" s="71" t="s">
        <v>59</v>
      </c>
      <c r="N281" s="71" t="s">
        <v>7</v>
      </c>
      <c r="O281" s="71" t="s">
        <v>140</v>
      </c>
      <c r="P281" s="71" t="s">
        <v>39</v>
      </c>
      <c r="Q281" s="71" t="s">
        <v>94</v>
      </c>
      <c r="R281" s="71" t="s">
        <v>100</v>
      </c>
    </row>
    <row r="282" spans="1:18">
      <c r="A282" s="71" t="str">
        <f>VLOOKUP(C282,classifications!C:F,4,FALSE)</f>
        <v>SD</v>
      </c>
      <c r="B282" s="71" t="s">
        <v>710</v>
      </c>
      <c r="C282" s="71" t="s">
        <v>349</v>
      </c>
      <c r="D282" s="71" t="s">
        <v>31</v>
      </c>
      <c r="E282" s="71" t="s">
        <v>72</v>
      </c>
      <c r="F282" s="71" t="s">
        <v>16</v>
      </c>
      <c r="G282" s="71" t="s">
        <v>25</v>
      </c>
      <c r="H282" s="71" t="s">
        <v>148</v>
      </c>
      <c r="I282" s="71" t="s">
        <v>346</v>
      </c>
      <c r="J282" s="71" t="s">
        <v>128</v>
      </c>
      <c r="K282" s="71" t="s">
        <v>94</v>
      </c>
      <c r="L282" s="71" t="s">
        <v>125</v>
      </c>
      <c r="M282" s="71" t="s">
        <v>58</v>
      </c>
      <c r="N282" s="71" t="s">
        <v>155</v>
      </c>
      <c r="O282" s="71" t="s">
        <v>91</v>
      </c>
      <c r="P282" s="71" t="s">
        <v>102</v>
      </c>
      <c r="Q282" s="71" t="s">
        <v>130</v>
      </c>
      <c r="R282" s="71" t="s">
        <v>112</v>
      </c>
    </row>
    <row r="283" spans="1:18">
      <c r="A283" s="71" t="str">
        <f>VLOOKUP(C283,classifications!C:F,4,FALSE)</f>
        <v>SD</v>
      </c>
      <c r="B283" s="71" t="s">
        <v>711</v>
      </c>
      <c r="C283" s="71" t="s">
        <v>18</v>
      </c>
      <c r="D283" s="71" t="s">
        <v>69</v>
      </c>
      <c r="E283" s="71" t="s">
        <v>68</v>
      </c>
      <c r="F283" s="71" t="s">
        <v>142</v>
      </c>
      <c r="G283" s="71" t="s">
        <v>180</v>
      </c>
      <c r="H283" s="71" t="s">
        <v>99</v>
      </c>
      <c r="I283" s="71" t="s">
        <v>15</v>
      </c>
      <c r="J283" s="71" t="s">
        <v>20</v>
      </c>
      <c r="K283" s="71" t="s">
        <v>30</v>
      </c>
      <c r="L283" s="71" t="s">
        <v>59</v>
      </c>
      <c r="M283" s="71" t="s">
        <v>17</v>
      </c>
      <c r="N283" s="71" t="s">
        <v>196</v>
      </c>
      <c r="O283" s="71" t="s">
        <v>91</v>
      </c>
      <c r="P283" s="71" t="s">
        <v>153</v>
      </c>
      <c r="Q283" s="71" t="s">
        <v>36</v>
      </c>
      <c r="R283" s="71" t="s">
        <v>42</v>
      </c>
    </row>
    <row r="284" spans="1:18">
      <c r="A284" s="71" t="str">
        <f>VLOOKUP(C284,classifications!C:F,4,FALSE)</f>
        <v>SD</v>
      </c>
      <c r="B284" s="71" t="s">
        <v>712</v>
      </c>
      <c r="C284" s="71" t="s">
        <v>57</v>
      </c>
      <c r="D284" s="71" t="s">
        <v>378</v>
      </c>
      <c r="E284" s="71" t="s">
        <v>7</v>
      </c>
      <c r="F284" s="71" t="s">
        <v>68</v>
      </c>
      <c r="G284" s="71" t="s">
        <v>166</v>
      </c>
      <c r="H284" s="71" t="s">
        <v>30</v>
      </c>
      <c r="I284" s="71" t="s">
        <v>20</v>
      </c>
      <c r="J284" s="71" t="s">
        <v>142</v>
      </c>
      <c r="K284" s="71" t="s">
        <v>15</v>
      </c>
      <c r="L284" s="71" t="s">
        <v>177</v>
      </c>
      <c r="M284" s="71" t="s">
        <v>6</v>
      </c>
      <c r="N284" s="71" t="s">
        <v>195</v>
      </c>
      <c r="O284" s="71" t="s">
        <v>196</v>
      </c>
      <c r="P284" s="71" t="s">
        <v>347</v>
      </c>
      <c r="Q284" s="71" t="s">
        <v>133</v>
      </c>
      <c r="R284" s="71" t="s">
        <v>185</v>
      </c>
    </row>
    <row r="285" spans="1:18">
      <c r="A285" s="71" t="str">
        <f>VLOOKUP(C285,classifications!C:F,4,FALSE)</f>
        <v>SD</v>
      </c>
      <c r="B285" s="71" t="s">
        <v>713</v>
      </c>
      <c r="C285" s="71" t="s">
        <v>95</v>
      </c>
      <c r="D285" s="71" t="s">
        <v>120</v>
      </c>
      <c r="E285" s="71" t="s">
        <v>90</v>
      </c>
      <c r="F285" s="71" t="s">
        <v>36</v>
      </c>
      <c r="G285" s="71" t="s">
        <v>191</v>
      </c>
      <c r="H285" s="71" t="s">
        <v>117</v>
      </c>
      <c r="I285" s="71" t="s">
        <v>28</v>
      </c>
      <c r="J285" s="71" t="s">
        <v>99</v>
      </c>
      <c r="K285" s="71" t="s">
        <v>66</v>
      </c>
      <c r="L285" s="71" t="s">
        <v>83</v>
      </c>
      <c r="M285" s="71" t="s">
        <v>73</v>
      </c>
      <c r="N285" s="71" t="s">
        <v>89</v>
      </c>
      <c r="O285" s="71" t="s">
        <v>26</v>
      </c>
      <c r="P285" s="71" t="s">
        <v>30</v>
      </c>
      <c r="Q285" s="71" t="s">
        <v>76</v>
      </c>
      <c r="R285" s="71" t="s">
        <v>119</v>
      </c>
    </row>
    <row r="286" spans="1:18">
      <c r="A286" s="71" t="str">
        <f>VLOOKUP(C286,classifications!C:F,4,FALSE)</f>
        <v>SD</v>
      </c>
      <c r="B286" s="71" t="s">
        <v>714</v>
      </c>
      <c r="C286" s="71" t="s">
        <v>112</v>
      </c>
      <c r="D286" s="71" t="s">
        <v>346</v>
      </c>
      <c r="E286" s="71" t="s">
        <v>185</v>
      </c>
      <c r="F286" s="71" t="s">
        <v>22</v>
      </c>
      <c r="G286" s="71" t="s">
        <v>155</v>
      </c>
      <c r="H286" s="71" t="s">
        <v>145</v>
      </c>
      <c r="I286" s="71" t="s">
        <v>12</v>
      </c>
      <c r="J286" s="71" t="s">
        <v>347</v>
      </c>
      <c r="K286" s="71" t="s">
        <v>150</v>
      </c>
      <c r="L286" s="71" t="s">
        <v>20</v>
      </c>
      <c r="M286" s="71" t="s">
        <v>70</v>
      </c>
      <c r="N286" s="71" t="s">
        <v>148</v>
      </c>
      <c r="O286" s="71" t="s">
        <v>158</v>
      </c>
      <c r="P286" s="71" t="s">
        <v>7</v>
      </c>
      <c r="Q286" s="71" t="s">
        <v>100</v>
      </c>
      <c r="R286" s="71" t="s">
        <v>140</v>
      </c>
    </row>
    <row r="287" spans="1:18">
      <c r="A287" s="71" t="str">
        <f>VLOOKUP(C287,classifications!C:F,4,FALSE)</f>
        <v>SD</v>
      </c>
      <c r="B287" s="71" t="s">
        <v>715</v>
      </c>
      <c r="C287" s="71" t="s">
        <v>142</v>
      </c>
      <c r="D287" s="71" t="s">
        <v>20</v>
      </c>
      <c r="E287" s="71" t="s">
        <v>378</v>
      </c>
      <c r="F287" s="71" t="s">
        <v>68</v>
      </c>
      <c r="G287" s="71" t="s">
        <v>185</v>
      </c>
      <c r="H287" s="71" t="s">
        <v>347</v>
      </c>
      <c r="I287" s="71" t="s">
        <v>70</v>
      </c>
      <c r="J287" s="71" t="s">
        <v>15</v>
      </c>
      <c r="K287" s="71" t="s">
        <v>112</v>
      </c>
      <c r="L287" s="71" t="s">
        <v>7</v>
      </c>
      <c r="M287" s="71" t="s">
        <v>153</v>
      </c>
      <c r="N287" s="71" t="s">
        <v>184</v>
      </c>
      <c r="O287" s="71" t="s">
        <v>18</v>
      </c>
      <c r="P287" s="71" t="s">
        <v>12</v>
      </c>
      <c r="Q287" s="71" t="s">
        <v>115</v>
      </c>
      <c r="R287" s="71" t="s">
        <v>155</v>
      </c>
    </row>
    <row r="288" spans="1:18">
      <c r="A288" s="71" t="str">
        <f>VLOOKUP(C288,classifications!C:F,4,FALSE)</f>
        <v>SD</v>
      </c>
      <c r="B288" s="71" t="s">
        <v>716</v>
      </c>
      <c r="C288" s="71" t="s">
        <v>143</v>
      </c>
      <c r="D288" s="71" t="s">
        <v>7</v>
      </c>
      <c r="E288" s="71" t="s">
        <v>347</v>
      </c>
      <c r="F288" s="71" t="s">
        <v>101</v>
      </c>
      <c r="G288" s="71" t="s">
        <v>154</v>
      </c>
      <c r="H288" s="71" t="s">
        <v>153</v>
      </c>
      <c r="I288" s="71" t="s">
        <v>148</v>
      </c>
      <c r="J288" s="71" t="s">
        <v>19</v>
      </c>
      <c r="K288" s="71" t="s">
        <v>346</v>
      </c>
      <c r="L288" s="71" t="s">
        <v>39</v>
      </c>
      <c r="M288" s="71" t="s">
        <v>94</v>
      </c>
      <c r="N288" s="71" t="s">
        <v>164</v>
      </c>
      <c r="O288" s="71" t="s">
        <v>86</v>
      </c>
      <c r="P288" s="71" t="s">
        <v>184</v>
      </c>
      <c r="Q288" s="71" t="s">
        <v>59</v>
      </c>
      <c r="R288" s="71" t="s">
        <v>58</v>
      </c>
    </row>
    <row r="289" spans="1:18">
      <c r="A289" s="71" t="str">
        <f>VLOOKUP(C289,classifications!C:F,4,FALSE)</f>
        <v>SD</v>
      </c>
      <c r="B289" s="71" t="s">
        <v>717</v>
      </c>
      <c r="C289" s="71" t="s">
        <v>185</v>
      </c>
      <c r="D289" s="71" t="s">
        <v>70</v>
      </c>
      <c r="E289" s="71" t="s">
        <v>112</v>
      </c>
      <c r="F289" s="71" t="s">
        <v>184</v>
      </c>
      <c r="G289" s="71" t="s">
        <v>347</v>
      </c>
      <c r="H289" s="71" t="s">
        <v>346</v>
      </c>
      <c r="I289" s="71" t="s">
        <v>7</v>
      </c>
      <c r="J289" s="71" t="s">
        <v>155</v>
      </c>
      <c r="K289" s="71" t="s">
        <v>20</v>
      </c>
      <c r="L289" s="71" t="s">
        <v>12</v>
      </c>
      <c r="M289" s="71" t="s">
        <v>100</v>
      </c>
      <c r="N289" s="71" t="s">
        <v>150</v>
      </c>
      <c r="O289" s="71" t="s">
        <v>110</v>
      </c>
      <c r="P289" s="71" t="s">
        <v>145</v>
      </c>
      <c r="Q289" s="71" t="s">
        <v>142</v>
      </c>
      <c r="R289" s="71" t="s">
        <v>58</v>
      </c>
    </row>
    <row r="290" spans="1:18">
      <c r="A290" s="71" t="str">
        <f>VLOOKUP(C290,classifications!C:F,4,FALSE)</f>
        <v>SD</v>
      </c>
      <c r="B290" s="71" t="s">
        <v>718</v>
      </c>
      <c r="C290" s="71" t="s">
        <v>20</v>
      </c>
      <c r="D290" s="71" t="s">
        <v>378</v>
      </c>
      <c r="E290" s="71" t="s">
        <v>142</v>
      </c>
      <c r="F290" s="71" t="s">
        <v>347</v>
      </c>
      <c r="G290" s="71" t="s">
        <v>185</v>
      </c>
      <c r="H290" s="71" t="s">
        <v>149</v>
      </c>
      <c r="I290" s="71" t="s">
        <v>112</v>
      </c>
      <c r="J290" s="71" t="s">
        <v>7</v>
      </c>
      <c r="K290" s="71" t="s">
        <v>153</v>
      </c>
      <c r="L290" s="71" t="s">
        <v>68</v>
      </c>
      <c r="M290" s="71" t="s">
        <v>143</v>
      </c>
      <c r="N290" s="71" t="s">
        <v>184</v>
      </c>
      <c r="O290" s="71" t="s">
        <v>70</v>
      </c>
      <c r="P290" s="71" t="s">
        <v>15</v>
      </c>
      <c r="Q290" s="71" t="s">
        <v>101</v>
      </c>
      <c r="R290" s="71" t="s">
        <v>110</v>
      </c>
    </row>
    <row r="291" spans="1:18">
      <c r="A291" s="71" t="str">
        <f>VLOOKUP(C291,classifications!C:F,4,FALSE)</f>
        <v>SD</v>
      </c>
      <c r="B291" s="71" t="s">
        <v>719</v>
      </c>
      <c r="C291" s="71" t="s">
        <v>22</v>
      </c>
      <c r="D291" s="71" t="s">
        <v>112</v>
      </c>
      <c r="E291" s="71" t="s">
        <v>155</v>
      </c>
      <c r="F291" s="71" t="s">
        <v>145</v>
      </c>
      <c r="G291" s="71" t="s">
        <v>346</v>
      </c>
      <c r="H291" s="71" t="s">
        <v>12</v>
      </c>
      <c r="I291" s="71" t="s">
        <v>150</v>
      </c>
      <c r="J291" s="71" t="s">
        <v>130</v>
      </c>
      <c r="K291" s="71" t="s">
        <v>103</v>
      </c>
      <c r="L291" s="71" t="s">
        <v>158</v>
      </c>
      <c r="M291" s="71" t="s">
        <v>154</v>
      </c>
      <c r="N291" s="71" t="s">
        <v>16</v>
      </c>
      <c r="O291" s="71" t="s">
        <v>94</v>
      </c>
      <c r="P291" s="71" t="s">
        <v>168</v>
      </c>
      <c r="Q291" s="71" t="s">
        <v>102</v>
      </c>
      <c r="R291" s="71" t="s">
        <v>149</v>
      </c>
    </row>
    <row r="292" spans="1:18">
      <c r="A292" s="71" t="str">
        <f>VLOOKUP(C292,classifications!C:F,4,FALSE)</f>
        <v>SD</v>
      </c>
      <c r="B292" s="71" t="s">
        <v>720</v>
      </c>
      <c r="C292" s="71" t="s">
        <v>76</v>
      </c>
      <c r="D292" s="71" t="s">
        <v>169</v>
      </c>
      <c r="E292" s="71" t="s">
        <v>177</v>
      </c>
      <c r="F292" s="71" t="s">
        <v>13</v>
      </c>
      <c r="G292" s="71" t="s">
        <v>51</v>
      </c>
      <c r="H292" s="71" t="s">
        <v>137</v>
      </c>
      <c r="I292" s="71" t="s">
        <v>83</v>
      </c>
      <c r="J292" s="71" t="s">
        <v>133</v>
      </c>
      <c r="K292" s="71" t="s">
        <v>36</v>
      </c>
      <c r="L292" s="71" t="s">
        <v>99</v>
      </c>
      <c r="M292" s="71" t="s">
        <v>166</v>
      </c>
      <c r="N292" s="71" t="s">
        <v>119</v>
      </c>
      <c r="O292" s="71" t="s">
        <v>6</v>
      </c>
      <c r="P292" s="71" t="s">
        <v>89</v>
      </c>
      <c r="Q292" s="71" t="s">
        <v>95</v>
      </c>
      <c r="R292" s="71" t="s">
        <v>196</v>
      </c>
    </row>
    <row r="293" spans="1:18">
      <c r="A293" s="71" t="str">
        <f>VLOOKUP(C293,classifications!C:F,4,FALSE)</f>
        <v>SD</v>
      </c>
      <c r="B293" s="71" t="s">
        <v>721</v>
      </c>
      <c r="C293" s="72" t="s">
        <v>378</v>
      </c>
      <c r="D293" s="71" t="s">
        <v>20</v>
      </c>
      <c r="E293" s="71" t="s">
        <v>149</v>
      </c>
      <c r="F293" s="71" t="s">
        <v>142</v>
      </c>
      <c r="G293" s="71" t="s">
        <v>347</v>
      </c>
      <c r="H293" s="71" t="s">
        <v>7</v>
      </c>
      <c r="I293" s="71" t="s">
        <v>185</v>
      </c>
      <c r="J293" s="71" t="s">
        <v>143</v>
      </c>
      <c r="K293" s="71" t="s">
        <v>101</v>
      </c>
      <c r="L293" s="71" t="s">
        <v>68</v>
      </c>
      <c r="M293" s="71" t="s">
        <v>153</v>
      </c>
      <c r="N293" s="71" t="s">
        <v>184</v>
      </c>
      <c r="O293" s="71" t="s">
        <v>57</v>
      </c>
      <c r="P293" s="71" t="s">
        <v>70</v>
      </c>
      <c r="Q293" s="71" t="s">
        <v>15</v>
      </c>
      <c r="R293" s="71" t="s">
        <v>145</v>
      </c>
    </row>
    <row r="294" spans="1:18">
      <c r="A294" s="71" t="str">
        <f>VLOOKUP(C294,classifications!C:F,4,FALSE)</f>
        <v>SD</v>
      </c>
      <c r="B294" s="71" t="s">
        <v>722</v>
      </c>
      <c r="C294" s="71" t="s">
        <v>113</v>
      </c>
      <c r="D294" s="71" t="s">
        <v>183</v>
      </c>
      <c r="E294" s="71" t="s">
        <v>127</v>
      </c>
      <c r="F294" s="71" t="s">
        <v>53</v>
      </c>
      <c r="G294" s="71" t="s">
        <v>171</v>
      </c>
      <c r="H294" s="71" t="s">
        <v>71</v>
      </c>
      <c r="I294" s="71" t="s">
        <v>165</v>
      </c>
      <c r="J294" s="71" t="s">
        <v>195</v>
      </c>
      <c r="K294" s="71" t="s">
        <v>187</v>
      </c>
      <c r="L294" s="71" t="s">
        <v>108</v>
      </c>
      <c r="M294" s="71" t="s">
        <v>141</v>
      </c>
      <c r="N294" s="71" t="s">
        <v>144</v>
      </c>
      <c r="O294" s="71" t="s">
        <v>166</v>
      </c>
      <c r="P294" s="71" t="s">
        <v>57</v>
      </c>
      <c r="Q294" s="71" t="s">
        <v>121</v>
      </c>
      <c r="R294" s="71" t="s">
        <v>37</v>
      </c>
    </row>
    <row r="295" spans="1:18">
      <c r="A295" s="71" t="str">
        <f>VLOOKUP(C295,classifications!C:F,4,FALSE)</f>
        <v>SD</v>
      </c>
      <c r="B295" s="71" t="s">
        <v>723</v>
      </c>
      <c r="C295" s="71" t="s">
        <v>117</v>
      </c>
      <c r="D295" s="71" t="s">
        <v>95</v>
      </c>
      <c r="E295" s="71" t="s">
        <v>90</v>
      </c>
      <c r="F295" s="71" t="s">
        <v>120</v>
      </c>
      <c r="G295" s="71" t="s">
        <v>66</v>
      </c>
      <c r="H295" s="71" t="s">
        <v>36</v>
      </c>
      <c r="I295" s="71" t="s">
        <v>80</v>
      </c>
      <c r="J295" s="71" t="s">
        <v>156</v>
      </c>
      <c r="K295" s="71" t="s">
        <v>191</v>
      </c>
      <c r="L295" s="71" t="s">
        <v>83</v>
      </c>
      <c r="M295" s="71" t="s">
        <v>181</v>
      </c>
      <c r="N295" s="71" t="s">
        <v>122</v>
      </c>
      <c r="O295" s="71" t="s">
        <v>73</v>
      </c>
      <c r="P295" s="71" t="s">
        <v>14</v>
      </c>
      <c r="Q295" s="71" t="s">
        <v>28</v>
      </c>
      <c r="R295" s="71" t="s">
        <v>76</v>
      </c>
    </row>
    <row r="296" spans="1:18">
      <c r="A296" s="71" t="str">
        <f>VLOOKUP(C296,classifications!C:F,4,FALSE)</f>
        <v>SD</v>
      </c>
      <c r="B296" s="71" t="s">
        <v>724</v>
      </c>
      <c r="C296" s="71" t="s">
        <v>145</v>
      </c>
      <c r="D296" s="71" t="s">
        <v>103</v>
      </c>
      <c r="E296" s="71" t="s">
        <v>12</v>
      </c>
      <c r="F296" s="71" t="s">
        <v>112</v>
      </c>
      <c r="G296" s="71" t="s">
        <v>22</v>
      </c>
      <c r="H296" s="71" t="s">
        <v>149</v>
      </c>
      <c r="I296" s="71" t="s">
        <v>193</v>
      </c>
      <c r="J296" s="71" t="s">
        <v>70</v>
      </c>
      <c r="K296" s="71" t="s">
        <v>109</v>
      </c>
      <c r="L296" s="71" t="s">
        <v>102</v>
      </c>
      <c r="M296" s="71" t="s">
        <v>78</v>
      </c>
      <c r="N296" s="71" t="s">
        <v>185</v>
      </c>
      <c r="O296" s="71" t="s">
        <v>158</v>
      </c>
      <c r="P296" s="71" t="s">
        <v>168</v>
      </c>
      <c r="Q296" s="71" t="s">
        <v>346</v>
      </c>
      <c r="R296" s="71" t="s">
        <v>130</v>
      </c>
    </row>
    <row r="297" spans="1:18">
      <c r="A297" s="71" t="str">
        <f>VLOOKUP(C297,classifications!C:F,4,FALSE)</f>
        <v>SD</v>
      </c>
      <c r="B297" s="71" t="s">
        <v>725</v>
      </c>
      <c r="C297" s="71" t="s">
        <v>45</v>
      </c>
      <c r="D297" s="71" t="s">
        <v>62</v>
      </c>
      <c r="E297" s="71" t="s">
        <v>132</v>
      </c>
      <c r="F297" s="71" t="s">
        <v>50</v>
      </c>
      <c r="G297" s="71" t="s">
        <v>182</v>
      </c>
      <c r="H297" s="71" t="s">
        <v>44</v>
      </c>
      <c r="I297" s="71" t="s">
        <v>123</v>
      </c>
      <c r="J297" s="71" t="s">
        <v>78</v>
      </c>
      <c r="K297" s="71" t="s">
        <v>141</v>
      </c>
      <c r="L297" s="71" t="s">
        <v>109</v>
      </c>
      <c r="M297" s="71" t="s">
        <v>101</v>
      </c>
      <c r="N297" s="71" t="s">
        <v>144</v>
      </c>
      <c r="O297" s="71" t="s">
        <v>12</v>
      </c>
      <c r="P297" s="71" t="s">
        <v>71</v>
      </c>
      <c r="Q297" s="71" t="s">
        <v>97</v>
      </c>
      <c r="R297" s="71" t="s">
        <v>157</v>
      </c>
    </row>
    <row r="298" spans="1:18">
      <c r="A298" s="71" t="str">
        <f>VLOOKUP(C298,classifications!C:F,4,FALSE)</f>
        <v>SD</v>
      </c>
      <c r="B298" s="71" t="s">
        <v>726</v>
      </c>
      <c r="C298" s="71" t="s">
        <v>78</v>
      </c>
      <c r="D298" s="71" t="s">
        <v>109</v>
      </c>
      <c r="E298" s="71" t="s">
        <v>12</v>
      </c>
      <c r="F298" s="71" t="s">
        <v>193</v>
      </c>
      <c r="G298" s="71" t="s">
        <v>157</v>
      </c>
      <c r="H298" s="71" t="s">
        <v>50</v>
      </c>
      <c r="I298" s="71" t="s">
        <v>44</v>
      </c>
      <c r="J298" s="71" t="s">
        <v>102</v>
      </c>
      <c r="K298" s="71" t="s">
        <v>97</v>
      </c>
      <c r="L298" s="71" t="s">
        <v>168</v>
      </c>
      <c r="M298" s="71" t="s">
        <v>62</v>
      </c>
      <c r="N298" s="71" t="s">
        <v>158</v>
      </c>
      <c r="O298" s="71" t="s">
        <v>98</v>
      </c>
      <c r="P298" s="71" t="s">
        <v>103</v>
      </c>
      <c r="Q298" s="71" t="s">
        <v>123</v>
      </c>
      <c r="R298" s="71" t="s">
        <v>94</v>
      </c>
    </row>
    <row r="299" spans="1:18">
      <c r="A299" s="71" t="str">
        <f>VLOOKUP(C299,classifications!C:F,4,FALSE)</f>
        <v>SD</v>
      </c>
      <c r="B299" s="71" t="s">
        <v>727</v>
      </c>
      <c r="C299" s="71" t="s">
        <v>124</v>
      </c>
      <c r="D299" s="71" t="s">
        <v>100</v>
      </c>
      <c r="E299" s="71" t="s">
        <v>97</v>
      </c>
      <c r="F299" s="71" t="s">
        <v>123</v>
      </c>
      <c r="G299" s="71" t="s">
        <v>79</v>
      </c>
      <c r="H299" s="71" t="s">
        <v>168</v>
      </c>
      <c r="I299" s="71" t="s">
        <v>78</v>
      </c>
      <c r="J299" s="71" t="s">
        <v>109</v>
      </c>
      <c r="K299" s="71" t="s">
        <v>158</v>
      </c>
      <c r="L299" s="71" t="s">
        <v>94</v>
      </c>
      <c r="M299" s="71" t="s">
        <v>102</v>
      </c>
      <c r="N299" s="71" t="s">
        <v>346</v>
      </c>
      <c r="O299" s="71" t="s">
        <v>12</v>
      </c>
      <c r="P299" s="71" t="s">
        <v>49</v>
      </c>
      <c r="Q299" s="71" t="s">
        <v>135</v>
      </c>
      <c r="R299" s="71" t="s">
        <v>103</v>
      </c>
    </row>
    <row r="300" spans="1:18">
      <c r="A300" s="71" t="str">
        <f>VLOOKUP(C300,classifications!C:F,4,FALSE)</f>
        <v>SD</v>
      </c>
      <c r="B300" s="71" t="s">
        <v>728</v>
      </c>
      <c r="C300" s="71" t="s">
        <v>133</v>
      </c>
      <c r="D300" s="71" t="s">
        <v>108</v>
      </c>
      <c r="E300" s="71" t="s">
        <v>195</v>
      </c>
      <c r="F300" s="71" t="s">
        <v>177</v>
      </c>
      <c r="G300" s="71" t="s">
        <v>137</v>
      </c>
      <c r="H300" s="71" t="s">
        <v>166</v>
      </c>
      <c r="I300" s="71" t="s">
        <v>92</v>
      </c>
      <c r="J300" s="71" t="s">
        <v>76</v>
      </c>
      <c r="K300" s="71" t="s">
        <v>51</v>
      </c>
      <c r="L300" s="71" t="s">
        <v>57</v>
      </c>
      <c r="M300" s="71" t="s">
        <v>71</v>
      </c>
      <c r="N300" s="71" t="s">
        <v>6</v>
      </c>
      <c r="O300" s="71" t="s">
        <v>169</v>
      </c>
      <c r="P300" s="71" t="s">
        <v>192</v>
      </c>
      <c r="Q300" s="71" t="s">
        <v>171</v>
      </c>
      <c r="R300" s="71" t="s">
        <v>13</v>
      </c>
    </row>
    <row r="301" spans="1:18">
      <c r="A301" s="71" t="str">
        <f>VLOOKUP(C301,classifications!C:F,4,FALSE)</f>
        <v>SD</v>
      </c>
      <c r="B301" s="71" t="s">
        <v>729</v>
      </c>
      <c r="C301" s="71" t="s">
        <v>81</v>
      </c>
      <c r="D301" s="71" t="s">
        <v>104</v>
      </c>
      <c r="E301" s="71" t="s">
        <v>96</v>
      </c>
      <c r="F301" s="71" t="s">
        <v>87</v>
      </c>
      <c r="G301" s="71" t="s">
        <v>175</v>
      </c>
      <c r="H301" s="71" t="s">
        <v>101</v>
      </c>
      <c r="I301" s="71" t="s">
        <v>33</v>
      </c>
      <c r="J301" s="71" t="s">
        <v>164</v>
      </c>
      <c r="K301" s="71" t="s">
        <v>56</v>
      </c>
      <c r="L301" s="71" t="s">
        <v>158</v>
      </c>
      <c r="M301" s="71" t="s">
        <v>55</v>
      </c>
      <c r="N301" s="71" t="s">
        <v>154</v>
      </c>
      <c r="O301" s="71" t="s">
        <v>157</v>
      </c>
      <c r="P301" s="71" t="s">
        <v>143</v>
      </c>
      <c r="Q301" s="71" t="s">
        <v>167</v>
      </c>
      <c r="R301" s="71" t="s">
        <v>149</v>
      </c>
    </row>
    <row r="302" spans="1:18">
      <c r="A302" s="71" t="str">
        <f>VLOOKUP(C302,classifications!C:F,4,FALSE)</f>
        <v>SD</v>
      </c>
      <c r="B302" s="71" t="s">
        <v>730</v>
      </c>
      <c r="C302" s="71" t="s">
        <v>132</v>
      </c>
      <c r="D302" s="71" t="s">
        <v>182</v>
      </c>
      <c r="E302" s="71" t="s">
        <v>50</v>
      </c>
      <c r="F302" s="71" t="s">
        <v>62</v>
      </c>
      <c r="G302" s="71" t="s">
        <v>45</v>
      </c>
      <c r="H302" s="71" t="s">
        <v>78</v>
      </c>
      <c r="I302" s="71" t="s">
        <v>44</v>
      </c>
      <c r="J302" s="71" t="s">
        <v>109</v>
      </c>
      <c r="K302" s="71" t="s">
        <v>97</v>
      </c>
      <c r="L302" s="71" t="s">
        <v>98</v>
      </c>
      <c r="M302" s="71" t="s">
        <v>123</v>
      </c>
      <c r="N302" s="71" t="s">
        <v>12</v>
      </c>
      <c r="O302" s="71" t="s">
        <v>101</v>
      </c>
      <c r="P302" s="71" t="s">
        <v>141</v>
      </c>
      <c r="Q302" s="71" t="s">
        <v>155</v>
      </c>
      <c r="R302" s="71" t="s">
        <v>100</v>
      </c>
    </row>
    <row r="303" spans="1:18">
      <c r="A303" s="71" t="str">
        <f>VLOOKUP(C303,classifications!C:F,4,FALSE)</f>
        <v>SD</v>
      </c>
      <c r="B303" s="71" t="s">
        <v>731</v>
      </c>
      <c r="C303" s="71" t="s">
        <v>135</v>
      </c>
      <c r="D303" s="71" t="s">
        <v>49</v>
      </c>
      <c r="E303" s="71" t="s">
        <v>115</v>
      </c>
      <c r="F303" s="71" t="s">
        <v>114</v>
      </c>
      <c r="G303" s="71" t="s">
        <v>168</v>
      </c>
      <c r="H303" s="71" t="s">
        <v>347</v>
      </c>
      <c r="I303" s="71" t="s">
        <v>140</v>
      </c>
      <c r="J303" s="71" t="s">
        <v>100</v>
      </c>
      <c r="K303" s="71" t="s">
        <v>346</v>
      </c>
      <c r="L303" s="71" t="s">
        <v>184</v>
      </c>
      <c r="M303" s="71" t="s">
        <v>94</v>
      </c>
      <c r="N303" s="71" t="s">
        <v>58</v>
      </c>
      <c r="O303" s="71" t="s">
        <v>153</v>
      </c>
      <c r="P303" s="71" t="s">
        <v>158</v>
      </c>
      <c r="Q303" s="71" t="s">
        <v>79</v>
      </c>
      <c r="R303" s="71" t="s">
        <v>124</v>
      </c>
    </row>
    <row r="304" spans="1:18">
      <c r="A304" s="71" t="e">
        <f>VLOOKUP(C304,classifications!C:F,4,FALSE)</f>
        <v>#N/A</v>
      </c>
      <c r="B304" s="71" t="s">
        <v>732</v>
      </c>
      <c r="C304" s="71" t="s">
        <v>43</v>
      </c>
      <c r="D304" s="71" t="s">
        <v>122</v>
      </c>
      <c r="E304" s="71" t="s">
        <v>162</v>
      </c>
      <c r="F304" s="71" t="s">
        <v>99</v>
      </c>
      <c r="G304" s="71" t="s">
        <v>348</v>
      </c>
      <c r="H304" s="71" t="s">
        <v>180</v>
      </c>
      <c r="I304" s="71" t="s">
        <v>9</v>
      </c>
      <c r="J304" s="71" t="s">
        <v>156</v>
      </c>
      <c r="K304" s="71" t="s">
        <v>91</v>
      </c>
      <c r="L304" s="71" t="s">
        <v>28</v>
      </c>
      <c r="M304" s="71" t="s">
        <v>73</v>
      </c>
      <c r="N304" s="71" t="s">
        <v>131</v>
      </c>
      <c r="O304" s="71" t="s">
        <v>89</v>
      </c>
      <c r="P304" s="71" t="s">
        <v>17</v>
      </c>
      <c r="Q304" s="71" t="s">
        <v>119</v>
      </c>
      <c r="R304" s="71" t="s">
        <v>18</v>
      </c>
    </row>
    <row r="305" spans="1:18">
      <c r="A305" s="71" t="e">
        <f>VLOOKUP(C305,classifications!C:F,4,FALSE)</f>
        <v>#N/A</v>
      </c>
      <c r="B305" s="71" t="s">
        <v>733</v>
      </c>
      <c r="C305" s="71" t="s">
        <v>49</v>
      </c>
      <c r="D305" s="71" t="s">
        <v>135</v>
      </c>
      <c r="E305" s="71" t="s">
        <v>115</v>
      </c>
      <c r="F305" s="71" t="s">
        <v>168</v>
      </c>
      <c r="G305" s="71" t="s">
        <v>79</v>
      </c>
      <c r="H305" s="71" t="s">
        <v>100</v>
      </c>
      <c r="I305" s="71" t="s">
        <v>114</v>
      </c>
      <c r="J305" s="71" t="s">
        <v>140</v>
      </c>
      <c r="K305" s="71" t="s">
        <v>167</v>
      </c>
      <c r="L305" s="71" t="s">
        <v>58</v>
      </c>
      <c r="M305" s="71" t="s">
        <v>124</v>
      </c>
      <c r="N305" s="71" t="s">
        <v>97</v>
      </c>
      <c r="O305" s="71" t="s">
        <v>158</v>
      </c>
      <c r="P305" s="71" t="s">
        <v>94</v>
      </c>
      <c r="Q305" s="71" t="s">
        <v>347</v>
      </c>
      <c r="R305" s="71" t="s">
        <v>346</v>
      </c>
    </row>
    <row r="306" spans="1:18">
      <c r="A306" s="71" t="e">
        <f>VLOOKUP(C306,classifications!C:F,4,FALSE)</f>
        <v>#N/A</v>
      </c>
      <c r="B306" s="71" t="s">
        <v>734</v>
      </c>
      <c r="C306" s="71" t="s">
        <v>58</v>
      </c>
      <c r="D306" s="71" t="s">
        <v>346</v>
      </c>
      <c r="E306" s="71" t="s">
        <v>140</v>
      </c>
      <c r="F306" s="71" t="s">
        <v>39</v>
      </c>
      <c r="G306" s="71" t="s">
        <v>94</v>
      </c>
      <c r="H306" s="71" t="s">
        <v>100</v>
      </c>
      <c r="I306" s="71" t="s">
        <v>148</v>
      </c>
      <c r="J306" s="71" t="s">
        <v>347</v>
      </c>
      <c r="K306" s="71" t="s">
        <v>128</v>
      </c>
      <c r="L306" s="71" t="s">
        <v>158</v>
      </c>
      <c r="M306" s="71" t="s">
        <v>91</v>
      </c>
      <c r="N306" s="71" t="s">
        <v>10</v>
      </c>
      <c r="O306" s="71" t="s">
        <v>102</v>
      </c>
      <c r="P306" s="71" t="s">
        <v>115</v>
      </c>
      <c r="Q306" s="71" t="s">
        <v>184</v>
      </c>
      <c r="R306" s="71" t="s">
        <v>143</v>
      </c>
    </row>
    <row r="307" spans="1:18">
      <c r="A307" s="71" t="e">
        <f>VLOOKUP(C307,classifications!C:F,4,FALSE)</f>
        <v>#N/A</v>
      </c>
      <c r="B307" s="71" t="s">
        <v>735</v>
      </c>
      <c r="C307" s="71" t="s">
        <v>91</v>
      </c>
      <c r="D307" s="71" t="s">
        <v>128</v>
      </c>
      <c r="E307" s="71" t="s">
        <v>59</v>
      </c>
      <c r="F307" s="71" t="s">
        <v>73</v>
      </c>
      <c r="G307" s="71" t="s">
        <v>348</v>
      </c>
      <c r="H307" s="71" t="s">
        <v>65</v>
      </c>
      <c r="I307" s="71" t="s">
        <v>39</v>
      </c>
      <c r="J307" s="71" t="s">
        <v>58</v>
      </c>
      <c r="K307" s="71" t="s">
        <v>86</v>
      </c>
      <c r="L307" s="71" t="s">
        <v>126</v>
      </c>
      <c r="M307" s="71" t="s">
        <v>72</v>
      </c>
      <c r="N307" s="71" t="s">
        <v>191</v>
      </c>
      <c r="O307" s="71" t="s">
        <v>180</v>
      </c>
      <c r="P307" s="71" t="s">
        <v>148</v>
      </c>
      <c r="Q307" s="71" t="s">
        <v>143</v>
      </c>
      <c r="R307" s="71" t="s">
        <v>19</v>
      </c>
    </row>
    <row r="308" spans="1:18">
      <c r="A308" s="71" t="e">
        <f>VLOOKUP(C308,classifications!C:F,4,FALSE)</f>
        <v>#N/A</v>
      </c>
      <c r="B308" s="71" t="s">
        <v>736</v>
      </c>
      <c r="C308" s="71" t="s">
        <v>116</v>
      </c>
      <c r="D308" s="71" t="s">
        <v>120</v>
      </c>
      <c r="E308" s="71" t="s">
        <v>14</v>
      </c>
      <c r="F308" s="71" t="s">
        <v>73</v>
      </c>
      <c r="G308" s="71" t="s">
        <v>90</v>
      </c>
      <c r="H308" s="71" t="s">
        <v>41</v>
      </c>
      <c r="I308" s="71" t="s">
        <v>131</v>
      </c>
      <c r="J308" s="71" t="s">
        <v>348</v>
      </c>
      <c r="K308" s="71" t="s">
        <v>191</v>
      </c>
      <c r="L308" s="71" t="s">
        <v>75</v>
      </c>
      <c r="M308" s="71" t="s">
        <v>122</v>
      </c>
      <c r="N308" s="71" t="s">
        <v>19</v>
      </c>
      <c r="O308" s="71" t="s">
        <v>96</v>
      </c>
      <c r="P308" s="71" t="s">
        <v>91</v>
      </c>
      <c r="Q308" s="71" t="s">
        <v>59</v>
      </c>
      <c r="R308" s="71" t="s">
        <v>32</v>
      </c>
    </row>
    <row r="309" spans="1:18">
      <c r="A309" s="71" t="e">
        <f>VLOOKUP(C309,classifications!C:F,4,FALSE)</f>
        <v>#N/A</v>
      </c>
      <c r="B309" s="71" t="s">
        <v>737</v>
      </c>
      <c r="C309" s="71" t="s">
        <v>146</v>
      </c>
      <c r="D309" s="71" t="s">
        <v>79</v>
      </c>
      <c r="E309" s="71" t="s">
        <v>103</v>
      </c>
      <c r="F309" s="71" t="s">
        <v>130</v>
      </c>
      <c r="G309" s="71" t="s">
        <v>173</v>
      </c>
      <c r="H309" s="71" t="s">
        <v>52</v>
      </c>
      <c r="I309" s="71" t="s">
        <v>186</v>
      </c>
      <c r="J309" s="71" t="s">
        <v>100</v>
      </c>
      <c r="K309" s="71" t="s">
        <v>124</v>
      </c>
      <c r="L309" s="71" t="s">
        <v>168</v>
      </c>
      <c r="M309" s="71" t="s">
        <v>145</v>
      </c>
      <c r="N309" s="71" t="s">
        <v>167</v>
      </c>
      <c r="O309" s="71" t="s">
        <v>147</v>
      </c>
      <c r="P309" s="71" t="s">
        <v>82</v>
      </c>
      <c r="Q309" s="71" t="s">
        <v>97</v>
      </c>
      <c r="R309" s="71" t="s">
        <v>55</v>
      </c>
    </row>
    <row r="310" spans="1:18">
      <c r="A310" s="71" t="e">
        <f>VLOOKUP(C310,classifications!C:F,4,FALSE)</f>
        <v>#N/A</v>
      </c>
      <c r="B310" s="71" t="s">
        <v>738</v>
      </c>
      <c r="C310" s="71" t="s">
        <v>180</v>
      </c>
      <c r="D310" s="71" t="s">
        <v>128</v>
      </c>
      <c r="E310" s="71" t="s">
        <v>91</v>
      </c>
      <c r="F310" s="71" t="s">
        <v>59</v>
      </c>
      <c r="G310" s="71" t="s">
        <v>75</v>
      </c>
      <c r="H310" s="71" t="s">
        <v>122</v>
      </c>
      <c r="I310" s="71" t="s">
        <v>69</v>
      </c>
      <c r="J310" s="71" t="s">
        <v>162</v>
      </c>
      <c r="K310" s="71" t="s">
        <v>153</v>
      </c>
      <c r="L310" s="71" t="s">
        <v>73</v>
      </c>
      <c r="M310" s="71" t="s">
        <v>10</v>
      </c>
      <c r="N310" s="71" t="s">
        <v>68</v>
      </c>
      <c r="O310" s="71" t="s">
        <v>58</v>
      </c>
      <c r="P310" s="71" t="s">
        <v>15</v>
      </c>
      <c r="Q310" s="71" t="s">
        <v>65</v>
      </c>
      <c r="R310" s="71" t="s">
        <v>196</v>
      </c>
    </row>
    <row r="311" spans="1:18">
      <c r="A311" s="71" t="str">
        <f>VLOOKUP(C311,classifications!C:F,4,FALSE)</f>
        <v>SD</v>
      </c>
      <c r="B311" s="71" t="s">
        <v>739</v>
      </c>
      <c r="C311" s="71" t="s">
        <v>9</v>
      </c>
      <c r="D311" s="71" t="s">
        <v>99</v>
      </c>
      <c r="E311" s="71" t="s">
        <v>348</v>
      </c>
      <c r="F311" s="71" t="s">
        <v>28</v>
      </c>
      <c r="G311" s="71" t="s">
        <v>17</v>
      </c>
      <c r="H311" s="71" t="s">
        <v>65</v>
      </c>
      <c r="I311" s="71" t="s">
        <v>107</v>
      </c>
      <c r="J311" s="71" t="s">
        <v>15</v>
      </c>
      <c r="K311" s="71" t="s">
        <v>30</v>
      </c>
      <c r="L311" s="71" t="s">
        <v>126</v>
      </c>
      <c r="M311" s="71" t="s">
        <v>36</v>
      </c>
      <c r="N311" s="71" t="s">
        <v>162</v>
      </c>
      <c r="O311" s="71" t="s">
        <v>91</v>
      </c>
      <c r="P311" s="71" t="s">
        <v>119</v>
      </c>
      <c r="Q311" s="71" t="s">
        <v>7</v>
      </c>
      <c r="R311" s="71" t="s">
        <v>89</v>
      </c>
    </row>
    <row r="312" spans="1:18">
      <c r="A312" s="71" t="str">
        <f>VLOOKUP(C312,classifications!C:F,4,FALSE)</f>
        <v>SD</v>
      </c>
      <c r="B312" s="71" t="s">
        <v>740</v>
      </c>
      <c r="C312" s="71" t="s">
        <v>15</v>
      </c>
      <c r="D312" s="71" t="s">
        <v>347</v>
      </c>
      <c r="E312" s="71" t="s">
        <v>30</v>
      </c>
      <c r="F312" s="71" t="s">
        <v>7</v>
      </c>
      <c r="G312" s="71" t="s">
        <v>115</v>
      </c>
      <c r="H312" s="71" t="s">
        <v>184</v>
      </c>
      <c r="I312" s="71" t="s">
        <v>42</v>
      </c>
      <c r="J312" s="71" t="s">
        <v>59</v>
      </c>
      <c r="K312" s="71" t="s">
        <v>196</v>
      </c>
      <c r="L312" s="71" t="s">
        <v>107</v>
      </c>
      <c r="M312" s="71" t="s">
        <v>153</v>
      </c>
      <c r="N312" s="71" t="s">
        <v>65</v>
      </c>
      <c r="O312" s="71" t="s">
        <v>143</v>
      </c>
      <c r="P312" s="71" t="s">
        <v>68</v>
      </c>
      <c r="Q312" s="71" t="s">
        <v>86</v>
      </c>
      <c r="R312" s="71" t="s">
        <v>39</v>
      </c>
    </row>
    <row r="313" spans="1:18">
      <c r="A313" s="71" t="str">
        <f>VLOOKUP(C313,classifications!C:F,4,FALSE)</f>
        <v>SD</v>
      </c>
      <c r="B313" s="71" t="s">
        <v>741</v>
      </c>
      <c r="C313" s="71" t="s">
        <v>25</v>
      </c>
      <c r="D313" s="71" t="s">
        <v>72</v>
      </c>
      <c r="E313" s="71" t="s">
        <v>65</v>
      </c>
      <c r="F313" s="71" t="s">
        <v>7</v>
      </c>
      <c r="G313" s="71" t="s">
        <v>31</v>
      </c>
      <c r="H313" s="71" t="s">
        <v>148</v>
      </c>
      <c r="I313" s="71" t="s">
        <v>39</v>
      </c>
      <c r="J313" s="71" t="s">
        <v>346</v>
      </c>
      <c r="K313" s="71" t="s">
        <v>86</v>
      </c>
      <c r="L313" s="71" t="s">
        <v>107</v>
      </c>
      <c r="M313" s="71" t="s">
        <v>143</v>
      </c>
      <c r="N313" s="71" t="s">
        <v>155</v>
      </c>
      <c r="O313" s="71" t="s">
        <v>32</v>
      </c>
      <c r="P313" s="71" t="s">
        <v>196</v>
      </c>
      <c r="Q313" s="71" t="s">
        <v>349</v>
      </c>
      <c r="R313" s="71" t="s">
        <v>150</v>
      </c>
    </row>
    <row r="314" spans="1:18">
      <c r="A314" s="71" t="str">
        <f>VLOOKUP(C314,classifications!C:F,4,FALSE)</f>
        <v>SD</v>
      </c>
      <c r="B314" s="71" t="s">
        <v>742</v>
      </c>
      <c r="C314" s="71" t="s">
        <v>72</v>
      </c>
      <c r="D314" s="71" t="s">
        <v>65</v>
      </c>
      <c r="E314" s="71" t="s">
        <v>25</v>
      </c>
      <c r="F314" s="71" t="s">
        <v>148</v>
      </c>
      <c r="G314" s="71" t="s">
        <v>31</v>
      </c>
      <c r="H314" s="71" t="s">
        <v>39</v>
      </c>
      <c r="I314" s="71" t="s">
        <v>346</v>
      </c>
      <c r="J314" s="71" t="s">
        <v>7</v>
      </c>
      <c r="K314" s="71" t="s">
        <v>91</v>
      </c>
      <c r="L314" s="71" t="s">
        <v>143</v>
      </c>
      <c r="M314" s="71" t="s">
        <v>196</v>
      </c>
      <c r="N314" s="71" t="s">
        <v>86</v>
      </c>
      <c r="O314" s="71" t="s">
        <v>94</v>
      </c>
      <c r="P314" s="71" t="s">
        <v>107</v>
      </c>
      <c r="Q314" s="71" t="s">
        <v>150</v>
      </c>
      <c r="R314" s="71" t="s">
        <v>184</v>
      </c>
    </row>
    <row r="315" spans="1:18">
      <c r="A315" s="71" t="str">
        <f>VLOOKUP(C315,classifications!C:F,4,FALSE)</f>
        <v>SD</v>
      </c>
      <c r="B315" s="71" t="s">
        <v>743</v>
      </c>
      <c r="C315" s="71" t="s">
        <v>99</v>
      </c>
      <c r="D315" s="71" t="s">
        <v>9</v>
      </c>
      <c r="E315" s="71" t="s">
        <v>348</v>
      </c>
      <c r="F315" s="71" t="s">
        <v>28</v>
      </c>
      <c r="G315" s="71" t="s">
        <v>36</v>
      </c>
      <c r="H315" s="71" t="s">
        <v>65</v>
      </c>
      <c r="I315" s="71" t="s">
        <v>30</v>
      </c>
      <c r="J315" s="71" t="s">
        <v>107</v>
      </c>
      <c r="K315" s="71" t="s">
        <v>17</v>
      </c>
      <c r="L315" s="71" t="s">
        <v>196</v>
      </c>
      <c r="M315" s="71" t="s">
        <v>15</v>
      </c>
      <c r="N315" s="71" t="s">
        <v>162</v>
      </c>
      <c r="O315" s="71" t="s">
        <v>119</v>
      </c>
      <c r="P315" s="71" t="s">
        <v>91</v>
      </c>
      <c r="Q315" s="71" t="s">
        <v>126</v>
      </c>
      <c r="R315" s="71" t="s">
        <v>191</v>
      </c>
    </row>
    <row r="316" spans="1:18">
      <c r="A316" s="71" t="str">
        <f>VLOOKUP(C316,classifications!C:F,4,FALSE)</f>
        <v>SD</v>
      </c>
      <c r="B316" s="71" t="s">
        <v>744</v>
      </c>
      <c r="C316" s="71" t="s">
        <v>347</v>
      </c>
      <c r="D316" s="71" t="s">
        <v>184</v>
      </c>
      <c r="E316" s="71" t="s">
        <v>7</v>
      </c>
      <c r="F316" s="71" t="s">
        <v>15</v>
      </c>
      <c r="G316" s="71" t="s">
        <v>143</v>
      </c>
      <c r="H316" s="71" t="s">
        <v>39</v>
      </c>
      <c r="I316" s="71" t="s">
        <v>115</v>
      </c>
      <c r="J316" s="71" t="s">
        <v>346</v>
      </c>
      <c r="K316" s="71" t="s">
        <v>185</v>
      </c>
      <c r="L316" s="71" t="s">
        <v>153</v>
      </c>
      <c r="M316" s="71" t="s">
        <v>86</v>
      </c>
      <c r="N316" s="71" t="s">
        <v>20</v>
      </c>
      <c r="O316" s="71" t="s">
        <v>58</v>
      </c>
      <c r="P316" s="71" t="s">
        <v>19</v>
      </c>
      <c r="Q316" s="71" t="s">
        <v>158</v>
      </c>
      <c r="R316" s="71" t="s">
        <v>94</v>
      </c>
    </row>
    <row r="317" spans="1:18">
      <c r="A317" s="71" t="str">
        <f>VLOOKUP(C317,classifications!C:F,4,FALSE)</f>
        <v>SD</v>
      </c>
      <c r="B317" s="71" t="s">
        <v>745</v>
      </c>
      <c r="C317" s="71" t="s">
        <v>130</v>
      </c>
      <c r="D317" s="71" t="s">
        <v>79</v>
      </c>
      <c r="E317" s="71" t="s">
        <v>94</v>
      </c>
      <c r="F317" s="71" t="s">
        <v>168</v>
      </c>
      <c r="G317" s="71" t="s">
        <v>158</v>
      </c>
      <c r="H317" s="71" t="s">
        <v>23</v>
      </c>
      <c r="I317" s="71" t="s">
        <v>346</v>
      </c>
      <c r="J317" s="71" t="s">
        <v>16</v>
      </c>
      <c r="K317" s="71" t="s">
        <v>55</v>
      </c>
      <c r="L317" s="71" t="s">
        <v>146</v>
      </c>
      <c r="M317" s="71" t="s">
        <v>186</v>
      </c>
      <c r="N317" s="71" t="s">
        <v>167</v>
      </c>
      <c r="O317" s="71" t="s">
        <v>12</v>
      </c>
      <c r="P317" s="71" t="s">
        <v>97</v>
      </c>
      <c r="Q317" s="71" t="s">
        <v>154</v>
      </c>
      <c r="R317" s="71" t="s">
        <v>78</v>
      </c>
    </row>
    <row r="318" spans="1:18">
      <c r="A318" s="71" t="str">
        <f>VLOOKUP(C318,classifications!C:F,4,FALSE)</f>
        <v>SD</v>
      </c>
      <c r="B318" s="71" t="s">
        <v>746</v>
      </c>
      <c r="C318" s="71" t="s">
        <v>35</v>
      </c>
      <c r="D318" s="71" t="s">
        <v>88</v>
      </c>
      <c r="E318" s="71" t="s">
        <v>96</v>
      </c>
      <c r="F318" s="71" t="s">
        <v>128</v>
      </c>
      <c r="G318" s="71" t="s">
        <v>11</v>
      </c>
      <c r="H318" s="71" t="s">
        <v>167</v>
      </c>
      <c r="I318" s="71" t="s">
        <v>174</v>
      </c>
      <c r="J318" s="71" t="s">
        <v>344</v>
      </c>
      <c r="K318" s="71" t="s">
        <v>10</v>
      </c>
      <c r="L318" s="71" t="s">
        <v>194</v>
      </c>
      <c r="M318" s="71" t="s">
        <v>33</v>
      </c>
      <c r="N318" s="71" t="s">
        <v>186</v>
      </c>
      <c r="O318" s="71" t="s">
        <v>41</v>
      </c>
      <c r="P318" s="71" t="s">
        <v>147</v>
      </c>
      <c r="Q318" s="71" t="s">
        <v>111</v>
      </c>
      <c r="R318" s="71" t="s">
        <v>153</v>
      </c>
    </row>
    <row r="319" spans="1:18">
      <c r="A319" s="71" t="str">
        <f>VLOOKUP(C319,classifications!C:F,4,FALSE)</f>
        <v>SD</v>
      </c>
      <c r="B319" s="71" t="s">
        <v>747</v>
      </c>
      <c r="C319" s="71" t="s">
        <v>118</v>
      </c>
      <c r="D319" s="71" t="s">
        <v>27</v>
      </c>
      <c r="E319" s="71" t="s">
        <v>176</v>
      </c>
      <c r="F319" s="71" t="s">
        <v>131</v>
      </c>
      <c r="G319" s="71" t="s">
        <v>181</v>
      </c>
      <c r="H319" s="71" t="s">
        <v>66</v>
      </c>
      <c r="I319" s="71" t="s">
        <v>34</v>
      </c>
      <c r="J319" s="71" t="s">
        <v>46</v>
      </c>
      <c r="K319" s="71" t="s">
        <v>116</v>
      </c>
      <c r="L319" s="71" t="s">
        <v>175</v>
      </c>
      <c r="M319" s="71" t="s">
        <v>41</v>
      </c>
      <c r="N319" s="71" t="s">
        <v>190</v>
      </c>
      <c r="O319" s="71" t="s">
        <v>47</v>
      </c>
      <c r="P319" s="71" t="s">
        <v>156</v>
      </c>
      <c r="Q319" s="71" t="s">
        <v>120</v>
      </c>
      <c r="R319" s="71" t="s">
        <v>48</v>
      </c>
    </row>
    <row r="320" spans="1:18">
      <c r="A320" s="71" t="str">
        <f>VLOOKUP(C320,classifications!C:F,4,FALSE)</f>
        <v>SD</v>
      </c>
      <c r="B320" s="71" t="s">
        <v>748</v>
      </c>
      <c r="C320" s="71" t="s">
        <v>147</v>
      </c>
      <c r="D320" s="71" t="s">
        <v>136</v>
      </c>
      <c r="E320" s="71" t="s">
        <v>55</v>
      </c>
      <c r="F320" s="71" t="s">
        <v>186</v>
      </c>
      <c r="G320" s="71" t="s">
        <v>167</v>
      </c>
      <c r="H320" s="71" t="s">
        <v>174</v>
      </c>
      <c r="I320" s="71" t="s">
        <v>11</v>
      </c>
      <c r="J320" s="71" t="s">
        <v>56</v>
      </c>
      <c r="K320" s="71" t="s">
        <v>189</v>
      </c>
      <c r="L320" s="71" t="s">
        <v>64</v>
      </c>
      <c r="M320" s="71" t="s">
        <v>87</v>
      </c>
      <c r="N320" s="71" t="s">
        <v>139</v>
      </c>
      <c r="O320" s="71" t="s">
        <v>79</v>
      </c>
      <c r="P320" s="71" t="s">
        <v>104</v>
      </c>
      <c r="Q320" s="71" t="s">
        <v>82</v>
      </c>
      <c r="R320" s="71" t="s">
        <v>130</v>
      </c>
    </row>
    <row r="321" spans="1:18">
      <c r="A321" s="71" t="str">
        <f>VLOOKUP(C321,classifications!C:F,4,FALSE)</f>
        <v>SD</v>
      </c>
      <c r="B321" s="71" t="s">
        <v>749</v>
      </c>
      <c r="C321" s="71" t="s">
        <v>174</v>
      </c>
      <c r="D321" s="71" t="s">
        <v>167</v>
      </c>
      <c r="E321" s="71" t="s">
        <v>147</v>
      </c>
      <c r="F321" s="71" t="s">
        <v>189</v>
      </c>
      <c r="G321" s="71" t="s">
        <v>186</v>
      </c>
      <c r="H321" s="71" t="s">
        <v>136</v>
      </c>
      <c r="I321" s="71" t="s">
        <v>55</v>
      </c>
      <c r="J321" s="71" t="s">
        <v>139</v>
      </c>
      <c r="K321" s="71" t="s">
        <v>35</v>
      </c>
      <c r="L321" s="71" t="s">
        <v>56</v>
      </c>
      <c r="M321" s="71" t="s">
        <v>351</v>
      </c>
      <c r="N321" s="71" t="s">
        <v>168</v>
      </c>
      <c r="O321" s="71" t="s">
        <v>64</v>
      </c>
      <c r="P321" s="71" t="s">
        <v>194</v>
      </c>
      <c r="Q321" s="71" t="s">
        <v>11</v>
      </c>
      <c r="R321" s="71" t="s">
        <v>104</v>
      </c>
    </row>
    <row r="322" spans="1:18">
      <c r="A322" s="71" t="str">
        <f>VLOOKUP(C322,classifications!C:F,4,FALSE)</f>
        <v>SD</v>
      </c>
      <c r="B322" s="71" t="s">
        <v>750</v>
      </c>
      <c r="C322" s="71" t="s">
        <v>186</v>
      </c>
      <c r="D322" s="71" t="s">
        <v>167</v>
      </c>
      <c r="E322" s="71" t="s">
        <v>147</v>
      </c>
      <c r="F322" s="71" t="s">
        <v>55</v>
      </c>
      <c r="G322" s="71" t="s">
        <v>174</v>
      </c>
      <c r="H322" s="71" t="s">
        <v>136</v>
      </c>
      <c r="I322" s="71" t="s">
        <v>158</v>
      </c>
      <c r="J322" s="71" t="s">
        <v>168</v>
      </c>
      <c r="K322" s="71" t="s">
        <v>79</v>
      </c>
      <c r="L322" s="71" t="s">
        <v>130</v>
      </c>
      <c r="M322" s="71" t="s">
        <v>97</v>
      </c>
      <c r="N322" s="71" t="s">
        <v>189</v>
      </c>
      <c r="O322" s="71" t="s">
        <v>64</v>
      </c>
      <c r="P322" s="71" t="s">
        <v>78</v>
      </c>
      <c r="Q322" s="71" t="s">
        <v>157</v>
      </c>
      <c r="R322" s="71" t="s">
        <v>146</v>
      </c>
    </row>
    <row r="323" spans="1:18">
      <c r="A323" s="71" t="str">
        <f>VLOOKUP(C323,classifications!C:F,4,FALSE)</f>
        <v>SD</v>
      </c>
      <c r="B323" s="71" t="s">
        <v>751</v>
      </c>
      <c r="C323" s="71" t="s">
        <v>101</v>
      </c>
      <c r="D323" s="71" t="s">
        <v>164</v>
      </c>
      <c r="E323" s="71" t="s">
        <v>153</v>
      </c>
      <c r="F323" s="71" t="s">
        <v>158</v>
      </c>
      <c r="G323" s="71" t="s">
        <v>143</v>
      </c>
      <c r="H323" s="71" t="s">
        <v>102</v>
      </c>
      <c r="I323" s="71" t="s">
        <v>12</v>
      </c>
      <c r="J323" s="71" t="s">
        <v>149</v>
      </c>
      <c r="K323" s="71" t="s">
        <v>154</v>
      </c>
      <c r="L323" s="71" t="s">
        <v>109</v>
      </c>
      <c r="M323" s="71" t="s">
        <v>347</v>
      </c>
      <c r="N323" s="71" t="s">
        <v>94</v>
      </c>
      <c r="O323" s="71" t="s">
        <v>346</v>
      </c>
      <c r="P323" s="71" t="s">
        <v>10</v>
      </c>
      <c r="Q323" s="71" t="s">
        <v>86</v>
      </c>
      <c r="R323" s="71" t="s">
        <v>58</v>
      </c>
    </row>
    <row r="324" spans="1:18">
      <c r="A324" s="71" t="str">
        <f>VLOOKUP(C324,classifications!C:F,4,FALSE)</f>
        <v>SD</v>
      </c>
      <c r="B324" s="71" t="s">
        <v>752</v>
      </c>
      <c r="C324" s="71" t="s">
        <v>134</v>
      </c>
      <c r="D324" s="71" t="s">
        <v>51</v>
      </c>
      <c r="E324" s="71" t="s">
        <v>165</v>
      </c>
      <c r="F324" s="71" t="s">
        <v>108</v>
      </c>
      <c r="G324" s="71" t="s">
        <v>171</v>
      </c>
      <c r="H324" s="71" t="s">
        <v>93</v>
      </c>
      <c r="I324" s="71" t="s">
        <v>101</v>
      </c>
      <c r="J324" s="71" t="s">
        <v>161</v>
      </c>
      <c r="K324" s="71" t="s">
        <v>7</v>
      </c>
      <c r="L324" s="71" t="s">
        <v>137</v>
      </c>
      <c r="M324" s="71" t="s">
        <v>143</v>
      </c>
      <c r="N324" s="71" t="s">
        <v>153</v>
      </c>
      <c r="O324" s="71" t="s">
        <v>347</v>
      </c>
      <c r="P324" s="71" t="s">
        <v>164</v>
      </c>
      <c r="Q324" s="71" t="s">
        <v>184</v>
      </c>
      <c r="R324" s="71" t="s">
        <v>159</v>
      </c>
    </row>
    <row r="325" spans="1:18">
      <c r="A325" s="71" t="e">
        <f>VLOOKUP(C325,classifications!C:F,4,FALSE)</f>
        <v>#N/A</v>
      </c>
      <c r="B325" s="71" t="s">
        <v>753</v>
      </c>
      <c r="C325" s="71" t="s">
        <v>164</v>
      </c>
      <c r="D325" s="71" t="s">
        <v>101</v>
      </c>
      <c r="E325" s="71" t="s">
        <v>153</v>
      </c>
      <c r="F325" s="71" t="s">
        <v>158</v>
      </c>
      <c r="G325" s="71" t="s">
        <v>143</v>
      </c>
      <c r="H325" s="71" t="s">
        <v>154</v>
      </c>
      <c r="I325" s="71" t="s">
        <v>149</v>
      </c>
      <c r="J325" s="71" t="s">
        <v>102</v>
      </c>
      <c r="K325" s="71" t="s">
        <v>94</v>
      </c>
      <c r="L325" s="71" t="s">
        <v>12</v>
      </c>
      <c r="M325" s="71" t="s">
        <v>168</v>
      </c>
      <c r="N325" s="71" t="s">
        <v>128</v>
      </c>
      <c r="O325" s="71" t="s">
        <v>347</v>
      </c>
      <c r="P325" s="71" t="s">
        <v>111</v>
      </c>
      <c r="Q325" s="71" t="s">
        <v>196</v>
      </c>
      <c r="R325" s="71" t="s">
        <v>193</v>
      </c>
    </row>
    <row r="326" spans="1:18">
      <c r="A326" s="71" t="str">
        <f>VLOOKUP(C326,classifications!C:F,4,FALSE)</f>
        <v>SD</v>
      </c>
      <c r="B326" s="71" t="s">
        <v>754</v>
      </c>
      <c r="C326" s="71" t="s">
        <v>149</v>
      </c>
      <c r="D326" s="71" t="s">
        <v>378</v>
      </c>
      <c r="E326" s="71" t="s">
        <v>101</v>
      </c>
      <c r="F326" s="71" t="s">
        <v>193</v>
      </c>
      <c r="G326" s="71" t="s">
        <v>164</v>
      </c>
      <c r="H326" s="71" t="s">
        <v>145</v>
      </c>
      <c r="I326" s="71" t="s">
        <v>20</v>
      </c>
      <c r="J326" s="71" t="s">
        <v>12</v>
      </c>
      <c r="K326" s="71" t="s">
        <v>153</v>
      </c>
      <c r="L326" s="71" t="s">
        <v>154</v>
      </c>
      <c r="M326" s="71" t="s">
        <v>143</v>
      </c>
      <c r="N326" s="71" t="s">
        <v>158</v>
      </c>
      <c r="O326" s="71" t="s">
        <v>347</v>
      </c>
      <c r="P326" s="71" t="s">
        <v>81</v>
      </c>
      <c r="Q326" s="71" t="s">
        <v>102</v>
      </c>
      <c r="R326" s="71" t="s">
        <v>157</v>
      </c>
    </row>
    <row r="327" spans="1:18">
      <c r="A327" s="71" t="e">
        <f>VLOOKUP(C327,classifications!C:F,4,FALSE)</f>
        <v>#N/A</v>
      </c>
      <c r="B327" s="71" t="s">
        <v>755</v>
      </c>
      <c r="C327" s="71" t="s">
        <v>187</v>
      </c>
      <c r="D327" s="71" t="s">
        <v>113</v>
      </c>
      <c r="E327" s="71" t="s">
        <v>132</v>
      </c>
      <c r="F327" s="71" t="s">
        <v>183</v>
      </c>
      <c r="G327" s="71" t="s">
        <v>45</v>
      </c>
      <c r="H327" s="71" t="s">
        <v>182</v>
      </c>
      <c r="I327" s="71" t="s">
        <v>127</v>
      </c>
      <c r="J327" s="71" t="s">
        <v>40</v>
      </c>
      <c r="K327" s="71" t="s">
        <v>121</v>
      </c>
      <c r="L327" s="71" t="s">
        <v>50</v>
      </c>
      <c r="M327" s="71" t="s">
        <v>62</v>
      </c>
      <c r="N327" s="71" t="s">
        <v>44</v>
      </c>
      <c r="O327" s="71" t="s">
        <v>98</v>
      </c>
      <c r="P327" s="71" t="s">
        <v>71</v>
      </c>
      <c r="Q327" s="71" t="s">
        <v>141</v>
      </c>
      <c r="R327" s="71" t="s">
        <v>171</v>
      </c>
    </row>
    <row r="328" spans="1:18">
      <c r="A328" s="71" t="str">
        <f>VLOOKUP(C328,classifications!C:F,4,FALSE)</f>
        <v>SD</v>
      </c>
      <c r="B328" s="71" t="s">
        <v>756</v>
      </c>
      <c r="C328" s="71" t="s">
        <v>28</v>
      </c>
      <c r="D328" s="71" t="s">
        <v>99</v>
      </c>
      <c r="E328" s="71" t="s">
        <v>162</v>
      </c>
      <c r="F328" s="71" t="s">
        <v>348</v>
      </c>
      <c r="G328" s="71" t="s">
        <v>191</v>
      </c>
      <c r="H328" s="71" t="s">
        <v>9</v>
      </c>
      <c r="I328" s="71" t="s">
        <v>65</v>
      </c>
      <c r="J328" s="71" t="s">
        <v>30</v>
      </c>
      <c r="K328" s="71" t="s">
        <v>36</v>
      </c>
      <c r="L328" s="71" t="s">
        <v>107</v>
      </c>
      <c r="M328" s="71" t="s">
        <v>91</v>
      </c>
      <c r="N328" s="71" t="s">
        <v>126</v>
      </c>
      <c r="O328" s="71" t="s">
        <v>122</v>
      </c>
      <c r="P328" s="71" t="s">
        <v>73</v>
      </c>
      <c r="Q328" s="71" t="s">
        <v>196</v>
      </c>
      <c r="R328" s="71" t="s">
        <v>86</v>
      </c>
    </row>
    <row r="329" spans="1:18">
      <c r="A329" s="71" t="str">
        <f>VLOOKUP(C329,classifications!C:F,4,FALSE)</f>
        <v>SD</v>
      </c>
      <c r="B329" s="71" t="s">
        <v>757</v>
      </c>
      <c r="C329" s="71" t="s">
        <v>59</v>
      </c>
      <c r="D329" s="71" t="s">
        <v>91</v>
      </c>
      <c r="E329" s="71" t="s">
        <v>128</v>
      </c>
      <c r="F329" s="71" t="s">
        <v>15</v>
      </c>
      <c r="G329" s="71" t="s">
        <v>153</v>
      </c>
      <c r="H329" s="71" t="s">
        <v>143</v>
      </c>
      <c r="I329" s="71" t="s">
        <v>30</v>
      </c>
      <c r="J329" s="71" t="s">
        <v>115</v>
      </c>
      <c r="K329" s="71" t="s">
        <v>86</v>
      </c>
      <c r="L329" s="71" t="s">
        <v>73</v>
      </c>
      <c r="M329" s="71" t="s">
        <v>347</v>
      </c>
      <c r="N329" s="71" t="s">
        <v>7</v>
      </c>
      <c r="O329" s="71" t="s">
        <v>191</v>
      </c>
      <c r="P329" s="71" t="s">
        <v>180</v>
      </c>
      <c r="Q329" s="71" t="s">
        <v>39</v>
      </c>
      <c r="R329" s="71" t="s">
        <v>65</v>
      </c>
    </row>
    <row r="330" spans="1:18">
      <c r="A330" s="71" t="str">
        <f>VLOOKUP(C330,classifications!C:F,4,FALSE)</f>
        <v>SD</v>
      </c>
      <c r="B330" s="71" t="s">
        <v>758</v>
      </c>
      <c r="C330" s="71" t="s">
        <v>94</v>
      </c>
      <c r="D330" s="71" t="s">
        <v>154</v>
      </c>
      <c r="E330" s="71" t="s">
        <v>346</v>
      </c>
      <c r="F330" s="71" t="s">
        <v>150</v>
      </c>
      <c r="G330" s="71" t="s">
        <v>158</v>
      </c>
      <c r="H330" s="71" t="s">
        <v>148</v>
      </c>
      <c r="I330" s="71" t="s">
        <v>23</v>
      </c>
      <c r="J330" s="71" t="s">
        <v>168</v>
      </c>
      <c r="K330" s="71" t="s">
        <v>58</v>
      </c>
      <c r="L330" s="71" t="s">
        <v>184</v>
      </c>
      <c r="M330" s="71" t="s">
        <v>143</v>
      </c>
      <c r="N330" s="71" t="s">
        <v>97</v>
      </c>
      <c r="O330" s="71" t="s">
        <v>155</v>
      </c>
      <c r="P330" s="71" t="s">
        <v>39</v>
      </c>
      <c r="Q330" s="71" t="s">
        <v>130</v>
      </c>
      <c r="R330" s="71" t="s">
        <v>153</v>
      </c>
    </row>
    <row r="331" spans="1:18">
      <c r="A331" s="71" t="str">
        <f>VLOOKUP(C331,classifications!C:F,4,FALSE)</f>
        <v>SD</v>
      </c>
      <c r="B331" s="71" t="s">
        <v>759</v>
      </c>
      <c r="C331" s="71" t="s">
        <v>107</v>
      </c>
      <c r="D331" s="71" t="s">
        <v>30</v>
      </c>
      <c r="E331" s="71" t="s">
        <v>65</v>
      </c>
      <c r="F331" s="71" t="s">
        <v>196</v>
      </c>
      <c r="G331" s="71" t="s">
        <v>7</v>
      </c>
      <c r="H331" s="71" t="s">
        <v>110</v>
      </c>
      <c r="I331" s="71" t="s">
        <v>99</v>
      </c>
      <c r="J331" s="71" t="s">
        <v>15</v>
      </c>
      <c r="K331" s="71" t="s">
        <v>39</v>
      </c>
      <c r="L331" s="71" t="s">
        <v>28</v>
      </c>
      <c r="M331" s="71" t="s">
        <v>347</v>
      </c>
      <c r="N331" s="71" t="s">
        <v>184</v>
      </c>
      <c r="O331" s="71" t="s">
        <v>348</v>
      </c>
      <c r="P331" s="71" t="s">
        <v>86</v>
      </c>
      <c r="Q331" s="71" t="s">
        <v>72</v>
      </c>
      <c r="R331" s="71" t="s">
        <v>36</v>
      </c>
    </row>
    <row r="332" spans="1:18">
      <c r="A332" s="71" t="str">
        <f>VLOOKUP(C332,classifications!C:F,4,FALSE)</f>
        <v>SD</v>
      </c>
      <c r="B332" s="71" t="s">
        <v>760</v>
      </c>
      <c r="C332" s="71" t="s">
        <v>150</v>
      </c>
      <c r="D332" s="71" t="s">
        <v>94</v>
      </c>
      <c r="E332" s="71" t="s">
        <v>155</v>
      </c>
      <c r="F332" s="71" t="s">
        <v>158</v>
      </c>
      <c r="G332" s="71" t="s">
        <v>346</v>
      </c>
      <c r="H332" s="71" t="s">
        <v>23</v>
      </c>
      <c r="I332" s="71" t="s">
        <v>154</v>
      </c>
      <c r="J332" s="71" t="s">
        <v>184</v>
      </c>
      <c r="K332" s="71" t="s">
        <v>112</v>
      </c>
      <c r="L332" s="71" t="s">
        <v>347</v>
      </c>
      <c r="M332" s="71" t="s">
        <v>110</v>
      </c>
      <c r="N332" s="71" t="s">
        <v>97</v>
      </c>
      <c r="O332" s="71" t="s">
        <v>39</v>
      </c>
      <c r="P332" s="71" t="s">
        <v>185</v>
      </c>
      <c r="Q332" s="71" t="s">
        <v>72</v>
      </c>
      <c r="R332" s="71" t="s">
        <v>148</v>
      </c>
    </row>
    <row r="333" spans="1:18">
      <c r="A333" s="71" t="str">
        <f>VLOOKUP(C333,classifications!C:F,4,FALSE)</f>
        <v>SD</v>
      </c>
      <c r="B333" s="71" t="s">
        <v>761</v>
      </c>
      <c r="C333" s="71" t="s">
        <v>154</v>
      </c>
      <c r="D333" s="71" t="s">
        <v>94</v>
      </c>
      <c r="E333" s="71" t="s">
        <v>153</v>
      </c>
      <c r="F333" s="71" t="s">
        <v>143</v>
      </c>
      <c r="G333" s="71" t="s">
        <v>346</v>
      </c>
      <c r="H333" s="71" t="s">
        <v>32</v>
      </c>
      <c r="I333" s="71" t="s">
        <v>158</v>
      </c>
      <c r="J333" s="71" t="s">
        <v>148</v>
      </c>
      <c r="K333" s="71" t="s">
        <v>164</v>
      </c>
      <c r="L333" s="71" t="s">
        <v>150</v>
      </c>
      <c r="M333" s="71" t="s">
        <v>101</v>
      </c>
      <c r="N333" s="71" t="s">
        <v>7</v>
      </c>
      <c r="O333" s="71" t="s">
        <v>184</v>
      </c>
      <c r="P333" s="71" t="s">
        <v>347</v>
      </c>
      <c r="Q333" s="71" t="s">
        <v>19</v>
      </c>
      <c r="R333" s="71" t="s">
        <v>96</v>
      </c>
    </row>
    <row r="334" spans="1:18">
      <c r="A334" s="71" t="str">
        <f>VLOOKUP(C334,classifications!C:F,4,FALSE)</f>
        <v>SD</v>
      </c>
      <c r="B334" s="71" t="s">
        <v>762</v>
      </c>
      <c r="C334" s="71" t="s">
        <v>155</v>
      </c>
      <c r="D334" s="71" t="s">
        <v>346</v>
      </c>
      <c r="E334" s="71" t="s">
        <v>112</v>
      </c>
      <c r="F334" s="71" t="s">
        <v>150</v>
      </c>
      <c r="G334" s="71" t="s">
        <v>94</v>
      </c>
      <c r="H334" s="71" t="s">
        <v>7</v>
      </c>
      <c r="I334" s="71" t="s">
        <v>22</v>
      </c>
      <c r="J334" s="71" t="s">
        <v>148</v>
      </c>
      <c r="K334" s="71" t="s">
        <v>158</v>
      </c>
      <c r="L334" s="71" t="s">
        <v>185</v>
      </c>
      <c r="M334" s="71" t="s">
        <v>347</v>
      </c>
      <c r="N334" s="71" t="s">
        <v>154</v>
      </c>
      <c r="O334" s="71" t="s">
        <v>100</v>
      </c>
      <c r="P334" s="71" t="s">
        <v>97</v>
      </c>
      <c r="Q334" s="71" t="s">
        <v>39</v>
      </c>
      <c r="R334" s="71" t="s">
        <v>23</v>
      </c>
    </row>
    <row r="335" spans="1:18">
      <c r="A335" s="71" t="str">
        <f>VLOOKUP(C335,classifications!C:F,4,FALSE)</f>
        <v>SD</v>
      </c>
      <c r="B335" s="71" t="s">
        <v>763</v>
      </c>
      <c r="C335" s="71" t="s">
        <v>162</v>
      </c>
      <c r="D335" s="71" t="s">
        <v>122</v>
      </c>
      <c r="E335" s="71" t="s">
        <v>28</v>
      </c>
      <c r="F335" s="71" t="s">
        <v>348</v>
      </c>
      <c r="G335" s="71" t="s">
        <v>91</v>
      </c>
      <c r="H335" s="71" t="s">
        <v>99</v>
      </c>
      <c r="I335" s="71" t="s">
        <v>191</v>
      </c>
      <c r="J335" s="71" t="s">
        <v>73</v>
      </c>
      <c r="K335" s="71" t="s">
        <v>9</v>
      </c>
      <c r="L335" s="71" t="s">
        <v>180</v>
      </c>
      <c r="M335" s="71" t="s">
        <v>65</v>
      </c>
      <c r="N335" s="71" t="s">
        <v>126</v>
      </c>
      <c r="O335" s="71" t="s">
        <v>59</v>
      </c>
      <c r="P335" s="71" t="s">
        <v>107</v>
      </c>
      <c r="Q335" s="71" t="s">
        <v>36</v>
      </c>
      <c r="R335" s="71" t="s">
        <v>75</v>
      </c>
    </row>
    <row r="336" spans="1:18">
      <c r="A336" s="71" t="str">
        <f>VLOOKUP(C336,classifications!C:F,4,FALSE)</f>
        <v>SD</v>
      </c>
      <c r="B336" s="71" t="s">
        <v>764</v>
      </c>
      <c r="C336" s="71" t="s">
        <v>12</v>
      </c>
      <c r="D336" s="71" t="s">
        <v>109</v>
      </c>
      <c r="E336" s="71" t="s">
        <v>102</v>
      </c>
      <c r="F336" s="71" t="s">
        <v>145</v>
      </c>
      <c r="G336" s="71" t="s">
        <v>78</v>
      </c>
      <c r="H336" s="71" t="s">
        <v>103</v>
      </c>
      <c r="I336" s="71" t="s">
        <v>100</v>
      </c>
      <c r="J336" s="71" t="s">
        <v>193</v>
      </c>
      <c r="K336" s="71" t="s">
        <v>168</v>
      </c>
      <c r="L336" s="71" t="s">
        <v>101</v>
      </c>
      <c r="M336" s="71" t="s">
        <v>70</v>
      </c>
      <c r="N336" s="71" t="s">
        <v>158</v>
      </c>
      <c r="O336" s="71" t="s">
        <v>112</v>
      </c>
      <c r="P336" s="71" t="s">
        <v>97</v>
      </c>
      <c r="Q336" s="71" t="s">
        <v>346</v>
      </c>
      <c r="R336" s="71" t="s">
        <v>94</v>
      </c>
    </row>
    <row r="337" spans="1:18">
      <c r="A337" s="71" t="e">
        <f>VLOOKUP(C337,classifications!C:F,4,FALSE)</f>
        <v>#N/A</v>
      </c>
      <c r="B337" s="71" t="s">
        <v>765</v>
      </c>
      <c r="C337" s="71" t="s">
        <v>69</v>
      </c>
      <c r="D337" s="71" t="s">
        <v>180</v>
      </c>
      <c r="E337" s="71" t="s">
        <v>18</v>
      </c>
      <c r="F337" s="71" t="s">
        <v>128</v>
      </c>
      <c r="G337" s="71" t="s">
        <v>153</v>
      </c>
      <c r="H337" s="71" t="s">
        <v>59</v>
      </c>
      <c r="I337" s="71" t="s">
        <v>91</v>
      </c>
      <c r="J337" s="71" t="s">
        <v>68</v>
      </c>
      <c r="K337" s="71" t="s">
        <v>131</v>
      </c>
      <c r="L337" s="71" t="s">
        <v>58</v>
      </c>
      <c r="M337" s="71" t="s">
        <v>142</v>
      </c>
      <c r="N337" s="71" t="s">
        <v>101</v>
      </c>
      <c r="O337" s="71" t="s">
        <v>143</v>
      </c>
      <c r="P337" s="71" t="s">
        <v>122</v>
      </c>
      <c r="Q337" s="71" t="s">
        <v>164</v>
      </c>
      <c r="R337" s="71" t="s">
        <v>73</v>
      </c>
    </row>
    <row r="338" spans="1:18">
      <c r="A338" s="71" t="str">
        <f>VLOOKUP(C338,classifications!C:F,4,FALSE)</f>
        <v>SD</v>
      </c>
      <c r="B338" s="71" t="s">
        <v>766</v>
      </c>
      <c r="C338" s="71" t="s">
        <v>90</v>
      </c>
      <c r="D338" s="71" t="s">
        <v>73</v>
      </c>
      <c r="E338" s="71" t="s">
        <v>120</v>
      </c>
      <c r="F338" s="71" t="s">
        <v>75</v>
      </c>
      <c r="G338" s="71" t="s">
        <v>191</v>
      </c>
      <c r="H338" s="71" t="s">
        <v>95</v>
      </c>
      <c r="I338" s="71" t="s">
        <v>122</v>
      </c>
      <c r="J338" s="71" t="s">
        <v>36</v>
      </c>
      <c r="K338" s="71" t="s">
        <v>156</v>
      </c>
      <c r="L338" s="71" t="s">
        <v>28</v>
      </c>
      <c r="M338" s="71" t="s">
        <v>99</v>
      </c>
      <c r="N338" s="71" t="s">
        <v>14</v>
      </c>
      <c r="O338" s="71" t="s">
        <v>348</v>
      </c>
      <c r="P338" s="71" t="s">
        <v>162</v>
      </c>
      <c r="Q338" s="71" t="s">
        <v>131</v>
      </c>
      <c r="R338" s="71" t="s">
        <v>116</v>
      </c>
    </row>
    <row r="339" spans="1:18">
      <c r="A339" s="71" t="e">
        <f>VLOOKUP(C339,classifications!C:F,4,FALSE)</f>
        <v>#N/A</v>
      </c>
      <c r="B339" s="71" t="s">
        <v>767</v>
      </c>
      <c r="C339" s="71" t="s">
        <v>103</v>
      </c>
      <c r="D339" s="71" t="s">
        <v>145</v>
      </c>
      <c r="E339" s="71" t="s">
        <v>12</v>
      </c>
      <c r="F339" s="71" t="s">
        <v>146</v>
      </c>
      <c r="G339" s="71" t="s">
        <v>109</v>
      </c>
      <c r="H339" s="71" t="s">
        <v>100</v>
      </c>
      <c r="I339" s="71" t="s">
        <v>52</v>
      </c>
      <c r="J339" s="71" t="s">
        <v>102</v>
      </c>
      <c r="K339" s="71" t="s">
        <v>78</v>
      </c>
      <c r="L339" s="71" t="s">
        <v>112</v>
      </c>
      <c r="M339" s="71" t="s">
        <v>168</v>
      </c>
      <c r="N339" s="71" t="s">
        <v>193</v>
      </c>
      <c r="O339" s="71" t="s">
        <v>70</v>
      </c>
      <c r="P339" s="71" t="s">
        <v>79</v>
      </c>
      <c r="Q339" s="71" t="s">
        <v>130</v>
      </c>
      <c r="R339" s="71" t="s">
        <v>97</v>
      </c>
    </row>
    <row r="340" spans="1:18">
      <c r="A340" s="71" t="e">
        <f>VLOOKUP(C340,classifications!C:F,4,FALSE)</f>
        <v>#N/A</v>
      </c>
      <c r="B340" s="71" t="s">
        <v>768</v>
      </c>
      <c r="C340" s="71" t="s">
        <v>153</v>
      </c>
      <c r="D340" s="71" t="s">
        <v>164</v>
      </c>
      <c r="E340" s="71" t="s">
        <v>154</v>
      </c>
      <c r="F340" s="71" t="s">
        <v>101</v>
      </c>
      <c r="G340" s="71" t="s">
        <v>143</v>
      </c>
      <c r="H340" s="71" t="s">
        <v>128</v>
      </c>
      <c r="I340" s="71" t="s">
        <v>347</v>
      </c>
      <c r="J340" s="71" t="s">
        <v>115</v>
      </c>
      <c r="K340" s="71" t="s">
        <v>59</v>
      </c>
      <c r="L340" s="71" t="s">
        <v>94</v>
      </c>
      <c r="M340" s="71" t="s">
        <v>184</v>
      </c>
      <c r="N340" s="71" t="s">
        <v>158</v>
      </c>
      <c r="O340" s="71" t="s">
        <v>346</v>
      </c>
      <c r="P340" s="71" t="s">
        <v>19</v>
      </c>
      <c r="Q340" s="71" t="s">
        <v>58</v>
      </c>
      <c r="R340" s="71" t="s">
        <v>10</v>
      </c>
    </row>
    <row r="341" spans="1:18">
      <c r="A341" s="71" t="e">
        <f>VLOOKUP(C341,classifications!C:F,4,FALSE)</f>
        <v>#N/A</v>
      </c>
      <c r="B341" s="71" t="s">
        <v>769</v>
      </c>
      <c r="C341" s="71" t="s">
        <v>159</v>
      </c>
      <c r="D341" s="71" t="s">
        <v>141</v>
      </c>
      <c r="E341" s="71" t="s">
        <v>165</v>
      </c>
      <c r="F341" s="71" t="s">
        <v>37</v>
      </c>
      <c r="G341" s="71" t="s">
        <v>106</v>
      </c>
      <c r="H341" s="71" t="s">
        <v>183</v>
      </c>
      <c r="I341" s="71" t="s">
        <v>93</v>
      </c>
      <c r="J341" s="71" t="s">
        <v>179</v>
      </c>
      <c r="K341" s="71" t="s">
        <v>121</v>
      </c>
      <c r="L341" s="71" t="s">
        <v>157</v>
      </c>
      <c r="M341" s="71" t="s">
        <v>134</v>
      </c>
      <c r="N341" s="71" t="s">
        <v>67</v>
      </c>
      <c r="O341" s="71" t="s">
        <v>193</v>
      </c>
      <c r="P341" s="71" t="s">
        <v>78</v>
      </c>
      <c r="Q341" s="71" t="s">
        <v>12</v>
      </c>
      <c r="R341" s="71" t="s">
        <v>53</v>
      </c>
    </row>
    <row r="342" spans="1:18">
      <c r="A342" s="71" t="e">
        <f>VLOOKUP(C342,classifications!C:F,4,FALSE)</f>
        <v>#N/A</v>
      </c>
      <c r="B342" s="71" t="s">
        <v>770</v>
      </c>
      <c r="C342" s="71" t="s">
        <v>177</v>
      </c>
      <c r="D342" s="71" t="s">
        <v>166</v>
      </c>
      <c r="E342" s="71" t="s">
        <v>51</v>
      </c>
      <c r="F342" s="71" t="s">
        <v>137</v>
      </c>
      <c r="G342" s="71" t="s">
        <v>6</v>
      </c>
      <c r="H342" s="71" t="s">
        <v>134</v>
      </c>
      <c r="I342" s="71" t="s">
        <v>76</v>
      </c>
      <c r="J342" s="71" t="s">
        <v>133</v>
      </c>
      <c r="K342" s="71" t="s">
        <v>108</v>
      </c>
      <c r="L342" s="71" t="s">
        <v>196</v>
      </c>
      <c r="M342" s="71" t="s">
        <v>195</v>
      </c>
      <c r="N342" s="71" t="s">
        <v>171</v>
      </c>
      <c r="O342" s="71" t="s">
        <v>4</v>
      </c>
      <c r="P342" s="71" t="s">
        <v>13</v>
      </c>
      <c r="Q342" s="71" t="s">
        <v>84</v>
      </c>
      <c r="R342" s="71" t="s">
        <v>65</v>
      </c>
    </row>
    <row r="343" spans="1:18">
      <c r="A343" s="71" t="str">
        <f>VLOOKUP(C343,classifications!C:F,4,FALSE)</f>
        <v>SD</v>
      </c>
      <c r="B343" s="71" t="s">
        <v>771</v>
      </c>
      <c r="C343" s="71" t="s">
        <v>63</v>
      </c>
      <c r="D343" s="71" t="s">
        <v>345</v>
      </c>
      <c r="E343" s="71" t="s">
        <v>350</v>
      </c>
      <c r="F343" s="71" t="s">
        <v>178</v>
      </c>
      <c r="G343" s="71" t="s">
        <v>160</v>
      </c>
      <c r="H343" s="71" t="s">
        <v>190</v>
      </c>
      <c r="I343" s="71" t="s">
        <v>105</v>
      </c>
      <c r="J343" s="71" t="s">
        <v>152</v>
      </c>
      <c r="K343" s="71" t="s">
        <v>77</v>
      </c>
      <c r="L343" s="71" t="s">
        <v>163</v>
      </c>
      <c r="M343" s="71" t="s">
        <v>151</v>
      </c>
      <c r="N343" s="71" t="s">
        <v>194</v>
      </c>
      <c r="O343" s="71" t="s">
        <v>21</v>
      </c>
      <c r="P343" s="71" t="s">
        <v>82</v>
      </c>
      <c r="Q343" s="71" t="s">
        <v>136</v>
      </c>
      <c r="R343" s="71" t="s">
        <v>129</v>
      </c>
    </row>
    <row r="344" spans="1:18">
      <c r="A344" s="71" t="str">
        <f>VLOOKUP(C344,classifications!C:F,4,FALSE)</f>
        <v>SD</v>
      </c>
      <c r="B344" s="71" t="s">
        <v>772</v>
      </c>
      <c r="C344" s="71" t="s">
        <v>345</v>
      </c>
      <c r="D344" s="71" t="s">
        <v>160</v>
      </c>
      <c r="E344" s="71" t="s">
        <v>63</v>
      </c>
      <c r="F344" s="71" t="s">
        <v>350</v>
      </c>
      <c r="G344" s="71" t="s">
        <v>190</v>
      </c>
      <c r="H344" s="71" t="s">
        <v>151</v>
      </c>
      <c r="I344" s="71" t="s">
        <v>178</v>
      </c>
      <c r="J344" s="71" t="s">
        <v>129</v>
      </c>
      <c r="K344" s="71" t="s">
        <v>21</v>
      </c>
      <c r="L344" s="71" t="s">
        <v>163</v>
      </c>
      <c r="M344" s="71" t="s">
        <v>105</v>
      </c>
      <c r="N344" s="71" t="s">
        <v>82</v>
      </c>
      <c r="O344" s="71" t="s">
        <v>77</v>
      </c>
      <c r="P344" s="71" t="s">
        <v>64</v>
      </c>
      <c r="Q344" s="71" t="s">
        <v>170</v>
      </c>
      <c r="R344" s="71" t="s">
        <v>136</v>
      </c>
    </row>
    <row r="345" spans="1:18">
      <c r="A345" s="71" t="str">
        <f>VLOOKUP(C345,classifications!C:F,4,FALSE)</f>
        <v>SD</v>
      </c>
      <c r="B345" s="71" t="s">
        <v>773</v>
      </c>
      <c r="C345" s="71" t="s">
        <v>77</v>
      </c>
      <c r="D345" s="71" t="s">
        <v>129</v>
      </c>
      <c r="E345" s="71" t="s">
        <v>350</v>
      </c>
      <c r="F345" s="71" t="s">
        <v>174</v>
      </c>
      <c r="G345" s="71" t="s">
        <v>194</v>
      </c>
      <c r="H345" s="71" t="s">
        <v>190</v>
      </c>
      <c r="I345" s="71" t="s">
        <v>151</v>
      </c>
      <c r="J345" s="71" t="s">
        <v>160</v>
      </c>
      <c r="K345" s="71" t="s">
        <v>178</v>
      </c>
      <c r="L345" s="71" t="s">
        <v>189</v>
      </c>
      <c r="M345" s="71" t="s">
        <v>105</v>
      </c>
      <c r="N345" s="71" t="s">
        <v>345</v>
      </c>
      <c r="O345" s="71" t="s">
        <v>147</v>
      </c>
      <c r="P345" s="71" t="s">
        <v>64</v>
      </c>
      <c r="Q345" s="71" t="s">
        <v>63</v>
      </c>
      <c r="R345" s="71" t="s">
        <v>136</v>
      </c>
    </row>
    <row r="346" spans="1:18">
      <c r="A346" s="71" t="str">
        <f>VLOOKUP(C346,classifications!C:F,4,FALSE)</f>
        <v>SD</v>
      </c>
      <c r="B346" s="71" t="s">
        <v>774</v>
      </c>
      <c r="C346" s="71" t="s">
        <v>105</v>
      </c>
      <c r="D346" s="71" t="s">
        <v>178</v>
      </c>
      <c r="E346" s="71" t="s">
        <v>163</v>
      </c>
      <c r="F346" s="71" t="s">
        <v>21</v>
      </c>
      <c r="G346" s="71" t="s">
        <v>160</v>
      </c>
      <c r="H346" s="71" t="s">
        <v>136</v>
      </c>
      <c r="I346" s="71" t="s">
        <v>350</v>
      </c>
      <c r="J346" s="71" t="s">
        <v>345</v>
      </c>
      <c r="K346" s="71" t="s">
        <v>77</v>
      </c>
      <c r="L346" s="71" t="s">
        <v>63</v>
      </c>
      <c r="M346" s="71" t="s">
        <v>189</v>
      </c>
      <c r="N346" s="71" t="s">
        <v>138</v>
      </c>
      <c r="O346" s="71" t="s">
        <v>129</v>
      </c>
      <c r="P346" s="71" t="s">
        <v>64</v>
      </c>
      <c r="Q346" s="71" t="s">
        <v>151</v>
      </c>
      <c r="R346" s="71" t="s">
        <v>147</v>
      </c>
    </row>
    <row r="347" spans="1:18">
      <c r="A347" s="71" t="str">
        <f>VLOOKUP(C347,classifications!C:F,4,FALSE)</f>
        <v>SD</v>
      </c>
      <c r="B347" s="71" t="s">
        <v>775</v>
      </c>
      <c r="C347" s="71" t="s">
        <v>350</v>
      </c>
      <c r="D347" s="71" t="s">
        <v>151</v>
      </c>
      <c r="E347" s="71" t="s">
        <v>160</v>
      </c>
      <c r="F347" s="71" t="s">
        <v>178</v>
      </c>
      <c r="G347" s="71" t="s">
        <v>190</v>
      </c>
      <c r="H347" s="71" t="s">
        <v>345</v>
      </c>
      <c r="I347" s="71" t="s">
        <v>77</v>
      </c>
      <c r="J347" s="71" t="s">
        <v>64</v>
      </c>
      <c r="K347" s="71" t="s">
        <v>63</v>
      </c>
      <c r="L347" s="71" t="s">
        <v>194</v>
      </c>
      <c r="M347" s="71" t="s">
        <v>174</v>
      </c>
      <c r="N347" s="71" t="s">
        <v>147</v>
      </c>
      <c r="O347" s="71" t="s">
        <v>163</v>
      </c>
      <c r="P347" s="71" t="s">
        <v>129</v>
      </c>
      <c r="Q347" s="71" t="s">
        <v>136</v>
      </c>
      <c r="R347" s="71" t="s">
        <v>21</v>
      </c>
    </row>
    <row r="348" spans="1:18">
      <c r="A348" s="71" t="str">
        <f>VLOOKUP(C348,classifications!C:F,4,FALSE)</f>
        <v>SD</v>
      </c>
      <c r="B348" s="71" t="s">
        <v>776</v>
      </c>
      <c r="C348" s="71" t="s">
        <v>129</v>
      </c>
      <c r="D348" s="71" t="s">
        <v>151</v>
      </c>
      <c r="E348" s="71" t="s">
        <v>77</v>
      </c>
      <c r="F348" s="71" t="s">
        <v>190</v>
      </c>
      <c r="G348" s="71" t="s">
        <v>160</v>
      </c>
      <c r="H348" s="71" t="s">
        <v>350</v>
      </c>
      <c r="I348" s="71" t="s">
        <v>21</v>
      </c>
      <c r="J348" s="71" t="s">
        <v>345</v>
      </c>
      <c r="K348" s="71" t="s">
        <v>174</v>
      </c>
      <c r="L348" s="71" t="s">
        <v>105</v>
      </c>
      <c r="M348" s="71" t="s">
        <v>64</v>
      </c>
      <c r="N348" s="71" t="s">
        <v>189</v>
      </c>
      <c r="O348" s="71" t="s">
        <v>163</v>
      </c>
      <c r="P348" s="71" t="s">
        <v>194</v>
      </c>
      <c r="Q348" s="71" t="s">
        <v>85</v>
      </c>
      <c r="R348" s="71" t="s">
        <v>178</v>
      </c>
    </row>
    <row r="349" spans="1:18">
      <c r="A349" s="71" t="str">
        <f>VLOOKUP(C349,classifications!C:F,4,FALSE)</f>
        <v>SD</v>
      </c>
      <c r="B349" s="71" t="s">
        <v>777</v>
      </c>
      <c r="C349" s="71" t="s">
        <v>151</v>
      </c>
      <c r="D349" s="71" t="s">
        <v>129</v>
      </c>
      <c r="E349" s="71" t="s">
        <v>190</v>
      </c>
      <c r="F349" s="71" t="s">
        <v>350</v>
      </c>
      <c r="G349" s="71" t="s">
        <v>160</v>
      </c>
      <c r="H349" s="71" t="s">
        <v>345</v>
      </c>
      <c r="I349" s="71" t="s">
        <v>21</v>
      </c>
      <c r="J349" s="71" t="s">
        <v>64</v>
      </c>
      <c r="K349" s="71" t="s">
        <v>77</v>
      </c>
      <c r="L349" s="71" t="s">
        <v>174</v>
      </c>
      <c r="M349" s="71" t="s">
        <v>194</v>
      </c>
      <c r="N349" s="71" t="s">
        <v>85</v>
      </c>
      <c r="O349" s="71" t="s">
        <v>24</v>
      </c>
      <c r="P349" s="71" t="s">
        <v>163</v>
      </c>
      <c r="Q349" s="71" t="s">
        <v>111</v>
      </c>
      <c r="R349" s="71" t="s">
        <v>175</v>
      </c>
    </row>
    <row r="350" spans="1:18">
      <c r="A350" s="71" t="str">
        <f>VLOOKUP(C350,classifications!C:F,4,FALSE)</f>
        <v>SD</v>
      </c>
      <c r="B350" s="71" t="s">
        <v>778</v>
      </c>
      <c r="C350" s="71" t="s">
        <v>160</v>
      </c>
      <c r="D350" s="71" t="s">
        <v>345</v>
      </c>
      <c r="E350" s="71" t="s">
        <v>350</v>
      </c>
      <c r="F350" s="71" t="s">
        <v>163</v>
      </c>
      <c r="G350" s="71" t="s">
        <v>151</v>
      </c>
      <c r="H350" s="71" t="s">
        <v>190</v>
      </c>
      <c r="I350" s="71" t="s">
        <v>21</v>
      </c>
      <c r="J350" s="71" t="s">
        <v>63</v>
      </c>
      <c r="K350" s="71" t="s">
        <v>178</v>
      </c>
      <c r="L350" s="71" t="s">
        <v>129</v>
      </c>
      <c r="M350" s="71" t="s">
        <v>82</v>
      </c>
      <c r="N350" s="71" t="s">
        <v>105</v>
      </c>
      <c r="O350" s="71" t="s">
        <v>77</v>
      </c>
      <c r="P350" s="71" t="s">
        <v>136</v>
      </c>
      <c r="Q350" s="71" t="s">
        <v>174</v>
      </c>
      <c r="R350" s="71" t="s">
        <v>147</v>
      </c>
    </row>
    <row r="351" spans="1:18">
      <c r="A351" s="71" t="str">
        <f>VLOOKUP(C351,classifications!C:F,4,FALSE)</f>
        <v>SD</v>
      </c>
      <c r="B351" s="71" t="s">
        <v>779</v>
      </c>
      <c r="C351" s="71" t="s">
        <v>163</v>
      </c>
      <c r="D351" s="71" t="s">
        <v>160</v>
      </c>
      <c r="E351" s="71" t="s">
        <v>105</v>
      </c>
      <c r="F351" s="71" t="s">
        <v>178</v>
      </c>
      <c r="G351" s="71" t="s">
        <v>136</v>
      </c>
      <c r="H351" s="71" t="s">
        <v>350</v>
      </c>
      <c r="I351" s="71" t="s">
        <v>21</v>
      </c>
      <c r="J351" s="71" t="s">
        <v>55</v>
      </c>
      <c r="K351" s="71" t="s">
        <v>147</v>
      </c>
      <c r="L351" s="71" t="s">
        <v>64</v>
      </c>
      <c r="M351" s="71" t="s">
        <v>345</v>
      </c>
      <c r="N351" s="71" t="s">
        <v>186</v>
      </c>
      <c r="O351" s="71" t="s">
        <v>82</v>
      </c>
      <c r="P351" s="71" t="s">
        <v>174</v>
      </c>
      <c r="Q351" s="71" t="s">
        <v>63</v>
      </c>
      <c r="R351" s="71" t="s">
        <v>151</v>
      </c>
    </row>
    <row r="352" spans="1:18">
      <c r="A352" s="71" t="str">
        <f>VLOOKUP(C352,classifications!C:F,4,FALSE)</f>
        <v>SD</v>
      </c>
      <c r="B352" s="71" t="s">
        <v>780</v>
      </c>
      <c r="C352" s="71" t="s">
        <v>178</v>
      </c>
      <c r="D352" s="71" t="s">
        <v>105</v>
      </c>
      <c r="E352" s="71" t="s">
        <v>350</v>
      </c>
      <c r="F352" s="71" t="s">
        <v>163</v>
      </c>
      <c r="G352" s="71" t="s">
        <v>136</v>
      </c>
      <c r="H352" s="71" t="s">
        <v>63</v>
      </c>
      <c r="I352" s="71" t="s">
        <v>160</v>
      </c>
      <c r="J352" s="71" t="s">
        <v>147</v>
      </c>
      <c r="K352" s="71" t="s">
        <v>345</v>
      </c>
      <c r="L352" s="71" t="s">
        <v>189</v>
      </c>
      <c r="M352" s="71" t="s">
        <v>77</v>
      </c>
      <c r="N352" s="71" t="s">
        <v>21</v>
      </c>
      <c r="O352" s="71" t="s">
        <v>64</v>
      </c>
      <c r="P352" s="71" t="s">
        <v>55</v>
      </c>
      <c r="Q352" s="71" t="s">
        <v>174</v>
      </c>
      <c r="R352" s="71" t="s">
        <v>186</v>
      </c>
    </row>
    <row r="353" spans="1:18">
      <c r="A353" s="71" t="str">
        <f>VLOOKUP(C353,classifications!C:F,4,FALSE)</f>
        <v>SD</v>
      </c>
      <c r="B353" s="71" t="s">
        <v>781</v>
      </c>
      <c r="C353" s="71" t="s">
        <v>190</v>
      </c>
      <c r="D353" s="71" t="s">
        <v>151</v>
      </c>
      <c r="E353" s="71" t="s">
        <v>129</v>
      </c>
      <c r="F353" s="71" t="s">
        <v>350</v>
      </c>
      <c r="G353" s="71" t="s">
        <v>345</v>
      </c>
      <c r="H353" s="71" t="s">
        <v>160</v>
      </c>
      <c r="I353" s="71" t="s">
        <v>77</v>
      </c>
      <c r="J353" s="71" t="s">
        <v>194</v>
      </c>
      <c r="K353" s="71" t="s">
        <v>63</v>
      </c>
      <c r="L353" s="71" t="s">
        <v>85</v>
      </c>
      <c r="M353" s="71" t="s">
        <v>64</v>
      </c>
      <c r="N353" s="71" t="s">
        <v>21</v>
      </c>
      <c r="O353" s="71" t="s">
        <v>174</v>
      </c>
      <c r="P353" s="71" t="s">
        <v>24</v>
      </c>
      <c r="Q353" s="71" t="s">
        <v>178</v>
      </c>
      <c r="R353" s="71" t="s">
        <v>170</v>
      </c>
    </row>
    <row r="354" spans="1:18">
      <c r="A354" s="71" t="str">
        <f>VLOOKUP(C354,classifications!C:F,4,FALSE)</f>
        <v>SD</v>
      </c>
      <c r="B354" s="71" t="s">
        <v>782</v>
      </c>
      <c r="C354" s="71" t="s">
        <v>114</v>
      </c>
      <c r="D354" s="71" t="s">
        <v>115</v>
      </c>
      <c r="E354" s="71" t="s">
        <v>135</v>
      </c>
      <c r="F354" s="71" t="s">
        <v>42</v>
      </c>
      <c r="G354" s="71" t="s">
        <v>49</v>
      </c>
      <c r="H354" s="71" t="s">
        <v>15</v>
      </c>
      <c r="I354" s="71" t="s">
        <v>153</v>
      </c>
      <c r="J354" s="71" t="s">
        <v>168</v>
      </c>
      <c r="K354" s="71" t="s">
        <v>184</v>
      </c>
      <c r="L354" s="71" t="s">
        <v>347</v>
      </c>
      <c r="M354" s="71" t="s">
        <v>59</v>
      </c>
      <c r="N354" s="71" t="s">
        <v>100</v>
      </c>
      <c r="O354" s="71" t="s">
        <v>94</v>
      </c>
      <c r="P354" s="71" t="s">
        <v>346</v>
      </c>
      <c r="Q354" s="71" t="s">
        <v>58</v>
      </c>
      <c r="R354" s="71" t="s">
        <v>128</v>
      </c>
    </row>
    <row r="355" spans="1:18">
      <c r="A355" s="71" t="str">
        <f>VLOOKUP(C355,classifications!C:F,4,FALSE)</f>
        <v>SD</v>
      </c>
      <c r="B355" s="71" t="s">
        <v>783</v>
      </c>
      <c r="C355" s="71" t="s">
        <v>348</v>
      </c>
      <c r="D355" s="71" t="s">
        <v>9</v>
      </c>
      <c r="E355" s="71" t="s">
        <v>99</v>
      </c>
      <c r="F355" s="71" t="s">
        <v>28</v>
      </c>
      <c r="G355" s="71" t="s">
        <v>65</v>
      </c>
      <c r="H355" s="71" t="s">
        <v>91</v>
      </c>
      <c r="I355" s="71" t="s">
        <v>73</v>
      </c>
      <c r="J355" s="71" t="s">
        <v>107</v>
      </c>
      <c r="K355" s="71" t="s">
        <v>162</v>
      </c>
      <c r="L355" s="71" t="s">
        <v>72</v>
      </c>
      <c r="M355" s="71" t="s">
        <v>30</v>
      </c>
      <c r="N355" s="71" t="s">
        <v>191</v>
      </c>
      <c r="O355" s="71" t="s">
        <v>196</v>
      </c>
      <c r="P355" s="71" t="s">
        <v>59</v>
      </c>
      <c r="Q355" s="71" t="s">
        <v>119</v>
      </c>
      <c r="R355" s="71" t="s">
        <v>15</v>
      </c>
    </row>
    <row r="356" spans="1:18">
      <c r="A356" s="71" t="str">
        <f>VLOOKUP(C356,classifications!C:F,4,FALSE)</f>
        <v>SD</v>
      </c>
      <c r="B356" s="71" t="s">
        <v>784</v>
      </c>
      <c r="C356" s="71" t="s">
        <v>128</v>
      </c>
      <c r="D356" s="71" t="s">
        <v>91</v>
      </c>
      <c r="E356" s="71" t="s">
        <v>153</v>
      </c>
      <c r="F356" s="71" t="s">
        <v>59</v>
      </c>
      <c r="G356" s="71" t="s">
        <v>10</v>
      </c>
      <c r="H356" s="71" t="s">
        <v>58</v>
      </c>
      <c r="I356" s="71" t="s">
        <v>96</v>
      </c>
      <c r="J356" s="71" t="s">
        <v>24</v>
      </c>
      <c r="K356" s="71" t="s">
        <v>19</v>
      </c>
      <c r="L356" s="71" t="s">
        <v>143</v>
      </c>
      <c r="M356" s="71" t="s">
        <v>35</v>
      </c>
      <c r="N356" s="71" t="s">
        <v>180</v>
      </c>
      <c r="O356" s="71" t="s">
        <v>111</v>
      </c>
      <c r="P356" s="71" t="s">
        <v>164</v>
      </c>
      <c r="Q356" s="71" t="s">
        <v>94</v>
      </c>
      <c r="R356" s="71" t="s">
        <v>148</v>
      </c>
    </row>
    <row r="357" spans="1:18">
      <c r="A357" s="71" t="str">
        <f>VLOOKUP(C357,classifications!C:F,4,FALSE)</f>
        <v>SD</v>
      </c>
      <c r="B357" s="71" t="s">
        <v>785</v>
      </c>
      <c r="C357" s="71" t="s">
        <v>157</v>
      </c>
      <c r="D357" s="71" t="s">
        <v>193</v>
      </c>
      <c r="E357" s="71" t="s">
        <v>78</v>
      </c>
      <c r="F357" s="71" t="s">
        <v>44</v>
      </c>
      <c r="G357" s="71" t="s">
        <v>168</v>
      </c>
      <c r="H357" s="71" t="s">
        <v>167</v>
      </c>
      <c r="I357" s="71" t="s">
        <v>189</v>
      </c>
      <c r="J357" s="71" t="s">
        <v>55</v>
      </c>
      <c r="K357" s="71" t="s">
        <v>87</v>
      </c>
      <c r="L357" s="71" t="s">
        <v>109</v>
      </c>
      <c r="M357" s="71" t="s">
        <v>136</v>
      </c>
      <c r="N357" s="71" t="s">
        <v>12</v>
      </c>
      <c r="O357" s="71" t="s">
        <v>186</v>
      </c>
      <c r="P357" s="71" t="s">
        <v>50</v>
      </c>
      <c r="Q357" s="71" t="s">
        <v>81</v>
      </c>
      <c r="R357" s="71" t="s">
        <v>98</v>
      </c>
    </row>
    <row r="358" spans="1:18">
      <c r="A358" s="71" t="str">
        <f>VLOOKUP(C358,classifications!C:F,4,FALSE)</f>
        <v>SD</v>
      </c>
      <c r="B358" s="71" t="s">
        <v>786</v>
      </c>
      <c r="C358" s="71" t="s">
        <v>175</v>
      </c>
      <c r="D358" s="71" t="s">
        <v>33</v>
      </c>
      <c r="E358" s="71" t="s">
        <v>34</v>
      </c>
      <c r="F358" s="71" t="s">
        <v>96</v>
      </c>
      <c r="G358" s="71" t="s">
        <v>81</v>
      </c>
      <c r="H358" s="71" t="s">
        <v>154</v>
      </c>
      <c r="I358" s="71" t="s">
        <v>41</v>
      </c>
      <c r="J358" s="71" t="s">
        <v>32</v>
      </c>
      <c r="K358" s="71" t="s">
        <v>172</v>
      </c>
      <c r="L358" s="71" t="s">
        <v>111</v>
      </c>
      <c r="M358" s="71" t="s">
        <v>104</v>
      </c>
      <c r="N358" s="71" t="s">
        <v>164</v>
      </c>
      <c r="O358" s="71" t="s">
        <v>128</v>
      </c>
      <c r="P358" s="71" t="s">
        <v>35</v>
      </c>
      <c r="Q358" s="71" t="s">
        <v>47</v>
      </c>
      <c r="R358" s="71" t="s">
        <v>167</v>
      </c>
    </row>
    <row r="359" spans="1:18">
      <c r="A359" s="71" t="str">
        <f>VLOOKUP(C359,classifications!C:F,4,FALSE)</f>
        <v>SD</v>
      </c>
      <c r="B359" s="71" t="s">
        <v>787</v>
      </c>
      <c r="C359" s="71" t="s">
        <v>4</v>
      </c>
      <c r="D359" s="71" t="s">
        <v>137</v>
      </c>
      <c r="E359" s="71" t="s">
        <v>93</v>
      </c>
      <c r="F359" s="71" t="s">
        <v>84</v>
      </c>
      <c r="G359" s="71" t="s">
        <v>51</v>
      </c>
      <c r="H359" s="71" t="s">
        <v>171</v>
      </c>
      <c r="I359" s="71" t="s">
        <v>108</v>
      </c>
      <c r="J359" s="71" t="s">
        <v>192</v>
      </c>
      <c r="K359" s="71" t="s">
        <v>71</v>
      </c>
      <c r="L359" s="71" t="s">
        <v>196</v>
      </c>
      <c r="M359" s="71" t="s">
        <v>134</v>
      </c>
      <c r="N359" s="71" t="s">
        <v>74</v>
      </c>
      <c r="O359" s="71" t="s">
        <v>165</v>
      </c>
      <c r="P359" s="71" t="s">
        <v>177</v>
      </c>
      <c r="Q359" s="71" t="s">
        <v>125</v>
      </c>
      <c r="R359" s="71" t="s">
        <v>31</v>
      </c>
    </row>
    <row r="360" spans="1:18">
      <c r="A360" s="71" t="str">
        <f>VLOOKUP(C360,classifications!C:F,4,FALSE)</f>
        <v>SD</v>
      </c>
      <c r="B360" s="71" t="s">
        <v>788</v>
      </c>
      <c r="C360" s="71" t="s">
        <v>8</v>
      </c>
      <c r="D360" s="71" t="s">
        <v>165</v>
      </c>
      <c r="E360" s="71" t="s">
        <v>93</v>
      </c>
      <c r="F360" s="71" t="s">
        <v>53</v>
      </c>
      <c r="G360" s="71" t="s">
        <v>106</v>
      </c>
      <c r="H360" s="71" t="s">
        <v>71</v>
      </c>
      <c r="I360" s="71" t="s">
        <v>166</v>
      </c>
      <c r="J360" s="71" t="s">
        <v>137</v>
      </c>
      <c r="K360" s="71" t="s">
        <v>195</v>
      </c>
      <c r="L360" s="71" t="s">
        <v>192</v>
      </c>
      <c r="M360" s="71" t="s">
        <v>183</v>
      </c>
      <c r="N360" s="71" t="s">
        <v>29</v>
      </c>
      <c r="O360" s="71" t="s">
        <v>127</v>
      </c>
      <c r="P360" s="71" t="s">
        <v>37</v>
      </c>
      <c r="Q360" s="71" t="s">
        <v>108</v>
      </c>
      <c r="R360" s="71" t="s">
        <v>177</v>
      </c>
    </row>
    <row r="361" spans="1:18">
      <c r="A361" s="71" t="str">
        <f>VLOOKUP(C361,classifications!C:F,4,FALSE)</f>
        <v>SD</v>
      </c>
      <c r="B361" s="71" t="s">
        <v>789</v>
      </c>
      <c r="C361" s="71" t="s">
        <v>37</v>
      </c>
      <c r="D361" s="71" t="s">
        <v>183</v>
      </c>
      <c r="E361" s="71" t="s">
        <v>141</v>
      </c>
      <c r="F361" s="71" t="s">
        <v>159</v>
      </c>
      <c r="G361" s="71" t="s">
        <v>53</v>
      </c>
      <c r="H361" s="71" t="s">
        <v>121</v>
      </c>
      <c r="I361" s="71" t="s">
        <v>106</v>
      </c>
      <c r="J361" s="71" t="s">
        <v>179</v>
      </c>
      <c r="K361" s="71" t="s">
        <v>44</v>
      </c>
      <c r="L361" s="71" t="s">
        <v>93</v>
      </c>
      <c r="M361" s="71" t="s">
        <v>157</v>
      </c>
      <c r="N361" s="71" t="s">
        <v>127</v>
      </c>
      <c r="O361" s="71" t="s">
        <v>165</v>
      </c>
      <c r="P361" s="71" t="s">
        <v>193</v>
      </c>
      <c r="Q361" s="71" t="s">
        <v>144</v>
      </c>
      <c r="R361" s="71" t="s">
        <v>98</v>
      </c>
    </row>
    <row r="362" spans="1:18">
      <c r="A362" s="71" t="str">
        <f>VLOOKUP(C362,classifications!C:F,4,FALSE)</f>
        <v>SD</v>
      </c>
      <c r="B362" s="71" t="s">
        <v>790</v>
      </c>
      <c r="C362" s="71" t="s">
        <v>46</v>
      </c>
      <c r="D362" s="71" t="s">
        <v>48</v>
      </c>
      <c r="E362" s="71" t="s">
        <v>80</v>
      </c>
      <c r="F362" s="71" t="s">
        <v>156</v>
      </c>
      <c r="G362" s="71" t="s">
        <v>131</v>
      </c>
      <c r="H362" s="71" t="s">
        <v>176</v>
      </c>
      <c r="I362" s="71" t="s">
        <v>118</v>
      </c>
      <c r="J362" s="71" t="s">
        <v>181</v>
      </c>
      <c r="K362" s="71" t="s">
        <v>14</v>
      </c>
      <c r="L362" s="71" t="s">
        <v>122</v>
      </c>
      <c r="M362" s="71" t="s">
        <v>43</v>
      </c>
      <c r="N362" s="71" t="s">
        <v>73</v>
      </c>
      <c r="O362" s="71" t="s">
        <v>27</v>
      </c>
      <c r="P362" s="71" t="s">
        <v>90</v>
      </c>
      <c r="Q362" s="71" t="s">
        <v>66</v>
      </c>
      <c r="R362" s="71" t="s">
        <v>116</v>
      </c>
    </row>
    <row r="363" spans="1:18">
      <c r="A363" s="71" t="str">
        <f>VLOOKUP(C363,classifications!C:F,4,FALSE)</f>
        <v>SD</v>
      </c>
      <c r="B363" s="71" t="s">
        <v>791</v>
      </c>
      <c r="C363" s="71" t="s">
        <v>87</v>
      </c>
      <c r="D363" s="71" t="s">
        <v>104</v>
      </c>
      <c r="E363" s="71" t="s">
        <v>55</v>
      </c>
      <c r="F363" s="71" t="s">
        <v>56</v>
      </c>
      <c r="G363" s="71" t="s">
        <v>136</v>
      </c>
      <c r="H363" s="71" t="s">
        <v>189</v>
      </c>
      <c r="I363" s="71" t="s">
        <v>64</v>
      </c>
      <c r="J363" s="71" t="s">
        <v>167</v>
      </c>
      <c r="K363" s="71" t="s">
        <v>81</v>
      </c>
      <c r="L363" s="71" t="s">
        <v>170</v>
      </c>
      <c r="M363" s="71" t="s">
        <v>147</v>
      </c>
      <c r="N363" s="71" t="s">
        <v>157</v>
      </c>
      <c r="O363" s="71" t="s">
        <v>21</v>
      </c>
      <c r="P363" s="71" t="s">
        <v>130</v>
      </c>
      <c r="Q363" s="71" t="s">
        <v>351</v>
      </c>
      <c r="R363" s="71" t="s">
        <v>174</v>
      </c>
    </row>
    <row r="364" spans="1:18">
      <c r="A364" s="71" t="str">
        <f>VLOOKUP(C364,classifications!C:F,4,FALSE)</f>
        <v>SD</v>
      </c>
      <c r="B364" s="71" t="s">
        <v>792</v>
      </c>
      <c r="C364" s="71" t="s">
        <v>104</v>
      </c>
      <c r="D364" s="71" t="s">
        <v>87</v>
      </c>
      <c r="E364" s="71" t="s">
        <v>56</v>
      </c>
      <c r="F364" s="71" t="s">
        <v>81</v>
      </c>
      <c r="G364" s="71" t="s">
        <v>55</v>
      </c>
      <c r="H364" s="71" t="s">
        <v>189</v>
      </c>
      <c r="I364" s="71" t="s">
        <v>96</v>
      </c>
      <c r="J364" s="71" t="s">
        <v>167</v>
      </c>
      <c r="K364" s="71" t="s">
        <v>64</v>
      </c>
      <c r="L364" s="71" t="s">
        <v>147</v>
      </c>
      <c r="M364" s="71" t="s">
        <v>136</v>
      </c>
      <c r="N364" s="71" t="s">
        <v>152</v>
      </c>
      <c r="O364" s="71" t="s">
        <v>130</v>
      </c>
      <c r="P364" s="71" t="s">
        <v>33</v>
      </c>
      <c r="Q364" s="71" t="s">
        <v>170</v>
      </c>
      <c r="R364" s="71" t="s">
        <v>172</v>
      </c>
    </row>
    <row r="365" spans="1:18">
      <c r="A365" s="71" t="str">
        <f>VLOOKUP(C365,classifications!C:F,4,FALSE)</f>
        <v>SD</v>
      </c>
      <c r="B365" s="71" t="s">
        <v>793</v>
      </c>
      <c r="C365" s="71" t="s">
        <v>192</v>
      </c>
      <c r="D365" s="71" t="s">
        <v>137</v>
      </c>
      <c r="E365" s="71" t="s">
        <v>4</v>
      </c>
      <c r="F365" s="71" t="s">
        <v>60</v>
      </c>
      <c r="G365" s="71" t="s">
        <v>34</v>
      </c>
      <c r="H365" s="71" t="s">
        <v>29</v>
      </c>
      <c r="I365" s="71" t="s">
        <v>8</v>
      </c>
      <c r="J365" s="71" t="s">
        <v>108</v>
      </c>
      <c r="K365" s="71" t="s">
        <v>92</v>
      </c>
      <c r="L365" s="71" t="s">
        <v>71</v>
      </c>
      <c r="M365" s="71" t="s">
        <v>93</v>
      </c>
      <c r="N365" s="71" t="s">
        <v>195</v>
      </c>
      <c r="O365" s="71" t="s">
        <v>165</v>
      </c>
      <c r="P365" s="71" t="s">
        <v>133</v>
      </c>
      <c r="Q365" s="71" t="s">
        <v>51</v>
      </c>
      <c r="R365" s="71" t="s">
        <v>74</v>
      </c>
    </row>
  </sheetData>
  <pageMargins left="0.39370078740157483" right="0.34" top="0.39370078740157483" bottom="0.39370078740157483" header="0.51181102362204722" footer="0.51181102362204722"/>
  <pageSetup paperSize="9" scale="35" fitToHeight="4"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4"/>
  <dimension ref="A1:L49"/>
  <sheetViews>
    <sheetView topLeftCell="A25" workbookViewId="0">
      <selection activeCell="A10" sqref="A10:XFD10"/>
    </sheetView>
  </sheetViews>
  <sheetFormatPr defaultRowHeight="13.2"/>
  <cols>
    <col min="1" max="1" width="8.33203125" customWidth="1"/>
    <col min="2" max="3" width="34.33203125" customWidth="1"/>
    <col min="5" max="6" width="11.5546875" customWidth="1"/>
    <col min="8" max="8" width="13.6640625" customWidth="1"/>
    <col min="9" max="9" width="18.33203125" customWidth="1"/>
    <col min="10" max="10" width="25.88671875" customWidth="1"/>
    <col min="11" max="11" width="26.109375" customWidth="1"/>
    <col min="12" max="12" width="9.6640625" customWidth="1"/>
  </cols>
  <sheetData>
    <row r="1" spans="1:12" ht="14.4">
      <c r="A1" s="199" t="s">
        <v>877</v>
      </c>
    </row>
    <row r="2" spans="1:12">
      <c r="A2" t="s">
        <v>872</v>
      </c>
    </row>
    <row r="3" spans="1:12" ht="9" customHeight="1"/>
    <row r="4" spans="1:12">
      <c r="A4" t="s">
        <v>876</v>
      </c>
    </row>
    <row r="5" spans="1:12" ht="8.25" customHeight="1">
      <c r="A5" s="31"/>
    </row>
    <row r="6" spans="1:12">
      <c r="A6" t="s">
        <v>878</v>
      </c>
    </row>
    <row r="8" spans="1:12" ht="14.4">
      <c r="A8" s="199" t="s">
        <v>868</v>
      </c>
    </row>
    <row r="9" spans="1:12">
      <c r="A9" t="s">
        <v>871</v>
      </c>
    </row>
    <row r="10" spans="1:12">
      <c r="B10" t="s">
        <v>806</v>
      </c>
      <c r="C10" t="s">
        <v>862</v>
      </c>
    </row>
    <row r="11" spans="1:12">
      <c r="C11" t="s">
        <v>861</v>
      </c>
    </row>
    <row r="12" spans="1:12">
      <c r="C12" t="s">
        <v>863</v>
      </c>
    </row>
    <row r="14" spans="1:12">
      <c r="B14" t="s">
        <v>807</v>
      </c>
      <c r="C14" t="s">
        <v>859</v>
      </c>
    </row>
    <row r="15" spans="1:12">
      <c r="C15" t="s">
        <v>887</v>
      </c>
    </row>
    <row r="16" spans="1:12" ht="39.6">
      <c r="D16" t="s">
        <v>854</v>
      </c>
      <c r="E16" s="150" t="s">
        <v>857</v>
      </c>
      <c r="F16" s="150"/>
      <c r="G16" s="150"/>
      <c r="H16" s="150"/>
      <c r="I16" s="182" t="s">
        <v>856</v>
      </c>
      <c r="J16" s="183" t="s">
        <v>808</v>
      </c>
      <c r="K16" s="193" t="s">
        <v>809</v>
      </c>
      <c r="L16" s="34"/>
    </row>
    <row r="17" spans="1:12" ht="48">
      <c r="E17" s="185" t="s">
        <v>850</v>
      </c>
      <c r="F17" s="186" t="s">
        <v>850</v>
      </c>
      <c r="G17" s="186" t="s">
        <v>855</v>
      </c>
      <c r="H17" s="187" t="s">
        <v>855</v>
      </c>
      <c r="J17" s="191" t="s">
        <v>850</v>
      </c>
      <c r="K17" s="194" t="s">
        <v>851</v>
      </c>
      <c r="L17" s="195" t="s">
        <v>852</v>
      </c>
    </row>
    <row r="18" spans="1:12" ht="48">
      <c r="E18" s="188" t="s">
        <v>851</v>
      </c>
      <c r="F18" s="189" t="s">
        <v>852</v>
      </c>
      <c r="G18" s="189" t="s">
        <v>851</v>
      </c>
      <c r="H18" s="190" t="s">
        <v>852</v>
      </c>
      <c r="J18" s="192" t="s">
        <v>855</v>
      </c>
      <c r="K18" s="194" t="s">
        <v>851</v>
      </c>
      <c r="L18" s="195" t="s">
        <v>852</v>
      </c>
    </row>
    <row r="19" spans="1:12" ht="18.75" customHeight="1">
      <c r="C19" s="181" t="s">
        <v>864</v>
      </c>
    </row>
    <row r="20" spans="1:12">
      <c r="C20" s="181"/>
      <c r="D20" t="s">
        <v>854</v>
      </c>
      <c r="E20" s="150" t="s">
        <v>857</v>
      </c>
      <c r="F20" s="300" t="s">
        <v>858</v>
      </c>
      <c r="G20" s="300"/>
      <c r="H20" s="183" t="s">
        <v>802</v>
      </c>
      <c r="I20" s="184" t="s">
        <v>794</v>
      </c>
    </row>
    <row r="21" spans="1:12">
      <c r="C21" s="181"/>
      <c r="E21" s="196" t="s">
        <v>850</v>
      </c>
      <c r="F21" s="300"/>
      <c r="G21" s="300"/>
      <c r="H21" s="7" t="s">
        <v>812</v>
      </c>
      <c r="I21" s="9" t="s">
        <v>823</v>
      </c>
    </row>
    <row r="22" spans="1:12" ht="36">
      <c r="C22" s="181"/>
      <c r="E22" s="197" t="s">
        <v>851</v>
      </c>
      <c r="F22" s="300"/>
      <c r="G22" s="300"/>
    </row>
    <row r="23" spans="1:12">
      <c r="C23" s="181"/>
      <c r="E23" s="198">
        <v>87</v>
      </c>
      <c r="F23" s="300"/>
      <c r="G23" s="300"/>
    </row>
    <row r="24" spans="1:12">
      <c r="C24" s="181" t="s">
        <v>860</v>
      </c>
    </row>
    <row r="26" spans="1:12">
      <c r="A26" t="s">
        <v>873</v>
      </c>
    </row>
    <row r="28" spans="1:12">
      <c r="A28" t="s">
        <v>869</v>
      </c>
    </row>
    <row r="29" spans="1:12">
      <c r="A29" s="200" t="s">
        <v>875</v>
      </c>
    </row>
    <row r="30" spans="1:12">
      <c r="A30" s="200"/>
    </row>
    <row r="31" spans="1:12">
      <c r="A31" t="s">
        <v>870</v>
      </c>
    </row>
    <row r="32" spans="1:12">
      <c r="A32" s="200" t="s">
        <v>874</v>
      </c>
    </row>
    <row r="34" spans="1:1" ht="14.4">
      <c r="A34" s="199" t="s">
        <v>853</v>
      </c>
    </row>
    <row r="35" spans="1:1">
      <c r="A35" t="s">
        <v>867</v>
      </c>
    </row>
    <row r="37" spans="1:1">
      <c r="A37" t="s">
        <v>865</v>
      </c>
    </row>
    <row r="39" spans="1:1">
      <c r="A39" t="s">
        <v>866</v>
      </c>
    </row>
    <row r="41" spans="1:1">
      <c r="A41" s="200"/>
    </row>
    <row r="42" spans="1:1">
      <c r="A42" s="200"/>
    </row>
    <row r="46" spans="1:1">
      <c r="A46" s="200"/>
    </row>
    <row r="47" spans="1:1">
      <c r="A47" s="200"/>
    </row>
    <row r="49" spans="1:1">
      <c r="A49" s="200"/>
    </row>
  </sheetData>
  <mergeCells count="1">
    <mergeCell ref="F20:G23"/>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2:I42"/>
  <sheetViews>
    <sheetView view="pageBreakPreview" zoomScale="60" zoomScaleNormal="100" workbookViewId="0"/>
  </sheetViews>
  <sheetFormatPr defaultRowHeight="13.2"/>
  <cols>
    <col min="1" max="1" width="26" customWidth="1"/>
    <col min="2" max="2" width="16.5546875" customWidth="1"/>
  </cols>
  <sheetData>
    <row r="2" spans="1:9">
      <c r="A2" s="202" t="s">
        <v>849</v>
      </c>
      <c r="B2" s="202"/>
      <c r="C2" s="202"/>
      <c r="D2" s="203"/>
    </row>
    <row r="4" spans="1:9">
      <c r="A4" s="202" t="s">
        <v>848</v>
      </c>
      <c r="B4" s="202"/>
      <c r="C4" s="202"/>
      <c r="D4" s="203"/>
    </row>
    <row r="6" spans="1:9">
      <c r="A6" s="202" t="s">
        <v>847</v>
      </c>
      <c r="B6" s="202"/>
      <c r="C6" s="202"/>
      <c r="D6" s="203"/>
    </row>
    <row r="7" spans="1:9">
      <c r="D7" t="s">
        <v>382</v>
      </c>
      <c r="G7" t="s">
        <v>388</v>
      </c>
    </row>
    <row r="8" spans="1:9">
      <c r="D8" t="s">
        <v>879</v>
      </c>
      <c r="E8" t="s">
        <v>880</v>
      </c>
      <c r="F8" t="s">
        <v>881</v>
      </c>
      <c r="G8" t="s">
        <v>879</v>
      </c>
      <c r="H8" t="s">
        <v>880</v>
      </c>
      <c r="I8" t="s">
        <v>881</v>
      </c>
    </row>
    <row r="9" spans="1:9">
      <c r="A9" s="35" t="s">
        <v>794</v>
      </c>
      <c r="B9" s="202" t="s">
        <v>846</v>
      </c>
      <c r="C9" s="202"/>
      <c r="D9" s="203"/>
      <c r="E9" s="203"/>
      <c r="F9" s="203"/>
      <c r="G9" s="203"/>
      <c r="H9" s="203"/>
      <c r="I9" s="203"/>
    </row>
    <row r="10" spans="1:9">
      <c r="B10" s="202" t="s">
        <v>845</v>
      </c>
      <c r="C10" s="202"/>
      <c r="D10" s="203"/>
      <c r="E10" s="203"/>
      <c r="F10" s="203"/>
      <c r="G10" s="203"/>
      <c r="H10" s="203"/>
      <c r="I10" s="203"/>
    </row>
    <row r="11" spans="1:9">
      <c r="B11" s="202" t="s">
        <v>844</v>
      </c>
      <c r="C11" s="202"/>
      <c r="D11" s="203"/>
      <c r="E11" s="203"/>
      <c r="F11" s="203"/>
      <c r="G11" s="203"/>
      <c r="H11" s="203"/>
      <c r="I11" s="203"/>
    </row>
    <row r="12" spans="1:9">
      <c r="B12" s="202" t="s">
        <v>843</v>
      </c>
      <c r="C12" s="202"/>
      <c r="D12" s="203"/>
      <c r="E12" s="203"/>
      <c r="F12" s="203"/>
      <c r="G12" s="203"/>
      <c r="H12" s="203"/>
      <c r="I12" s="203"/>
    </row>
    <row r="13" spans="1:9">
      <c r="B13" s="202" t="s">
        <v>842</v>
      </c>
      <c r="C13" s="202"/>
      <c r="D13" s="203"/>
      <c r="E13" s="203"/>
      <c r="F13" s="203"/>
      <c r="G13" s="203"/>
      <c r="H13" s="203"/>
      <c r="I13" s="203"/>
    </row>
    <row r="14" spans="1:9">
      <c r="B14" s="202" t="s">
        <v>841</v>
      </c>
      <c r="C14" s="202"/>
      <c r="D14" s="203"/>
      <c r="E14" s="203"/>
      <c r="F14" s="203"/>
      <c r="G14" s="203"/>
      <c r="H14" s="203"/>
      <c r="I14" s="203"/>
    </row>
    <row r="15" spans="1:9">
      <c r="A15" s="8"/>
      <c r="B15" s="202" t="s">
        <v>840</v>
      </c>
      <c r="C15" s="202"/>
      <c r="D15" s="203"/>
      <c r="E15" s="203"/>
      <c r="F15" s="203"/>
      <c r="G15" s="203"/>
      <c r="H15" s="203"/>
      <c r="I15" s="203"/>
    </row>
    <row r="17" spans="1:5">
      <c r="D17" t="s">
        <v>382</v>
      </c>
      <c r="E17" t="s">
        <v>388</v>
      </c>
    </row>
    <row r="18" spans="1:5">
      <c r="A18" s="202" t="s">
        <v>882</v>
      </c>
      <c r="B18" s="202"/>
      <c r="C18" s="202"/>
      <c r="D18" s="203"/>
      <c r="E18" s="203"/>
    </row>
    <row r="20" spans="1:5">
      <c r="A20" s="202" t="s">
        <v>839</v>
      </c>
      <c r="B20" s="202"/>
      <c r="C20" s="202"/>
      <c r="D20" s="203"/>
      <c r="E20" s="203"/>
    </row>
    <row r="22" spans="1:5">
      <c r="A22" s="202" t="s">
        <v>883</v>
      </c>
      <c r="B22" s="202"/>
      <c r="C22" s="202"/>
      <c r="D22" s="203"/>
      <c r="E22" s="203"/>
    </row>
    <row r="24" spans="1:5">
      <c r="A24" s="202" t="s">
        <v>884</v>
      </c>
      <c r="B24" s="202"/>
      <c r="C24" s="204"/>
      <c r="D24" s="203"/>
      <c r="E24" s="203"/>
    </row>
    <row r="26" spans="1:5">
      <c r="A26" s="35" t="s">
        <v>838</v>
      </c>
      <c r="B26" s="35" t="s">
        <v>409</v>
      </c>
      <c r="C26" s="202" t="s">
        <v>375</v>
      </c>
      <c r="D26" s="203"/>
      <c r="E26" s="203"/>
    </row>
    <row r="27" spans="1:5">
      <c r="B27" s="8"/>
      <c r="C27" s="202" t="s">
        <v>837</v>
      </c>
      <c r="D27" s="203"/>
      <c r="E27" s="203"/>
    </row>
    <row r="28" spans="1:5">
      <c r="B28" s="202" t="s">
        <v>836</v>
      </c>
      <c r="C28" s="202"/>
      <c r="D28" s="203"/>
      <c r="E28" s="203"/>
    </row>
    <row r="29" spans="1:5">
      <c r="B29" s="202" t="s">
        <v>355</v>
      </c>
      <c r="C29" s="202"/>
      <c r="D29" s="203"/>
      <c r="E29" s="203"/>
    </row>
    <row r="30" spans="1:5">
      <c r="B30" s="202" t="s">
        <v>835</v>
      </c>
      <c r="C30" s="202"/>
      <c r="D30" s="203"/>
      <c r="E30" s="203"/>
    </row>
    <row r="31" spans="1:5">
      <c r="A31" s="8"/>
      <c r="B31" s="202" t="s">
        <v>834</v>
      </c>
      <c r="C31" s="202"/>
      <c r="D31" s="203"/>
      <c r="E31" s="203"/>
    </row>
    <row r="33" spans="1:5">
      <c r="A33" s="35" t="s">
        <v>833</v>
      </c>
      <c r="B33" s="202" t="s">
        <v>832</v>
      </c>
      <c r="C33" s="202"/>
      <c r="D33" s="203"/>
      <c r="E33" s="203"/>
    </row>
    <row r="34" spans="1:5">
      <c r="A34" s="8"/>
      <c r="B34" s="202" t="s">
        <v>885</v>
      </c>
      <c r="C34" s="202"/>
      <c r="D34" s="203"/>
      <c r="E34" s="203"/>
    </row>
    <row r="36" spans="1:5">
      <c r="A36" s="35" t="s">
        <v>831</v>
      </c>
      <c r="B36" s="202" t="s">
        <v>830</v>
      </c>
      <c r="C36" s="202"/>
      <c r="D36" s="203"/>
      <c r="E36" s="203"/>
    </row>
    <row r="37" spans="1:5">
      <c r="B37" s="202" t="s">
        <v>829</v>
      </c>
      <c r="C37" s="202"/>
      <c r="D37" s="203"/>
      <c r="E37" s="203"/>
    </row>
    <row r="38" spans="1:5">
      <c r="B38" s="202" t="s">
        <v>799</v>
      </c>
      <c r="C38" s="202"/>
      <c r="D38" s="203"/>
      <c r="E38" s="203"/>
    </row>
    <row r="39" spans="1:5">
      <c r="A39" s="8"/>
      <c r="B39" s="202" t="s">
        <v>828</v>
      </c>
      <c r="C39" s="202"/>
      <c r="D39" s="203"/>
      <c r="E39" s="203"/>
    </row>
    <row r="41" spans="1:5">
      <c r="A41" s="35" t="s">
        <v>827</v>
      </c>
      <c r="B41" s="202" t="s">
        <v>826</v>
      </c>
      <c r="C41" s="202"/>
      <c r="D41" s="203"/>
      <c r="E41" s="203"/>
    </row>
    <row r="42" spans="1:5">
      <c r="A42" s="8"/>
      <c r="B42" s="8" t="s">
        <v>885</v>
      </c>
      <c r="C42" s="8"/>
      <c r="D42" s="205"/>
      <c r="E42" s="203"/>
    </row>
  </sheetData>
  <pageMargins left="0.7" right="0.7" top="0.75" bottom="0.75" header="0.3" footer="0.3"/>
  <pageSetup paperSize="9" scale="93"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9BF68E939648E41A7AD205F45E1D06E" ma:contentTypeVersion="15" ma:contentTypeDescription="Create a new document." ma:contentTypeScope="" ma:versionID="ed5f596e56301535390d14966e0d1205">
  <xsd:schema xmlns:xsd="http://www.w3.org/2001/XMLSchema" xmlns:xs="http://www.w3.org/2001/XMLSchema" xmlns:p="http://schemas.microsoft.com/office/2006/metadata/properties" xmlns:ns2="70ca3b07-a5d4-4e6d-ab17-c6ed1d1ed637" xmlns:ns3="9b5c2d67-6ba8-4909-8871-d66aad70ec51" targetNamespace="http://schemas.microsoft.com/office/2006/metadata/properties" ma:root="true" ma:fieldsID="04f606cc9299ea09a92073487e302fa9" ns2:_="" ns3:_="">
    <xsd:import namespace="70ca3b07-a5d4-4e6d-ab17-c6ed1d1ed637"/>
    <xsd:import namespace="9b5c2d67-6ba8-4909-8871-d66aad70ec51"/>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0ca3b07-a5d4-4e6d-ab17-c6ed1d1ed63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3521023f-0153-4dc7-835e-a6745b9e5ae3"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description="" ma:indexed="true" ma:internalName="MediaServiceLocation"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b5c2d67-6ba8-4909-8871-d66aad70ec51"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c6fe997d-d9c7-4433-a723-7a3c7010c55b}" ma:internalName="TaxCatchAll" ma:showField="CatchAllData" ma:web="9b5c2d67-6ba8-4909-8871-d66aad70ec51">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70ca3b07-a5d4-4e6d-ab17-c6ed1d1ed637">
      <Terms xmlns="http://schemas.microsoft.com/office/infopath/2007/PartnerControls"/>
    </lcf76f155ced4ddcb4097134ff3c332f>
    <TaxCatchAll xmlns="9b5c2d67-6ba8-4909-8871-d66aad70ec51"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057F8BC-C3B1-487B-B41E-4BCD895621D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0ca3b07-a5d4-4e6d-ab17-c6ed1d1ed637"/>
    <ds:schemaRef ds:uri="9b5c2d67-6ba8-4909-8871-d66aad70ec5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7A0E034-7171-498F-B13B-5F73BD9C35BF}">
  <ds:schemaRefs>
    <ds:schemaRef ds:uri="http://schemas.microsoft.com/office/2006/documentManagement/types"/>
    <ds:schemaRef ds:uri="http://purl.org/dc/elements/1.1/"/>
    <ds:schemaRef ds:uri="http://purl.org/dc/terms/"/>
    <ds:schemaRef ds:uri="http://purl.org/dc/dcmitype/"/>
    <ds:schemaRef ds:uri="http://www.w3.org/XML/1998/namespace"/>
    <ds:schemaRef ds:uri="http://schemas.microsoft.com/office/2006/metadata/properties"/>
    <ds:schemaRef ds:uri="c0c43d4d-b7da-4a2b-8f97-25182fb94a41"/>
    <ds:schemaRef ds:uri="15e9fc89-c4ce-4b6c-ba83-13639de65aee"/>
    <ds:schemaRef ds:uri="http://schemas.openxmlformats.org/package/2006/metadata/core-properties"/>
    <ds:schemaRef ds:uri="http://schemas.microsoft.com/office/infopath/2007/PartnerControls"/>
    <ds:schemaRef ds:uri="70ca3b07-a5d4-4e6d-ab17-c6ed1d1ed637"/>
    <ds:schemaRef ds:uri="9b5c2d67-6ba8-4909-8871-d66aad70ec51"/>
  </ds:schemaRefs>
</ds:datastoreItem>
</file>

<file path=customXml/itemProps3.xml><?xml version="1.0" encoding="utf-8"?>
<ds:datastoreItem xmlns:ds="http://schemas.openxmlformats.org/officeDocument/2006/customXml" ds:itemID="{BB897A0E-F720-434F-8E69-5A0F2CF204E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Profile</vt:lpstr>
      <vt:lpstr>Authorities1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Worth</dc:creator>
  <cp:lastModifiedBy>Dan Worth</cp:lastModifiedBy>
  <dcterms:created xsi:type="dcterms:W3CDTF">2016-07-11T14:48:21Z</dcterms:created>
  <dcterms:modified xsi:type="dcterms:W3CDTF">2024-04-22T14:38:49Z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sMyDocuments">
    <vt:bool>true</vt:bool>
  </property>
  <property fmtid="{D5CDD505-2E9C-101B-9397-08002B2CF9AE}" pid="3" name="ContentTypeId">
    <vt:lpwstr>0x010100B9BF68E939648E41A7AD205F45E1D06E</vt:lpwstr>
  </property>
  <property fmtid="{D5CDD505-2E9C-101B-9397-08002B2CF9AE}" pid="4" name="MediaServiceImageTags">
    <vt:lpwstr/>
  </property>
</Properties>
</file>