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40" documentId="8_{03F319B8-8AEF-4F9C-B213-824B6F1703ED}" xr6:coauthVersionLast="47" xr6:coauthVersionMax="47" xr10:uidLastSave="{B5A29E24-CA15-4201-A966-2A417E48DF2A}"/>
  <workbookProtection workbookAlgorithmName="SHA-512" workbookHashValue="SQttAzIImQc0neV7GZsrYu2ovx1UT+1cl259Og1nlE4bu22lkc8z+o187jDnzbOr2ke7dF6/pVmONSMZ/s320A==" workbookSaltValue="pw2lqxZ5khyqv+0GqTMI/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c r="D86" i="16" l="1"/>
  <c r="E86" i="16"/>
  <c r="D87" i="16"/>
  <c r="E87" i="16"/>
  <c r="D88" i="16"/>
  <c r="E88" i="16"/>
  <c r="D89" i="16"/>
  <c r="E89" i="16"/>
  <c r="D90" i="16"/>
  <c r="H90" i="16" s="1"/>
  <c r="I90" i="16" s="1"/>
  <c r="E90" i="16"/>
  <c r="D91" i="16"/>
  <c r="E91" i="16"/>
  <c r="D92" i="16"/>
  <c r="E92" i="16"/>
  <c r="D93" i="16"/>
  <c r="E93" i="16"/>
  <c r="D94" i="16"/>
  <c r="H94" i="16" s="1"/>
  <c r="I94" i="16" s="1"/>
  <c r="E94" i="16"/>
  <c r="D95" i="16"/>
  <c r="H95" i="16" s="1"/>
  <c r="I95" i="16" s="1"/>
  <c r="E95" i="16"/>
  <c r="D96" i="16"/>
  <c r="E96" i="16"/>
  <c r="D97" i="16"/>
  <c r="E97" i="16"/>
  <c r="D98" i="16"/>
  <c r="E98" i="16"/>
  <c r="D99" i="16"/>
  <c r="E99" i="16"/>
  <c r="D100" i="16"/>
  <c r="E100" i="16"/>
  <c r="D101" i="16"/>
  <c r="E101" i="16"/>
  <c r="D102" i="16"/>
  <c r="E102" i="16"/>
  <c r="D103" i="16"/>
  <c r="E103" i="16"/>
  <c r="D104" i="16"/>
  <c r="E104" i="16"/>
  <c r="D105" i="16"/>
  <c r="E105" i="16"/>
  <c r="D106" i="16"/>
  <c r="E106" i="16"/>
  <c r="D107" i="16"/>
  <c r="E107" i="16"/>
  <c r="D108" i="16"/>
  <c r="H108" i="16" s="1"/>
  <c r="I108" i="16" s="1"/>
  <c r="E108" i="16"/>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H125" i="16" s="1"/>
  <c r="I125" i="16" s="1"/>
  <c r="E125" i="16"/>
  <c r="D126" i="16"/>
  <c r="E126" i="16"/>
  <c r="D127" i="16"/>
  <c r="H127" i="16" s="1"/>
  <c r="I127" i="16" s="1"/>
  <c r="E127" i="16"/>
  <c r="D128" i="16"/>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E138" i="16"/>
  <c r="D139" i="16"/>
  <c r="E139" i="16"/>
  <c r="D140" i="16"/>
  <c r="E140" i="16"/>
  <c r="D141" i="16"/>
  <c r="H141" i="16" s="1"/>
  <c r="I141" i="16" s="1"/>
  <c r="E141" i="16"/>
  <c r="D142" i="16"/>
  <c r="E142" i="16"/>
  <c r="D143" i="16"/>
  <c r="E143" i="16"/>
  <c r="D144" i="16"/>
  <c r="E144" i="16"/>
  <c r="D145" i="16"/>
  <c r="E145" i="16"/>
  <c r="D146" i="16"/>
  <c r="H146" i="16" s="1"/>
  <c r="I146" i="16" s="1"/>
  <c r="E146" i="16"/>
  <c r="D147" i="16"/>
  <c r="E147" i="16"/>
  <c r="D148" i="16"/>
  <c r="E148" i="16"/>
  <c r="D149" i="16"/>
  <c r="H149" i="16" s="1"/>
  <c r="I149" i="16" s="1"/>
  <c r="E149" i="16"/>
  <c r="D150" i="16"/>
  <c r="E150" i="16"/>
  <c r="D151" i="16"/>
  <c r="E151" i="16"/>
  <c r="D152" i="16"/>
  <c r="E152" i="16"/>
  <c r="D153" i="16"/>
  <c r="E153" i="16"/>
  <c r="D154" i="16"/>
  <c r="H154" i="16" s="1"/>
  <c r="I154" i="16" s="1"/>
  <c r="E154" i="16"/>
  <c r="D155" i="16"/>
  <c r="H155" i="16" s="1"/>
  <c r="I155" i="16" s="1"/>
  <c r="E155" i="16"/>
  <c r="D156" i="16"/>
  <c r="H156" i="16" s="1"/>
  <c r="I156" i="16" s="1"/>
  <c r="E156" i="16"/>
  <c r="D157" i="16"/>
  <c r="E157" i="16"/>
  <c r="D158" i="16"/>
  <c r="E158" i="16"/>
  <c r="D159" i="16"/>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E166" i="16"/>
  <c r="H166" i="16"/>
  <c r="I166" i="16" s="1"/>
  <c r="D167" i="16"/>
  <c r="E167" i="16"/>
  <c r="D168" i="16"/>
  <c r="E168" i="16"/>
  <c r="D169" i="16"/>
  <c r="E169" i="16"/>
  <c r="D170" i="16"/>
  <c r="H170" i="16" s="1"/>
  <c r="I170" i="16" s="1"/>
  <c r="E170" i="16"/>
  <c r="D171" i="16"/>
  <c r="E171" i="16"/>
  <c r="D172" i="16"/>
  <c r="E172" i="16"/>
  <c r="D173" i="16"/>
  <c r="E173" i="16"/>
  <c r="D174" i="16"/>
  <c r="H174" i="16" s="1"/>
  <c r="I174" i="16" s="1"/>
  <c r="E174" i="16"/>
  <c r="D175" i="16"/>
  <c r="E175" i="16"/>
  <c r="D176" i="16"/>
  <c r="E176" i="16"/>
  <c r="D177" i="16"/>
  <c r="E177" i="16"/>
  <c r="D178" i="16"/>
  <c r="E178" i="16"/>
  <c r="D179" i="16"/>
  <c r="H179" i="16" s="1"/>
  <c r="I179" i="16" s="1"/>
  <c r="E179" i="16"/>
  <c r="D180" i="16"/>
  <c r="E180" i="16"/>
  <c r="D181" i="16"/>
  <c r="E181" i="16"/>
  <c r="D182" i="16"/>
  <c r="E182" i="16"/>
  <c r="D183" i="16"/>
  <c r="E183" i="16"/>
  <c r="D184" i="16"/>
  <c r="H184" i="16" s="1"/>
  <c r="I184" i="16" s="1"/>
  <c r="E184" i="16"/>
  <c r="D185" i="16"/>
  <c r="E185" i="16"/>
  <c r="D186" i="16"/>
  <c r="E186" i="16"/>
  <c r="D187" i="16"/>
  <c r="E187" i="16"/>
  <c r="D188" i="16"/>
  <c r="E188" i="16"/>
  <c r="D189" i="16"/>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E199" i="16"/>
  <c r="D200" i="16"/>
  <c r="E200" i="16"/>
  <c r="D201" i="16"/>
  <c r="E201" i="16"/>
  <c r="D202" i="16"/>
  <c r="E202" i="16"/>
  <c r="D203" i="16"/>
  <c r="E203" i="16"/>
  <c r="D204" i="16"/>
  <c r="E204" i="16"/>
  <c r="D205" i="16"/>
  <c r="H205" i="16" s="1"/>
  <c r="I205" i="16" s="1"/>
  <c r="E205" i="16"/>
  <c r="D206" i="16"/>
  <c r="E206" i="16"/>
  <c r="D207" i="16"/>
  <c r="E207" i="16"/>
  <c r="D208" i="16"/>
  <c r="E208" i="16"/>
  <c r="D209" i="16"/>
  <c r="E209" i="16"/>
  <c r="D210" i="16"/>
  <c r="E210" i="16"/>
  <c r="D211" i="16"/>
  <c r="E211" i="16"/>
  <c r="D212" i="16"/>
  <c r="E212" i="16"/>
  <c r="D213" i="16"/>
  <c r="E213" i="16"/>
  <c r="D214" i="16"/>
  <c r="E214" i="16"/>
  <c r="D215" i="16"/>
  <c r="H215" i="16" s="1"/>
  <c r="I215" i="16" s="1"/>
  <c r="E215" i="16"/>
  <c r="D216" i="16"/>
  <c r="E216" i="16"/>
  <c r="D217" i="16"/>
  <c r="E217" i="16"/>
  <c r="D218" i="16"/>
  <c r="E218" i="16"/>
  <c r="D219" i="16"/>
  <c r="E219" i="16"/>
  <c r="D220" i="16"/>
  <c r="E220" i="16"/>
  <c r="D221" i="16"/>
  <c r="E221" i="16"/>
  <c r="D222" i="16"/>
  <c r="E222" i="16"/>
  <c r="D223" i="16"/>
  <c r="E223" i="16"/>
  <c r="D224" i="16"/>
  <c r="H224" i="16" s="1"/>
  <c r="I224" i="16" s="1"/>
  <c r="E224" i="16"/>
  <c r="D225" i="16"/>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E251" i="16"/>
  <c r="D252" i="16"/>
  <c r="E252" i="16"/>
  <c r="D253" i="16"/>
  <c r="H253" i="16" s="1"/>
  <c r="I253" i="16" s="1"/>
  <c r="E253" i="16"/>
  <c r="D254" i="16"/>
  <c r="E254" i="16"/>
  <c r="D255" i="16"/>
  <c r="E255" i="16"/>
  <c r="D256" i="16"/>
  <c r="E256" i="16"/>
  <c r="D257" i="16"/>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E268" i="16"/>
  <c r="D269" i="16"/>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H279" i="16" s="1"/>
  <c r="I279" i="16" s="1"/>
  <c r="E279" i="16"/>
  <c r="D280" i="16"/>
  <c r="E280" i="16"/>
  <c r="D281" i="16"/>
  <c r="E281" i="16"/>
  <c r="D282" i="16"/>
  <c r="E282" i="16"/>
  <c r="D283" i="16"/>
  <c r="E283" i="16"/>
  <c r="D284" i="16"/>
  <c r="E284" i="16"/>
  <c r="D285" i="16"/>
  <c r="E285" i="16"/>
  <c r="D286" i="16"/>
  <c r="H286" i="16" s="1"/>
  <c r="I286" i="16" s="1"/>
  <c r="E286" i="16"/>
  <c r="D287" i="16"/>
  <c r="E287" i="16"/>
  <c r="D288" i="16"/>
  <c r="E288" i="16"/>
  <c r="D289" i="16"/>
  <c r="H289" i="16" s="1"/>
  <c r="I289" i="16" s="1"/>
  <c r="E289" i="16"/>
  <c r="D290" i="16"/>
  <c r="E290" i="16"/>
  <c r="D291" i="16"/>
  <c r="E291" i="16"/>
  <c r="D292" i="16"/>
  <c r="H292" i="16" s="1"/>
  <c r="I292" i="16" s="1"/>
  <c r="E292" i="16"/>
  <c r="D293" i="16"/>
  <c r="E293" i="16"/>
  <c r="D294" i="16"/>
  <c r="E294" i="16"/>
  <c r="D295" i="16"/>
  <c r="E295" i="16"/>
  <c r="D296" i="16"/>
  <c r="E296" i="16"/>
  <c r="D297" i="16"/>
  <c r="E297" i="16"/>
  <c r="D298" i="16"/>
  <c r="E298" i="16"/>
  <c r="D299" i="16"/>
  <c r="E299" i="16"/>
  <c r="D300" i="16"/>
  <c r="E300" i="16"/>
  <c r="D301" i="16"/>
  <c r="E301" i="16"/>
  <c r="D302" i="16"/>
  <c r="E302" i="16"/>
  <c r="D303" i="16"/>
  <c r="E303" i="16"/>
  <c r="D304" i="16"/>
  <c r="E304" i="16"/>
  <c r="D305" i="16"/>
  <c r="E305" i="16"/>
  <c r="D306" i="16"/>
  <c r="H306" i="16" s="1"/>
  <c r="I306" i="16" s="1"/>
  <c r="E306" i="16"/>
  <c r="D307" i="16"/>
  <c r="H307" i="16" s="1"/>
  <c r="I307" i="16" s="1"/>
  <c r="E307" i="16"/>
  <c r="D308" i="16"/>
  <c r="E308" i="16"/>
  <c r="D309" i="16"/>
  <c r="E309" i="16"/>
  <c r="D310" i="16"/>
  <c r="E310" i="16"/>
  <c r="D311" i="16"/>
  <c r="H311" i="16" s="1"/>
  <c r="I311" i="16" s="1"/>
  <c r="E311" i="16"/>
  <c r="D312" i="16"/>
  <c r="H312" i="16" s="1"/>
  <c r="I312" i="16" s="1"/>
  <c r="E312" i="16"/>
  <c r="D313" i="16"/>
  <c r="H313" i="16" s="1"/>
  <c r="I313" i="16" s="1"/>
  <c r="E313" i="16"/>
  <c r="D314" i="16"/>
  <c r="H314" i="16" s="1"/>
  <c r="I314" i="16" s="1"/>
  <c r="E314" i="16"/>
  <c r="D315" i="16"/>
  <c r="E315" i="16"/>
  <c r="D316" i="16"/>
  <c r="E316" i="16"/>
  <c r="D317" i="16"/>
  <c r="E317" i="16"/>
  <c r="D318" i="16"/>
  <c r="E318" i="16"/>
  <c r="D319" i="16"/>
  <c r="E319" i="16"/>
  <c r="D320" i="16"/>
  <c r="E320" i="16"/>
  <c r="D321" i="16"/>
  <c r="E321" i="16"/>
  <c r="D322" i="16"/>
  <c r="E322" i="16"/>
  <c r="D323" i="16"/>
  <c r="E323" i="16"/>
  <c r="D324" i="16"/>
  <c r="E324" i="16"/>
  <c r="D325" i="16"/>
  <c r="E325" i="16"/>
  <c r="D326" i="16"/>
  <c r="E326" i="16"/>
  <c r="D327" i="16"/>
  <c r="E327" i="16"/>
  <c r="D328" i="16"/>
  <c r="H328" i="16" s="1"/>
  <c r="I328" i="16" s="1"/>
  <c r="E328" i="16"/>
  <c r="D329" i="16"/>
  <c r="H329" i="16" s="1"/>
  <c r="I329" i="16" s="1"/>
  <c r="E329" i="16"/>
  <c r="D330" i="16"/>
  <c r="E330" i="16"/>
  <c r="D331" i="16"/>
  <c r="E331" i="16"/>
  <c r="D332" i="16"/>
  <c r="E332" i="16"/>
  <c r="D333" i="16"/>
  <c r="H333" i="16" s="1"/>
  <c r="I333" i="16" s="1"/>
  <c r="E333" i="16"/>
  <c r="D334" i="16"/>
  <c r="E334" i="16"/>
  <c r="D335" i="16"/>
  <c r="E335" i="16"/>
  <c r="D336" i="16"/>
  <c r="H336" i="16" s="1"/>
  <c r="I336" i="16" s="1"/>
  <c r="E336" i="16"/>
  <c r="D337" i="16"/>
  <c r="E337" i="16"/>
  <c r="D338" i="16"/>
  <c r="E338" i="16"/>
  <c r="D339" i="16"/>
  <c r="E339" i="16"/>
  <c r="D340" i="16"/>
  <c r="E340" i="16"/>
  <c r="D341" i="16"/>
  <c r="E341" i="16"/>
  <c r="D342" i="16"/>
  <c r="E342" i="16"/>
  <c r="D343" i="16"/>
  <c r="E343" i="16"/>
  <c r="A86" i="16"/>
  <c r="A192" i="11"/>
  <c r="B192" i="11"/>
  <c r="A244" i="11"/>
  <c r="A316" i="1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K89" i="8" s="1"/>
  <c r="I3" i="16"/>
  <c r="P8" i="16"/>
  <c r="AF11" i="16"/>
  <c r="F3" i="16"/>
  <c r="H3" i="16"/>
  <c r="J11" i="8" s="1"/>
  <c r="H12" i="16" l="1"/>
  <c r="AX14" i="16"/>
  <c r="AX88" i="16"/>
  <c r="AX90" i="16"/>
  <c r="F90" i="16" s="1"/>
  <c r="AX99" i="16"/>
  <c r="AX115" i="16"/>
  <c r="AX143" i="16"/>
  <c r="F143" i="16" s="1"/>
  <c r="AX159" i="16"/>
  <c r="AX166" i="16"/>
  <c r="F166" i="16" s="1"/>
  <c r="AX176" i="16"/>
  <c r="AX190" i="16"/>
  <c r="AX193" i="16"/>
  <c r="F193" i="16" s="1"/>
  <c r="AX197" i="16"/>
  <c r="AX199" i="16"/>
  <c r="H199" i="16" s="1"/>
  <c r="AX223" i="16"/>
  <c r="AX230" i="16"/>
  <c r="AX244" i="16"/>
  <c r="AX258" i="16"/>
  <c r="AX265" i="16"/>
  <c r="AX286" i="16"/>
  <c r="F286" i="16" s="1"/>
  <c r="AX301" i="16"/>
  <c r="AX306" i="16"/>
  <c r="F306" i="16" s="1"/>
  <c r="AX310" i="16"/>
  <c r="AX93" i="16"/>
  <c r="AX95" i="16"/>
  <c r="F95" i="16" s="1"/>
  <c r="AX97" i="16"/>
  <c r="AX101" i="16"/>
  <c r="AX103" i="16"/>
  <c r="H103" i="16" s="1"/>
  <c r="AX126" i="16"/>
  <c r="AX133" i="16"/>
  <c r="F133" i="16" s="1"/>
  <c r="AX152" i="16"/>
  <c r="AX157" i="16"/>
  <c r="F157" i="16" s="1"/>
  <c r="AX164" i="16"/>
  <c r="F164" i="16" s="1"/>
  <c r="AX171" i="16"/>
  <c r="AX204" i="16"/>
  <c r="AX216" i="16"/>
  <c r="AX232" i="16"/>
  <c r="AX237" i="16"/>
  <c r="AX263" i="16"/>
  <c r="AX268" i="16"/>
  <c r="AX270" i="16"/>
  <c r="F270" i="16" s="1"/>
  <c r="AX272" i="16"/>
  <c r="AX277" i="16"/>
  <c r="AX291" i="16"/>
  <c r="AX296" i="16"/>
  <c r="AX299" i="16"/>
  <c r="AX304" i="16"/>
  <c r="AX318" i="16"/>
  <c r="AX337" i="16"/>
  <c r="AX340" i="16"/>
  <c r="AX211" i="16"/>
  <c r="AX274" i="16"/>
  <c r="F274" i="16" s="1"/>
  <c r="AX110" i="16"/>
  <c r="H110" i="16" s="1"/>
  <c r="AX136" i="16"/>
  <c r="F136" i="16" s="1"/>
  <c r="AX141" i="16"/>
  <c r="F141" i="16" s="1"/>
  <c r="AX155" i="16"/>
  <c r="F155" i="16" s="1"/>
  <c r="AX162" i="16"/>
  <c r="F162" i="16" s="1"/>
  <c r="AX169" i="16"/>
  <c r="AX181" i="16"/>
  <c r="AX207" i="16"/>
  <c r="AX209" i="16"/>
  <c r="AX214" i="16"/>
  <c r="AX228" i="16"/>
  <c r="AX235" i="16"/>
  <c r="F235" i="16" s="1"/>
  <c r="AX247" i="16"/>
  <c r="AX256" i="16"/>
  <c r="AX284" i="16"/>
  <c r="F284" i="16" s="1"/>
  <c r="AX294" i="16"/>
  <c r="AX313" i="16"/>
  <c r="F313" i="16" s="1"/>
  <c r="AX325" i="16"/>
  <c r="AX330" i="16"/>
  <c r="AX105" i="16"/>
  <c r="AX112" i="16"/>
  <c r="F112" i="16" s="1"/>
  <c r="AX117" i="16"/>
  <c r="AX119" i="16"/>
  <c r="AX150" i="16"/>
  <c r="AX178" i="16"/>
  <c r="AX195" i="16"/>
  <c r="F195" i="16" s="1"/>
  <c r="AX279" i="16"/>
  <c r="F279" i="16" s="1"/>
  <c r="AX334" i="16"/>
  <c r="AX342" i="16"/>
  <c r="AX113" i="16"/>
  <c r="AX122" i="16"/>
  <c r="AX124" i="16"/>
  <c r="AX131" i="16"/>
  <c r="F131" i="16" s="1"/>
  <c r="AX146" i="16"/>
  <c r="AX188" i="16"/>
  <c r="H188" i="16" s="1"/>
  <c r="AX219" i="16"/>
  <c r="AX221" i="16"/>
  <c r="AX226" i="16"/>
  <c r="AX242" i="16"/>
  <c r="F242" i="16" s="1"/>
  <c r="AX250" i="16"/>
  <c r="AX261" i="16"/>
  <c r="AX275" i="16"/>
  <c r="AX280" i="16"/>
  <c r="AX282" i="16"/>
  <c r="AX289" i="16"/>
  <c r="F289" i="16" s="1"/>
  <c r="AX323" i="16"/>
  <c r="AX225" i="16"/>
  <c r="H225" i="16" s="1"/>
  <c r="AX332" i="16"/>
  <c r="AX86" i="16"/>
  <c r="AX106" i="16"/>
  <c r="AX120" i="16"/>
  <c r="AX129" i="16"/>
  <c r="AX139" i="16"/>
  <c r="AX144" i="16"/>
  <c r="AX149" i="16"/>
  <c r="F149" i="16" s="1"/>
  <c r="AX160" i="16"/>
  <c r="F160" i="16" s="1"/>
  <c r="AX167" i="16"/>
  <c r="AX174" i="16"/>
  <c r="F174" i="16" s="1"/>
  <c r="AX179" i="16"/>
  <c r="F179" i="16" s="1"/>
  <c r="AX184" i="16"/>
  <c r="F184" i="16" s="1"/>
  <c r="AX191" i="16"/>
  <c r="AX200" i="16"/>
  <c r="AX202" i="16"/>
  <c r="AX252" i="16"/>
  <c r="AX254" i="16"/>
  <c r="H254" i="16" s="1"/>
  <c r="AX266" i="16"/>
  <c r="AX302" i="16"/>
  <c r="AX311" i="16"/>
  <c r="F311" i="16" s="1"/>
  <c r="AX316" i="16"/>
  <c r="AX321" i="16"/>
  <c r="AX328" i="16"/>
  <c r="F328" i="16" s="1"/>
  <c r="AX335" i="16"/>
  <c r="AX91" i="16"/>
  <c r="AX108" i="16"/>
  <c r="F108" i="16" s="1"/>
  <c r="AX116" i="16"/>
  <c r="AX118" i="16"/>
  <c r="F118" i="16" s="1"/>
  <c r="AX134" i="16"/>
  <c r="AX153" i="16"/>
  <c r="AX177" i="16"/>
  <c r="AX186" i="16"/>
  <c r="AX205" i="16"/>
  <c r="F205" i="16" s="1"/>
  <c r="AX212" i="16"/>
  <c r="H212" i="16" s="1"/>
  <c r="AX217" i="16"/>
  <c r="F217" i="16" s="1"/>
  <c r="AX240" i="16"/>
  <c r="H240" i="16" s="1"/>
  <c r="AX245" i="16"/>
  <c r="AX287" i="16"/>
  <c r="F287" i="16" s="1"/>
  <c r="AX292" i="16"/>
  <c r="F292" i="16" s="1"/>
  <c r="AX297" i="16"/>
  <c r="AX307" i="16"/>
  <c r="F307" i="16" s="1"/>
  <c r="AX309" i="16"/>
  <c r="AX319" i="16"/>
  <c r="AX338" i="16"/>
  <c r="F338" i="16" s="1"/>
  <c r="AX341" i="16"/>
  <c r="AX343" i="16"/>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AX271" i="16"/>
  <c r="AX300" i="16"/>
  <c r="AX305" i="16"/>
  <c r="AX87" i="16"/>
  <c r="AX96" i="16"/>
  <c r="AX102" i="16"/>
  <c r="AX123" i="16"/>
  <c r="AX125" i="16"/>
  <c r="F125" i="16" s="1"/>
  <c r="AX132" i="16"/>
  <c r="AX142" i="16"/>
  <c r="AX156" i="16"/>
  <c r="F156" i="16" s="1"/>
  <c r="AX161" i="16"/>
  <c r="F161" i="16" s="1"/>
  <c r="AX170" i="16"/>
  <c r="F170" i="16" s="1"/>
  <c r="AX175" i="16"/>
  <c r="AX189" i="16"/>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AX241" i="16"/>
  <c r="AX246" i="16"/>
  <c r="F246" i="16" s="1"/>
  <c r="AX251" i="16"/>
  <c r="AX255" i="16"/>
  <c r="AX267" i="16"/>
  <c r="F267" i="16" s="1"/>
  <c r="AX281" i="16"/>
  <c r="AX283" i="16"/>
  <c r="AX298" i="16"/>
  <c r="AX317" i="16"/>
  <c r="AX320" i="16"/>
  <c r="AX324" i="16"/>
  <c r="AX329" i="16"/>
  <c r="F329" i="16" s="1"/>
  <c r="AX336" i="16"/>
  <c r="F336" i="16" s="1"/>
  <c r="AX339" i="16"/>
  <c r="AX128" i="16"/>
  <c r="AX130" i="16"/>
  <c r="F130" i="16" s="1"/>
  <c r="AX135" i="16"/>
  <c r="H135" i="16" s="1"/>
  <c r="AX138" i="16"/>
  <c r="AX140" i="16"/>
  <c r="AX185" i="16"/>
  <c r="AX187" i="16"/>
  <c r="AX201" i="16"/>
  <c r="AX206" i="16"/>
  <c r="AX213" i="16"/>
  <c r="AX218" i="16"/>
  <c r="AX234" i="16"/>
  <c r="AX249" i="16"/>
  <c r="F249" i="16" s="1"/>
  <c r="AX253" i="16"/>
  <c r="F253" i="16" s="1"/>
  <c r="AX288" i="16"/>
  <c r="AX293" i="16"/>
  <c r="AX308" i="16"/>
  <c r="AX312" i="16"/>
  <c r="F312" i="16" s="1"/>
  <c r="AX315" i="16"/>
  <c r="AX322" i="16"/>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AX51" i="16"/>
  <c r="AX27" i="16"/>
  <c r="F27" i="16" s="1"/>
  <c r="AX76" i="16"/>
  <c r="AX52" i="16"/>
  <c r="AX28" i="16"/>
  <c r="AX72" i="16"/>
  <c r="F72" i="16" s="1"/>
  <c r="AX48" i="16"/>
  <c r="AX24" i="16"/>
  <c r="AX69" i="16"/>
  <c r="AX45" i="16"/>
  <c r="F45" i="16" s="1"/>
  <c r="AX21" i="16"/>
  <c r="H21" i="16" s="1"/>
  <c r="AX70" i="16"/>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78" i="16"/>
  <c r="H26" i="16" l="1"/>
  <c r="H27" i="16"/>
  <c r="H31" i="16"/>
  <c r="H44" i="16"/>
  <c r="H36" i="16"/>
  <c r="H43" i="16"/>
  <c r="H32" i="16"/>
  <c r="F128" i="16"/>
  <c r="H128" i="16"/>
  <c r="F93" i="16"/>
  <c r="H93" i="16"/>
  <c r="F302" i="16"/>
  <c r="H302" i="16"/>
  <c r="F280" i="16"/>
  <c r="H280" i="16"/>
  <c r="F330" i="16"/>
  <c r="AG14" i="16" s="1"/>
  <c r="H330" i="16"/>
  <c r="F181" i="16"/>
  <c r="H181" i="16"/>
  <c r="F304" i="16"/>
  <c r="H304" i="16"/>
  <c r="F204" i="16"/>
  <c r="H204" i="16"/>
  <c r="H37" i="16"/>
  <c r="H61" i="16"/>
  <c r="F153" i="16"/>
  <c r="H153" i="16"/>
  <c r="F76" i="16"/>
  <c r="H76" i="16"/>
  <c r="F220" i="16"/>
  <c r="H220" i="16"/>
  <c r="F296" i="16"/>
  <c r="H296" i="16"/>
  <c r="F189" i="16"/>
  <c r="H189" i="16"/>
  <c r="F252" i="16"/>
  <c r="H252" i="16"/>
  <c r="F291" i="16"/>
  <c r="H291" i="16"/>
  <c r="F159" i="16"/>
  <c r="H159" i="16"/>
  <c r="F322" i="16"/>
  <c r="H322" i="16"/>
  <c r="F175" i="16"/>
  <c r="H175" i="16"/>
  <c r="F257" i="16"/>
  <c r="H257" i="16"/>
  <c r="F202" i="16"/>
  <c r="H202" i="16"/>
  <c r="F75" i="16"/>
  <c r="H75" i="16"/>
  <c r="F315" i="16"/>
  <c r="H315" i="16"/>
  <c r="F251" i="16"/>
  <c r="H251" i="16"/>
  <c r="F269" i="16"/>
  <c r="H269" i="16"/>
  <c r="F91" i="16"/>
  <c r="H91" i="16"/>
  <c r="F86" i="16"/>
  <c r="H86" i="16"/>
  <c r="F221" i="16"/>
  <c r="H221" i="16"/>
  <c r="F335" i="16"/>
  <c r="H335" i="16"/>
  <c r="F332" i="16"/>
  <c r="H332" i="16"/>
  <c r="F219" i="16"/>
  <c r="H219" i="16"/>
  <c r="F268" i="16"/>
  <c r="H268" i="16"/>
  <c r="F70" i="16"/>
  <c r="H70" i="16"/>
  <c r="H67" i="16"/>
  <c r="F138" i="16"/>
  <c r="H138" i="16"/>
  <c r="F281" i="16"/>
  <c r="H281" i="16"/>
  <c r="F142" i="16"/>
  <c r="H142" i="16"/>
  <c r="F211" i="16"/>
  <c r="H211" i="16"/>
  <c r="F101" i="16"/>
  <c r="H101" i="16"/>
  <c r="F223" i="16"/>
  <c r="H223" i="16"/>
  <c r="F343" i="16"/>
  <c r="AG22" i="16" s="1"/>
  <c r="H343" i="16"/>
  <c r="H66" i="16"/>
  <c r="F167" i="16"/>
  <c r="H167" i="16"/>
  <c r="F209" i="16"/>
  <c r="H209" i="16"/>
  <c r="F212" i="16"/>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H168" i="16"/>
  <c r="H317" i="16"/>
  <c r="F317" i="16"/>
  <c r="H284" i="16"/>
  <c r="H143" i="16"/>
  <c r="H112" i="16"/>
  <c r="H208" i="16"/>
  <c r="H327" i="16"/>
  <c r="F196" i="16"/>
  <c r="H89" i="16"/>
  <c r="H217" i="16"/>
  <c r="F254" i="16"/>
  <c r="H287" i="16"/>
  <c r="H338" i="16"/>
  <c r="H276" i="16"/>
  <c r="F103" i="16"/>
  <c r="H173" i="16"/>
  <c r="H164" i="16"/>
  <c r="F87" i="16"/>
  <c r="H87" i="16"/>
  <c r="H121" i="16"/>
  <c r="F25" i="16"/>
  <c r="AG17" i="16" s="1"/>
  <c r="F55" i="16"/>
  <c r="F53" i="16"/>
  <c r="F56" i="16"/>
  <c r="F82" i="16"/>
  <c r="F50" i="16"/>
  <c r="AG23"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21" i="16"/>
  <c r="I34" i="16"/>
  <c r="I53" i="16"/>
  <c r="I38" i="16"/>
  <c r="I81" i="16"/>
  <c r="I29" i="16"/>
  <c r="I46" i="16"/>
  <c r="I41" i="16"/>
  <c r="I56" i="16"/>
  <c r="I72" i="16"/>
  <c r="I78" i="16"/>
  <c r="AG18" i="16"/>
  <c r="AG16" i="16"/>
  <c r="AG19" i="16" l="1"/>
  <c r="AG24" i="16"/>
  <c r="AG20" i="16"/>
  <c r="I31" i="16"/>
  <c r="AG21" i="16"/>
  <c r="I44" i="16"/>
  <c r="AG13" i="16"/>
  <c r="I26" i="16"/>
  <c r="I37" i="16"/>
  <c r="I36" i="16"/>
  <c r="I70" i="16"/>
  <c r="I84" i="16"/>
  <c r="I76" i="16"/>
  <c r="I66" i="16"/>
  <c r="I32" i="16"/>
  <c r="I67" i="16"/>
  <c r="I138" i="16"/>
  <c r="I181" i="16"/>
  <c r="I159" i="16"/>
  <c r="I302" i="16"/>
  <c r="I322" i="16"/>
  <c r="I211" i="16"/>
  <c r="I330" i="16"/>
  <c r="I269" i="16"/>
  <c r="I220" i="16"/>
  <c r="I209" i="16"/>
  <c r="I281" i="16"/>
  <c r="I142" i="16"/>
  <c r="I93" i="16"/>
  <c r="I175" i="16"/>
  <c r="I280" i="16"/>
  <c r="I268" i="16"/>
  <c r="I91" i="16"/>
  <c r="I296" i="16"/>
  <c r="I251" i="16"/>
  <c r="I86" i="16"/>
  <c r="I219" i="16"/>
  <c r="I221" i="16"/>
  <c r="I223" i="16"/>
  <c r="I257" i="16"/>
  <c r="I252" i="16"/>
  <c r="I240" i="16"/>
  <c r="I204" i="16"/>
  <c r="I167" i="16"/>
  <c r="I225" i="16"/>
  <c r="I189" i="16"/>
  <c r="I315" i="16"/>
  <c r="I335" i="16"/>
  <c r="I188" i="16"/>
  <c r="I304" i="16"/>
  <c r="I291" i="16"/>
  <c r="I332" i="16"/>
  <c r="I202" i="16"/>
  <c r="I343" i="16"/>
  <c r="I199" i="16"/>
  <c r="I101" i="16"/>
  <c r="I128" i="16"/>
  <c r="I153" i="16"/>
  <c r="I43" i="16"/>
  <c r="I27" i="16"/>
  <c r="I61" i="16"/>
  <c r="I75"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B86" i="8" s="1"/>
  <c r="U86" i="8" s="1"/>
  <c r="AE11" i="16"/>
  <c r="AH11" i="16"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L13" i="16"/>
  <c r="X13" i="16" s="1"/>
  <c r="K88" i="16" l="1"/>
  <c r="L87" i="16"/>
  <c r="X86" i="16"/>
  <c r="Y86" i="16" s="1"/>
  <c r="AA86" i="16"/>
  <c r="AB86" i="16" s="1"/>
  <c r="AC86" i="16" s="1"/>
  <c r="M86" i="16"/>
  <c r="N86" i="16" s="1"/>
  <c r="AI86" i="16"/>
  <c r="S86" i="16"/>
  <c r="T86" i="16"/>
  <c r="U86" i="16" s="1"/>
  <c r="V86" i="16" s="1"/>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AJ86" i="16"/>
  <c r="Y11" i="16"/>
  <c r="Y13" i="16"/>
  <c r="Y12" i="16"/>
  <c r="AQ86" i="16"/>
  <c r="AA87" i="16"/>
  <c r="AB87" i="16" s="1"/>
  <c r="AC87" i="16" s="1"/>
  <c r="S87" i="16"/>
  <c r="T87" i="16"/>
  <c r="U87" i="16" s="1"/>
  <c r="V87" i="16" s="1"/>
  <c r="AP87" i="16"/>
  <c r="X87" i="16"/>
  <c r="Y87" i="16" s="1"/>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AQ87" i="16" l="1"/>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Y90" i="16" s="1"/>
  <c r="AP90" i="16"/>
  <c r="S90" i="16"/>
  <c r="T90" i="16"/>
  <c r="U90" i="16" s="1"/>
  <c r="V90" i="16" s="1"/>
  <c r="AA90" i="16"/>
  <c r="AB90" i="16" s="1"/>
  <c r="AC90" i="16" s="1"/>
  <c r="M90" i="16"/>
  <c r="N90" i="16" s="1"/>
  <c r="Y16" i="16"/>
  <c r="AQ16" i="16"/>
  <c r="AB16" i="16"/>
  <c r="U16" i="16"/>
  <c r="AJ16" i="16"/>
  <c r="L18" i="16"/>
  <c r="AI17" i="16"/>
  <c r="S17" i="16"/>
  <c r="AA17" i="16"/>
  <c r="AP17" i="16"/>
  <c r="X17" i="16"/>
  <c r="M17" i="16"/>
  <c r="N17" i="16" s="1"/>
  <c r="T17" i="16"/>
  <c r="AQ90" i="16" l="1"/>
  <c r="L92" i="16"/>
  <c r="K93" i="16"/>
  <c r="X91" i="16"/>
  <c r="Y91" i="16" s="1"/>
  <c r="AA91" i="16"/>
  <c r="AB91" i="16" s="1"/>
  <c r="AC91" i="16" s="1"/>
  <c r="M91" i="16"/>
  <c r="N91" i="16" s="1"/>
  <c r="AI91" i="16"/>
  <c r="AJ91" i="16" s="1"/>
  <c r="AK91" i="16" s="1"/>
  <c r="S91" i="16"/>
  <c r="AP91" i="16"/>
  <c r="T91" i="16"/>
  <c r="U91" i="16" s="1"/>
  <c r="V91" i="16" s="1"/>
  <c r="Y17" i="16"/>
  <c r="AQ17" i="16"/>
  <c r="U17" i="16"/>
  <c r="AB17" i="16"/>
  <c r="AJ17" i="16"/>
  <c r="L19" i="16"/>
  <c r="AP18" i="16"/>
  <c r="X18" i="16"/>
  <c r="M18" i="16"/>
  <c r="N18" i="16" s="1"/>
  <c r="T18" i="16"/>
  <c r="AI18" i="16"/>
  <c r="S18" i="16"/>
  <c r="AA18" i="16"/>
  <c r="AQ91" i="16" l="1"/>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U94" i="16" s="1"/>
  <c r="V94" i="16" s="1"/>
  <c r="X94" i="16"/>
  <c r="M94" i="16"/>
  <c r="N94" i="16" s="1"/>
  <c r="AP94" i="16"/>
  <c r="AI94" i="16"/>
  <c r="U20" i="16"/>
  <c r="AB20" i="16"/>
  <c r="AQ20" i="16"/>
  <c r="AJ20" i="16"/>
  <c r="AP21" i="16"/>
  <c r="X21" i="16"/>
  <c r="M21" i="16"/>
  <c r="N21" i="16" s="1"/>
  <c r="T21" i="16"/>
  <c r="AI21" i="16"/>
  <c r="S21" i="16"/>
  <c r="AA21" i="16"/>
  <c r="L22" i="16"/>
  <c r="AB94" i="16" l="1"/>
  <c r="Y94" i="16"/>
  <c r="Y21" i="16"/>
  <c r="AJ94" i="16"/>
  <c r="AQ94" i="16"/>
  <c r="M95" i="16"/>
  <c r="N95" i="16" s="1"/>
  <c r="AI95" i="16"/>
  <c r="AJ95" i="16" s="1"/>
  <c r="AK95" i="16" s="1"/>
  <c r="S95" i="16"/>
  <c r="T95" i="16"/>
  <c r="U95" i="16" s="1"/>
  <c r="V95" i="16" s="1"/>
  <c r="AP95" i="16"/>
  <c r="AA95" i="16"/>
  <c r="X95" i="16"/>
  <c r="L96" i="16"/>
  <c r="K97" i="16"/>
  <c r="AB21" i="16"/>
  <c r="U21" i="16"/>
  <c r="AJ21" i="16"/>
  <c r="AQ21" i="16"/>
  <c r="AP22" i="16"/>
  <c r="X22" i="16"/>
  <c r="M22" i="16"/>
  <c r="N22" i="16" s="1"/>
  <c r="T22" i="16"/>
  <c r="AI22" i="16"/>
  <c r="S22" i="16"/>
  <c r="AA22" i="16"/>
  <c r="L23" i="16"/>
  <c r="Y95" i="16" l="1"/>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U98" i="16" s="1"/>
  <c r="V98" i="16" s="1"/>
  <c r="AI98" i="16"/>
  <c r="AJ98" i="16" s="1"/>
  <c r="AK98" i="16" s="1"/>
  <c r="AP98" i="16"/>
  <c r="M98" i="16"/>
  <c r="N98" i="16" s="1"/>
  <c r="Y24" i="16"/>
  <c r="U24" i="16"/>
  <c r="AQ24" i="16"/>
  <c r="AB24" i="16"/>
  <c r="AJ24" i="16"/>
  <c r="AI25" i="16"/>
  <c r="S25" i="16"/>
  <c r="AA25" i="16"/>
  <c r="AP25" i="16"/>
  <c r="M25" i="16"/>
  <c r="N25" i="16" s="1"/>
  <c r="X25" i="16"/>
  <c r="T25" i="16"/>
  <c r="L26" i="16"/>
  <c r="Y98" i="16" l="1"/>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U100" i="16" s="1"/>
  <c r="V100" i="16" s="1"/>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Y27" i="16" l="1"/>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U104" i="16" s="1"/>
  <c r="V104" i="16" s="1"/>
  <c r="AA104" i="16"/>
  <c r="AB104" i="16" s="1"/>
  <c r="AC104" i="16" s="1"/>
  <c r="AI104" i="16"/>
  <c r="AJ104" i="16" s="1"/>
  <c r="AK104" i="16" s="1"/>
  <c r="AP104" i="16"/>
  <c r="M104" i="16"/>
  <c r="N104" i="16" s="1"/>
  <c r="S104" i="16"/>
  <c r="X104" i="16"/>
  <c r="Y104" i="16" s="1"/>
  <c r="Y30" i="16"/>
  <c r="AQ30" i="16"/>
  <c r="U30" i="16"/>
  <c r="AB30" i="16"/>
  <c r="AJ30" i="16"/>
  <c r="L32" i="16"/>
  <c r="AP31" i="16"/>
  <c r="X31" i="16"/>
  <c r="M31" i="16"/>
  <c r="N31" i="16" s="1"/>
  <c r="T31" i="16"/>
  <c r="AI31" i="16"/>
  <c r="S31" i="16"/>
  <c r="AA31" i="16"/>
  <c r="AQ104" i="16" l="1"/>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AQ106" i="16" s="1"/>
  <c r="AR106" i="16" s="1"/>
  <c r="M106" i="16"/>
  <c r="N106" i="16" s="1"/>
  <c r="L107" i="16"/>
  <c r="K108" i="16"/>
  <c r="Y32" i="16"/>
  <c r="U32" i="16"/>
  <c r="AB32" i="16"/>
  <c r="AQ32" i="16"/>
  <c r="AJ32" i="16"/>
  <c r="L34" i="16"/>
  <c r="AI33" i="16"/>
  <c r="S33" i="16"/>
  <c r="AA33" i="16"/>
  <c r="AP33" i="16"/>
  <c r="X33" i="16"/>
  <c r="M33" i="16"/>
  <c r="N33" i="16" s="1"/>
  <c r="T33" i="16"/>
  <c r="Y106" i="16" l="1"/>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AB111" i="16" s="1"/>
  <c r="AC111" i="16" s="1"/>
  <c r="M111" i="16"/>
  <c r="N111" i="16" s="1"/>
  <c r="AI111" i="16"/>
  <c r="AJ111" i="16" s="1"/>
  <c r="AK111" i="16" s="1"/>
  <c r="T111" i="16"/>
  <c r="U111" i="16" s="1"/>
  <c r="V111" i="16" s="1"/>
  <c r="AP111" i="16"/>
  <c r="AQ111" i="16" s="1"/>
  <c r="AR111" i="16" s="1"/>
  <c r="X111" i="16"/>
  <c r="Y111" i="16" s="1"/>
  <c r="S111" i="16"/>
  <c r="Y37" i="16"/>
  <c r="AQ37" i="16"/>
  <c r="U37" i="16"/>
  <c r="AB37" i="16"/>
  <c r="AJ37" i="16"/>
  <c r="L39" i="16"/>
  <c r="S38" i="16"/>
  <c r="AP38" i="16"/>
  <c r="AA38" i="16"/>
  <c r="X38" i="16"/>
  <c r="M38" i="16"/>
  <c r="N38" i="16" s="1"/>
  <c r="AI38" i="16"/>
  <c r="T38" i="16"/>
  <c r="T112" i="16" l="1"/>
  <c r="M112" i="16"/>
  <c r="N112" i="16" s="1"/>
  <c r="AA112" i="16"/>
  <c r="S112" i="16"/>
  <c r="X112" i="16"/>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AJ113" i="16" s="1"/>
  <c r="T113" i="16"/>
  <c r="U113" i="16" s="1"/>
  <c r="V113" i="16" s="1"/>
  <c r="Y39" i="16"/>
  <c r="AB39" i="16"/>
  <c r="U39" i="16"/>
  <c r="AJ39" i="16"/>
  <c r="AQ39" i="16"/>
  <c r="L41" i="16"/>
  <c r="S40" i="16"/>
  <c r="AP40" i="16"/>
  <c r="AA40" i="16"/>
  <c r="X40" i="16"/>
  <c r="M40" i="16"/>
  <c r="N40" i="16" s="1"/>
  <c r="T40" i="16"/>
  <c r="AI40" i="16"/>
  <c r="AQ113" i="16" l="1"/>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Y115" i="16" s="1"/>
  <c r="S115" i="16"/>
  <c r="T115" i="16"/>
  <c r="U115" i="16" s="1"/>
  <c r="V115" i="16" s="1"/>
  <c r="AP115" i="16"/>
  <c r="AA115" i="16"/>
  <c r="AB115" i="16" s="1"/>
  <c r="AC115" i="16" s="1"/>
  <c r="AI115" i="16"/>
  <c r="AJ115" i="16" s="1"/>
  <c r="AK115" i="16" s="1"/>
  <c r="M115" i="16"/>
  <c r="N115" i="16" s="1"/>
  <c r="L116" i="16"/>
  <c r="K117" i="16"/>
  <c r="Y41" i="16"/>
  <c r="U41" i="16"/>
  <c r="AQ41" i="16"/>
  <c r="AB41" i="16"/>
  <c r="AJ41" i="16"/>
  <c r="L43" i="16"/>
  <c r="S42" i="16"/>
  <c r="X42" i="16"/>
  <c r="M42" i="16"/>
  <c r="N42" i="16" s="1"/>
  <c r="AI42" i="16"/>
  <c r="T42" i="16"/>
  <c r="AP42" i="16"/>
  <c r="AA42" i="16"/>
  <c r="AQ115" i="16" l="1"/>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AJ120" i="16" s="1"/>
  <c r="AK120" i="16" s="1"/>
  <c r="T120" i="16"/>
  <c r="AP120" i="16"/>
  <c r="X120" i="16"/>
  <c r="S120" i="16"/>
  <c r="AA120" i="16"/>
  <c r="Y46" i="16"/>
  <c r="U46" i="16"/>
  <c r="AB46" i="16"/>
  <c r="AQ46" i="16"/>
  <c r="AJ46" i="16"/>
  <c r="AP47" i="16"/>
  <c r="AA47" i="16"/>
  <c r="X47" i="16"/>
  <c r="M47" i="16"/>
  <c r="N47" i="16" s="1"/>
  <c r="AI47" i="16"/>
  <c r="T47" i="16"/>
  <c r="S47" i="16"/>
  <c r="L48" i="16"/>
  <c r="AB120" i="16" l="1"/>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U122" i="16" s="1"/>
  <c r="V122" i="16" s="1"/>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Y122" i="16" l="1"/>
  <c r="AB122" i="16"/>
  <c r="M123" i="16"/>
  <c r="N123" i="16" s="1"/>
  <c r="S123" i="16"/>
  <c r="AI123" i="16"/>
  <c r="AJ123" i="16" s="1"/>
  <c r="AK123" i="16" s="1"/>
  <c r="T123" i="16"/>
  <c r="X123" i="16"/>
  <c r="AA123" i="16"/>
  <c r="AP123" i="16"/>
  <c r="K125" i="16"/>
  <c r="L124" i="16"/>
  <c r="Y49" i="16"/>
  <c r="AQ49" i="16"/>
  <c r="AB49" i="16"/>
  <c r="AJ49" i="16"/>
  <c r="U49" i="16"/>
  <c r="L51" i="16"/>
  <c r="S50" i="16"/>
  <c r="AP50" i="16"/>
  <c r="AA50" i="16"/>
  <c r="X50" i="16"/>
  <c r="M50" i="16"/>
  <c r="N50" i="16" s="1"/>
  <c r="AI50" i="16"/>
  <c r="T50" i="16"/>
  <c r="Y50" i="16" l="1"/>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M52" i="16"/>
  <c r="N52" i="16" s="1"/>
  <c r="AI52" i="16"/>
  <c r="T52" i="16"/>
  <c r="Y52" i="16" l="1"/>
  <c r="AQ125" i="16"/>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AJ129" i="16" s="1"/>
  <c r="AK129" i="16" s="1"/>
  <c r="S129" i="16"/>
  <c r="T129" i="16"/>
  <c r="U129" i="16" s="1"/>
  <c r="V129" i="16" s="1"/>
  <c r="X129" i="16"/>
  <c r="Y129" i="16" s="1"/>
  <c r="AP129" i="16"/>
  <c r="AA129" i="16"/>
  <c r="AB129" i="16" s="1"/>
  <c r="AC129" i="16" s="1"/>
  <c r="Y55" i="16"/>
  <c r="U55" i="16"/>
  <c r="AB55" i="16"/>
  <c r="AQ55" i="16"/>
  <c r="AJ55" i="16"/>
  <c r="L57" i="16"/>
  <c r="X56" i="16"/>
  <c r="M56" i="16"/>
  <c r="N56" i="16" s="1"/>
  <c r="AI56" i="16"/>
  <c r="T56" i="16"/>
  <c r="S56" i="16"/>
  <c r="AP56" i="16"/>
  <c r="AA56" i="16"/>
  <c r="AQ129" i="16" l="1"/>
  <c r="K132" i="16"/>
  <c r="L131" i="16"/>
  <c r="AP130" i="16"/>
  <c r="AQ130" i="16" s="1"/>
  <c r="AR130" i="16" s="1"/>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B130" i="16" l="1"/>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AQ133" i="16" s="1"/>
  <c r="AR133" i="16" s="1"/>
  <c r="M133" i="16"/>
  <c r="N133" i="16" s="1"/>
  <c r="X133" i="16"/>
  <c r="AI133" i="16"/>
  <c r="AJ133" i="16" s="1"/>
  <c r="AK133" i="16" s="1"/>
  <c r="Y59" i="16"/>
  <c r="AB59" i="16"/>
  <c r="U59" i="16"/>
  <c r="AQ59" i="16"/>
  <c r="AJ59" i="16"/>
  <c r="S60" i="16"/>
  <c r="AP60" i="16"/>
  <c r="AA60" i="16"/>
  <c r="X60" i="16"/>
  <c r="M60" i="16"/>
  <c r="N60" i="16" s="1"/>
  <c r="AI60" i="16"/>
  <c r="T60" i="16"/>
  <c r="L61" i="16"/>
  <c r="Y133" i="16" l="1"/>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AJ135" i="16" s="1"/>
  <c r="AK135" i="16" s="1"/>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Q135" i="16" l="1"/>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AQ137" i="16" s="1"/>
  <c r="X137" i="16"/>
  <c r="AA137" i="16"/>
  <c r="AI137" i="16"/>
  <c r="AJ137" i="16" s="1"/>
  <c r="S137" i="16"/>
  <c r="Y63" i="16"/>
  <c r="AB63" i="16"/>
  <c r="AQ63" i="16"/>
  <c r="U63" i="16"/>
  <c r="AJ63" i="16"/>
  <c r="S64" i="16"/>
  <c r="AP64" i="16"/>
  <c r="AA64" i="16"/>
  <c r="X64" i="16"/>
  <c r="M64" i="16"/>
  <c r="N64" i="16" s="1"/>
  <c r="AI64" i="16"/>
  <c r="T64" i="16"/>
  <c r="L65" i="16"/>
  <c r="Y137" i="16" l="1"/>
  <c r="AB137" i="16"/>
  <c r="U137" i="16"/>
  <c r="L139" i="16"/>
  <c r="K140" i="16"/>
  <c r="AP138" i="16"/>
  <c r="AQ138" i="16" s="1"/>
  <c r="AR138" i="16" s="1"/>
  <c r="AA138" i="16"/>
  <c r="T138" i="16"/>
  <c r="U138" i="16" s="1"/>
  <c r="V138" i="16" s="1"/>
  <c r="M138" i="16"/>
  <c r="N138" i="16" s="1"/>
  <c r="AI138" i="16"/>
  <c r="AJ138" i="16" s="1"/>
  <c r="AK138" i="16" s="1"/>
  <c r="S138" i="16"/>
  <c r="X138" i="16"/>
  <c r="Y64" i="16"/>
  <c r="U64" i="16"/>
  <c r="AQ64" i="16"/>
  <c r="AJ64" i="16"/>
  <c r="AB64" i="16"/>
  <c r="AP65" i="16"/>
  <c r="AA65" i="16"/>
  <c r="X65" i="16"/>
  <c r="M65" i="16"/>
  <c r="N65" i="16" s="1"/>
  <c r="AI65" i="16"/>
  <c r="T65" i="16"/>
  <c r="S65" i="16"/>
  <c r="L66" i="16"/>
  <c r="Y138" i="16" l="1"/>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AQ141" i="16" s="1"/>
  <c r="AR141" i="16" s="1"/>
  <c r="M141" i="16"/>
  <c r="N141" i="16" s="1"/>
  <c r="AA141" i="16"/>
  <c r="T141" i="16"/>
  <c r="K143" i="16"/>
  <c r="L142" i="16"/>
  <c r="AJ67" i="16"/>
  <c r="AQ67" i="16"/>
  <c r="AB67" i="16"/>
  <c r="U67" i="16"/>
  <c r="L69" i="16"/>
  <c r="S68" i="16"/>
  <c r="AP68" i="16"/>
  <c r="AA68" i="16"/>
  <c r="X68" i="16"/>
  <c r="M68" i="16"/>
  <c r="N68" i="16" s="1"/>
  <c r="AI68" i="16"/>
  <c r="T68" i="16"/>
  <c r="Y68" i="16" l="1"/>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Y69" i="16" s="1"/>
  <c r="M69" i="16"/>
  <c r="N69" i="16" s="1"/>
  <c r="L70" i="16"/>
  <c r="AQ142" i="16" l="1"/>
  <c r="AJ142" i="16"/>
  <c r="Y142" i="16"/>
  <c r="U142" i="16"/>
  <c r="AB142" i="16"/>
  <c r="M143" i="16"/>
  <c r="N143" i="16" s="1"/>
  <c r="AA143" i="16"/>
  <c r="AB143" i="16" s="1"/>
  <c r="AC143" i="16" s="1"/>
  <c r="AI143" i="16"/>
  <c r="AJ143" i="16" s="1"/>
  <c r="AK143" i="16" s="1"/>
  <c r="S143" i="16"/>
  <c r="X143" i="16"/>
  <c r="Y143" i="16" s="1"/>
  <c r="AP143" i="16"/>
  <c r="T143" i="16"/>
  <c r="U143" i="16" s="1"/>
  <c r="V143" i="16" s="1"/>
  <c r="L144" i="16"/>
  <c r="K145" i="16"/>
  <c r="U69" i="16"/>
  <c r="AJ69" i="16"/>
  <c r="AB69" i="16"/>
  <c r="AQ69" i="16"/>
  <c r="S70" i="16"/>
  <c r="AP70" i="16"/>
  <c r="AA70" i="16"/>
  <c r="X70" i="16"/>
  <c r="M70" i="16"/>
  <c r="N70" i="16" s="1"/>
  <c r="AI70" i="16"/>
  <c r="T70" i="16"/>
  <c r="L71" i="16"/>
  <c r="Y70" i="16" l="1"/>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U149" i="16" s="1"/>
  <c r="V149" i="16" s="1"/>
  <c r="AI149" i="16"/>
  <c r="M149" i="16"/>
  <c r="N149" i="16" s="1"/>
  <c r="AP149" i="16"/>
  <c r="X149" i="16"/>
  <c r="AJ75" i="16"/>
  <c r="AB75" i="16"/>
  <c r="U75" i="16"/>
  <c r="AQ75" i="16"/>
  <c r="X76" i="16"/>
  <c r="Y76" i="16" s="1"/>
  <c r="M76" i="16"/>
  <c r="N76" i="16" s="1"/>
  <c r="AI76" i="16"/>
  <c r="T76" i="16"/>
  <c r="S76" i="16"/>
  <c r="AP76" i="16"/>
  <c r="AA76" i="16"/>
  <c r="L77" i="16"/>
  <c r="AJ149" i="16" l="1"/>
  <c r="Y149" i="16"/>
  <c r="AB149" i="16"/>
  <c r="AQ149" i="16"/>
  <c r="L151" i="16"/>
  <c r="K152" i="16"/>
  <c r="M150" i="16"/>
  <c r="N150" i="16" s="1"/>
  <c r="AA150" i="16"/>
  <c r="AI150" i="16"/>
  <c r="AJ150" i="16" s="1"/>
  <c r="AK150" i="16" s="1"/>
  <c r="S150" i="16"/>
  <c r="X150" i="16"/>
  <c r="T150" i="16"/>
  <c r="AP150" i="16"/>
  <c r="AQ150" i="16" s="1"/>
  <c r="AR150" i="16" s="1"/>
  <c r="AQ76" i="16"/>
  <c r="AJ76" i="16"/>
  <c r="U76" i="16"/>
  <c r="AB76" i="16"/>
  <c r="AP77" i="16"/>
  <c r="AA77" i="16"/>
  <c r="S77" i="16"/>
  <c r="AI77" i="16"/>
  <c r="T77" i="16"/>
  <c r="M77" i="16"/>
  <c r="N77" i="16" s="1"/>
  <c r="X77" i="16"/>
  <c r="L78" i="16"/>
  <c r="AB150" i="16" l="1"/>
  <c r="Y150" i="16"/>
  <c r="Y77" i="16"/>
  <c r="U150" i="16"/>
  <c r="L152" i="16"/>
  <c r="K153" i="16"/>
  <c r="AP151" i="16"/>
  <c r="M151" i="16"/>
  <c r="N151" i="16" s="1"/>
  <c r="AI151" i="16"/>
  <c r="AJ151" i="16" s="1"/>
  <c r="AK151" i="16" s="1"/>
  <c r="T151" i="16"/>
  <c r="U151" i="16" s="1"/>
  <c r="V151" i="16" s="1"/>
  <c r="AA151" i="16"/>
  <c r="AB151" i="16" s="1"/>
  <c r="AC151" i="16" s="1"/>
  <c r="S151" i="16"/>
  <c r="X151" i="16"/>
  <c r="Y151" i="16" s="1"/>
  <c r="AJ77" i="16"/>
  <c r="AB77" i="16"/>
  <c r="U77" i="16"/>
  <c r="AQ77" i="16"/>
  <c r="X78" i="16"/>
  <c r="Y78" i="16" s="1"/>
  <c r="M78" i="16"/>
  <c r="N78" i="16" s="1"/>
  <c r="AI78" i="16"/>
  <c r="T78" i="16"/>
  <c r="S78" i="16"/>
  <c r="AP78" i="16"/>
  <c r="AA78" i="16"/>
  <c r="L79" i="16"/>
  <c r="AQ151" i="16" l="1"/>
  <c r="L153" i="16"/>
  <c r="K154" i="16"/>
  <c r="X152" i="16"/>
  <c r="AP152" i="16"/>
  <c r="S152" i="16"/>
  <c r="AA152" i="16"/>
  <c r="M152" i="16"/>
  <c r="N152" i="16" s="1"/>
  <c r="AI152" i="16"/>
  <c r="T152" i="16"/>
  <c r="AJ78" i="16"/>
  <c r="AQ78" i="16"/>
  <c r="AB78" i="16"/>
  <c r="U78" i="16"/>
  <c r="AP79" i="16"/>
  <c r="AA79" i="16"/>
  <c r="S79" i="16"/>
  <c r="AI79" i="16"/>
  <c r="T79" i="16"/>
  <c r="M79" i="16"/>
  <c r="N79" i="16" s="1"/>
  <c r="X79" i="16"/>
  <c r="Y79" i="16" s="1"/>
  <c r="L80" i="16"/>
  <c r="AQ152" i="16" l="1"/>
  <c r="Y152" i="16"/>
  <c r="AJ152" i="16"/>
  <c r="AB152" i="16"/>
  <c r="U152" i="16"/>
  <c r="L154" i="16"/>
  <c r="K155" i="16"/>
  <c r="X153" i="16"/>
  <c r="Y153" i="16" s="1"/>
  <c r="M153" i="16"/>
  <c r="N153" i="16" s="1"/>
  <c r="S153" i="16"/>
  <c r="T153" i="16"/>
  <c r="U153" i="16" s="1"/>
  <c r="V153" i="16" s="1"/>
  <c r="AA153" i="16"/>
  <c r="AB153" i="16" s="1"/>
  <c r="AC153" i="16" s="1"/>
  <c r="AI153" i="16"/>
  <c r="AJ153" i="16" s="1"/>
  <c r="AK153" i="16" s="1"/>
  <c r="AP153" i="16"/>
  <c r="AQ79" i="16"/>
  <c r="AJ79" i="16"/>
  <c r="AB79" i="16"/>
  <c r="U79" i="16"/>
  <c r="X80" i="16"/>
  <c r="M80" i="16"/>
  <c r="N80" i="16" s="1"/>
  <c r="AI80" i="16"/>
  <c r="T80" i="16"/>
  <c r="S80" i="16"/>
  <c r="AP80" i="16"/>
  <c r="AA80" i="16"/>
  <c r="L81" i="16"/>
  <c r="AQ153" i="16" l="1"/>
  <c r="Y80" i="16"/>
  <c r="L155" i="16"/>
  <c r="K156" i="16"/>
  <c r="AA154" i="16"/>
  <c r="AI154" i="16"/>
  <c r="AJ154" i="16" s="1"/>
  <c r="AK154" i="16" s="1"/>
  <c r="M154" i="16"/>
  <c r="N154" i="16" s="1"/>
  <c r="AP154" i="16"/>
  <c r="AQ154" i="16" s="1"/>
  <c r="AR154" i="16" s="1"/>
  <c r="S154" i="16"/>
  <c r="T154" i="16"/>
  <c r="U154" i="16" s="1"/>
  <c r="V154" i="16" s="1"/>
  <c r="X154" i="16"/>
  <c r="U80" i="16"/>
  <c r="AJ80" i="16"/>
  <c r="AQ80" i="16"/>
  <c r="AB80" i="16"/>
  <c r="AP81" i="16"/>
  <c r="AA81" i="16"/>
  <c r="S81" i="16"/>
  <c r="T81" i="16"/>
  <c r="X81" i="16"/>
  <c r="Y81" i="16" s="1"/>
  <c r="M81" i="16"/>
  <c r="N81" i="16" s="1"/>
  <c r="AI81" i="16"/>
  <c r="L82" i="16"/>
  <c r="AB154" i="16" l="1"/>
  <c r="Y154" i="16"/>
  <c r="L156" i="16"/>
  <c r="K157" i="16"/>
  <c r="M155" i="16"/>
  <c r="N155" i="16" s="1"/>
  <c r="AA155" i="16"/>
  <c r="AI155" i="16"/>
  <c r="S155" i="16"/>
  <c r="T155" i="16"/>
  <c r="U155" i="16" s="1"/>
  <c r="V155" i="16" s="1"/>
  <c r="X155" i="16"/>
  <c r="AP155" i="16"/>
  <c r="AJ81" i="16"/>
  <c r="AQ81" i="16"/>
  <c r="AB81" i="16"/>
  <c r="U81" i="16"/>
  <c r="L83" i="16"/>
  <c r="X82" i="16"/>
  <c r="M82" i="16"/>
  <c r="N82" i="16" s="1"/>
  <c r="AI82" i="16"/>
  <c r="T82" i="16"/>
  <c r="S82" i="16"/>
  <c r="AP82" i="16"/>
  <c r="AA82" i="16"/>
  <c r="Y155" i="16" l="1"/>
  <c r="AB155" i="16"/>
  <c r="Y82" i="16"/>
  <c r="AJ155" i="16"/>
  <c r="AQ155" i="16"/>
  <c r="L157" i="16"/>
  <c r="K158" i="16"/>
  <c r="AP156" i="16"/>
  <c r="AQ156" i="16" s="1"/>
  <c r="AR156" i="16" s="1"/>
  <c r="M156" i="16"/>
  <c r="N156" i="16" s="1"/>
  <c r="X156" i="16"/>
  <c r="Y156" i="16" s="1"/>
  <c r="AA156" i="16"/>
  <c r="AB156" i="16" s="1"/>
  <c r="AC156" i="16" s="1"/>
  <c r="S156" i="16"/>
  <c r="AI156" i="16"/>
  <c r="AJ156" i="16" s="1"/>
  <c r="AK156" i="16" s="1"/>
  <c r="T156" i="16"/>
  <c r="U156" i="16" s="1"/>
  <c r="V156" i="16" s="1"/>
  <c r="AJ82" i="16"/>
  <c r="AQ82" i="16"/>
  <c r="AB82" i="16"/>
  <c r="U82" i="16"/>
  <c r="AP83" i="16"/>
  <c r="AA83" i="16"/>
  <c r="S83" i="16"/>
  <c r="AI83" i="16"/>
  <c r="T83" i="16"/>
  <c r="X83" i="16"/>
  <c r="M83" i="16"/>
  <c r="N83" i="16" s="1"/>
  <c r="L84" i="16"/>
  <c r="Y83" i="16" l="1"/>
  <c r="K159" i="16"/>
  <c r="L158" i="16"/>
  <c r="X157" i="16"/>
  <c r="Y157" i="16" s="1"/>
  <c r="M157" i="16"/>
  <c r="N157" i="16" s="1"/>
  <c r="AA157" i="16"/>
  <c r="AB157" i="16" s="1"/>
  <c r="AC157" i="16" s="1"/>
  <c r="AP157" i="16"/>
  <c r="AQ157" i="16" s="1"/>
  <c r="S157" i="16"/>
  <c r="T157" i="16"/>
  <c r="U157" i="16" s="1"/>
  <c r="V157" i="16" s="1"/>
  <c r="AI157" i="16"/>
  <c r="AJ157" i="16" s="1"/>
  <c r="AJ83" i="16"/>
  <c r="AQ83" i="16"/>
  <c r="U83" i="16"/>
  <c r="AB83" i="16"/>
  <c r="S84" i="16"/>
  <c r="AP84" i="16"/>
  <c r="AA84" i="16"/>
  <c r="X84" i="16"/>
  <c r="Y84" i="16" s="1"/>
  <c r="M84" i="16"/>
  <c r="N84" i="16" s="1"/>
  <c r="AI84" i="16"/>
  <c r="T84" i="16"/>
  <c r="L85" i="16"/>
  <c r="M158" i="16" l="1"/>
  <c r="N158" i="16" s="1"/>
  <c r="AA158" i="16"/>
  <c r="AI158" i="16"/>
  <c r="AJ158" i="16" s="1"/>
  <c r="T158" i="16"/>
  <c r="X158" i="16"/>
  <c r="AP158" i="16"/>
  <c r="AQ158" i="16" s="1"/>
  <c r="S158" i="16"/>
  <c r="K160" i="16"/>
  <c r="L159" i="16"/>
  <c r="U84" i="16"/>
  <c r="AJ84" i="16"/>
  <c r="AB84" i="16"/>
  <c r="AQ84" i="16"/>
  <c r="AP85" i="16"/>
  <c r="AA85" i="16"/>
  <c r="S85" i="16"/>
  <c r="AI85" i="16"/>
  <c r="T85" i="16"/>
  <c r="X85" i="16"/>
  <c r="M85" i="16"/>
  <c r="N85" i="16" s="1"/>
  <c r="U158" i="16" l="1"/>
  <c r="Y85" i="16"/>
  <c r="Y158" i="16"/>
  <c r="AB158" i="16"/>
  <c r="Z129" i="16"/>
  <c r="Z153" i="16"/>
  <c r="Z151" i="16"/>
  <c r="Z86" i="16"/>
  <c r="Z87" i="16"/>
  <c r="Z91" i="16"/>
  <c r="Z139" i="16"/>
  <c r="Z90" i="16"/>
  <c r="Z157" i="16"/>
  <c r="Z115" i="16"/>
  <c r="Z111" i="16"/>
  <c r="Z104" i="16"/>
  <c r="Z156" i="16"/>
  <c r="Z143"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U161" i="16" s="1"/>
  <c r="V161" i="16" s="1"/>
  <c r="M161" i="16"/>
  <c r="N161" i="16" s="1"/>
  <c r="AA161" i="16"/>
  <c r="AB161" i="16" s="1"/>
  <c r="AC161" i="16" s="1"/>
  <c r="AI161" i="16"/>
  <c r="AP161" i="16"/>
  <c r="X161" i="16"/>
  <c r="Y161" i="16" s="1"/>
  <c r="Z161" i="16" s="1"/>
  <c r="L162" i="16"/>
  <c r="K163" i="16"/>
  <c r="AJ161" i="16" l="1"/>
  <c r="AQ161" i="16"/>
  <c r="L163" i="16"/>
  <c r="K164" i="16"/>
  <c r="AA162" i="16"/>
  <c r="AI162" i="16"/>
  <c r="AJ162" i="16" s="1"/>
  <c r="S162" i="16"/>
  <c r="AP162" i="16"/>
  <c r="M162" i="16"/>
  <c r="N162" i="16" s="1"/>
  <c r="T162" i="16"/>
  <c r="X162" i="16"/>
  <c r="AQ162" i="16" l="1"/>
  <c r="AK162" i="16"/>
  <c r="Y162" i="16"/>
  <c r="AB162" i="16"/>
  <c r="U162" i="16"/>
  <c r="L164" i="16"/>
  <c r="K165" i="16"/>
  <c r="M163" i="16"/>
  <c r="N163" i="16" s="1"/>
  <c r="AI163" i="16"/>
  <c r="AJ163" i="16" s="1"/>
  <c r="AK163" i="16" s="1"/>
  <c r="X163" i="16"/>
  <c r="AA163" i="16"/>
  <c r="S163" i="16"/>
  <c r="AP163" i="16"/>
  <c r="AQ163" i="16" s="1"/>
  <c r="T163" i="16"/>
  <c r="Z76" i="16"/>
  <c r="Z78" i="16"/>
  <c r="Z84" i="16"/>
  <c r="Z69" i="16"/>
  <c r="Z79" i="16"/>
  <c r="Z81" i="16"/>
  <c r="Z54" i="16"/>
  <c r="Z30" i="16"/>
  <c r="AB163" i="16" l="1"/>
  <c r="Y163" i="16"/>
  <c r="U163" i="16"/>
  <c r="K166" i="16"/>
  <c r="L165" i="16"/>
  <c r="AP164" i="16"/>
  <c r="AQ164" i="16" s="1"/>
  <c r="AA164" i="16"/>
  <c r="M164" i="16"/>
  <c r="N164" i="16" s="1"/>
  <c r="AI164" i="16"/>
  <c r="AJ164" i="16" s="1"/>
  <c r="AK164" i="16" s="1"/>
  <c r="S164" i="16"/>
  <c r="T164" i="16"/>
  <c r="U164" i="16" s="1"/>
  <c r="V164" i="16" s="1"/>
  <c r="X164" i="16"/>
  <c r="Y164" i="16" s="1"/>
  <c r="AK80" i="16"/>
  <c r="V68" i="16"/>
  <c r="V84" i="16"/>
  <c r="V69" i="16"/>
  <c r="V78" i="16"/>
  <c r="V22" i="16"/>
  <c r="V41" i="16"/>
  <c r="V46" i="16"/>
  <c r="V53" i="16"/>
  <c r="V70" i="16"/>
  <c r="V72" i="16"/>
  <c r="V73" i="16"/>
  <c r="V76" i="16"/>
  <c r="V79" i="16"/>
  <c r="V81" i="16"/>
  <c r="AR34" i="16"/>
  <c r="AR71" i="16"/>
  <c r="AR77" i="16"/>
  <c r="AK78" i="16"/>
  <c r="V50" i="16"/>
  <c r="AR21" i="16"/>
  <c r="AR65" i="16"/>
  <c r="AC69" i="16"/>
  <c r="AC78" i="16"/>
  <c r="AC84" i="16"/>
  <c r="V30" i="16"/>
  <c r="V31" i="16"/>
  <c r="V38" i="16"/>
  <c r="V52" i="16"/>
  <c r="V54" i="16"/>
  <c r="V57" i="16"/>
  <c r="V59" i="16"/>
  <c r="V60" i="16"/>
  <c r="V74" i="16"/>
  <c r="V83" i="16"/>
  <c r="AK79" i="16"/>
  <c r="AK85" i="16"/>
  <c r="AK71" i="16"/>
  <c r="AK81" i="16"/>
  <c r="AK77" i="16"/>
  <c r="AK73" i="16"/>
  <c r="AK72" i="16"/>
  <c r="AK84" i="16"/>
  <c r="AK75" i="16"/>
  <c r="AK76" i="16"/>
  <c r="AK74" i="16"/>
  <c r="Z164" i="16" l="1"/>
  <c r="AR164" i="16"/>
  <c r="X165" i="16"/>
  <c r="S165" i="16"/>
  <c r="AP165" i="16"/>
  <c r="T165" i="16"/>
  <c r="AA165" i="16"/>
  <c r="M165" i="16"/>
  <c r="N165" i="16" s="1"/>
  <c r="AI165" i="16"/>
  <c r="AJ165" i="16" s="1"/>
  <c r="K167" i="16"/>
  <c r="L166" i="16"/>
  <c r="AB164" i="16"/>
  <c r="AC50" i="16"/>
  <c r="AC79" i="16"/>
  <c r="AC54" i="16"/>
  <c r="AC43" i="16"/>
  <c r="AC65" i="16"/>
  <c r="AC81" i="16"/>
  <c r="AC76" i="16"/>
  <c r="U165" i="16" l="1"/>
  <c r="AQ165" i="16"/>
  <c r="Y165" i="16"/>
  <c r="AC164" i="16"/>
  <c r="AK165" i="16"/>
  <c r="AB165" i="16"/>
  <c r="AA166" i="16"/>
  <c r="T166" i="16"/>
  <c r="M166" i="16"/>
  <c r="N166" i="16" s="1"/>
  <c r="AI166" i="16"/>
  <c r="AJ166" i="16" s="1"/>
  <c r="S166" i="16"/>
  <c r="AP166" i="16"/>
  <c r="X166" i="16"/>
  <c r="K168" i="16"/>
  <c r="L167" i="16"/>
  <c r="AK166" i="16" l="1"/>
  <c r="Y166" i="16"/>
  <c r="AQ166" i="16"/>
  <c r="U166" i="16"/>
  <c r="AB166" i="16"/>
  <c r="M167" i="16"/>
  <c r="N167" i="16" s="1"/>
  <c r="S167" i="16"/>
  <c r="AP167" i="16"/>
  <c r="X167" i="16"/>
  <c r="AA167" i="16"/>
  <c r="AI167" i="16"/>
  <c r="AJ167" i="16" s="1"/>
  <c r="T167" i="16"/>
  <c r="U167" i="16" s="1"/>
  <c r="L168" i="16"/>
  <c r="K169" i="16"/>
  <c r="AK167" i="16" l="1"/>
  <c r="AQ167" i="16"/>
  <c r="Y167" i="16"/>
  <c r="V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U171" i="16" s="1"/>
  <c r="AP171" i="16"/>
  <c r="X171" i="16"/>
  <c r="AA171" i="16"/>
  <c r="S171" i="16"/>
  <c r="AB170" i="16"/>
  <c r="Y171" i="16" l="1"/>
  <c r="AQ171" i="16"/>
  <c r="V171" i="16"/>
  <c r="AB171" i="16"/>
  <c r="AK171" i="16"/>
  <c r="L173" i="16"/>
  <c r="K174" i="16"/>
  <c r="T172" i="16"/>
  <c r="U172" i="16" s="1"/>
  <c r="S172" i="16"/>
  <c r="AP172" i="16"/>
  <c r="X172" i="16"/>
  <c r="Y172" i="16" s="1"/>
  <c r="Z172" i="16" s="1"/>
  <c r="AA172" i="16"/>
  <c r="M172" i="16"/>
  <c r="N172" i="16" s="1"/>
  <c r="AI172" i="16"/>
  <c r="V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U174" i="16" s="1"/>
  <c r="V174" i="16" s="1"/>
  <c r="M174" i="16"/>
  <c r="N174" i="16" s="1"/>
  <c r="AI174" i="16"/>
  <c r="AJ174" i="16" s="1"/>
  <c r="AK174" i="16" s="1"/>
  <c r="AB173" i="16"/>
  <c r="AQ174" i="16" l="1"/>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AQ181" i="16" s="1"/>
  <c r="AR181" i="16" s="1"/>
  <c r="S181" i="16"/>
  <c r="AA181" i="16"/>
  <c r="Y181" i="16" l="1"/>
  <c r="U181" i="16"/>
  <c r="AB181" i="16"/>
  <c r="S182" i="16"/>
  <c r="M182" i="16"/>
  <c r="N182" i="16" s="1"/>
  <c r="AI182" i="16"/>
  <c r="AP182" i="16"/>
  <c r="T182" i="16"/>
  <c r="X182" i="16"/>
  <c r="AA182" i="16"/>
  <c r="L183" i="16"/>
  <c r="K184" i="16"/>
  <c r="AJ182" i="16" l="1"/>
  <c r="Y182" i="16"/>
  <c r="AB182" i="16"/>
  <c r="AQ182" i="16"/>
  <c r="U182" i="16"/>
  <c r="L184" i="16"/>
  <c r="K185" i="16"/>
  <c r="AI183" i="16"/>
  <c r="T183" i="16"/>
  <c r="U183" i="16" s="1"/>
  <c r="V183" i="16" s="1"/>
  <c r="AA183" i="16"/>
  <c r="M183" i="16"/>
  <c r="N183" i="16" s="1"/>
  <c r="AP183" i="16"/>
  <c r="S183" i="16"/>
  <c r="X183" i="16"/>
  <c r="Y183" i="16" l="1"/>
  <c r="AB183" i="16"/>
  <c r="AJ183" i="16"/>
  <c r="AQ183" i="16"/>
  <c r="L185" i="16"/>
  <c r="K186" i="16"/>
  <c r="S184" i="16"/>
  <c r="T184" i="16"/>
  <c r="M184" i="16"/>
  <c r="N184" i="16" s="1"/>
  <c r="AA184" i="16"/>
  <c r="AI184" i="16"/>
  <c r="AJ184" i="16" s="1"/>
  <c r="AK184" i="16" s="1"/>
  <c r="AP184" i="16"/>
  <c r="AQ184" i="16" s="1"/>
  <c r="AR184" i="16" s="1"/>
  <c r="X184" i="16"/>
  <c r="Y184" i="16" l="1"/>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R49" i="16" l="1"/>
  <c r="V37" i="16"/>
  <c r="V35" i="16"/>
  <c r="V51" i="16"/>
  <c r="AR25" i="16"/>
  <c r="Z52" i="16"/>
  <c r="V47" i="16"/>
  <c r="Z50" i="16"/>
  <c r="Z59" i="16"/>
  <c r="V25" i="16"/>
  <c r="V43" i="16"/>
  <c r="V65" i="16"/>
  <c r="V63" i="16"/>
  <c r="Z45" i="16"/>
  <c r="Z43" i="16"/>
  <c r="Z63" i="16"/>
  <c r="Z17" i="16"/>
  <c r="Z65" i="16"/>
  <c r="M9" i="16"/>
  <c r="L37" i="8" s="1"/>
  <c r="AR56" i="16"/>
  <c r="AR20" i="16"/>
  <c r="V36" i="16"/>
  <c r="V39" i="16"/>
  <c r="V40" i="16"/>
  <c r="AK37" i="16"/>
  <c r="AK52" i="16"/>
  <c r="AK27" i="16"/>
  <c r="AK51" i="16"/>
  <c r="AK42" i="16"/>
  <c r="AK38" i="16"/>
  <c r="AK63" i="16"/>
  <c r="AK16" i="16"/>
  <c r="AK21" i="16"/>
  <c r="AK49" i="16"/>
  <c r="AK39" i="16"/>
  <c r="AK24" i="16"/>
  <c r="AK41" i="16"/>
  <c r="AK18" i="16"/>
  <c r="AK45" i="16"/>
  <c r="AK44" i="16"/>
  <c r="AK56" i="16"/>
  <c r="AK46" i="16"/>
  <c r="AK25" i="16"/>
  <c r="AK34" i="16"/>
  <c r="AK65" i="16"/>
  <c r="AK64" i="16"/>
  <c r="AK59" i="16"/>
  <c r="AK57" i="16"/>
  <c r="AK36" i="16"/>
  <c r="AK54" i="16"/>
  <c r="AK20" i="16"/>
  <c r="AK33" i="16"/>
  <c r="AK22" i="16"/>
  <c r="AK29" i="16"/>
  <c r="AK47" i="16"/>
  <c r="AK62" i="16"/>
  <c r="AK43" i="16"/>
  <c r="AK26" i="16"/>
  <c r="AK68" i="16"/>
  <c r="AK48" i="16"/>
  <c r="AK14" i="16"/>
  <c r="AK32" i="16"/>
  <c r="AK28" i="16"/>
  <c r="AK17" i="16"/>
  <c r="AK60" i="16"/>
  <c r="AK61" i="16"/>
  <c r="AK11" i="16"/>
  <c r="AK12" i="16"/>
  <c r="AR14" i="16"/>
  <c r="AR46" i="16"/>
  <c r="AR24" i="16"/>
  <c r="Z18" i="16"/>
  <c r="Z37" i="16"/>
  <c r="Z36" i="16"/>
  <c r="Z40" i="16"/>
  <c r="Z41" i="16"/>
  <c r="Z20"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Q38" i="8" s="1"/>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B93" i="8" s="1"/>
  <c r="AC45" i="16" l="1"/>
  <c r="AC63" i="16"/>
  <c r="AC59" i="16"/>
  <c r="AC52" i="16"/>
  <c r="K38" i="8"/>
  <c r="V38" i="8"/>
  <c r="AC20" i="16"/>
  <c r="AC30" i="16"/>
  <c r="AC40" i="16"/>
  <c r="AC37" i="16"/>
  <c r="AC36" i="16"/>
  <c r="AC41"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Q39" i="8"/>
  <c r="K39" i="8" s="1"/>
  <c r="AL13" i="16"/>
  <c r="AM12" i="16"/>
  <c r="AN12" i="16" s="1"/>
  <c r="AT12" i="16"/>
  <c r="AU12" i="16" s="1"/>
  <c r="U93" i="8" s="1"/>
  <c r="AS13" i="16"/>
  <c r="B94" i="8" s="1"/>
  <c r="E50" i="8" l="1"/>
  <c r="E93" i="8"/>
  <c r="Y93" i="8" s="1"/>
  <c r="K48" i="8"/>
  <c r="K50" i="8"/>
  <c r="K51" i="8"/>
  <c r="K49" i="8"/>
  <c r="O48" i="8"/>
  <c r="O50" i="8"/>
  <c r="O51" i="8"/>
  <c r="O49" i="8"/>
  <c r="M51" i="8"/>
  <c r="M49" i="8"/>
  <c r="M50" i="8"/>
  <c r="M48" i="8"/>
  <c r="AS14" i="16"/>
  <c r="B95" i="8" s="1"/>
  <c r="AT13" i="16"/>
  <c r="AU13" i="16" s="1"/>
  <c r="U94" i="8" s="1"/>
  <c r="AL14" i="16"/>
  <c r="AM13" i="16"/>
  <c r="AN13" i="16" s="1"/>
  <c r="Y92" i="8"/>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E97" i="8" l="1"/>
  <c r="Y97" i="8" s="1"/>
  <c r="AT17" i="16"/>
  <c r="AU17" i="16" s="1"/>
  <c r="U98" i="8" s="1"/>
  <c r="AS18" i="16"/>
  <c r="B99" i="8" s="1"/>
  <c r="AL18" i="16"/>
  <c r="AM17" i="16"/>
  <c r="AN17" i="16" s="1"/>
  <c r="E98" i="8" l="1"/>
  <c r="Y98" i="8" s="1"/>
  <c r="AL19" i="16"/>
  <c r="AM18" i="16"/>
  <c r="AN18" i="16" s="1"/>
  <c r="AT18" i="16"/>
  <c r="AU18" i="16" s="1"/>
  <c r="U99" i="8" s="1"/>
  <c r="AS19" i="16"/>
  <c r="B100" i="8" s="1"/>
  <c r="E99" i="8" l="1"/>
  <c r="Y99" i="8" s="1"/>
  <c r="AT19" i="16"/>
  <c r="AU19" i="16" s="1"/>
  <c r="U100" i="8" s="1"/>
  <c r="AS20" i="16"/>
  <c r="B101" i="8" s="1"/>
  <c r="AL20" i="16"/>
  <c r="AM19" i="16"/>
  <c r="AN19" i="16" s="1"/>
  <c r="E100" i="8" l="1"/>
  <c r="Y100" i="8" s="1"/>
  <c r="AL21" i="16"/>
  <c r="AM20" i="16"/>
  <c r="AN20" i="16" s="1"/>
  <c r="AS21" i="16"/>
  <c r="B102" i="8" s="1"/>
  <c r="AT20" i="16"/>
  <c r="AU20" i="16" s="1"/>
  <c r="U101" i="8" s="1"/>
  <c r="E101" i="8" l="1"/>
  <c r="Y101" i="8" s="1"/>
  <c r="AT21" i="16"/>
  <c r="AU21" i="16" s="1"/>
  <c r="U102" i="8" s="1"/>
  <c r="AS22" i="16"/>
  <c r="B103" i="8" s="1"/>
  <c r="AL22" i="16"/>
  <c r="AM21" i="16"/>
  <c r="AN21" i="16" s="1"/>
  <c r="E102" i="8" l="1"/>
  <c r="Y102" i="8" s="1"/>
  <c r="E103" i="8"/>
  <c r="Y103" i="8" s="1"/>
  <c r="U103" i="8"/>
  <c r="AT22" i="16"/>
  <c r="AU22" i="16" s="1"/>
  <c r="AS23" i="16"/>
  <c r="B104" i="8" s="1"/>
  <c r="AL23" i="16"/>
  <c r="AM22" i="16"/>
  <c r="AN22" i="16" s="1"/>
  <c r="E104" i="8" l="1"/>
  <c r="Y104" i="8" s="1"/>
  <c r="U104" i="8"/>
  <c r="AL24" i="16"/>
  <c r="AM23" i="16"/>
  <c r="AN23" i="16" s="1"/>
  <c r="AT23" i="16"/>
  <c r="AU23" i="16" s="1"/>
  <c r="AS24" i="16"/>
  <c r="B105" i="8" s="1"/>
  <c r="E105" i="8" l="1"/>
  <c r="Y105" i="8" s="1"/>
  <c r="U105" i="8"/>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<sst xmlns="http://schemas.openxmlformats.org/spreadsheetml/2006/main" count="9640" uniqueCount="913">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</sst>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1"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8" fillId="23" borderId="0" xfId="0" quotePrefix="1" applyFont="1" applyFill="1" applyAlignment="1">
      <alignment horizontal="center"/>
    </xf>
    <xf numFmtId="2" fontId="11" fillId="0" borderId="0" xfId="4" applyNumberFormat="1" applyFont="1" applyAlignment="1">
      <alignment horizontal="right"/>
    </xf>
    <xf numFmtId="0" fontId="26"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1"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2" fontId="11"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3"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1" fontId="12" fillId="0" borderId="4" xfId="4" applyNumberFormat="1" applyFont="1" applyBorder="1" applyAlignment="1">
      <alignment horizontal="center"/>
    </xf>
    <xf numFmtId="0" fontId="10" fillId="0" borderId="0" xfId="0" applyFont="1" applyAlignment="1">
      <alignment horizontal="left"/>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7" xfId="0" applyFont="1" applyBorder="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1" fillId="21" borderId="0" xfId="0" applyFont="1" applyFill="1" applyAlignment="1">
      <alignment horizontal="center"/>
    </xf>
    <xf numFmtId="2" fontId="11" fillId="21" borderId="0" xfId="4" applyNumberFormat="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
                <c:pt idx="13">
                  <c:v>u</c:v>
                </c:pt>
              </c:strCache>
            </c:strRef>
          </c:cat>
          <c:val>
            <c:numRef>
              <c:f>[0]!TopQuart</c:f>
              <c:numCache>
                <c:formatCode>General</c:formatCode>
                <c:ptCount val="58"/>
                <c:pt idx="0">
                  <c:v>353</c:v>
                </c:pt>
                <c:pt idx="1">
                  <c:v>354</c:v>
                </c:pt>
                <c:pt idx="2">
                  <c:v>373.6</c:v>
                </c:pt>
                <c:pt idx="3">
                  <c:v>377.7</c:v>
                </c:pt>
                <c:pt idx="4">
                  <c:v>377.9</c:v>
                </c:pt>
                <c:pt idx="5">
                  <c:v>392.2</c:v>
                </c:pt>
                <c:pt idx="6">
                  <c:v>397.1</c:v>
                </c:pt>
                <c:pt idx="7">
                  <c:v>404.8</c:v>
                </c:pt>
                <c:pt idx="8">
                  <c:v>413.3</c:v>
                </c:pt>
                <c:pt idx="9">
                  <c:v>415.4</c:v>
                </c:pt>
                <c:pt idx="10">
                  <c:v>420.4</c:v>
                </c:pt>
                <c:pt idx="11">
                  <c:v>444.1</c:v>
                </c:pt>
                <c:pt idx="12">
                  <c:v>454.1</c:v>
                </c:pt>
                <c:pt idx="13">
                  <c:v>467.1</c:v>
                </c:pt>
                <c:pt idx="14">
                  <c:v>469.9</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
                <c:pt idx="13">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470.6</c:v>
                </c:pt>
                <c:pt idx="16">
                  <c:v>477.3</c:v>
                </c:pt>
                <c:pt idx="17">
                  <c:v>481.2</c:v>
                </c:pt>
                <c:pt idx="18">
                  <c:v>489.4</c:v>
                </c:pt>
                <c:pt idx="19">
                  <c:v>492.9</c:v>
                </c:pt>
                <c:pt idx="20">
                  <c:v>497</c:v>
                </c:pt>
                <c:pt idx="21">
                  <c:v>499.4</c:v>
                </c:pt>
                <c:pt idx="22">
                  <c:v>502</c:v>
                </c:pt>
                <c:pt idx="23">
                  <c:v>509.6</c:v>
                </c:pt>
                <c:pt idx="24">
                  <c:v>514.4</c:v>
                </c:pt>
                <c:pt idx="25">
                  <c:v>517.6</c:v>
                </c:pt>
                <c:pt idx="26">
                  <c:v>521.9</c:v>
                </c:pt>
                <c:pt idx="27">
                  <c:v>526.29999999999995</c:v>
                </c:pt>
                <c:pt idx="28">
                  <c:v>529.20000000000005</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
                <c:pt idx="13">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529.29999999999995</c:v>
                </c:pt>
                <c:pt idx="30">
                  <c:v>530</c:v>
                </c:pt>
                <c:pt idx="31">
                  <c:v>531.9</c:v>
                </c:pt>
                <c:pt idx="32">
                  <c:v>534.9</c:v>
                </c:pt>
                <c:pt idx="33">
                  <c:v>536.9</c:v>
                </c:pt>
                <c:pt idx="34">
                  <c:v>542.4</c:v>
                </c:pt>
                <c:pt idx="35">
                  <c:v>546.6</c:v>
                </c:pt>
                <c:pt idx="36">
                  <c:v>549.70000000000005</c:v>
                </c:pt>
                <c:pt idx="37">
                  <c:v>551.79999999999995</c:v>
                </c:pt>
                <c:pt idx="38">
                  <c:v>555.9</c:v>
                </c:pt>
                <c:pt idx="39">
                  <c:v>562.20000000000005</c:v>
                </c:pt>
                <c:pt idx="40">
                  <c:v>565.20000000000005</c:v>
                </c:pt>
                <c:pt idx="41">
                  <c:v>568.29999999999995</c:v>
                </c:pt>
                <c:pt idx="42">
                  <c:v>570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
                <c:pt idx="13">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572.9</c:v>
                </c:pt>
                <c:pt idx="44">
                  <c:v>575.1</c:v>
                </c:pt>
                <c:pt idx="45">
                  <c:v>577.6</c:v>
                </c:pt>
                <c:pt idx="46">
                  <c:v>578.1</c:v>
                </c:pt>
                <c:pt idx="47">
                  <c:v>580.79999999999995</c:v>
                </c:pt>
                <c:pt idx="48">
                  <c:v>591.70000000000005</c:v>
                </c:pt>
                <c:pt idx="49">
                  <c:v>598.9</c:v>
                </c:pt>
                <c:pt idx="50">
                  <c:v>599.5</c:v>
                </c:pt>
                <c:pt idx="51">
                  <c:v>602.29999999999995</c:v>
                </c:pt>
                <c:pt idx="52">
                  <c:v>618.29999999999995</c:v>
                </c:pt>
                <c:pt idx="53">
                  <c:v>660.8</c:v>
                </c:pt>
                <c:pt idx="54">
                  <c:v>664.8</c:v>
                </c:pt>
                <c:pt idx="55">
                  <c:v>693.5</c:v>
                </c:pt>
                <c:pt idx="56">
                  <c:v>698.2</c:v>
                </c:pt>
                <c:pt idx="57">
                  <c:v>759.1</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
                <c:pt idx="13">
                  <c:v>u</c:v>
                </c:pt>
              </c:strCache>
            </c:strRef>
          </c:cat>
          <c:val>
            <c:numRef>
              <c:f>[0]!MarkData</c:f>
              <c:numCache>
                <c:formatCode>0.00</c:formatCode>
                <c:ptCount val="58"/>
                <c:pt idx="0">
                  <c:v>353</c:v>
                </c:pt>
                <c:pt idx="1">
                  <c:v>354</c:v>
                </c:pt>
                <c:pt idx="2">
                  <c:v>373.6</c:v>
                </c:pt>
                <c:pt idx="3">
                  <c:v>377.7</c:v>
                </c:pt>
                <c:pt idx="4">
                  <c:v>377.9</c:v>
                </c:pt>
                <c:pt idx="5">
                  <c:v>392.2</c:v>
                </c:pt>
                <c:pt idx="6">
                  <c:v>397.1</c:v>
                </c:pt>
                <c:pt idx="7">
                  <c:v>404.8</c:v>
                </c:pt>
                <c:pt idx="8">
                  <c:v>413.3</c:v>
                </c:pt>
                <c:pt idx="9">
                  <c:v>415.4</c:v>
                </c:pt>
                <c:pt idx="10">
                  <c:v>420.4</c:v>
                </c:pt>
                <c:pt idx="11">
                  <c:v>444.1</c:v>
                </c:pt>
                <c:pt idx="12">
                  <c:v>454.1</c:v>
                </c:pt>
                <c:pt idx="13">
                  <c:v>467.1</c:v>
                </c:pt>
                <c:pt idx="14">
                  <c:v>469.9</c:v>
                </c:pt>
                <c:pt idx="15">
                  <c:v>470.6</c:v>
                </c:pt>
                <c:pt idx="16">
                  <c:v>477.3</c:v>
                </c:pt>
                <c:pt idx="17">
                  <c:v>481.2</c:v>
                </c:pt>
                <c:pt idx="18">
                  <c:v>489.4</c:v>
                </c:pt>
                <c:pt idx="19">
                  <c:v>492.9</c:v>
                </c:pt>
                <c:pt idx="20">
                  <c:v>497</c:v>
                </c:pt>
                <c:pt idx="21">
                  <c:v>499.4</c:v>
                </c:pt>
                <c:pt idx="22">
                  <c:v>502</c:v>
                </c:pt>
                <c:pt idx="23">
                  <c:v>509.6</c:v>
                </c:pt>
                <c:pt idx="24">
                  <c:v>514.4</c:v>
                </c:pt>
                <c:pt idx="25">
                  <c:v>517.6</c:v>
                </c:pt>
                <c:pt idx="26">
                  <c:v>521.9</c:v>
                </c:pt>
                <c:pt idx="27">
                  <c:v>526.29999999999995</c:v>
                </c:pt>
                <c:pt idx="28">
                  <c:v>529.20000000000005</c:v>
                </c:pt>
                <c:pt idx="29">
                  <c:v>529.29999999999995</c:v>
                </c:pt>
                <c:pt idx="30">
                  <c:v>530</c:v>
                </c:pt>
                <c:pt idx="31">
                  <c:v>531.9</c:v>
                </c:pt>
                <c:pt idx="32">
                  <c:v>534.9</c:v>
                </c:pt>
                <c:pt idx="33">
                  <c:v>536.9</c:v>
                </c:pt>
                <c:pt idx="34">
                  <c:v>542.4</c:v>
                </c:pt>
                <c:pt idx="35">
                  <c:v>546.6</c:v>
                </c:pt>
                <c:pt idx="36">
                  <c:v>549.70000000000005</c:v>
                </c:pt>
                <c:pt idx="37">
                  <c:v>551.79999999999995</c:v>
                </c:pt>
                <c:pt idx="38">
                  <c:v>555.9</c:v>
                </c:pt>
                <c:pt idx="39">
                  <c:v>562.20000000000005</c:v>
                </c:pt>
                <c:pt idx="40">
                  <c:v>565.20000000000005</c:v>
                </c:pt>
                <c:pt idx="41">
                  <c:v>568.29999999999995</c:v>
                </c:pt>
                <c:pt idx="42">
                  <c:v>570</c:v>
                </c:pt>
                <c:pt idx="43">
                  <c:v>572.9</c:v>
                </c:pt>
                <c:pt idx="44">
                  <c:v>575.1</c:v>
                </c:pt>
                <c:pt idx="45">
                  <c:v>577.6</c:v>
                </c:pt>
                <c:pt idx="46">
                  <c:v>578.1</c:v>
                </c:pt>
                <c:pt idx="47">
                  <c:v>580.79999999999995</c:v>
                </c:pt>
                <c:pt idx="48">
                  <c:v>591.70000000000005</c:v>
                </c:pt>
                <c:pt idx="49">
                  <c:v>598.9</c:v>
                </c:pt>
                <c:pt idx="50">
                  <c:v>599.5</c:v>
                </c:pt>
                <c:pt idx="51">
                  <c:v>602.29999999999995</c:v>
                </c:pt>
                <c:pt idx="52">
                  <c:v>618.29999999999995</c:v>
                </c:pt>
                <c:pt idx="53">
                  <c:v>660.8</c:v>
                </c:pt>
                <c:pt idx="54">
                  <c:v>664.8</c:v>
                </c:pt>
                <c:pt idx="55">
                  <c:v>693.5</c:v>
                </c:pt>
                <c:pt idx="56">
                  <c:v>698.2</c:v>
                </c:pt>
                <c:pt idx="57">
                  <c:v>759.1</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467.1</c:v>
                </c:pt>
                <c:pt idx="1">
                  <c:v>520.51896551724133</c:v>
                </c:pt>
                <c:pt idx="2">
                  <c:v>509.75000000000006</c:v>
                </c:pt>
                <c:pt idx="3">
                  <c:v>492.68999999999988</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470.07499999999999</c:v>
                </c:pt>
                <c:pt idx="1">
                  <c:v>470.07499999999999</c:v>
                </c:pt>
                <c:pt idx="2">
                  <c:v>470.07499999999999</c:v>
                </c:pt>
                <c:pt idx="3">
                  <c:v>470.07499999999999</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529.25</c:v>
                </c:pt>
                <c:pt idx="1">
                  <c:v>529.25</c:v>
                </c:pt>
                <c:pt idx="2">
                  <c:v>529.25</c:v>
                </c:pt>
                <c:pt idx="3">
                  <c:v>529.25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572.17499999999995</c:v>
                </c:pt>
                <c:pt idx="1">
                  <c:v>572.17499999999995</c:v>
                </c:pt>
                <c:pt idx="2">
                  <c:v>572.17499999999995</c:v>
                </c:pt>
                <c:pt idx="3">
                  <c:v>572.17499999999995</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467.1</c:v>
                </c:pt>
                <c:pt idx="1">
                  <c:v>505.54545454545462</c:v>
                </c:pt>
                <c:pt idx="2">
                  <c:v>537.0194444444445</c:v>
                </c:pt>
                <c:pt idx="3">
                  <c:v>477.01000000000005</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470.07499999999999</c:v>
                </c:pt>
                <c:pt idx="1">
                  <c:v>470.07499999999999</c:v>
                </c:pt>
                <c:pt idx="2">
                  <c:v>470.07499999999999</c:v>
                </c:pt>
                <c:pt idx="3">
                  <c:v>470.07499999999999</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529.25</c:v>
                </c:pt>
                <c:pt idx="1">
                  <c:v>529.25</c:v>
                </c:pt>
                <c:pt idx="2">
                  <c:v>529.25</c:v>
                </c:pt>
                <c:pt idx="3">
                  <c:v>529.25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572.17499999999995</c:v>
                </c:pt>
                <c:pt idx="1">
                  <c:v>572.17499999999995</c:v>
                </c:pt>
                <c:pt idx="2">
                  <c:v>572.17499999999995</c:v>
                </c:pt>
                <c:pt idx="3">
                  <c:v>572.17499999999995</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109375" customWidth="1"/>
    <col min="18" max="18" width="2.777343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2" t="str">
        <f>VLOOKUP('Filtered Data'!D1,'Filtered Data'!L1:O6,3,FALSE)</f>
        <v>Unitary</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row>
    <row r="2" spans="2:40"/>
    <row r="3" spans="2:40" ht="19.5" customHeight="1">
      <c r="B3" s="252" t="str">
        <f>Data!B3</f>
        <v>Waste Management Indicators</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2:40">
      <c r="D4" s="3"/>
      <c r="E4" s="3"/>
    </row>
    <row r="5" spans="2:40" ht="15.75" customHeight="1">
      <c r="B5" s="288" t="s">
        <v>335</v>
      </c>
      <c r="C5" s="288"/>
      <c r="D5" s="288"/>
      <c r="E5" s="288"/>
      <c r="J5" s="291" t="s">
        <v>305</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890</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20" t="str">
        <f>IF('Filtered Data'!D1="L","County:","Type of Authority:")</f>
        <v>Type of Authority:</v>
      </c>
      <c r="C8" s="255"/>
      <c r="D8" s="255"/>
      <c r="E8" s="255"/>
      <c r="F8" s="255"/>
      <c r="G8" s="255"/>
      <c r="H8" s="255"/>
      <c r="I8" s="255"/>
      <c r="J8" s="3" t="str">
        <f>IF('Filtered Data'!D1="L",'Filtered Data'!I3,VLOOKUP('Filtered Data'!D1,'Filtered Data'!L1:O5,3,FALSE))</f>
        <v>Unitary</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20" t="str">
        <f>IF('Filtered Data'!D1="L","Rural Classification:","Region:")</f>
        <v>Region:</v>
      </c>
      <c r="C9" s="255"/>
      <c r="D9" s="255"/>
      <c r="E9" s="255"/>
      <c r="F9" s="255"/>
      <c r="G9" s="255"/>
      <c r="H9" s="255"/>
      <c r="I9" s="255"/>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5" t="str">
        <f>IF('Filtered Data'!D1="L","",IF('Filtered Data'!D1="SC","Rural Classification:",IF('Filtered Data'!D1="UA","Rural Classification:","County:")))</f>
        <v>Rural Classification:</v>
      </c>
      <c r="C10" s="255"/>
      <c r="D10" s="255"/>
      <c r="E10" s="255"/>
      <c r="F10" s="255"/>
      <c r="G10" s="255"/>
      <c r="H10" s="255"/>
      <c r="I10" s="255"/>
      <c r="J10" s="220" t="str">
        <f>IF('Filtered Data'!D1="L","",IF('Filtered Data'!D1="MD",'Filtered Data'!I3,IF('Filtered Data'!D1="SD",'Filtered Data'!I3,'Filtered Data'!H3)))</f>
        <v>Urban with Significant Rural (rural including hub towns 26-49%)</v>
      </c>
      <c r="K10" s="220"/>
      <c r="L10" s="220"/>
      <c r="M10" s="220"/>
      <c r="N10" s="220"/>
      <c r="O10" s="220"/>
      <c r="P10" s="220"/>
      <c r="Q10" s="220"/>
      <c r="R10" s="220"/>
      <c r="W10" s="274"/>
      <c r="X10" s="275"/>
      <c r="Y10" s="275"/>
      <c r="Z10" s="275"/>
      <c r="AA10" s="275"/>
      <c r="AB10" s="275"/>
      <c r="AC10" s="275"/>
      <c r="AD10" s="275"/>
      <c r="AE10" s="275"/>
      <c r="AF10" s="275"/>
      <c r="AG10" s="275"/>
      <c r="AH10" s="275"/>
      <c r="AI10" s="275"/>
      <c r="AJ10" s="275"/>
      <c r="AK10" s="275"/>
      <c r="AL10" s="275"/>
      <c r="AM10" s="276"/>
    </row>
    <row r="11" spans="2:40" ht="12.75" customHeight="1">
      <c r="B11" s="255" t="str">
        <f>IF('Filtered Data'!D1="L","",IF('Filtered Data'!D1="SC","",IF('Filtered Data'!D1="UA","","Rural Classification:")))</f>
        <v/>
      </c>
      <c r="C11" s="255"/>
      <c r="D11" s="255"/>
      <c r="E11" s="255"/>
      <c r="F11" s="255"/>
      <c r="G11" s="255"/>
      <c r="H11" s="255"/>
      <c r="I11" s="255"/>
      <c r="J11" s="3" t="str">
        <f>IF('Filtered Data'!D1="MD",'Filtered Data'!H3,IF('Filtered Data'!D1="SD",'Filtered Data'!H3,""))</f>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2" t="s">
        <v>910</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256" t="s">
        <v>367</v>
      </c>
      <c r="X13" s="257"/>
      <c r="Y13" s="257"/>
      <c r="Z13" s="257"/>
      <c r="AA13" s="257"/>
      <c r="AB13" s="257"/>
      <c r="AC13" s="257"/>
      <c r="AD13" s="257"/>
      <c r="AE13" s="257"/>
      <c r="AF13" s="257"/>
      <c r="AG13" s="257"/>
      <c r="AH13" s="257"/>
      <c r="AI13" s="257"/>
      <c r="AJ13" s="257"/>
      <c r="AK13" s="257"/>
      <c r="AL13" s="257"/>
      <c r="AM13" s="258"/>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2" t="str">
        <f>W6&amp;" - "&amp;W12</f>
        <v>Residual household waste per household (kg/household) (Ex NI191) - 2022-23</v>
      </c>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85"/>
    </row>
    <row r="17" spans="2:42">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86"/>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4">
        <f>IF('Filtered Data'!$H$8="..",'Filtered Data'!O10,'Filtered Data'!O10/100)</f>
        <v>470.07499999999999</v>
      </c>
      <c r="L32" s="254"/>
      <c r="M32" s="254"/>
      <c r="N32" s="253" t="s">
        <v>353</v>
      </c>
      <c r="O32" s="253"/>
      <c r="P32" s="253"/>
      <c r="Q32" s="253"/>
      <c r="R32" s="253"/>
      <c r="S32" s="253"/>
      <c r="T32" s="254">
        <f>IF('Filtered Data'!$H$8="..",'Filtered Data'!P10,'Filtered Data'!P10/100)</f>
        <v>529.25</v>
      </c>
      <c r="U32" s="254"/>
      <c r="V32" s="254"/>
      <c r="W32" s="254"/>
      <c r="X32" s="287" t="s">
        <v>354</v>
      </c>
      <c r="Y32" s="287"/>
      <c r="Z32" s="287"/>
      <c r="AA32" s="287"/>
      <c r="AB32" s="287"/>
      <c r="AC32" s="254">
        <f>IF('Filtered Data'!$H$8="..",'Filtered Data'!Q10,'Filtered Data'!Q10/100)</f>
        <v>572.17499999999995</v>
      </c>
      <c r="AD32" s="254"/>
      <c r="AE32" s="254"/>
      <c r="AF32" s="259" t="s">
        <v>343</v>
      </c>
      <c r="AG32" s="259"/>
      <c r="AH32" s="259"/>
      <c r="AI32" s="259"/>
      <c r="AJ32" s="259"/>
      <c r="AK32" s="259"/>
      <c r="AL32" s="259"/>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467.1</v>
      </c>
      <c r="M35" s="284"/>
      <c r="N35" s="284"/>
      <c r="O35" s="284"/>
      <c r="P35" s="100"/>
      <c r="Q35" s="284" t="s">
        <v>355</v>
      </c>
      <c r="R35" s="284"/>
      <c r="S35" s="284"/>
      <c r="T35" s="284"/>
      <c r="U35" s="284"/>
      <c r="V35" s="284"/>
      <c r="W35" s="284"/>
      <c r="AP35" s="60"/>
    </row>
    <row r="36" spans="2:16384" ht="12.75" customHeight="1">
      <c r="B36" s="283" t="str">
        <f>'Filtered Data'!R8&amp;" Quartile"</f>
        <v>Top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7" t="s">
        <v>361</v>
      </c>
      <c r="AC36" s="267"/>
      <c r="AD36" s="267"/>
      <c r="AE36" s="267"/>
      <c r="AF36" s="267"/>
      <c r="AG36" s="267"/>
      <c r="AH36" s="267"/>
      <c r="AI36" s="267"/>
      <c r="AJ36" s="267"/>
      <c r="AK36" s="267"/>
      <c r="AL36" s="267"/>
      <c r="AM36" s="118"/>
      <c r="AP36" s="60"/>
    </row>
    <row r="37" spans="2:16384" ht="12.75" customHeight="1">
      <c r="B37" s="101" t="str">
        <f>VLOOKUP('Filtered Data'!D1,'Filtered Data'!L1:O6,2,FALSE)</f>
        <v>Unitaries</v>
      </c>
      <c r="C37" s="101"/>
      <c r="D37" s="101"/>
      <c r="E37" s="101"/>
      <c r="F37" s="101"/>
      <c r="G37" s="101"/>
      <c r="H37" s="101"/>
      <c r="I37" s="101"/>
      <c r="J37" s="268" t="s">
        <v>801</v>
      </c>
      <c r="K37" s="102" t="str">
        <f>IF(Q37="","",IF('Filtered Data'!I8="D",IF($L$35&gt;=L37,"J","L"),IF('Filtered Data'!I8="A",IF($L$35&lt;=L37,"J","L"))))</f>
        <v>J</v>
      </c>
      <c r="L37" s="241">
        <f>'Filtered Data'!M9</f>
        <v>520.51896551724133</v>
      </c>
      <c r="M37" s="241"/>
      <c r="N37" s="241"/>
      <c r="O37" s="241"/>
      <c r="P37" s="103"/>
      <c r="Q37" s="240">
        <f>VLOOKUP(J5,'Filtered Data'!C:I,7,FALSE)</f>
        <v>14</v>
      </c>
      <c r="R37" s="240"/>
      <c r="S37" s="104"/>
      <c r="T37" s="105" t="s">
        <v>356</v>
      </c>
      <c r="U37" s="106"/>
      <c r="V37" s="240">
        <f>COUNT('Filtered Data'!I11:I343)</f>
        <v>58</v>
      </c>
      <c r="W37" s="240"/>
      <c r="AB37" s="267"/>
      <c r="AC37" s="267"/>
      <c r="AD37" s="267"/>
      <c r="AE37" s="267"/>
      <c r="AF37" s="267"/>
      <c r="AG37" s="267"/>
      <c r="AH37" s="267"/>
      <c r="AI37" s="267"/>
      <c r="AJ37" s="267"/>
      <c r="AK37" s="267"/>
      <c r="AL37" s="267"/>
      <c r="AM37" s="118"/>
      <c r="AP37" s="60"/>
    </row>
    <row r="38" spans="2:16384">
      <c r="B38" s="101" t="str">
        <f>IF('Filtered Data'!D1="L","Family",IF('Filtered Data'!D1="SD",VLOOKUP(J5,classifications!C:J,6,FALSE),"Rural"))</f>
        <v>Rural</v>
      </c>
      <c r="C38" s="101"/>
      <c r="D38" s="101"/>
      <c r="E38" s="101"/>
      <c r="F38" s="101"/>
      <c r="G38" s="101"/>
      <c r="H38" s="101"/>
      <c r="I38" s="101"/>
      <c r="J38" s="269"/>
      <c r="K38" s="102" t="str">
        <f>IF(Q38="","",IF('Filtered Data'!I8="D",IF($L$35&gt;=L38,"J","L"),IF('Filtered Data'!I8="A",IF($L$35&lt;=L38,"J","L"))))</f>
        <v>J</v>
      </c>
      <c r="L38" s="241">
        <f>IF('Filtered Data'!D1="L",'Filtered Data'!AG9,'Filtered Data'!Y9)</f>
        <v>492.68999999999988</v>
      </c>
      <c r="M38" s="241"/>
      <c r="N38" s="241"/>
      <c r="O38" s="241"/>
      <c r="P38" s="103"/>
      <c r="Q38" s="266">
        <f>IF(ISERROR(IF('Filtered Data'!D1="L",VLOOKUP(J5,'Filtered Data'!AF11:AH26,3,FALSE),VLOOKUP(J5,'Filtered Data'!$L$11:$Z$355,15,FALSE))),"",(IF('Filtered Data'!D1="L",VLOOKUP(J5,'Filtered Data'!AF11:AH26,3,FALSE),VLOOKUP(J5,'Filtered Data'!$L$11:$Z$355,15,FALSE))))</f>
        <v>7</v>
      </c>
      <c r="R38" s="266"/>
      <c r="S38" s="241" t="s">
        <v>356</v>
      </c>
      <c r="T38" s="241"/>
      <c r="U38" s="241"/>
      <c r="V38" s="240">
        <f>IF('Filtered Data'!D1="L",16,COUNT('Filtered Data'!Z:Z))</f>
        <v>20</v>
      </c>
      <c r="W38" s="240"/>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9"/>
      <c r="K39" s="102" t="str">
        <f>IF(Q39="","",IF('Filtered Data'!I8="D",IF($L$35&gt;=L39,"J","L"),IF('Filtered Data'!I8="A",IF($L$35&lt;=L39,"J","L"))))</f>
        <v>J</v>
      </c>
      <c r="L39" s="241">
        <f>IF('Filtered Data'!D1="L","",IF('Filtered Data'!D1="SD",'Filtered Data'!AJ9,'Filtered Data'!AQ9))</f>
        <v>509.75000000000006</v>
      </c>
      <c r="M39" s="241"/>
      <c r="N39" s="241"/>
      <c r="O39" s="241"/>
      <c r="P39" s="103"/>
      <c r="Q39" s="240">
        <f>IF(ISERROR(IF('Filtered Data'!D1="L","",IF('Filtered Data'!D1="SD",VLOOKUP(J5,'Filtered Data'!L:AK,26,FALSE),(VLOOKUP(J5,'Filtered Data'!L:AR,33,FALSE))))),"",(IF('Filtered Data'!D1="L","",IF('Filtered Data'!D1="SD",VLOOKUP(J5,'Filtered Data'!L:AK,26,FALSE),(VLOOKUP(J5,'Filtered Data'!L:AR,33,FALSE))))))</f>
        <v>2</v>
      </c>
      <c r="R39" s="240"/>
      <c r="S39" s="104"/>
      <c r="T39" s="106" t="str">
        <f>IF(B39="","","out of")</f>
        <v>out of</v>
      </c>
      <c r="U39" s="106"/>
      <c r="V39" s="240">
        <f>IF('Filtered Data'!D1="L","",IF('Filtered Data'!D1="SD",COUNT('Filtered Data'!AK11:AK343),(COUNT('Filtered Data'!AQ11:AQ343))))</f>
        <v>6</v>
      </c>
      <c r="W39" s="240"/>
      <c r="Z39" s="11" t="s">
        <v>360</v>
      </c>
      <c r="AB39" s="267" t="s">
        <v>362</v>
      </c>
      <c r="AC39" s="267"/>
      <c r="AD39" s="267"/>
      <c r="AE39" s="267"/>
      <c r="AF39" s="267"/>
      <c r="AG39" s="267"/>
      <c r="AH39" s="267"/>
      <c r="AI39" s="267"/>
      <c r="AJ39" s="267"/>
      <c r="AK39" s="267"/>
      <c r="AL39" s="267"/>
      <c r="AM39" s="267"/>
      <c r="AP39" s="60"/>
    </row>
    <row r="40" spans="2:16384" ht="12.75" customHeight="1">
      <c r="B40" s="114"/>
      <c r="C40" s="114"/>
      <c r="D40" s="114"/>
      <c r="E40" s="114"/>
      <c r="F40" s="114"/>
      <c r="G40" s="114"/>
      <c r="H40" s="114"/>
      <c r="I40" s="114"/>
      <c r="J40" s="113"/>
      <c r="K40" s="115"/>
      <c r="L40" s="260"/>
      <c r="M40" s="260"/>
      <c r="N40" s="260"/>
      <c r="O40" s="260"/>
      <c r="P40" s="116"/>
      <c r="Q40" s="230"/>
      <c r="R40" s="230"/>
      <c r="S40" s="260"/>
      <c r="T40" s="261"/>
      <c r="U40" s="261"/>
      <c r="V40" s="230"/>
      <c r="W40" s="230"/>
      <c r="AB40" s="267"/>
      <c r="AC40" s="267"/>
      <c r="AD40" s="267"/>
      <c r="AE40" s="267"/>
      <c r="AF40" s="267"/>
      <c r="AG40" s="267"/>
      <c r="AH40" s="267"/>
      <c r="AI40" s="267"/>
      <c r="AJ40" s="267"/>
      <c r="AK40" s="267"/>
      <c r="AL40" s="267"/>
      <c r="AM40" s="267"/>
      <c r="AP40" s="60"/>
    </row>
    <row r="41" spans="2:16384">
      <c r="B41" s="211"/>
      <c r="C41" s="211"/>
      <c r="D41" s="211"/>
      <c r="E41" s="211"/>
      <c r="F41" s="211"/>
      <c r="G41" s="211"/>
      <c r="H41" s="211"/>
      <c r="I41" s="211"/>
      <c r="J41" s="113"/>
      <c r="K41" s="212" t="str">
        <f>IF(B41="","",IF('Filtered Data'!D1="UA","",(IF($L$35&gt;=L41,"J","L"))))</f>
        <v/>
      </c>
      <c r="L41" s="251"/>
      <c r="M41" s="251"/>
      <c r="N41" s="251"/>
      <c r="O41" s="251"/>
      <c r="P41" s="213"/>
      <c r="Q41" s="270"/>
      <c r="R41" s="270"/>
      <c r="S41" s="265"/>
      <c r="T41" s="265"/>
      <c r="U41" s="265"/>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7" t="s">
        <v>358</v>
      </c>
      <c r="C43" s="248"/>
      <c r="D43" s="248"/>
      <c r="E43" s="248"/>
      <c r="F43" s="248"/>
      <c r="G43" s="248"/>
      <c r="H43" s="248"/>
      <c r="I43" s="248"/>
      <c r="J43" s="248"/>
      <c r="K43" s="248"/>
      <c r="L43" s="248"/>
      <c r="M43" s="248"/>
      <c r="N43" s="248"/>
      <c r="O43" s="243" t="str">
        <f>W6&amp;" - "&amp;W12</f>
        <v>Residual household waste per household (kg/household) (Ex NI191) - 2022-23</v>
      </c>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4"/>
      <c r="AP43" s="60"/>
    </row>
    <row r="44" spans="2:16384">
      <c r="B44" s="249"/>
      <c r="C44" s="250"/>
      <c r="D44" s="250"/>
      <c r="E44" s="250"/>
      <c r="F44" s="250"/>
      <c r="G44" s="250"/>
      <c r="H44" s="250"/>
      <c r="I44" s="250"/>
      <c r="J44" s="250"/>
      <c r="K44" s="250"/>
      <c r="L44" s="250"/>
      <c r="M44" s="250"/>
      <c r="N44" s="250"/>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7">
        <f>IF('Filtered Data'!$H$8="..",L35,L35*100)</f>
        <v>467.1</v>
      </c>
      <c r="F48" s="227"/>
      <c r="G48" s="227"/>
      <c r="H48" s="227"/>
      <c r="K48" s="223">
        <f>IF('Filtered Data'!$H$8="..",K$32,K$32*100)</f>
        <v>470.07499999999999</v>
      </c>
      <c r="L48" s="223"/>
      <c r="M48" s="223">
        <f>IF('Filtered Data'!$H$8="..",T$32,T$32*100)</f>
        <v>529.25</v>
      </c>
      <c r="N48" s="223"/>
      <c r="O48" s="223">
        <f>IF('Filtered Data'!$H$8="..",AC$32,AC$32*100)</f>
        <v>572.17499999999995</v>
      </c>
      <c r="P48" s="223"/>
      <c r="AM48" s="6"/>
      <c r="AP48" s="60"/>
    </row>
    <row r="49" spans="2:42">
      <c r="B49" s="5"/>
      <c r="D49" t="str">
        <f>B37</f>
        <v>Unitaries</v>
      </c>
      <c r="E49" s="227">
        <f>IF('Filtered Data'!$H$8="..",L37,L37*100)</f>
        <v>520.51896551724133</v>
      </c>
      <c r="F49" s="227"/>
      <c r="G49" s="227"/>
      <c r="H49" s="227"/>
      <c r="K49" s="223">
        <f>IF('Filtered Data'!$H$8="..",K$32,K$32*100)</f>
        <v>470.07499999999999</v>
      </c>
      <c r="L49" s="223"/>
      <c r="M49" s="223">
        <f>IF('Filtered Data'!$H$8="..",T$32,T$32*100)</f>
        <v>529.25</v>
      </c>
      <c r="N49" s="223"/>
      <c r="O49" s="223">
        <f>IF('Filtered Data'!$H$8="..",AC$32,AC$32*100)</f>
        <v>572.17499999999995</v>
      </c>
      <c r="P49" s="223"/>
      <c r="AM49" s="6"/>
      <c r="AP49" s="60"/>
    </row>
    <row r="50" spans="2:42">
      <c r="B50" s="5"/>
      <c r="D50" s="69" t="str">
        <f>B39</f>
        <v>Regional</v>
      </c>
      <c r="E50" s="227">
        <f>IF('Filtered Data'!$H$8="..",L39,L39*100)</f>
        <v>509.75000000000006</v>
      </c>
      <c r="F50" s="227"/>
      <c r="G50" s="227"/>
      <c r="H50" s="227"/>
      <c r="K50" s="223">
        <f>IF('Filtered Data'!$H$8="..",K$32,K$32*100)</f>
        <v>470.07499999999999</v>
      </c>
      <c r="L50" s="223"/>
      <c r="M50" s="223">
        <f>IF('Filtered Data'!$H$8="..",T$32,T$32*100)</f>
        <v>529.25</v>
      </c>
      <c r="N50" s="223"/>
      <c r="O50" s="223">
        <f>IF('Filtered Data'!$H$8="..",AC$32,AC$32*100)</f>
        <v>572.17499999999995</v>
      </c>
      <c r="P50" s="223"/>
      <c r="AM50" s="6"/>
      <c r="AP50" s="60"/>
    </row>
    <row r="51" spans="2:42">
      <c r="B51" s="5"/>
      <c r="D51" s="214" t="str">
        <f>B38</f>
        <v>Rural</v>
      </c>
      <c r="E51" s="227">
        <f>IF('Filtered Data'!$H$8="..",L38,L38*100)</f>
        <v>492.68999999999988</v>
      </c>
      <c r="F51" s="227"/>
      <c r="G51" s="227"/>
      <c r="H51" s="227"/>
      <c r="K51" s="223">
        <f>IF('Filtered Data'!$H$8="..",K$32,K$32*100)</f>
        <v>470.07499999999999</v>
      </c>
      <c r="L51" s="223"/>
      <c r="M51" s="223">
        <f>IF('Filtered Data'!$H$8="..",T$32,T$32*100)</f>
        <v>529.25</v>
      </c>
      <c r="N51" s="223"/>
      <c r="O51" s="223">
        <f>IF('Filtered Data'!$H$8="..",AC$32,AC$32*100)</f>
        <v>572.17499999999995</v>
      </c>
      <c r="P51" s="223"/>
      <c r="AM51" s="6"/>
      <c r="AP51" s="60"/>
    </row>
    <row r="52" spans="2:42">
      <c r="B52" s="5"/>
      <c r="E52" s="227"/>
      <c r="F52" s="227"/>
      <c r="G52" s="227"/>
      <c r="H52" s="227"/>
      <c r="K52" s="223"/>
      <c r="L52" s="223"/>
      <c r="M52" s="223"/>
      <c r="N52" s="223"/>
      <c r="O52" s="223"/>
      <c r="P52" s="223"/>
      <c r="AM52" s="6"/>
      <c r="AP52" s="60"/>
    </row>
    <row r="53" spans="2:42">
      <c r="B53" s="5"/>
      <c r="E53" s="228"/>
      <c r="F53" s="228"/>
      <c r="G53" s="228"/>
      <c r="H53" s="228"/>
      <c r="K53" s="223"/>
      <c r="L53" s="223"/>
      <c r="M53" s="223"/>
      <c r="N53" s="223"/>
      <c r="O53" s="223"/>
      <c r="P53" s="223"/>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6" t="str">
        <f>B3</f>
        <v>Waste Management Indicators</v>
      </c>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P59" s="60"/>
    </row>
    <row r="60" spans="2:42">
      <c r="AP60" s="60"/>
    </row>
    <row r="61" spans="2:42" ht="12" customHeight="1">
      <c r="B61" s="1" t="str">
        <f>W6&amp;" - "&amp;W12</f>
        <v>Residual household waste per household (kg/household) (Ex NI191) - 2022-23</v>
      </c>
      <c r="AP61" s="60"/>
    </row>
    <row r="62" spans="2:42" ht="12" customHeight="1">
      <c r="AP62" s="60"/>
    </row>
    <row r="63" spans="2:42" ht="12" customHeight="1">
      <c r="B63" s="1" t="s">
        <v>364</v>
      </c>
      <c r="AP63" s="60"/>
    </row>
    <row r="64" spans="2:42" ht="12" customHeight="1">
      <c r="AP64" s="60"/>
    </row>
    <row r="65" spans="2:42" ht="12" customHeight="1">
      <c r="B65" s="221" t="s">
        <v>355</v>
      </c>
      <c r="C65" s="221"/>
      <c r="D65" s="221"/>
      <c r="E65" s="229" t="s">
        <v>334</v>
      </c>
      <c r="F65" s="229"/>
      <c r="G65" s="229"/>
      <c r="H65" s="229"/>
      <c r="I65" s="229"/>
      <c r="J65" s="229"/>
      <c r="K65" s="229"/>
      <c r="L65" s="229"/>
      <c r="M65" s="229"/>
      <c r="N65" s="229"/>
      <c r="O65" s="229"/>
      <c r="P65" s="229"/>
      <c r="Q65" s="229"/>
      <c r="R65" s="229"/>
      <c r="S65" s="229"/>
      <c r="T65" s="229"/>
      <c r="U65" s="221" t="s">
        <v>365</v>
      </c>
      <c r="V65" s="221"/>
      <c r="W65" s="221"/>
      <c r="X65" s="221"/>
      <c r="Y65" s="1"/>
      <c r="Z65" s="1"/>
      <c r="AA65" s="1"/>
      <c r="AB65" s="1"/>
      <c r="AC65" s="4"/>
      <c r="AD65" s="1"/>
      <c r="AE65" s="1"/>
      <c r="AF65" s="1"/>
      <c r="AG65" s="1"/>
      <c r="AI65" s="1"/>
      <c r="AJ65" s="1"/>
      <c r="AK65" s="1"/>
      <c r="AL65" s="1"/>
      <c r="AP65" s="60"/>
    </row>
    <row r="66" spans="2:42" ht="12" customHeight="1">
      <c r="B66" s="222">
        <v>1</v>
      </c>
      <c r="C66" s="223"/>
      <c r="D66" s="223"/>
      <c r="E66" s="220" t="str">
        <f>VLOOKUP(B66,'Filtered Data'!K:L,2,FALSE)</f>
        <v>Reading</v>
      </c>
      <c r="F66" s="220"/>
      <c r="G66" s="220"/>
      <c r="H66" s="220"/>
      <c r="I66" s="220"/>
      <c r="J66" s="220"/>
      <c r="K66" s="220"/>
      <c r="L66" s="220"/>
      <c r="M66" s="220"/>
      <c r="N66" s="220"/>
      <c r="O66" s="220"/>
      <c r="P66" s="220"/>
      <c r="Q66" s="220"/>
      <c r="R66" s="220"/>
      <c r="S66" s="220"/>
      <c r="T66" s="220"/>
      <c r="U66" s="219">
        <f>IF('Filtered Data'!$H$8="%.",(VLOOKUP(B66,'Filtered Data'!K:M,3,FALSE))/100,VLOOKUP(B66,'Filtered Data'!K:M,3,FALSE))</f>
        <v>353</v>
      </c>
      <c r="V66" s="219"/>
      <c r="W66" s="219"/>
      <c r="X66" s="219"/>
      <c r="Y66" s="136" t="str">
        <f>IF((VLOOKUP(E66,classifications!C:K,9,FALSE))="Sparse","S","")</f>
        <v/>
      </c>
      <c r="Z66" s="136"/>
      <c r="AA66" s="136"/>
      <c r="AB66" s="136"/>
      <c r="AC66" s="136"/>
      <c r="AD66" s="239"/>
      <c r="AE66" s="239"/>
      <c r="AF66" s="239"/>
      <c r="AG66" s="239"/>
      <c r="AH66" s="239"/>
      <c r="AI66" s="239"/>
      <c r="AJ66" s="239"/>
      <c r="AK66" s="239"/>
      <c r="AL66" s="239"/>
      <c r="AP66" s="60"/>
    </row>
    <row r="67" spans="2:42" ht="12" customHeight="1">
      <c r="B67" s="222">
        <v>2</v>
      </c>
      <c r="C67" s="223"/>
      <c r="D67" s="223"/>
      <c r="E67" s="220" t="str">
        <f>VLOOKUP(B67,'Filtered Data'!K:L,2,FALSE)</f>
        <v>Bath &amp; North East Somerset</v>
      </c>
      <c r="F67" s="220"/>
      <c r="G67" s="220"/>
      <c r="H67" s="220"/>
      <c r="I67" s="220"/>
      <c r="J67" s="220"/>
      <c r="K67" s="220"/>
      <c r="L67" s="220"/>
      <c r="M67" s="220"/>
      <c r="N67" s="220"/>
      <c r="O67" s="220"/>
      <c r="P67" s="220"/>
      <c r="Q67" s="220"/>
      <c r="R67" s="220"/>
      <c r="S67" s="220"/>
      <c r="T67" s="220"/>
      <c r="U67" s="219">
        <f>IF('Filtered Data'!$H$8="%.",(VLOOKUP(B67,'Filtered Data'!K:M,3,FALSE))/100,VLOOKUP(B67,'Filtered Data'!K:M,3,FALSE))</f>
        <v>354</v>
      </c>
      <c r="V67" s="219"/>
      <c r="W67" s="219"/>
      <c r="X67" s="219"/>
      <c r="Y67" s="136" t="str">
        <f>IF((VLOOKUP(E67,classifications!C:K,9,FALSE))="Sparse","S","")</f>
        <v/>
      </c>
      <c r="Z67" s="136"/>
      <c r="AA67" s="136"/>
      <c r="AB67" s="136"/>
      <c r="AC67" s="136"/>
      <c r="AD67" s="239"/>
      <c r="AE67" s="239"/>
      <c r="AF67" s="239"/>
      <c r="AG67" s="239"/>
      <c r="AH67" s="239"/>
      <c r="AI67" s="239"/>
      <c r="AJ67" s="239"/>
      <c r="AK67" s="239"/>
      <c r="AL67" s="239"/>
      <c r="AP67" s="60"/>
    </row>
    <row r="68" spans="2:42" ht="12" customHeight="1">
      <c r="B68" s="222">
        <v>3</v>
      </c>
      <c r="C68" s="223"/>
      <c r="D68" s="223"/>
      <c r="E68" s="220" t="str">
        <f>VLOOKUP(B68,'Filtered Data'!K:L,2,FALSE)</f>
        <v>North Somerset</v>
      </c>
      <c r="F68" s="220"/>
      <c r="G68" s="220"/>
      <c r="H68" s="220"/>
      <c r="I68" s="220"/>
      <c r="J68" s="220"/>
      <c r="K68" s="220"/>
      <c r="L68" s="220"/>
      <c r="M68" s="220"/>
      <c r="N68" s="220"/>
      <c r="O68" s="220"/>
      <c r="P68" s="220"/>
      <c r="Q68" s="220"/>
      <c r="R68" s="220"/>
      <c r="S68" s="220"/>
      <c r="T68" s="220"/>
      <c r="U68" s="219">
        <f>IF('Filtered Data'!$H$8="%.",(VLOOKUP(B68,'Filtered Data'!K:M,3,FALSE))/100,VLOOKUP(B68,'Filtered Data'!K:M,3,FALSE))</f>
        <v>373.6</v>
      </c>
      <c r="V68" s="219"/>
      <c r="W68" s="219"/>
      <c r="X68" s="219"/>
      <c r="Y68" s="136" t="str">
        <f>IF((VLOOKUP(E68,classifications!C:K,9,FALSE))="Sparse","S","")</f>
        <v>S</v>
      </c>
      <c r="Z68" s="136"/>
      <c r="AA68" s="136"/>
      <c r="AB68" s="136"/>
      <c r="AC68" s="136"/>
      <c r="AD68" s="239"/>
      <c r="AE68" s="239"/>
      <c r="AF68" s="239"/>
      <c r="AG68" s="239"/>
      <c r="AH68" s="239"/>
      <c r="AI68" s="239"/>
      <c r="AJ68" s="239"/>
      <c r="AK68" s="239"/>
      <c r="AL68" s="239"/>
      <c r="AP68" s="60"/>
    </row>
    <row r="69" spans="2:42" ht="12" customHeight="1">
      <c r="B69" s="222">
        <v>4</v>
      </c>
      <c r="C69" s="223"/>
      <c r="D69" s="223"/>
      <c r="E69" s="220" t="str">
        <f>VLOOKUP(B69,'Filtered Data'!K:L,2,FALSE)</f>
        <v>South Gloucestershire</v>
      </c>
      <c r="F69" s="220"/>
      <c r="G69" s="220"/>
      <c r="H69" s="220"/>
      <c r="I69" s="220"/>
      <c r="J69" s="220"/>
      <c r="K69" s="220"/>
      <c r="L69" s="220"/>
      <c r="M69" s="220"/>
      <c r="N69" s="220"/>
      <c r="O69" s="220"/>
      <c r="P69" s="220"/>
      <c r="Q69" s="220"/>
      <c r="R69" s="220"/>
      <c r="S69" s="220"/>
      <c r="T69" s="220"/>
      <c r="U69" s="219">
        <f>IF('Filtered Data'!$H$8="%.",(VLOOKUP(B69,'Filtered Data'!K:M,3,FALSE))/100,VLOOKUP(B69,'Filtered Data'!K:M,3,FALSE))</f>
        <v>377.7</v>
      </c>
      <c r="V69" s="219"/>
      <c r="W69" s="219"/>
      <c r="X69" s="219"/>
      <c r="Y69" s="136" t="str">
        <f>IF((VLOOKUP(E69,classifications!C:K,9,FALSE))="Sparse","S","")</f>
        <v/>
      </c>
      <c r="Z69" s="136"/>
      <c r="AA69" s="136"/>
      <c r="AB69" s="136"/>
      <c r="AC69" s="136"/>
      <c r="AD69" s="239"/>
      <c r="AE69" s="239"/>
      <c r="AF69" s="239"/>
      <c r="AG69" s="239"/>
      <c r="AH69" s="239"/>
      <c r="AI69" s="239"/>
      <c r="AJ69" s="239"/>
      <c r="AK69" s="239"/>
      <c r="AL69" s="239"/>
      <c r="AP69" s="60"/>
    </row>
    <row r="70" spans="2:42" ht="12" customHeight="1">
      <c r="B70" s="222">
        <v>5</v>
      </c>
      <c r="C70" s="223"/>
      <c r="D70" s="223"/>
      <c r="E70" s="220" t="str">
        <f>VLOOKUP(B70,'Filtered Data'!K:L,2,FALSE)</f>
        <v>Dorset</v>
      </c>
      <c r="F70" s="220"/>
      <c r="G70" s="220"/>
      <c r="H70" s="220"/>
      <c r="I70" s="220"/>
      <c r="J70" s="220"/>
      <c r="K70" s="220"/>
      <c r="L70" s="220"/>
      <c r="M70" s="220"/>
      <c r="N70" s="220"/>
      <c r="O70" s="220"/>
      <c r="P70" s="220"/>
      <c r="Q70" s="220"/>
      <c r="R70" s="220"/>
      <c r="S70" s="220"/>
      <c r="T70" s="220"/>
      <c r="U70" s="219">
        <f>IF('Filtered Data'!$H$8="%.",(VLOOKUP(B70,'Filtered Data'!K:M,3,FALSE))/100,VLOOKUP(B70,'Filtered Data'!K:M,3,FALSE))</f>
        <v>377.9</v>
      </c>
      <c r="V70" s="219"/>
      <c r="W70" s="219"/>
      <c r="X70" s="219"/>
      <c r="Y70" s="136" t="str">
        <f>IF((VLOOKUP(E70,classifications!C:K,9,FALSE))="Sparse","S","")</f>
        <v/>
      </c>
      <c r="Z70" s="136"/>
      <c r="AA70" s="136"/>
      <c r="AB70" s="136"/>
      <c r="AC70" s="136"/>
      <c r="AD70" s="239"/>
      <c r="AE70" s="239"/>
      <c r="AF70" s="239"/>
      <c r="AG70" s="239"/>
      <c r="AH70" s="239"/>
      <c r="AI70" s="239"/>
      <c r="AJ70" s="239"/>
      <c r="AK70" s="239"/>
      <c r="AL70" s="239"/>
      <c r="AP70" s="60"/>
    </row>
    <row r="71" spans="2:42" ht="12" customHeight="1">
      <c r="B71" s="222">
        <v>6</v>
      </c>
      <c r="C71" s="223"/>
      <c r="D71" s="223"/>
      <c r="E71" s="220" t="str">
        <f>VLOOKUP(B71,'Filtered Data'!K:L,2,FALSE)</f>
        <v>Bracknell Forest</v>
      </c>
      <c r="F71" s="220"/>
      <c r="G71" s="220"/>
      <c r="H71" s="220"/>
      <c r="I71" s="220"/>
      <c r="J71" s="220"/>
      <c r="K71" s="220"/>
      <c r="L71" s="220"/>
      <c r="M71" s="220"/>
      <c r="N71" s="220"/>
      <c r="O71" s="220"/>
      <c r="P71" s="220"/>
      <c r="Q71" s="220"/>
      <c r="R71" s="220"/>
      <c r="S71" s="220"/>
      <c r="T71" s="220"/>
      <c r="U71" s="219">
        <f>IF('Filtered Data'!$H$8="%.",(VLOOKUP(B71,'Filtered Data'!K:M,3,FALSE))/100,VLOOKUP(B71,'Filtered Data'!K:M,3,FALSE))</f>
        <v>392.2</v>
      </c>
      <c r="V71" s="219"/>
      <c r="W71" s="219"/>
      <c r="X71" s="219"/>
      <c r="Y71" s="136" t="str">
        <f>IF((VLOOKUP(E71,classifications!C:K,9,FALSE))="Sparse","S","")</f>
        <v/>
      </c>
      <c r="Z71" s="136"/>
      <c r="AA71" s="136"/>
      <c r="AB71" s="136"/>
      <c r="AC71" s="136"/>
      <c r="AD71" s="239"/>
      <c r="AE71" s="239"/>
      <c r="AF71" s="239"/>
      <c r="AG71" s="239"/>
      <c r="AH71" s="239"/>
      <c r="AI71" s="239"/>
      <c r="AJ71" s="239"/>
      <c r="AK71" s="239"/>
      <c r="AL71" s="239"/>
      <c r="AP71" s="60"/>
    </row>
    <row r="72" spans="2:42" ht="12" customHeight="1">
      <c r="B72" s="222">
        <v>7</v>
      </c>
      <c r="C72" s="223"/>
      <c r="D72" s="223"/>
      <c r="E72" s="220" t="str">
        <f>VLOOKUP(B72,'Filtered Data'!K:L,2,FALSE)</f>
        <v>Isle of Wight</v>
      </c>
      <c r="F72" s="220"/>
      <c r="G72" s="220"/>
      <c r="H72" s="220"/>
      <c r="I72" s="220"/>
      <c r="J72" s="220"/>
      <c r="K72" s="220"/>
      <c r="L72" s="220"/>
      <c r="M72" s="220"/>
      <c r="N72" s="220"/>
      <c r="O72" s="220"/>
      <c r="P72" s="220"/>
      <c r="Q72" s="220"/>
      <c r="R72" s="220"/>
      <c r="S72" s="220"/>
      <c r="T72" s="220"/>
      <c r="U72" s="219">
        <f>IF('Filtered Data'!$H$8="%.",(VLOOKUP(B72,'Filtered Data'!K:M,3,FALSE))/100,VLOOKUP(B72,'Filtered Data'!K:M,3,FALSE))</f>
        <v>397.1</v>
      </c>
      <c r="V72" s="219"/>
      <c r="W72" s="219"/>
      <c r="X72" s="219"/>
      <c r="Y72" s="136" t="str">
        <f>IF((VLOOKUP(E72,classifications!C:K,9,FALSE))="Sparse","S","")</f>
        <v>S</v>
      </c>
      <c r="Z72" s="136"/>
      <c r="AA72" s="136"/>
      <c r="AB72" s="136"/>
      <c r="AC72" s="136"/>
      <c r="AD72" s="239"/>
      <c r="AE72" s="239"/>
      <c r="AF72" s="239"/>
      <c r="AG72" s="239"/>
      <c r="AH72" s="239"/>
      <c r="AI72" s="239"/>
      <c r="AJ72" s="239"/>
      <c r="AK72" s="239"/>
      <c r="AL72" s="239"/>
      <c r="AP72" s="60"/>
    </row>
    <row r="73" spans="2:42" ht="12" customHeight="1">
      <c r="B73" s="222">
        <v>8</v>
      </c>
      <c r="C73" s="223"/>
      <c r="D73" s="223"/>
      <c r="E73" s="220" t="str">
        <f>VLOOKUP(B73,'Filtered Data'!K:L,2,FALSE)</f>
        <v>Bristol</v>
      </c>
      <c r="F73" s="220"/>
      <c r="G73" s="220"/>
      <c r="H73" s="220"/>
      <c r="I73" s="220"/>
      <c r="J73" s="220"/>
      <c r="K73" s="220"/>
      <c r="L73" s="220"/>
      <c r="M73" s="220"/>
      <c r="N73" s="220"/>
      <c r="O73" s="220"/>
      <c r="P73" s="220"/>
      <c r="Q73" s="220"/>
      <c r="R73" s="220"/>
      <c r="S73" s="220"/>
      <c r="T73" s="220"/>
      <c r="U73" s="219">
        <f>IF('Filtered Data'!$H$8="%.",(VLOOKUP(B73,'Filtered Data'!K:M,3,FALSE))/100,VLOOKUP(B73,'Filtered Data'!K:M,3,FALSE))</f>
        <v>404.8</v>
      </c>
      <c r="V73" s="219"/>
      <c r="W73" s="219"/>
      <c r="X73" s="219"/>
      <c r="Y73" s="136" t="str">
        <f>IF((VLOOKUP(E73,classifications!C:K,9,FALSE))="Sparse","S","")</f>
        <v/>
      </c>
      <c r="Z73" s="136"/>
      <c r="AA73" s="136"/>
      <c r="AB73" s="136"/>
      <c r="AC73" s="136"/>
      <c r="AD73" s="239"/>
      <c r="AE73" s="239"/>
      <c r="AF73" s="239"/>
      <c r="AG73" s="239"/>
      <c r="AH73" s="239"/>
      <c r="AI73" s="239"/>
      <c r="AJ73" s="239"/>
      <c r="AK73" s="239"/>
      <c r="AL73" s="239"/>
      <c r="AP73" s="60"/>
    </row>
    <row r="74" spans="2:42" ht="12" customHeight="1">
      <c r="B74" s="222">
        <v>9</v>
      </c>
      <c r="C74" s="223"/>
      <c r="D74" s="223"/>
      <c r="E74" s="220" t="str">
        <f>VLOOKUP(B74,'Filtered Data'!K:L,2,FALSE)</f>
        <v>Cheshire West &amp; Chester</v>
      </c>
      <c r="F74" s="220"/>
      <c r="G74" s="220"/>
      <c r="H74" s="220"/>
      <c r="I74" s="220"/>
      <c r="J74" s="220"/>
      <c r="K74" s="220"/>
      <c r="L74" s="220"/>
      <c r="M74" s="220"/>
      <c r="N74" s="220"/>
      <c r="O74" s="220"/>
      <c r="P74" s="220"/>
      <c r="Q74" s="220"/>
      <c r="R74" s="220"/>
      <c r="S74" s="220"/>
      <c r="T74" s="220"/>
      <c r="U74" s="219">
        <f>IF('Filtered Data'!$H$8="%.",(VLOOKUP(B74,'Filtered Data'!K:M,3,FALSE))/100,VLOOKUP(B74,'Filtered Data'!K:M,3,FALSE))</f>
        <v>413.3</v>
      </c>
      <c r="V74" s="219"/>
      <c r="W74" s="219"/>
      <c r="X74" s="219"/>
      <c r="Y74" s="136" t="str">
        <f>IF((VLOOKUP(E74,classifications!C:K,9,FALSE))="Sparse","S","")</f>
        <v/>
      </c>
      <c r="Z74" s="136"/>
      <c r="AA74" s="136"/>
      <c r="AB74" s="136"/>
      <c r="AC74" s="136"/>
      <c r="AD74" s="239"/>
      <c r="AE74" s="239"/>
      <c r="AF74" s="239"/>
      <c r="AG74" s="239"/>
      <c r="AH74" s="239"/>
      <c r="AI74" s="239"/>
      <c r="AJ74" s="239"/>
      <c r="AK74" s="239"/>
      <c r="AL74" s="239"/>
      <c r="AP74" s="60"/>
    </row>
    <row r="75" spans="2:42" ht="12" customHeight="1">
      <c r="B75" s="222">
        <v>10</v>
      </c>
      <c r="C75" s="223"/>
      <c r="D75" s="223"/>
      <c r="E75" s="220" t="str">
        <f>VLOOKUP(B75,'Filtered Data'!K:L,2,FALSE)</f>
        <v>East Riding of Yorkshire</v>
      </c>
      <c r="F75" s="220"/>
      <c r="G75" s="220"/>
      <c r="H75" s="220"/>
      <c r="I75" s="220"/>
      <c r="J75" s="220"/>
      <c r="K75" s="220"/>
      <c r="L75" s="220"/>
      <c r="M75" s="220"/>
      <c r="N75" s="220"/>
      <c r="O75" s="220"/>
      <c r="P75" s="220"/>
      <c r="Q75" s="220"/>
      <c r="R75" s="220"/>
      <c r="S75" s="220"/>
      <c r="T75" s="220"/>
      <c r="U75" s="219">
        <f>IF('Filtered Data'!$H$8="%.",(VLOOKUP(B75,'Filtered Data'!K:M,3,FALSE))/100,VLOOKUP(B75,'Filtered Data'!K:M,3,FALSE))</f>
        <v>415.4</v>
      </c>
      <c r="V75" s="219"/>
      <c r="W75" s="219"/>
      <c r="X75" s="219"/>
      <c r="Y75" s="136" t="str">
        <f>IF((VLOOKUP(E75,classifications!C:K,9,FALSE))="Sparse","S","")</f>
        <v>S</v>
      </c>
      <c r="Z75" s="136"/>
      <c r="AA75" s="136"/>
      <c r="AB75" s="136"/>
      <c r="AC75" s="136"/>
      <c r="AD75" s="239"/>
      <c r="AE75" s="239"/>
      <c r="AF75" s="239"/>
      <c r="AG75" s="239"/>
      <c r="AH75" s="239"/>
      <c r="AI75" s="239"/>
      <c r="AJ75" s="239"/>
      <c r="AK75" s="239"/>
      <c r="AL75" s="239"/>
      <c r="AP75" s="60"/>
    </row>
    <row r="76" spans="2:42" ht="12" customHeight="1">
      <c r="B76" s="222">
        <v>11</v>
      </c>
      <c r="C76" s="223"/>
      <c r="D76" s="223"/>
      <c r="E76" s="220" t="str">
        <f>VLOOKUP(B76,'Filtered Data'!K:L,2,FALSE)</f>
        <v>Wokingham</v>
      </c>
      <c r="F76" s="220"/>
      <c r="G76" s="220"/>
      <c r="H76" s="220"/>
      <c r="I76" s="220"/>
      <c r="J76" s="220"/>
      <c r="K76" s="220"/>
      <c r="L76" s="220"/>
      <c r="M76" s="220"/>
      <c r="N76" s="220"/>
      <c r="O76" s="220"/>
      <c r="P76" s="220"/>
      <c r="Q76" s="220"/>
      <c r="R76" s="220"/>
      <c r="S76" s="220"/>
      <c r="T76" s="220"/>
      <c r="U76" s="219">
        <f>IF('Filtered Data'!$H$8="%.",(VLOOKUP(B76,'Filtered Data'!K:M,3,FALSE))/100,VLOOKUP(B76,'Filtered Data'!K:M,3,FALSE))</f>
        <v>420.4</v>
      </c>
      <c r="V76" s="219"/>
      <c r="W76" s="219"/>
      <c r="X76" s="219"/>
      <c r="Y76" s="136" t="str">
        <f>IF((VLOOKUP(E76,classifications!C:K,9,FALSE))="Sparse","S","")</f>
        <v/>
      </c>
      <c r="Z76" s="136"/>
      <c r="AA76" s="136"/>
      <c r="AB76" s="136"/>
      <c r="AC76" s="136"/>
      <c r="AD76" s="239"/>
      <c r="AE76" s="239"/>
      <c r="AF76" s="239"/>
      <c r="AG76" s="239"/>
      <c r="AH76" s="239"/>
      <c r="AI76" s="239"/>
      <c r="AJ76" s="239"/>
      <c r="AK76" s="239"/>
      <c r="AL76" s="239"/>
      <c r="AP76" s="60"/>
    </row>
    <row r="77" spans="2:42" ht="12" customHeight="1">
      <c r="B77" s="222">
        <v>12</v>
      </c>
      <c r="C77" s="223"/>
      <c r="D77" s="223"/>
      <c r="E77" s="220" t="str">
        <f>VLOOKUP(B77,'Filtered Data'!K:L,2,FALSE)</f>
        <v>Kingston upon Hull</v>
      </c>
      <c r="F77" s="220"/>
      <c r="G77" s="220"/>
      <c r="H77" s="220"/>
      <c r="I77" s="220"/>
      <c r="J77" s="220"/>
      <c r="K77" s="220"/>
      <c r="L77" s="220"/>
      <c r="M77" s="220"/>
      <c r="N77" s="220"/>
      <c r="O77" s="220"/>
      <c r="P77" s="220"/>
      <c r="Q77" s="220"/>
      <c r="R77" s="220"/>
      <c r="S77" s="220"/>
      <c r="T77" s="220"/>
      <c r="U77" s="219">
        <f>IF('Filtered Data'!$H$8="%.",(VLOOKUP(B77,'Filtered Data'!K:M,3,FALSE))/100,VLOOKUP(B77,'Filtered Data'!K:M,3,FALSE))</f>
        <v>444.1</v>
      </c>
      <c r="V77" s="219"/>
      <c r="W77" s="219"/>
      <c r="X77" s="219"/>
      <c r="Y77" s="136" t="str">
        <f>IF((VLOOKUP(E77,classifications!C:K,9,FALSE))="Sparse","S","")</f>
        <v/>
      </c>
      <c r="Z77" s="136"/>
      <c r="AA77" s="136"/>
      <c r="AB77" s="136"/>
      <c r="AC77" s="136"/>
      <c r="AD77" s="239"/>
      <c r="AE77" s="239"/>
      <c r="AF77" s="239"/>
      <c r="AG77" s="239"/>
      <c r="AH77" s="239"/>
      <c r="AI77" s="239"/>
      <c r="AJ77" s="239"/>
      <c r="AK77" s="239"/>
      <c r="AL77" s="239"/>
      <c r="AP77" s="60"/>
    </row>
    <row r="78" spans="2:42" ht="12" customHeight="1">
      <c r="B78" s="222">
        <v>13</v>
      </c>
      <c r="C78" s="223"/>
      <c r="D78" s="223"/>
      <c r="E78" s="220" t="str">
        <f>VLOOKUP(B78,'Filtered Data'!K:L,2,FALSE)</f>
        <v>Bournemouth, Christchurch and Poole</v>
      </c>
      <c r="F78" s="220"/>
      <c r="G78" s="220"/>
      <c r="H78" s="220"/>
      <c r="I78" s="220"/>
      <c r="J78" s="220"/>
      <c r="K78" s="220"/>
      <c r="L78" s="220"/>
      <c r="M78" s="220"/>
      <c r="N78" s="220"/>
      <c r="O78" s="220"/>
      <c r="P78" s="220"/>
      <c r="Q78" s="220"/>
      <c r="R78" s="220"/>
      <c r="S78" s="220"/>
      <c r="T78" s="220"/>
      <c r="U78" s="219">
        <f>IF('Filtered Data'!$H$8="%.",(VLOOKUP(B78,'Filtered Data'!K:M,3,FALSE))/100,VLOOKUP(B78,'Filtered Data'!K:M,3,FALSE))</f>
        <v>454.1</v>
      </c>
      <c r="V78" s="219"/>
      <c r="W78" s="219"/>
      <c r="X78" s="219"/>
      <c r="Y78" s="136" t="str">
        <f>IF((VLOOKUP(E78,classifications!C:K,9,FALSE))="Sparse","S","")</f>
        <v/>
      </c>
      <c r="Z78" s="136"/>
      <c r="AA78" s="136"/>
      <c r="AB78" s="136"/>
      <c r="AC78" s="136"/>
      <c r="AD78" s="239"/>
      <c r="AE78" s="239"/>
      <c r="AF78" s="239"/>
      <c r="AG78" s="239"/>
      <c r="AH78" s="239"/>
      <c r="AI78" s="239"/>
      <c r="AJ78" s="239"/>
      <c r="AK78" s="239"/>
      <c r="AL78" s="239"/>
      <c r="AP78" s="60"/>
    </row>
    <row r="79" spans="2:42" ht="12" customHeight="1">
      <c r="B79" s="222">
        <v>14</v>
      </c>
      <c r="C79" s="223"/>
      <c r="D79" s="223"/>
      <c r="E79" s="220" t="str">
        <f>VLOOKUP(B79,'Filtered Data'!K:L,2,FALSE)</f>
        <v>Cheshire East</v>
      </c>
      <c r="F79" s="220"/>
      <c r="G79" s="220"/>
      <c r="H79" s="220"/>
      <c r="I79" s="220"/>
      <c r="J79" s="220"/>
      <c r="K79" s="220"/>
      <c r="L79" s="220"/>
      <c r="M79" s="220"/>
      <c r="N79" s="220"/>
      <c r="O79" s="220"/>
      <c r="P79" s="220"/>
      <c r="Q79" s="220"/>
      <c r="R79" s="220"/>
      <c r="S79" s="220"/>
      <c r="T79" s="220"/>
      <c r="U79" s="219">
        <f>IF('Filtered Data'!$H$8="%.",(VLOOKUP(B79,'Filtered Data'!K:M,3,FALSE))/100,VLOOKUP(B79,'Filtered Data'!K:M,3,FALSE))</f>
        <v>467.1</v>
      </c>
      <c r="V79" s="219"/>
      <c r="W79" s="219"/>
      <c r="X79" s="219"/>
      <c r="Y79" s="136" t="str">
        <f>IF((VLOOKUP(E79,classifications!C:K,9,FALSE))="Sparse","S","")</f>
        <v>S</v>
      </c>
      <c r="Z79" s="136"/>
      <c r="AA79" s="136"/>
      <c r="AB79" s="136"/>
      <c r="AC79" s="136"/>
      <c r="AD79" s="239"/>
      <c r="AE79" s="239"/>
      <c r="AF79" s="239"/>
      <c r="AG79" s="239"/>
      <c r="AH79" s="239"/>
      <c r="AI79" s="239"/>
      <c r="AJ79" s="239"/>
      <c r="AK79" s="239"/>
      <c r="AL79" s="239"/>
      <c r="AP79" s="60"/>
    </row>
    <row r="80" spans="2:42" ht="12" customHeight="1">
      <c r="B80" s="222">
        <v>15</v>
      </c>
      <c r="C80" s="223"/>
      <c r="D80" s="223"/>
      <c r="E80" s="220" t="str">
        <f>VLOOKUP(B80,'Filtered Data'!K:L,2,FALSE)</f>
        <v>Blackpool</v>
      </c>
      <c r="F80" s="220"/>
      <c r="G80" s="220"/>
      <c r="H80" s="220"/>
      <c r="I80" s="220"/>
      <c r="J80" s="220"/>
      <c r="K80" s="220"/>
      <c r="L80" s="220"/>
      <c r="M80" s="220"/>
      <c r="N80" s="220"/>
      <c r="O80" s="220"/>
      <c r="P80" s="220"/>
      <c r="Q80" s="220"/>
      <c r="R80" s="220"/>
      <c r="S80" s="220"/>
      <c r="T80" s="220"/>
      <c r="U80" s="219">
        <f>IF('Filtered Data'!$H$8="%.",(VLOOKUP(B80,'Filtered Data'!K:M,3,FALSE))/100,VLOOKUP(B80,'Filtered Data'!K:M,3,FALSE))</f>
        <v>469.9</v>
      </c>
      <c r="V80" s="219"/>
      <c r="W80" s="219"/>
      <c r="X80" s="219"/>
      <c r="Y80" s="136" t="str">
        <f>IF((VLOOKUP(E80,classifications!C:K,9,FALSE))="Sparse","S","")</f>
        <v/>
      </c>
      <c r="Z80" s="136"/>
      <c r="AA80" s="136"/>
      <c r="AB80" s="136"/>
      <c r="AC80" s="136"/>
      <c r="AD80" s="239"/>
      <c r="AE80" s="239"/>
      <c r="AF80" s="239"/>
      <c r="AG80" s="239"/>
      <c r="AH80" s="239"/>
      <c r="AI80" s="239"/>
      <c r="AJ80" s="239"/>
      <c r="AK80" s="239"/>
      <c r="AL80" s="239"/>
      <c r="AP80" s="60"/>
    </row>
    <row r="81" spans="1:48" ht="12" customHeight="1">
      <c r="B81" s="222">
        <v>16</v>
      </c>
      <c r="C81" s="223"/>
      <c r="D81" s="223"/>
      <c r="E81" s="220" t="str">
        <f>VLOOKUP(B81,'Filtered Data'!K:L,2,FALSE)</f>
        <v>Windsor &amp; Maidenhead</v>
      </c>
      <c r="F81" s="220"/>
      <c r="G81" s="220"/>
      <c r="H81" s="220"/>
      <c r="I81" s="220"/>
      <c r="J81" s="220"/>
      <c r="K81" s="220"/>
      <c r="L81" s="220"/>
      <c r="M81" s="220"/>
      <c r="N81" s="220"/>
      <c r="O81" s="220"/>
      <c r="P81" s="220"/>
      <c r="Q81" s="220"/>
      <c r="R81" s="220"/>
      <c r="S81" s="220"/>
      <c r="T81" s="220"/>
      <c r="U81" s="219">
        <f>IF('Filtered Data'!$H$8="%.",(VLOOKUP(B81,'Filtered Data'!K:M,3,FALSE))/100,VLOOKUP(B81,'Filtered Data'!K:M,3,FALSE))</f>
        <v>470.6</v>
      </c>
      <c r="V81" s="219"/>
      <c r="W81" s="219"/>
      <c r="X81" s="219"/>
      <c r="Y81" s="136" t="str">
        <f>IF((VLOOKUP(E81,classifications!C:K,9,FALSE))="Sparse","S","")</f>
        <v/>
      </c>
      <c r="Z81" s="136"/>
      <c r="AA81" s="136"/>
      <c r="AB81" s="136"/>
      <c r="AC81" s="136"/>
      <c r="AD81" s="239"/>
      <c r="AE81" s="239"/>
      <c r="AF81" s="239"/>
      <c r="AG81" s="239"/>
      <c r="AH81" s="239"/>
      <c r="AI81" s="239"/>
      <c r="AJ81" s="239"/>
      <c r="AK81" s="239"/>
      <c r="AL81" s="239"/>
      <c r="AP81" s="60"/>
    </row>
    <row r="82" spans="1:48" ht="12" customHeight="1">
      <c r="B82" s="222">
        <v>17</v>
      </c>
      <c r="C82" s="223"/>
      <c r="D82" s="223"/>
      <c r="E82" s="220" t="str">
        <f>VLOOKUP(B82,'Filtered Data'!K:L,2,FALSE)</f>
        <v>Buckinghamshire</v>
      </c>
      <c r="F82" s="220"/>
      <c r="G82" s="220"/>
      <c r="H82" s="220"/>
      <c r="I82" s="220"/>
      <c r="J82" s="220"/>
      <c r="K82" s="220"/>
      <c r="L82" s="220"/>
      <c r="M82" s="220"/>
      <c r="N82" s="220"/>
      <c r="O82" s="220"/>
      <c r="P82" s="220"/>
      <c r="Q82" s="220"/>
      <c r="R82" s="220"/>
      <c r="S82" s="220"/>
      <c r="T82" s="220"/>
      <c r="U82" s="219">
        <f>IF('Filtered Data'!$H$8="%.",(VLOOKUP(B82,'Filtered Data'!K:M,3,FALSE))/100,VLOOKUP(B82,'Filtered Data'!K:M,3,FALSE))</f>
        <v>477.3</v>
      </c>
      <c r="V82" s="219"/>
      <c r="W82" s="219"/>
      <c r="X82" s="219"/>
      <c r="Y82" s="136" t="str">
        <f>IF((VLOOKUP(E82,classifications!C:K,9,FALSE))="Sparse","S","")</f>
        <v/>
      </c>
      <c r="Z82" s="136"/>
      <c r="AA82" s="136"/>
      <c r="AB82" s="136"/>
      <c r="AC82" s="136"/>
      <c r="AD82" s="239"/>
      <c r="AE82" s="239"/>
      <c r="AF82" s="239"/>
      <c r="AG82" s="239"/>
      <c r="AH82" s="239"/>
      <c r="AI82" s="239"/>
      <c r="AJ82" s="239"/>
      <c r="AK82" s="239"/>
      <c r="AL82" s="239"/>
      <c r="AP82" s="60"/>
    </row>
    <row r="83" spans="1:48" ht="12" customHeight="1">
      <c r="B83" s="222">
        <v>18</v>
      </c>
      <c r="C83" s="223"/>
      <c r="D83" s="223"/>
      <c r="E83" s="220" t="str">
        <f>VLOOKUP(B83,'Filtered Data'!K:L,2,FALSE)</f>
        <v>Herefordshire</v>
      </c>
      <c r="F83" s="220"/>
      <c r="G83" s="220"/>
      <c r="H83" s="220"/>
      <c r="I83" s="220"/>
      <c r="J83" s="220"/>
      <c r="K83" s="220"/>
      <c r="L83" s="220"/>
      <c r="M83" s="220"/>
      <c r="N83" s="220"/>
      <c r="O83" s="220"/>
      <c r="P83" s="220"/>
      <c r="Q83" s="220"/>
      <c r="R83" s="220"/>
      <c r="S83" s="220"/>
      <c r="T83" s="220"/>
      <c r="U83" s="219">
        <f>IF('Filtered Data'!$H$8="%.",(VLOOKUP(B83,'Filtered Data'!K:M,3,FALSE))/100,VLOOKUP(B83,'Filtered Data'!K:M,3,FALSE))</f>
        <v>481.2</v>
      </c>
      <c r="V83" s="219"/>
      <c r="W83" s="219"/>
      <c r="X83" s="219"/>
      <c r="Y83" s="136" t="str">
        <f>IF((VLOOKUP(E83,classifications!C:K,9,FALSE))="Sparse","S","")</f>
        <v>S</v>
      </c>
      <c r="Z83" s="136"/>
      <c r="AA83" s="136"/>
      <c r="AB83" s="136"/>
      <c r="AC83" s="136"/>
      <c r="AD83" s="239"/>
      <c r="AE83" s="239"/>
      <c r="AF83" s="239"/>
      <c r="AG83" s="239"/>
      <c r="AH83" s="239"/>
      <c r="AI83" s="239"/>
      <c r="AJ83" s="239"/>
      <c r="AK83" s="239"/>
      <c r="AL83" s="239"/>
      <c r="AP83" s="60"/>
    </row>
    <row r="84" spans="1:48" ht="12" customHeight="1">
      <c r="B84" s="222">
        <v>19</v>
      </c>
      <c r="C84" s="223"/>
      <c r="D84" s="223"/>
      <c r="E84" s="220" t="str">
        <f>VLOOKUP(B84,'Filtered Data'!K:L,2,FALSE)</f>
        <v>West Berkshire</v>
      </c>
      <c r="F84" s="220"/>
      <c r="G84" s="220"/>
      <c r="H84" s="220"/>
      <c r="I84" s="220"/>
      <c r="J84" s="220"/>
      <c r="K84" s="220"/>
      <c r="L84" s="220"/>
      <c r="M84" s="220"/>
      <c r="N84" s="220"/>
      <c r="O84" s="220"/>
      <c r="P84" s="220"/>
      <c r="Q84" s="220"/>
      <c r="R84" s="220"/>
      <c r="S84" s="220"/>
      <c r="T84" s="220"/>
      <c r="U84" s="219">
        <f>IF('Filtered Data'!$H$8="%.",(VLOOKUP(B84,'Filtered Data'!K:M,3,FALSE))/100,VLOOKUP(B84,'Filtered Data'!K:M,3,FALSE))</f>
        <v>489.4</v>
      </c>
      <c r="V84" s="219"/>
      <c r="W84" s="219"/>
      <c r="X84" s="219"/>
      <c r="Y84" s="136" t="str">
        <f>IF((VLOOKUP(E84,classifications!C:K,9,FALSE))="Sparse","S","")</f>
        <v/>
      </c>
      <c r="Z84" s="136"/>
      <c r="AA84" s="136"/>
      <c r="AB84" s="136"/>
      <c r="AC84" s="136"/>
      <c r="AD84" s="239"/>
      <c r="AE84" s="239"/>
      <c r="AF84" s="239"/>
      <c r="AG84" s="239"/>
      <c r="AH84" s="239"/>
      <c r="AI84" s="239"/>
      <c r="AJ84" s="239"/>
      <c r="AK84" s="239"/>
      <c r="AL84" s="239"/>
      <c r="AP84" s="60"/>
    </row>
    <row r="85" spans="1:48" ht="12" customHeight="1">
      <c r="B85" s="222">
        <v>20</v>
      </c>
      <c r="C85" s="222"/>
      <c r="D85" s="222"/>
      <c r="E85" s="220" t="str">
        <f>VLOOKUP(B85,'Filtered Data'!K:L,2,FALSE)</f>
        <v>Milton Keynes</v>
      </c>
      <c r="F85" s="220"/>
      <c r="G85" s="220"/>
      <c r="H85" s="220"/>
      <c r="I85" s="220"/>
      <c r="J85" s="220"/>
      <c r="K85" s="220"/>
      <c r="L85" s="220"/>
      <c r="M85" s="220"/>
      <c r="N85" s="220"/>
      <c r="O85" s="220"/>
      <c r="P85" s="220"/>
      <c r="Q85" s="220"/>
      <c r="R85" s="220"/>
      <c r="S85" s="220"/>
      <c r="T85" s="220"/>
      <c r="U85" s="219">
        <f>IF('Filtered Data'!$H$8="%.",(VLOOKUP(B85,'Filtered Data'!K:M,3,FALSE))/100,VLOOKUP(B85,'Filtered Data'!K:M,3,FALSE))</f>
        <v>492.9</v>
      </c>
      <c r="V85" s="219"/>
      <c r="W85" s="219"/>
      <c r="X85" s="219"/>
      <c r="Y85" s="136" t="str">
        <f>IF((VLOOKUP(E85,classifications!C:K,9,FALSE))="Sparse","S","")</f>
        <v/>
      </c>
      <c r="Z85" s="136"/>
      <c r="AA85" s="136"/>
      <c r="AB85" s="136"/>
      <c r="AC85" s="136"/>
      <c r="AD85" s="239"/>
      <c r="AE85" s="239"/>
      <c r="AF85" s="239"/>
      <c r="AG85" s="239"/>
      <c r="AH85" s="239"/>
      <c r="AI85" s="239"/>
      <c r="AJ85" s="239"/>
      <c r="AK85" s="239"/>
      <c r="AL85" s="239"/>
      <c r="AP85" s="60"/>
    </row>
    <row r="86" spans="1:48" ht="12" customHeight="1">
      <c r="A86" s="55"/>
      <c r="B86" s="224" t="str">
        <f>IF(Q37&lt;=MAX(B66:D85),"",Q37)</f>
        <v/>
      </c>
      <c r="C86" s="224"/>
      <c r="D86" s="224"/>
      <c r="E86" s="216" t="str">
        <f>IF(B86="","",VLOOKUP(B86,'Filtered Data'!K:L,2,FALSE))</f>
        <v/>
      </c>
      <c r="F86" s="216"/>
      <c r="G86" s="216"/>
      <c r="H86" s="216"/>
      <c r="I86" s="216"/>
      <c r="J86" s="216"/>
      <c r="K86" s="216"/>
      <c r="L86" s="216"/>
      <c r="M86" s="216"/>
      <c r="N86" s="216"/>
      <c r="O86" s="216"/>
      <c r="P86" s="216"/>
      <c r="Q86" s="216"/>
      <c r="R86" s="216"/>
      <c r="S86" s="216"/>
      <c r="T86" s="216"/>
      <c r="U86" s="293" t="str">
        <f>IF(B86="","",L35)</f>
        <v/>
      </c>
      <c r="V86" s="293"/>
      <c r="W86" s="293"/>
      <c r="X86" s="293"/>
      <c r="Y86" s="136" t="str">
        <f>IF(B86="","",IF((VLOOKUP(E86,classifications!C:K,9,FALSE))="Sparse","S",""))</f>
        <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21" t="str">
        <f>IF('Filtered Data'!D1="MD","",IF('Filtered Data'!D1="SC","","Rank"))</f>
        <v>Rank</v>
      </c>
      <c r="C91" s="221"/>
      <c r="D91" s="221"/>
      <c r="E91" s="229" t="str">
        <f>IF('Filtered Data'!D1="MD","",IF('Filtered Data'!D1="SC","","Authority"))</f>
        <v>Authority</v>
      </c>
      <c r="F91" s="229"/>
      <c r="G91" s="229"/>
      <c r="H91" s="229"/>
      <c r="I91" s="229"/>
      <c r="J91" s="229"/>
      <c r="K91" s="229"/>
      <c r="L91" s="229"/>
      <c r="M91" s="229"/>
      <c r="N91" s="229"/>
      <c r="O91" s="210"/>
      <c r="P91" s="210"/>
      <c r="Q91" s="210"/>
      <c r="R91" s="210"/>
      <c r="S91" s="210"/>
      <c r="T91" s="210"/>
      <c r="U91" s="221" t="str">
        <f>IF('Filtered Data'!D1="MD","",IF('Filtered Data'!D1="SC","","Value"))</f>
        <v>Value</v>
      </c>
      <c r="V91" s="221"/>
      <c r="W91" s="221"/>
      <c r="AA91" s="221"/>
      <c r="AB91" s="221"/>
      <c r="AC91" s="221"/>
      <c r="AD91" s="229"/>
      <c r="AE91" s="229"/>
      <c r="AF91" s="229"/>
      <c r="AG91" s="229"/>
      <c r="AH91" s="229"/>
      <c r="AI91" s="229"/>
      <c r="AJ91" s="229"/>
      <c r="AK91" s="229"/>
      <c r="AL91" s="229"/>
      <c r="AM91" s="229"/>
      <c r="AN91" s="221"/>
      <c r="AO91" s="221"/>
      <c r="AP91" s="221"/>
      <c r="AV91" s="60"/>
    </row>
    <row r="92" spans="1:48" ht="12" customHeight="1">
      <c r="B92" s="217">
        <f>IF('Filtered Data'!$D$1="MD","",IF('Filtered Data'!$D$1="SC","",IF('Filtered Data'!$D$1="UA",'Filtered Data'!AS11,'Filtered Data'!AL11)))</f>
        <v>1</v>
      </c>
      <c r="C92" s="218"/>
      <c r="D92" s="218"/>
      <c r="E92" s="216" t="str">
        <f>IF(B92="","",IF('Filtered Data'!$D$1="UA",VLOOKUP(B92,'Filtered Data'!AS:AU,2,FALSE),VLOOKUP(B92,'Filtered Data'!AL:AN,2,FALSE)))</f>
        <v>Cheshire West &amp; Chester</v>
      </c>
      <c r="F92" s="216"/>
      <c r="G92" s="216"/>
      <c r="H92" s="216"/>
      <c r="I92" s="216"/>
      <c r="J92" s="216"/>
      <c r="K92" s="216"/>
      <c r="L92" s="216"/>
      <c r="M92" s="216"/>
      <c r="N92" s="216"/>
      <c r="O92" s="216"/>
      <c r="P92" s="216"/>
      <c r="Q92" s="216"/>
      <c r="R92" s="216"/>
      <c r="S92" s="216"/>
      <c r="T92" s="216"/>
      <c r="U92" s="2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413.3</v>
      </c>
      <c r="V92" s="219"/>
      <c r="W92" s="219"/>
      <c r="X92" s="219"/>
      <c r="Y92" s="137" t="str">
        <f>IF(E92="","",IF((VLOOKUP(E92,classifications!C:K,9,FALSE))="Sparse","S",""))</f>
        <v/>
      </c>
      <c r="AA92" s="237"/>
      <c r="AB92" s="223"/>
      <c r="AC92" s="223"/>
      <c r="AD92" s="220"/>
      <c r="AE92" s="220"/>
      <c r="AF92" s="220"/>
      <c r="AG92" s="220"/>
      <c r="AH92" s="220"/>
      <c r="AI92" s="220"/>
      <c r="AJ92" s="220"/>
      <c r="AK92" s="220"/>
      <c r="AL92" s="220"/>
      <c r="AM92" s="220"/>
      <c r="AN92" s="238"/>
      <c r="AO92" s="238"/>
      <c r="AP92" s="238"/>
      <c r="AQ92" s="238"/>
      <c r="AR92" s="137"/>
      <c r="AV92" s="60"/>
    </row>
    <row r="93" spans="1:48" ht="12" customHeight="1">
      <c r="B93" s="217">
        <f>IF('Filtered Data'!$D$1="MD","",IF('Filtered Data'!$D$1="SC","",IF('Filtered Data'!$D$1="UA",'Filtered Data'!AS12,'Filtered Data'!AL12)))</f>
        <v>2</v>
      </c>
      <c r="C93" s="218"/>
      <c r="D93" s="218"/>
      <c r="E93" s="216" t="str">
        <f>IF(B93="","",IF('Filtered Data'!$D$1="UA",VLOOKUP(B93,'Filtered Data'!AS:AU,2,FALSE),VLOOKUP(B93,'Filtered Data'!AL:AN,2,FALSE)))</f>
        <v>Cheshire East</v>
      </c>
      <c r="F93" s="216"/>
      <c r="G93" s="216"/>
      <c r="H93" s="216"/>
      <c r="I93" s="216"/>
      <c r="J93" s="216"/>
      <c r="K93" s="216"/>
      <c r="L93" s="216"/>
      <c r="M93" s="216"/>
      <c r="N93" s="216"/>
      <c r="O93" s="216"/>
      <c r="P93" s="216"/>
      <c r="Q93" s="216"/>
      <c r="R93" s="216"/>
      <c r="S93" s="216"/>
      <c r="T93" s="216"/>
      <c r="U93" s="2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467.1</v>
      </c>
      <c r="V93" s="219"/>
      <c r="W93" s="219"/>
      <c r="X93" s="219"/>
      <c r="Y93" s="137" t="str">
        <f>IF(E93="","",IF((VLOOKUP(E93,classifications!C:K,9,FALSE))="Sparse","S",""))</f>
        <v>S</v>
      </c>
      <c r="AA93" s="237"/>
      <c r="AB93" s="237"/>
      <c r="AC93" s="237"/>
      <c r="AD93" s="220"/>
      <c r="AE93" s="220"/>
      <c r="AF93" s="220"/>
      <c r="AG93" s="220"/>
      <c r="AH93" s="220"/>
      <c r="AI93" s="220"/>
      <c r="AJ93" s="220"/>
      <c r="AK93" s="220"/>
      <c r="AL93" s="220"/>
      <c r="AM93" s="220"/>
      <c r="AN93" s="238"/>
      <c r="AO93" s="238"/>
      <c r="AP93" s="238"/>
      <c r="AQ93" s="238"/>
      <c r="AR93" s="137"/>
      <c r="AV93" s="60"/>
    </row>
    <row r="94" spans="1:48" ht="12" customHeight="1">
      <c r="B94" s="217">
        <f>IF('Filtered Data'!$D$1="MD","",IF('Filtered Data'!$D$1="SC","",IF('Filtered Data'!$D$1="UA",'Filtered Data'!AS13,'Filtered Data'!AL13)))</f>
        <v>3</v>
      </c>
      <c r="C94" s="218"/>
      <c r="D94" s="218"/>
      <c r="E94" s="216" t="str">
        <f>IF(B94="","",IF('Filtered Data'!$D$1="UA",VLOOKUP(B94,'Filtered Data'!AS:AU,2,FALSE),VLOOKUP(B94,'Filtered Data'!AL:AN,2,FALSE)))</f>
        <v>Blackpool</v>
      </c>
      <c r="F94" s="216"/>
      <c r="G94" s="216"/>
      <c r="H94" s="216"/>
      <c r="I94" s="216"/>
      <c r="J94" s="216"/>
      <c r="K94" s="216"/>
      <c r="L94" s="216"/>
      <c r="M94" s="216"/>
      <c r="N94" s="216"/>
      <c r="O94" s="216"/>
      <c r="P94" s="216"/>
      <c r="Q94" s="216"/>
      <c r="R94" s="216"/>
      <c r="S94" s="216"/>
      <c r="T94" s="216"/>
      <c r="U94" s="2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469.9</v>
      </c>
      <c r="V94" s="219"/>
      <c r="W94" s="219"/>
      <c r="X94" s="219"/>
      <c r="Y94" s="137" t="str">
        <f>IF(E94="","",IF((VLOOKUP(E94,classifications!C:K,9,FALSE))="Sparse","S",""))</f>
        <v/>
      </c>
      <c r="AA94" s="237"/>
      <c r="AB94" s="237"/>
      <c r="AC94" s="237"/>
      <c r="AD94" s="220"/>
      <c r="AE94" s="220"/>
      <c r="AF94" s="220"/>
      <c r="AG94" s="220"/>
      <c r="AH94" s="220"/>
      <c r="AI94" s="220"/>
      <c r="AJ94" s="220"/>
      <c r="AK94" s="220"/>
      <c r="AL94" s="220"/>
      <c r="AM94" s="220"/>
      <c r="AN94" s="238"/>
      <c r="AO94" s="238"/>
      <c r="AP94" s="238"/>
      <c r="AQ94" s="238"/>
      <c r="AR94" s="137"/>
      <c r="AV94" s="60"/>
    </row>
    <row r="95" spans="1:48" ht="12" customHeight="1">
      <c r="B95" s="217">
        <f>IF('Filtered Data'!$D$1="MD","",IF('Filtered Data'!$D$1="SC","",IF('Filtered Data'!$D$1="UA",'Filtered Data'!AS14,'Filtered Data'!AL14)))</f>
        <v>4</v>
      </c>
      <c r="C95" s="218"/>
      <c r="D95" s="218"/>
      <c r="E95" s="216" t="str">
        <f>IF(B95="","",IF('Filtered Data'!$D$1="UA",VLOOKUP(B95,'Filtered Data'!AS:AU,2,FALSE),VLOOKUP(B95,'Filtered Data'!AL:AN,2,FALSE)))</f>
        <v>Warrington</v>
      </c>
      <c r="F95" s="216"/>
      <c r="G95" s="216"/>
      <c r="H95" s="216"/>
      <c r="I95" s="216"/>
      <c r="J95" s="216"/>
      <c r="K95" s="216"/>
      <c r="L95" s="216"/>
      <c r="M95" s="216"/>
      <c r="N95" s="216"/>
      <c r="O95" s="216"/>
      <c r="P95" s="216"/>
      <c r="Q95" s="216"/>
      <c r="R95" s="216"/>
      <c r="S95" s="216"/>
      <c r="T95" s="216"/>
      <c r="U95" s="2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517.6</v>
      </c>
      <c r="V95" s="219"/>
      <c r="W95" s="219"/>
      <c r="X95" s="219"/>
      <c r="Y95" s="137" t="str">
        <f>IF(E95="","",IF((VLOOKUP(E95,classifications!C:K,9,FALSE))="Sparse","S",""))</f>
        <v/>
      </c>
      <c r="AA95" s="237"/>
      <c r="AB95" s="237"/>
      <c r="AC95" s="237"/>
      <c r="AD95" s="220"/>
      <c r="AE95" s="220"/>
      <c r="AF95" s="220"/>
      <c r="AG95" s="220"/>
      <c r="AH95" s="220"/>
      <c r="AI95" s="220"/>
      <c r="AJ95" s="220"/>
      <c r="AK95" s="220"/>
      <c r="AL95" s="220"/>
      <c r="AM95" s="220"/>
      <c r="AN95" s="238"/>
      <c r="AO95" s="238"/>
      <c r="AP95" s="238"/>
      <c r="AQ95" s="238"/>
      <c r="AR95" s="137"/>
      <c r="AV95" s="60"/>
    </row>
    <row r="96" spans="1:48" ht="12" customHeight="1">
      <c r="B96" s="217">
        <f>IF('Filtered Data'!$D$1="MD","",IF('Filtered Data'!$D$1="SC","",IF('Filtered Data'!$D$1="UA",'Filtered Data'!AS15,'Filtered Data'!AL15)))</f>
        <v>5</v>
      </c>
      <c r="C96" s="218"/>
      <c r="D96" s="218"/>
      <c r="E96" s="216" t="str">
        <f>IF(B96="","",IF('Filtered Data'!$D$1="UA",VLOOKUP(B96,'Filtered Data'!AS:AU,2,FALSE),VLOOKUP(B96,'Filtered Data'!AL:AN,2,FALSE)))</f>
        <v>Blackburn with Darwen</v>
      </c>
      <c r="F96" s="216"/>
      <c r="G96" s="216"/>
      <c r="H96" s="216"/>
      <c r="I96" s="216"/>
      <c r="J96" s="216"/>
      <c r="K96" s="216"/>
      <c r="L96" s="216"/>
      <c r="M96" s="216"/>
      <c r="N96" s="216"/>
      <c r="O96" s="216"/>
      <c r="P96" s="216"/>
      <c r="Q96" s="216"/>
      <c r="R96" s="216"/>
      <c r="S96" s="216"/>
      <c r="T96" s="216"/>
      <c r="U96" s="2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591.70000000000005</v>
      </c>
      <c r="V96" s="219"/>
      <c r="W96" s="219"/>
      <c r="X96" s="219"/>
      <c r="Y96" s="137" t="str">
        <f>IF(E96="","",IF((VLOOKUP(E96,classifications!C:K,9,FALSE))="Sparse","S",""))</f>
        <v/>
      </c>
      <c r="AA96" s="237"/>
      <c r="AB96" s="237"/>
      <c r="AC96" s="237"/>
      <c r="AD96" s="220"/>
      <c r="AE96" s="220"/>
      <c r="AF96" s="220"/>
      <c r="AG96" s="220"/>
      <c r="AH96" s="220"/>
      <c r="AI96" s="220"/>
      <c r="AJ96" s="220"/>
      <c r="AK96" s="220"/>
      <c r="AL96" s="220"/>
      <c r="AM96" s="220"/>
      <c r="AN96" s="238"/>
      <c r="AO96" s="238"/>
      <c r="AP96" s="238"/>
      <c r="AQ96" s="238"/>
      <c r="AR96" s="137"/>
      <c r="AV96" s="60"/>
    </row>
    <row r="97" spans="2:48" ht="12" customHeight="1">
      <c r="B97" s="217">
        <f>IF('Filtered Data'!$D$1="MD","",IF('Filtered Data'!$D$1="SC","",IF('Filtered Data'!$D$1="UA",'Filtered Data'!AS16,'Filtered Data'!AL16)))</f>
        <v>6</v>
      </c>
      <c r="C97" s="218"/>
      <c r="D97" s="218"/>
      <c r="E97" s="216" t="str">
        <f>IF(B97="","",IF('Filtered Data'!$D$1="UA",VLOOKUP(B97,'Filtered Data'!AS:AU,2,FALSE),VLOOKUP(B97,'Filtered Data'!AL:AN,2,FALSE)))</f>
        <v>Halton</v>
      </c>
      <c r="F97" s="216"/>
      <c r="G97" s="216"/>
      <c r="H97" s="216"/>
      <c r="I97" s="216"/>
      <c r="J97" s="216"/>
      <c r="K97" s="216"/>
      <c r="L97" s="216"/>
      <c r="M97" s="216"/>
      <c r="N97" s="216"/>
      <c r="O97" s="216"/>
      <c r="P97" s="216"/>
      <c r="Q97" s="216"/>
      <c r="R97" s="216"/>
      <c r="S97" s="216"/>
      <c r="T97" s="216"/>
      <c r="U97" s="2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598.9</v>
      </c>
      <c r="V97" s="219"/>
      <c r="W97" s="219"/>
      <c r="X97" s="219"/>
      <c r="Y97" s="137" t="str">
        <f>IF(E97="","",IF((VLOOKUP(E97,classifications!C:K,9,FALSE))="Sparse","S",""))</f>
        <v/>
      </c>
      <c r="AA97" s="237"/>
      <c r="AB97" s="237"/>
      <c r="AC97" s="237"/>
      <c r="AD97" s="220"/>
      <c r="AE97" s="220"/>
      <c r="AF97" s="220"/>
      <c r="AG97" s="220"/>
      <c r="AH97" s="220"/>
      <c r="AI97" s="220"/>
      <c r="AJ97" s="220"/>
      <c r="AK97" s="220"/>
      <c r="AL97" s="220"/>
      <c r="AM97" s="220"/>
      <c r="AN97" s="238"/>
      <c r="AO97" s="238"/>
      <c r="AP97" s="238"/>
      <c r="AQ97" s="238"/>
      <c r="AR97" s="137"/>
      <c r="AV97" s="60"/>
    </row>
    <row r="98" spans="2:48" ht="12" customHeight="1">
      <c r="B98" s="217" t="str">
        <f>IF('Filtered Data'!$D$1="MD","",IF('Filtered Data'!$D$1="SC","",IF('Filtered Data'!$D$1="UA",'Filtered Data'!AS17,'Filtered Data'!AL17)))</f>
        <v/>
      </c>
      <c r="C98" s="218"/>
      <c r="D98" s="218"/>
      <c r="E98" s="216" t="str">
        <f>IF(B98="","",IF('Filtered Data'!$D$1="UA",VLOOKUP(B98,'Filtered Data'!AS:AU,2,FALSE),VLOOKUP(B98,'Filtered Data'!AL:AN,2,FALSE)))</f>
        <v/>
      </c>
      <c r="F98" s="216"/>
      <c r="G98" s="216"/>
      <c r="H98" s="216"/>
      <c r="I98" s="216"/>
      <c r="J98" s="216"/>
      <c r="K98" s="216"/>
      <c r="L98" s="216"/>
      <c r="M98" s="216"/>
      <c r="N98" s="216"/>
      <c r="O98" s="216"/>
      <c r="P98" s="216"/>
      <c r="Q98" s="216"/>
      <c r="R98" s="216"/>
      <c r="S98" s="216"/>
      <c r="T98" s="216"/>
      <c r="U98" s="21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37"/>
      <c r="AB98" s="237"/>
      <c r="AC98" s="237"/>
      <c r="AD98" s="220"/>
      <c r="AE98" s="220"/>
      <c r="AF98" s="220"/>
      <c r="AG98" s="220"/>
      <c r="AH98" s="220"/>
      <c r="AI98" s="220"/>
      <c r="AJ98" s="220"/>
      <c r="AK98" s="220"/>
      <c r="AL98" s="220"/>
      <c r="AM98" s="220"/>
      <c r="AN98" s="238"/>
      <c r="AO98" s="238"/>
      <c r="AP98" s="238"/>
      <c r="AQ98" s="238"/>
      <c r="AR98" s="137"/>
      <c r="AV98" s="60"/>
    </row>
    <row r="99" spans="2:48" ht="12" customHeight="1">
      <c r="B99" s="217" t="str">
        <f>IF('Filtered Data'!$D$1="MD","",IF('Filtered Data'!$D$1="SC","",IF('Filtered Data'!$D$1="UA",'Filtered Data'!AS18,'Filtered Data'!AL18)))</f>
        <v/>
      </c>
      <c r="C99" s="218"/>
      <c r="D99" s="218"/>
      <c r="E99" s="216" t="str">
        <f>IF(B99="","",IF('Filtered Data'!$D$1="UA",VLOOKUP(B99,'Filtered Data'!AS:AU,2,FALSE),VLOOKUP(B99,'Filtered Data'!AL:AN,2,FALSE)))</f>
        <v/>
      </c>
      <c r="F99" s="216"/>
      <c r="G99" s="216"/>
      <c r="H99" s="216"/>
      <c r="I99" s="216"/>
      <c r="J99" s="216"/>
      <c r="K99" s="216"/>
      <c r="L99" s="216"/>
      <c r="M99" s="216"/>
      <c r="N99" s="216"/>
      <c r="O99" s="216"/>
      <c r="P99" s="216"/>
      <c r="Q99" s="216"/>
      <c r="R99" s="216"/>
      <c r="S99" s="216"/>
      <c r="T99" s="216"/>
      <c r="U99" s="21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37"/>
      <c r="AB99" s="237"/>
      <c r="AC99" s="237"/>
      <c r="AD99" s="220"/>
      <c r="AE99" s="220"/>
      <c r="AF99" s="220"/>
      <c r="AG99" s="220"/>
      <c r="AH99" s="220"/>
      <c r="AI99" s="220"/>
      <c r="AJ99" s="220"/>
      <c r="AK99" s="220"/>
      <c r="AL99" s="220"/>
      <c r="AM99" s="220"/>
      <c r="AN99" s="238"/>
      <c r="AO99" s="238"/>
      <c r="AP99" s="238"/>
      <c r="AQ99" s="238"/>
      <c r="AR99" s="137"/>
      <c r="AV99" s="60"/>
    </row>
    <row r="100" spans="2:48" ht="12" customHeight="1">
      <c r="B100" s="217" t="str">
        <f>IF('Filtered Data'!$D$1="MD","",IF('Filtered Data'!$D$1="SC","",IF('Filtered Data'!$D$1="UA",'Filtered Data'!AS19,'Filtered Data'!AL19)))</f>
        <v/>
      </c>
      <c r="C100" s="218"/>
      <c r="D100" s="218"/>
      <c r="E100" s="216" t="str">
        <f>IF(B100="","",IF('Filtered Data'!$D$1="UA",VLOOKUP(B100,'Filtered Data'!AS:AU,2,FALSE),VLOOKUP(B100,'Filtered Data'!AL:AN,2,FALSE)))</f>
        <v/>
      </c>
      <c r="F100" s="216"/>
      <c r="G100" s="216"/>
      <c r="H100" s="216"/>
      <c r="I100" s="216"/>
      <c r="J100" s="216"/>
      <c r="K100" s="216"/>
      <c r="L100" s="216"/>
      <c r="M100" s="216"/>
      <c r="N100" s="216"/>
      <c r="O100" s="216"/>
      <c r="P100" s="216"/>
      <c r="Q100" s="216"/>
      <c r="R100" s="216"/>
      <c r="S100" s="216"/>
      <c r="T100" s="216"/>
      <c r="U100" s="21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37"/>
      <c r="AB100" s="237"/>
      <c r="AC100" s="237"/>
      <c r="AD100" s="220"/>
      <c r="AE100" s="220"/>
      <c r="AF100" s="220"/>
      <c r="AG100" s="220"/>
      <c r="AH100" s="220"/>
      <c r="AI100" s="220"/>
      <c r="AJ100" s="220"/>
      <c r="AK100" s="220"/>
      <c r="AL100" s="220"/>
      <c r="AM100" s="220"/>
      <c r="AN100" s="238"/>
      <c r="AO100" s="238"/>
      <c r="AP100" s="238"/>
      <c r="AQ100" s="238"/>
      <c r="AR100" s="137"/>
      <c r="AV100" s="60"/>
    </row>
    <row r="101" spans="2:48" ht="12" customHeight="1">
      <c r="B101" s="217" t="str">
        <f>IF('Filtered Data'!$D$1="MD","",IF('Filtered Data'!$D$1="SC","",IF('Filtered Data'!$D$1="UA",'Filtered Data'!AS20,'Filtered Data'!AL20)))</f>
        <v/>
      </c>
      <c r="C101" s="218"/>
      <c r="D101" s="218"/>
      <c r="E101" s="216" t="str">
        <f>IF(B101="","",IF('Filtered Data'!$D$1="UA",VLOOKUP(B101,'Filtered Data'!AS:AU,2,FALSE),VLOOKUP(B101,'Filtered Data'!AL:AN,2,FALSE)))</f>
        <v/>
      </c>
      <c r="F101" s="216"/>
      <c r="G101" s="216"/>
      <c r="H101" s="216"/>
      <c r="I101" s="216"/>
      <c r="J101" s="216"/>
      <c r="K101" s="216"/>
      <c r="L101" s="216"/>
      <c r="M101" s="216"/>
      <c r="N101" s="216"/>
      <c r="O101" s="216"/>
      <c r="P101" s="216"/>
      <c r="Q101" s="216"/>
      <c r="R101" s="216"/>
      <c r="S101" s="216"/>
      <c r="T101" s="216"/>
      <c r="U101" s="21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37"/>
      <c r="AB101" s="237"/>
      <c r="AC101" s="237"/>
      <c r="AD101" s="220"/>
      <c r="AE101" s="220"/>
      <c r="AF101" s="220"/>
      <c r="AG101" s="220"/>
      <c r="AH101" s="220"/>
      <c r="AI101" s="220"/>
      <c r="AJ101" s="220"/>
      <c r="AK101" s="220"/>
      <c r="AL101" s="220"/>
      <c r="AM101" s="220"/>
      <c r="AN101" s="238"/>
      <c r="AO101" s="238"/>
      <c r="AP101" s="238"/>
      <c r="AQ101" s="238"/>
      <c r="AR101" s="137"/>
      <c r="AV101" s="60"/>
    </row>
    <row r="102" spans="2:48" ht="12" customHeight="1">
      <c r="B102" s="217" t="str">
        <f>IF('Filtered Data'!$D$1="MD","",IF('Filtered Data'!$D$1="SC","",IF('Filtered Data'!$D$1="UA",'Filtered Data'!AS21,'Filtered Data'!AL21)))</f>
        <v/>
      </c>
      <c r="C102" s="218"/>
      <c r="D102" s="218"/>
      <c r="E102" s="216" t="str">
        <f>IF(B102="","",IF('Filtered Data'!$D$1="UA",VLOOKUP(B102,'Filtered Data'!AS:AU,2,FALSE),VLOOKUP(B102,'Filtered Data'!AL:AN,2,FALSE)))</f>
        <v/>
      </c>
      <c r="F102" s="216"/>
      <c r="G102" s="216"/>
      <c r="H102" s="216"/>
      <c r="I102" s="216"/>
      <c r="J102" s="216"/>
      <c r="K102" s="216"/>
      <c r="L102" s="216"/>
      <c r="M102" s="216"/>
      <c r="N102" s="216"/>
      <c r="O102" s="216"/>
      <c r="P102" s="216"/>
      <c r="Q102" s="216"/>
      <c r="R102" s="216"/>
      <c r="S102" s="216"/>
      <c r="T102" s="216"/>
      <c r="U102" s="21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37"/>
      <c r="AB102" s="237"/>
      <c r="AC102" s="237"/>
      <c r="AD102" s="220"/>
      <c r="AE102" s="220"/>
      <c r="AF102" s="220"/>
      <c r="AG102" s="220"/>
      <c r="AH102" s="220"/>
      <c r="AI102" s="220"/>
      <c r="AJ102" s="220"/>
      <c r="AK102" s="220"/>
      <c r="AL102" s="220"/>
      <c r="AM102" s="220"/>
      <c r="AN102" s="238"/>
      <c r="AO102" s="238"/>
      <c r="AP102" s="238"/>
      <c r="AQ102" s="238"/>
      <c r="AR102" s="137"/>
      <c r="AV102" s="60"/>
    </row>
    <row r="103" spans="2:48" ht="12" customHeight="1">
      <c r="B103" s="217" t="str">
        <f>IF('Filtered Data'!$D$1="MD","",IF('Filtered Data'!$D$1="SC","",IF('Filtered Data'!$D$1="UA",'Filtered Data'!AS22,'Filtered Data'!AL22)))</f>
        <v/>
      </c>
      <c r="C103" s="218"/>
      <c r="D103" s="218"/>
      <c r="E103" s="216" t="str">
        <f>IF(B103="","",IF('Filtered Data'!$D$1="UA",VLOOKUP(B103,'Filtered Data'!AS:AU,2,FALSE),VLOOKUP(B103,'Filtered Data'!AL:AN,2,FALSE)))</f>
        <v/>
      </c>
      <c r="F103" s="216"/>
      <c r="G103" s="216"/>
      <c r="H103" s="216"/>
      <c r="I103" s="216"/>
      <c r="J103" s="216"/>
      <c r="K103" s="216"/>
      <c r="L103" s="216"/>
      <c r="M103" s="216"/>
      <c r="N103" s="216"/>
      <c r="O103" s="216"/>
      <c r="P103" s="216"/>
      <c r="Q103" s="216"/>
      <c r="R103" s="216"/>
      <c r="S103" s="216"/>
      <c r="T103" s="216"/>
      <c r="U103" s="2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37"/>
      <c r="AB103" s="237"/>
      <c r="AC103" s="237"/>
      <c r="AD103" s="220"/>
      <c r="AE103" s="220"/>
      <c r="AF103" s="220"/>
      <c r="AG103" s="220"/>
      <c r="AH103" s="220"/>
      <c r="AI103" s="220"/>
      <c r="AJ103" s="220"/>
      <c r="AK103" s="220"/>
      <c r="AL103" s="220"/>
      <c r="AM103" s="220"/>
      <c r="AN103" s="238"/>
      <c r="AO103" s="238"/>
      <c r="AP103" s="238"/>
      <c r="AQ103" s="238"/>
      <c r="AR103" s="137"/>
      <c r="AV103" s="60"/>
    </row>
    <row r="104" spans="2:48" ht="12" customHeight="1">
      <c r="B104" s="217" t="str">
        <f>IF('Filtered Data'!$D$1="MD","",IF('Filtered Data'!$D$1="SC","",IF('Filtered Data'!$D$1="UA",'Filtered Data'!AS23,'Filtered Data'!AL23)))</f>
        <v/>
      </c>
      <c r="C104" s="218"/>
      <c r="D104" s="218"/>
      <c r="E104" s="216" t="str">
        <f>IF(B104="","",IF('Filtered Data'!$D$1="UA",VLOOKUP(B104,'Filtered Data'!AS:AU,2,FALSE),VLOOKUP(B104,'Filtered Data'!AL:AN,2,FALSE)))</f>
        <v/>
      </c>
      <c r="F104" s="216"/>
      <c r="G104" s="216"/>
      <c r="H104" s="216"/>
      <c r="I104" s="216"/>
      <c r="J104" s="216"/>
      <c r="K104" s="216"/>
      <c r="L104" s="216"/>
      <c r="M104" s="216"/>
      <c r="N104" s="216"/>
      <c r="O104" s="216"/>
      <c r="P104" s="216"/>
      <c r="Q104" s="216"/>
      <c r="R104" s="216"/>
      <c r="S104" s="216"/>
      <c r="T104" s="216"/>
      <c r="U104" s="2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37"/>
      <c r="AB104" s="237"/>
      <c r="AC104" s="237"/>
      <c r="AD104" s="220"/>
      <c r="AE104" s="220"/>
      <c r="AF104" s="220"/>
      <c r="AG104" s="220"/>
      <c r="AH104" s="220"/>
      <c r="AI104" s="220"/>
      <c r="AJ104" s="220"/>
      <c r="AK104" s="220"/>
      <c r="AL104" s="220"/>
      <c r="AM104" s="220"/>
      <c r="AN104" s="238"/>
      <c r="AO104" s="238"/>
      <c r="AP104" s="238"/>
      <c r="AQ104" s="238"/>
      <c r="AR104" s="137"/>
      <c r="AV104" s="60"/>
    </row>
    <row r="105" spans="2:48" ht="12" customHeight="1">
      <c r="B105" s="217" t="str">
        <f>IF('Filtered Data'!$D$1="MD","",IF('Filtered Data'!$D$1="SC","",IF('Filtered Data'!$D$1="UA",'Filtered Data'!AS24,'Filtered Data'!AL24)))</f>
        <v/>
      </c>
      <c r="C105" s="218"/>
      <c r="D105" s="218"/>
      <c r="E105" s="216" t="str">
        <f>IF(B105="","",IF('Filtered Data'!$D$1="UA",VLOOKUP(B105,'Filtered Data'!AS:AU,2,FALSE),VLOOKUP(B105,'Filtered Data'!AL:AN,2,FALSE)))</f>
        <v/>
      </c>
      <c r="F105" s="216"/>
      <c r="G105" s="216"/>
      <c r="H105" s="216"/>
      <c r="I105" s="216"/>
      <c r="J105" s="216"/>
      <c r="K105" s="216"/>
      <c r="L105" s="216"/>
      <c r="M105" s="216"/>
      <c r="N105" s="216"/>
      <c r="O105" s="216"/>
      <c r="P105" s="216"/>
      <c r="Q105" s="216"/>
      <c r="R105" s="216"/>
      <c r="S105" s="216"/>
      <c r="T105" s="216"/>
      <c r="U105" s="2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37"/>
      <c r="AB105" s="237"/>
      <c r="AC105" s="237"/>
      <c r="AD105" s="220"/>
      <c r="AE105" s="220"/>
      <c r="AF105" s="220"/>
      <c r="AG105" s="220"/>
      <c r="AH105" s="220"/>
      <c r="AI105" s="220"/>
      <c r="AJ105" s="220"/>
      <c r="AK105" s="220"/>
      <c r="AL105" s="220"/>
      <c r="AM105" s="220"/>
      <c r="AN105" s="238"/>
      <c r="AO105" s="238"/>
      <c r="AP105" s="238"/>
      <c r="AQ105" s="238"/>
      <c r="AR105" s="137"/>
      <c r="AV105" s="60"/>
    </row>
    <row r="106" spans="2:48" ht="12" customHeight="1">
      <c r="B106" s="217" t="str">
        <f>IF('Filtered Data'!$D$1="MD","",IF('Filtered Data'!$D$1="SC","",IF('Filtered Data'!$D$1="UA",'Filtered Data'!AS25,'Filtered Data'!AL25)))</f>
        <v/>
      </c>
      <c r="C106" s="218"/>
      <c r="D106" s="218"/>
      <c r="E106" s="216" t="str">
        <f>IF(B106="","",IF('Filtered Data'!$D$1="UA",VLOOKUP(B106,'Filtered Data'!AS:AU,2,FALSE),VLOOKUP(B106,'Filtered Data'!AL:AN,2,FALSE)))</f>
        <v/>
      </c>
      <c r="F106" s="216"/>
      <c r="G106" s="216"/>
      <c r="H106" s="216"/>
      <c r="I106" s="216"/>
      <c r="J106" s="216"/>
      <c r="K106" s="216"/>
      <c r="L106" s="216"/>
      <c r="M106" s="216"/>
      <c r="N106" s="216"/>
      <c r="O106" s="216"/>
      <c r="P106" s="216"/>
      <c r="Q106" s="216"/>
      <c r="R106" s="216"/>
      <c r="S106" s="216"/>
      <c r="T106" s="216"/>
      <c r="U106" s="2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37"/>
      <c r="AB106" s="237"/>
      <c r="AC106" s="237"/>
      <c r="AD106" s="220"/>
      <c r="AE106" s="220"/>
      <c r="AF106" s="220"/>
      <c r="AG106" s="220"/>
      <c r="AH106" s="220"/>
      <c r="AI106" s="220"/>
      <c r="AJ106" s="220"/>
      <c r="AK106" s="220"/>
      <c r="AL106" s="220"/>
      <c r="AM106" s="220"/>
      <c r="AN106" s="238"/>
      <c r="AO106" s="238"/>
      <c r="AP106" s="238"/>
      <c r="AQ106" s="238"/>
      <c r="AR106" s="137"/>
      <c r="AV106" s="60"/>
    </row>
    <row r="107" spans="2:48" ht="12" customHeight="1">
      <c r="B107" s="217" t="str">
        <f>IF('Filtered Data'!$D$1="MD","",IF('Filtered Data'!$D$1="SC","",IF('Filtered Data'!$D$1="UA",'Filtered Data'!AS26,'Filtered Data'!AL26)))</f>
        <v/>
      </c>
      <c r="C107" s="218"/>
      <c r="D107" s="218"/>
      <c r="E107" s="216" t="str">
        <f>IF(B107="","",IF('Filtered Data'!$D$1="UA",VLOOKUP(B107,'Filtered Data'!AS:AU,2,FALSE),VLOOKUP(B107,'Filtered Data'!AL:AN,2,FALSE)))</f>
        <v/>
      </c>
      <c r="F107" s="216"/>
      <c r="G107" s="216"/>
      <c r="H107" s="216"/>
      <c r="I107" s="216"/>
      <c r="J107" s="216"/>
      <c r="K107" s="216"/>
      <c r="L107" s="216"/>
      <c r="M107" s="216"/>
      <c r="N107" s="216"/>
      <c r="O107" s="216"/>
      <c r="P107" s="216"/>
      <c r="Q107" s="216"/>
      <c r="R107" s="216"/>
      <c r="S107" s="216"/>
      <c r="T107" s="216"/>
      <c r="U107" s="2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37"/>
      <c r="AB107" s="237"/>
      <c r="AC107" s="237"/>
      <c r="AD107" s="220"/>
      <c r="AE107" s="220"/>
      <c r="AF107" s="220"/>
      <c r="AG107" s="220"/>
      <c r="AH107" s="220"/>
      <c r="AI107" s="220"/>
      <c r="AJ107" s="220"/>
      <c r="AK107" s="220"/>
      <c r="AL107" s="220"/>
      <c r="AM107" s="220"/>
      <c r="AN107" s="238"/>
      <c r="AO107" s="238"/>
      <c r="AP107" s="238"/>
      <c r="AQ107" s="238"/>
      <c r="AR107" s="137"/>
      <c r="AV107" s="60"/>
    </row>
    <row r="108" spans="2:48" ht="12" customHeight="1">
      <c r="B108" s="223"/>
      <c r="C108" s="223"/>
      <c r="D108" s="223"/>
      <c r="E108" s="229" t="s">
        <v>341</v>
      </c>
      <c r="F108" s="229"/>
      <c r="G108" s="229"/>
      <c r="H108" s="229"/>
      <c r="I108" s="229"/>
      <c r="J108" s="229"/>
      <c r="K108" s="229"/>
      <c r="L108" s="229"/>
      <c r="M108" s="229"/>
      <c r="N108" s="229"/>
      <c r="O108" s="210"/>
      <c r="P108" s="210"/>
      <c r="Q108" s="210"/>
      <c r="R108" s="210"/>
      <c r="S108" s="210"/>
      <c r="T108" s="210"/>
      <c r="U108" s="236">
        <f>L39</f>
        <v>509.75000000000006</v>
      </c>
      <c r="V108" s="236"/>
      <c r="W108" s="236"/>
      <c r="X108" s="236"/>
      <c r="Y108" s="137"/>
      <c r="AA108" s="223"/>
      <c r="AB108" s="223"/>
      <c r="AC108" s="223"/>
      <c r="AD108" s="1"/>
      <c r="AE108" s="1"/>
      <c r="AF108" s="1"/>
      <c r="AG108" s="1"/>
      <c r="AH108" s="1"/>
      <c r="AI108" s="1"/>
      <c r="AJ108" s="1"/>
      <c r="AK108" s="1"/>
      <c r="AL108" s="1"/>
      <c r="AM108" s="21"/>
      <c r="AN108" s="225"/>
      <c r="AO108" s="225"/>
      <c r="AP108" s="225"/>
      <c r="AQ108" s="225"/>
      <c r="AV108" s="60"/>
    </row>
    <row r="109" spans="2:48" ht="12" customHeight="1">
      <c r="W109" s="18">
        <f>COUNT(AA92:AB107)</f>
        <v>0</v>
      </c>
    </row>
    <row r="110" spans="2:48" ht="19.5" customHeight="1">
      <c r="B110" s="226" t="str">
        <f>B3</f>
        <v>Waste Management Indicators</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row>
    <row r="111" spans="2:48" ht="12" customHeight="1"/>
    <row r="112" spans="2:48" ht="12" customHeight="1">
      <c r="B112" s="229" t="s">
        <v>373</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row>
    <row r="113" spans="2:40" ht="12" customHeight="1"/>
    <row r="114" spans="2:40" ht="12" customHeight="1">
      <c r="B114" s="232" t="str">
        <f>W6&amp;" - "&amp;W12</f>
        <v>Residual household waste per household (kg/household) (Ex NI191) - 2022-23</v>
      </c>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0"/>
    </row>
    <row r="115" spans="2:40" ht="12" customHeight="1">
      <c r="B115" s="234"/>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31">
        <f>IF('Filtered Data'!H8="..",L35,L35*100)</f>
        <v>467.1</v>
      </c>
      <c r="H118" s="231"/>
      <c r="I118" s="231"/>
      <c r="J118" s="231"/>
      <c r="K118" s="231"/>
      <c r="M118" s="223">
        <f>K$48</f>
        <v>470.07499999999999</v>
      </c>
      <c r="N118" s="223"/>
      <c r="O118" s="223">
        <f>M$48</f>
        <v>529.25</v>
      </c>
      <c r="P118" s="223"/>
      <c r="Q118" s="223">
        <f>O$48</f>
        <v>572.17499999999995</v>
      </c>
      <c r="R118" s="223"/>
      <c r="AN118" s="6"/>
    </row>
    <row r="119" spans="2:40" ht="12" customHeight="1">
      <c r="B119" s="5"/>
      <c r="F119" t="s">
        <v>383</v>
      </c>
      <c r="G119" s="231">
        <f>IF('Filtered Data'!H8="%%",(AVERAGEIF('Filtered Data'!AA$10:AA$480,$F119,'Filtered Data'!M$10:M$480))*100,(AVERAGEIF('Filtered Data'!AA$10:AA$480,$F119,'Filtered Data'!M$10:M$480)))</f>
        <v>505.54545454545462</v>
      </c>
      <c r="H119" s="231"/>
      <c r="I119" s="231"/>
      <c r="J119" s="231"/>
      <c r="K119" s="231"/>
      <c r="M119" s="223">
        <f>K$48</f>
        <v>470.07499999999999</v>
      </c>
      <c r="N119" s="223"/>
      <c r="O119" s="223">
        <f>M$48</f>
        <v>529.25</v>
      </c>
      <c r="P119" s="223"/>
      <c r="Q119" s="223">
        <f>O$48</f>
        <v>572.17499999999995</v>
      </c>
      <c r="R119" s="223"/>
      <c r="AN119" s="6"/>
    </row>
    <row r="120" spans="2:40" ht="12" customHeight="1">
      <c r="B120" s="5"/>
      <c r="F120" t="s">
        <v>385</v>
      </c>
      <c r="G120" s="231">
        <f>IF('Filtered Data'!H8="%%",(AVERAGEIF('Filtered Data'!AA$10:AA$480,$F120,'Filtered Data'!M$10:M$480))*100,(AVERAGEIF('Filtered Data'!AA$10:AA$480,$F120,'Filtered Data'!M$10:M$480)))</f>
        <v>537.0194444444445</v>
      </c>
      <c r="H120" s="231"/>
      <c r="I120" s="231"/>
      <c r="J120" s="231"/>
      <c r="K120" s="231"/>
      <c r="M120" s="223">
        <f>K$48</f>
        <v>470.07499999999999</v>
      </c>
      <c r="N120" s="223"/>
      <c r="O120" s="223">
        <f>M$48</f>
        <v>529.25</v>
      </c>
      <c r="P120" s="223"/>
      <c r="Q120" s="223">
        <f>O$48</f>
        <v>572.17499999999995</v>
      </c>
      <c r="R120" s="223"/>
      <c r="AN120" s="6"/>
    </row>
    <row r="121" spans="2:40" ht="12" customHeight="1">
      <c r="B121" s="5"/>
      <c r="F121" t="s">
        <v>372</v>
      </c>
      <c r="G121" s="231">
        <f>IF('Filtered Data'!H8="%%",(AVERAGEIF('Filtered Data'!AA$10:AA$480,$F121,'Filtered Data'!M$10:M$480))*100,(AVERAGEIF('Filtered Data'!AA$10:AA$480,$F121,'Filtered Data'!M$10:M$480)))</f>
        <v>477.01000000000005</v>
      </c>
      <c r="H121" s="231"/>
      <c r="I121" s="231"/>
      <c r="J121" s="231"/>
      <c r="K121" s="231"/>
      <c r="M121" s="223">
        <f>K$48</f>
        <v>470.07499999999999</v>
      </c>
      <c r="N121" s="223"/>
      <c r="O121" s="223">
        <f>M$48</f>
        <v>529.25</v>
      </c>
      <c r="P121" s="223"/>
      <c r="Q121" s="223">
        <f>O$48</f>
        <v>572.17499999999995</v>
      </c>
      <c r="R121" s="223"/>
      <c r="AN121" s="6"/>
    </row>
    <row r="122" spans="2:40" ht="12" customHeight="1">
      <c r="B122" s="5"/>
      <c r="G122" s="231"/>
      <c r="H122" s="231"/>
      <c r="I122" s="231"/>
      <c r="J122" s="231"/>
      <c r="K122" s="231"/>
      <c r="M122" s="223"/>
      <c r="N122" s="223"/>
      <c r="O122" s="223"/>
      <c r="P122" s="223"/>
      <c r="Q122" s="223"/>
      <c r="R122" s="223"/>
      <c r="AN122" s="6"/>
    </row>
    <row r="123" spans="2:40" ht="12" customHeight="1">
      <c r="B123" s="5"/>
      <c r="G123" s="231"/>
      <c r="H123" s="231"/>
      <c r="I123" s="231"/>
      <c r="J123" s="231"/>
      <c r="K123" s="231"/>
      <c r="M123" s="223"/>
      <c r="N123" s="223"/>
      <c r="O123" s="223"/>
      <c r="P123" s="223"/>
      <c r="Q123" s="223"/>
      <c r="R123" s="223"/>
      <c r="AN123" s="6"/>
    </row>
    <row r="124" spans="2:40" ht="12" customHeight="1">
      <c r="B124" s="5"/>
      <c r="G124" s="231"/>
      <c r="H124" s="231"/>
      <c r="I124" s="231"/>
      <c r="J124" s="231"/>
      <c r="K124" s="231"/>
      <c r="M124" s="223"/>
      <c r="N124" s="223"/>
      <c r="O124" s="223"/>
      <c r="P124" s="223"/>
      <c r="Q124" s="223"/>
      <c r="R124" s="223"/>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Bn6CZDy7i5htWfHCJ/MCrJ2WP5QaXunVVyyf5f9utpPOzb06xndXD+/S3yl4PXJrotPdNsb/hKKj1DOBDWeIwA==" saltValue="ZsLRxqAerGR0ZIOp4ZiIDQ=="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S1" workbookViewId="0">
      <selection activeCell="S1"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Residual household waste per household (kg/household) (Ex NI191)</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353</v>
      </c>
      <c r="Q7" s="109">
        <f>IF(I8="A",MAX(N11:N343),MIN(N11:N343))</f>
        <v>759.1</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Cheshire East</v>
      </c>
      <c r="Q8" s="110">
        <f>VLOOKUP(D3,L11:N343,3,FALSE)</f>
        <v>467.1</v>
      </c>
      <c r="R8" s="111" t="str">
        <f>IF(I8="A",IF(Q8&gt;Q10,"Bottom",IF(Q8&gt;P10,"Third",IF(Q8&gt;O10,"Second","Top"))),IF(Q8&gt;=O10,"Top",IF(Q8&gt;=P10,"Second",IF(Q8&gt;=Q10,"Third","Bottom"))))</f>
        <v>Top</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520.51896551724133</v>
      </c>
      <c r="N9" s="88"/>
      <c r="O9" s="91" t="s">
        <v>342</v>
      </c>
      <c r="P9" s="91" t="s">
        <v>353</v>
      </c>
      <c r="Q9" s="91" t="s">
        <v>354</v>
      </c>
      <c r="R9" s="93" t="s">
        <v>402</v>
      </c>
      <c r="S9" s="37"/>
      <c r="T9" s="169" t="s">
        <v>820</v>
      </c>
      <c r="U9" s="170">
        <f>IF($H$8="%.",(AVERAGE(U11:U343))/100,(AVERAGE(U11:U343)))</f>
        <v>499.80833333333334</v>
      </c>
      <c r="V9" s="171"/>
      <c r="W9" s="171"/>
      <c r="X9" s="86" t="str">
        <f>"Lower Level Ranking for Authorites in "&amp;H3&amp;" &amp; are a "&amp;F3</f>
        <v>Lower Level Ranking for Authorites in Urban with Significant Rural (rural including hub towns 26-49%) &amp; are a UA</v>
      </c>
      <c r="Y9" s="88">
        <f>IF($H$8="%.",(AVERAGE(Y11:Y343))/100,(AVERAGE(Y11:Y343)))</f>
        <v>492.68999999999988</v>
      </c>
      <c r="Z9" s="87"/>
      <c r="AA9" s="178" t="s">
        <v>381</v>
      </c>
      <c r="AB9" s="170">
        <f>IF($H$8="%.",(AVERAGE(AB11:AB343))/100,(AVERAGE(AB11:AB343)))</f>
        <v>477.01000000000005</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521.27719298245609</v>
      </c>
      <c r="AK9" s="87"/>
      <c r="AL9" s="48"/>
      <c r="AM9"/>
      <c r="AN9"/>
      <c r="AP9" s="86" t="str">
        <f>"Regional Ranking in for "&amp;F3</f>
        <v>Regional Ranking in for UA</v>
      </c>
      <c r="AQ9" s="88">
        <f>IF($H$8="%.",(AVERAGE(AQ11:AQ343))/100,(AVERAGE(AQ11:AQ343)))</f>
        <v>509.75000000000006</v>
      </c>
      <c r="AR9" s="87"/>
      <c r="AS9" s="87"/>
      <c r="AT9" s="87"/>
      <c r="AU9" s="87"/>
      <c r="AV9"/>
      <c r="AW9" s="80"/>
      <c r="AX9" s="133" t="str">
        <f>Profile!$W$6</f>
        <v>Residual household waste per household (kg/household) (Ex NI191)</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470.07499999999999</v>
      </c>
      <c r="P10" s="95">
        <f>QUARTILE(N:N,2)</f>
        <v>529.25</v>
      </c>
      <c r="Q10" s="95">
        <f>IF(I8="A",QUARTILE(N:N,3),QUARTILE(N:N,1))</f>
        <v>572.17499999999995</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380.3</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Reading</v>
      </c>
      <c r="M11" s="117">
        <f t="shared" ref="M11:M42" si="3">IF(L11="","",IF(VLOOKUP(L11,C:D,2,FALSE)=$F$3,VLOOKUP(L11,C:H,6,FALSE),""))</f>
        <v>353</v>
      </c>
      <c r="N11" s="112">
        <f>IF(L11="","",IF($H$8="%%",M11*100,M11))</f>
        <v>353</v>
      </c>
      <c r="O11" s="96">
        <f>IF(I$8="A",IF(N11&gt;=$P$7,IF(N11&lt;=$O$10,N11,""),""),IF(N11&lt;=$P$7,IF(N11&gt;=$O$10,N11,""),""))</f>
        <v>353</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City and Town</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Urban</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Cheshire East</v>
      </c>
      <c r="AG11" s="107">
        <f>VLOOKUP(Profile!$J$5,$C$11:$H$343,4,FALSE)</f>
        <v>467.1</v>
      </c>
      <c r="AH11" s="50" t="e">
        <f>AE11</f>
        <v>#N/A</v>
      </c>
      <c r="AI11" s="5" t="str">
        <f>IF(L11="","",VLOOKUP($L11,classifications!$C:$J,8,FALSE))</f>
        <v>Unitary</v>
      </c>
      <c r="AJ11" s="43">
        <f t="shared" ref="AJ11:AJ74" si="5">IF(AI11=$I$3,M11,"")</f>
        <v>353</v>
      </c>
      <c r="AK11" s="40">
        <f>IF(AJ11="","",IF(I$8="A",(RANK(AJ11,AJ$11:AJ$343,1)+COUNTIF(AJ$11:AJ11,AJ11)-1),(RANK(AJ11,AJ$11:AJ$343)+COUNTIF(AJ$11:AJ11,AJ11)-1)))</f>
        <v>1</v>
      </c>
      <c r="AL11" s="40">
        <v>1</v>
      </c>
      <c r="AM11" t="str">
        <f t="shared" ref="AM11:AM42" si="6">IF(ISNA(IF(AL11="","",INDEX(L$11:L$343,MATCH(AL11,AK$11:AK$343,0)))),"",(IF(AL11="","",INDEX(L$11:L$343,MATCH(AL11,AK$11:AK$343,0)))))</f>
        <v>Reading</v>
      </c>
      <c r="AN11">
        <f t="shared" ref="AN11:AN42" si="7">(VLOOKUP(AM11,L:M,2,FALSE))</f>
        <v>353</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Cheshire West &amp; Chester</v>
      </c>
      <c r="AU11" s="43">
        <f t="shared" ref="AU11:AU42" si="9">IF(AT11="","",VLOOKUP(AT11,L:M,2,FALSE))</f>
        <v>413.3</v>
      </c>
      <c r="AX11">
        <f>HLOOKUP($AX$9&amp;$AX$10,Data!$A$1:$ZZ$1980,(MATCH($C11,Data!$A$1:$A$1980,0)),FALSE)</f>
        <v>380.3</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522.20000000000005</v>
      </c>
      <c r="G12" s="15"/>
      <c r="H12" s="42" t="str">
        <f t="shared" si="1"/>
        <v/>
      </c>
      <c r="I12" s="79" t="str">
        <f>IF(H12="","",IF($I$8="A",(RANK(H12,H$11:H$343,1)+COUNTIF(H$11:H12,H12)-1),(RANK(H12,H$11:H$343)+COUNTIF(H$11:H12,H12)-1)))</f>
        <v/>
      </c>
      <c r="J12" s="41"/>
      <c r="K12" s="36">
        <f t="shared" ref="K12:K43" si="10">IF(K11="","",IF(K11+1&gt;(COUNT(H$11:H$343)),"",K11+1))</f>
        <v>2</v>
      </c>
      <c r="L12" t="str">
        <f t="shared" si="2"/>
        <v>Bath &amp; North East Somerset</v>
      </c>
      <c r="M12" s="117">
        <f t="shared" si="3"/>
        <v>354</v>
      </c>
      <c r="N12" s="112">
        <f>IF(L12="","",IF($H$8="%%",M12*100,M12))</f>
        <v>354</v>
      </c>
      <c r="O12" s="96">
        <f t="shared" ref="O12:O74" si="11">IF(I$8="A",IF(N12&gt;=$P$7,IF(N12&lt;=$O$10,N12,""),""),IF(N12&lt;=$P$7,IF(N12&gt;=$O$10,N12,""),""))</f>
        <v>354</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Significant Rural (rural including hub towns 26-49%)</v>
      </c>
      <c r="Y12">
        <f t="shared" si="4"/>
        <v>354</v>
      </c>
      <c r="Z12" s="40">
        <f>IF(Y12="","",IF(I$8="A",(RANK(Y12,Y$11:Y$343,1)+COUNTIF(Y$11:Y12,Y12)-1),(RANK(Y12,Y$11:Y$343)+COUNTIF(Y$11:Y12,Y12)-1)))</f>
        <v>1</v>
      </c>
      <c r="AA12" s="180" t="str">
        <f>IF(L12="","",VLOOKUP($L12,classifications!C:I,7,FALSE))</f>
        <v>Significant Rural</v>
      </c>
      <c r="AB12" s="174">
        <f t="shared" ref="AB12:AB75" si="14">IF(AA12=$J$3,M12,"")</f>
        <v>354</v>
      </c>
      <c r="AC12" s="174">
        <f>IF(AB12="","",IF($I$8="A",(RANK(AB12,AB$11:AB$343)+COUNTIF(AB$11:AB12,AB12)-1),(RANK(AB12,AB$11:AB$343,1)+COUNTIF(AB$11:AB12,AB12)-1)))</f>
        <v>10</v>
      </c>
      <c r="AD12" s="174"/>
      <c r="AE12" s="49" t="e">
        <f>IF(I$8="A",(RANK(AG12,AG$11:AG$343,1)+COUNTIF(AG$11:AG12,AG12)-1),(RANK(AG12,AG$11:AG$343)+COUNTIF(AG$11:AG12,AG12)-1))</f>
        <v>#N/A</v>
      </c>
      <c r="AF12" t="str">
        <f>VLOOKUP(Profile!$J$5,Families!$C:$R,2,FALSE)</f>
        <v>Cheshire West &amp; Chester</v>
      </c>
      <c r="AG12" s="15">
        <f t="shared" ref="AG12:AG26" si="15">VLOOKUP(AF12,$C$11:$H$343,4,FALSE)</f>
        <v>413.3</v>
      </c>
      <c r="AH12" s="50" t="e">
        <f>AE12</f>
        <v>#N/A</v>
      </c>
      <c r="AI12" s="5" t="str">
        <f>IF(L12="","",VLOOKUP($L12,classifications!$C:$J,8,FALSE))</f>
        <v>Unitary</v>
      </c>
      <c r="AJ12" s="43">
        <f t="shared" si="5"/>
        <v>354</v>
      </c>
      <c r="AK12" s="40">
        <f>IF(AJ12="","",IF(I$8="A",(RANK(AJ12,AJ$11:AJ$343,1)+COUNTIF(AJ$11:AJ12,AJ12)-1),(RANK(AJ12,AJ$11:AJ$343)+COUNTIF(AJ$11:AJ12,AJ12)-1)))</f>
        <v>2</v>
      </c>
      <c r="AL12" s="3">
        <f t="shared" ref="AL12:AL43" si="16">IF(AL11="","",IF(AL11+1&gt;(COUNT(AJ$11:AJ$343)),"",AL11+1))</f>
        <v>2</v>
      </c>
      <c r="AM12" t="str">
        <f t="shared" si="6"/>
        <v>Bath &amp; North East Somerset</v>
      </c>
      <c r="AN12">
        <f t="shared" si="7"/>
        <v>354</v>
      </c>
      <c r="AP12" s="5" t="str">
        <f>IF(L12="","",VLOOKUP($L12,classifications!$C:$E,3,FALSE))</f>
        <v>South West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Cheshire East</v>
      </c>
      <c r="AU12" s="43">
        <f t="shared" si="9"/>
        <v>467.1</v>
      </c>
      <c r="AX12">
        <f>HLOOKUP($AX$9&amp;$AX$10,Data!$A$1:$ZZ$1980,(MATCH($C12,Data!$A$1:$A$1980,0)),FALSE)</f>
        <v>522.20000000000005</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526.29999999999995</v>
      </c>
      <c r="G13" s="15"/>
      <c r="H13" s="42" t="str">
        <f t="shared" si="1"/>
        <v/>
      </c>
      <c r="I13" s="79" t="str">
        <f>IF(H13="","",IF($I$8="A",(RANK(H13,H$11:H$343,1)+COUNTIF(H$11:H13,H13)-1),(RANK(H13,H$11:H$343)+COUNTIF(H$11:H13,H13)-1)))</f>
        <v/>
      </c>
      <c r="J13" s="41"/>
      <c r="K13" s="36">
        <f t="shared" si="10"/>
        <v>3</v>
      </c>
      <c r="L13" t="str">
        <f t="shared" si="2"/>
        <v>North Somerset</v>
      </c>
      <c r="M13" s="117">
        <f t="shared" si="3"/>
        <v>373.6</v>
      </c>
      <c r="N13" s="112">
        <f>IF(L13="","",IF($H$8="%%",M13*100,M13))</f>
        <v>373.6</v>
      </c>
      <c r="O13" s="96">
        <f t="shared" si="11"/>
        <v>373.6</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t="str">
        <f>IF(L13="","",VLOOKUP(L13,classifications!C:K,9,FALSE))</f>
        <v>Sparse</v>
      </c>
      <c r="U13" s="168">
        <f t="shared" si="13"/>
        <v>373.6</v>
      </c>
      <c r="V13" s="174">
        <f>IF(U13="","",IF($I$8="A",(RANK(U13,U$11:U$343)+COUNTIF(U$11:U13,U13)-1),(RANK(U13,U$11:U$343,1)+COUNTIF(U$11:U13,U13)-1)))</f>
        <v>12</v>
      </c>
      <c r="W13" s="175"/>
      <c r="X13" s="5" t="str">
        <f>IF(L13="","",VLOOKUP($L13,classifications!$C:$J,6,FALSE))</f>
        <v>Urban with Significant Rural (rural including hub towns 26-49%)</v>
      </c>
      <c r="Y13">
        <f t="shared" si="4"/>
        <v>373.6</v>
      </c>
      <c r="Z13" s="40">
        <f>IF(Y13="","",IF(I$8="A",(RANK(Y13,Y$11:Y$343,1)+COUNTIF(Y$11:Y13,Y13)-1),(RANK(Y13,Y$11:Y$343)+COUNTIF(Y$11:Y13,Y13)-1)))</f>
        <v>2</v>
      </c>
      <c r="AA13" s="180" t="str">
        <f>IF(L13="","",VLOOKUP($L13,classifications!C:I,7,FALSE))</f>
        <v>Significant Rural</v>
      </c>
      <c r="AB13" s="174">
        <f>IF(AA13=$J$3,M13,"")</f>
        <v>373.6</v>
      </c>
      <c r="AC13" s="174">
        <f>IF(AB13="","",IF($I$8="A",(RANK(AB13,AB$11:AB$343)+COUNTIF(AB$11:AB13,AB13)-1),(RANK(AB13,AB$11:AB$343,1)+COUNTIF(AB$11:AB13,AB13)-1)))</f>
        <v>9</v>
      </c>
      <c r="AD13" s="174"/>
      <c r="AE13" s="49" t="e">
        <f>IF(I$8="A",(RANK(AG13,AG$11:AG$343,1)+COUNTIF(AG$11:AG13,AG13)-1),(RANK(AG13,AG$11:AG$343)+COUNTIF(AG$11:AG13,AG13)-1))</f>
        <v>#N/A</v>
      </c>
      <c r="AF13" t="str">
        <f>VLOOKUP(Profile!$J$5,Families!$C:$R,3,FALSE)</f>
        <v>Shropshire</v>
      </c>
      <c r="AG13" s="15">
        <f t="shared" si="15"/>
        <v>502</v>
      </c>
      <c r="AH13" s="50" t="e">
        <f t="shared" ref="AH13:AH26" si="22">AE13</f>
        <v>#N/A</v>
      </c>
      <c r="AI13" s="5" t="str">
        <f>IF(L13="","",VLOOKUP($L13,classifications!$C:$J,8,FALSE))</f>
        <v>Unitary</v>
      </c>
      <c r="AJ13" s="43">
        <f>IF(AI13=$I$3,M13,"")</f>
        <v>373.6</v>
      </c>
      <c r="AK13" s="40">
        <f>IF(AJ13="","",IF(I$8="A",(RANK(AJ13,AJ$11:AJ$343,1)+COUNTIF(AJ$11:AJ13,AJ13)-1),(RANK(AJ13,AJ$11:AJ$343)+COUNTIF(AJ$11:AJ13,AJ13)-1)))</f>
        <v>3</v>
      </c>
      <c r="AL13" s="3">
        <f t="shared" si="16"/>
        <v>3</v>
      </c>
      <c r="AM13" t="str">
        <f t="shared" si="6"/>
        <v>North Somerset</v>
      </c>
      <c r="AN13">
        <f t="shared" si="7"/>
        <v>373.6</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Blackpool</v>
      </c>
      <c r="AU13" s="43">
        <f t="shared" si="9"/>
        <v>469.9</v>
      </c>
      <c r="AX13">
        <f>HLOOKUP($AX$9&amp;$AX$10,Data!$A$1:$ZZ$1980,(MATCH($C13,Data!$A$1:$A$1980,0)),FALSE)</f>
        <v>526.29999999999995</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431.8</v>
      </c>
      <c r="G14" s="15"/>
      <c r="H14" s="42" t="str">
        <f t="shared" si="1"/>
        <v/>
      </c>
      <c r="I14" s="79" t="str">
        <f>IF(H14="","",IF($I$8="A",(RANK(H14,H$11:H$343,1)+COUNTIF(H$11:H14,H14)-1),(RANK(H14,H$11:H$343)+COUNTIF(H$11:H14,H14)-1)))</f>
        <v/>
      </c>
      <c r="J14" s="41"/>
      <c r="K14" s="36">
        <f t="shared" si="10"/>
        <v>4</v>
      </c>
      <c r="L14" t="str">
        <f t="shared" si="2"/>
        <v>South Gloucestershire</v>
      </c>
      <c r="M14" s="117">
        <f t="shared" si="3"/>
        <v>377.7</v>
      </c>
      <c r="N14" s="112">
        <f t="shared" ref="N14:N75" si="23">IF(L14="","",IF($H$8="%%",M14*100,M14))</f>
        <v>377.7</v>
      </c>
      <c r="O14" s="96">
        <f t="shared" si="11"/>
        <v>377.7</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Wiltshire</v>
      </c>
      <c r="AG14" s="15">
        <f t="shared" si="15"/>
        <v>542.4</v>
      </c>
      <c r="AH14" s="50" t="e">
        <f t="shared" si="22"/>
        <v>#N/A</v>
      </c>
      <c r="AI14" s="5" t="str">
        <f>IF(L14="","",VLOOKUP($L14,classifications!$C:$J,8,FALSE))</f>
        <v>Unitary</v>
      </c>
      <c r="AJ14" s="43">
        <f t="shared" si="5"/>
        <v>377.7</v>
      </c>
      <c r="AK14" s="40">
        <f>IF(AJ14="","",IF(I$8="A",(RANK(AJ14,AJ$11:AJ$343,1)+COUNTIF(AJ$11:AJ14,AJ14)-1),(RANK(AJ14,AJ$11:AJ$343)+COUNTIF(AJ$11:AJ14,AJ14)-1)))</f>
        <v>4</v>
      </c>
      <c r="AL14" s="3">
        <f t="shared" si="16"/>
        <v>4</v>
      </c>
      <c r="AM14" t="str">
        <f t="shared" si="6"/>
        <v>South Gloucestershire</v>
      </c>
      <c r="AN14">
        <f t="shared" si="7"/>
        <v>377.7</v>
      </c>
      <c r="AP14" s="5" t="str">
        <f>IF(L14="","",VLOOKUP($L14,classifications!$C:$E,3,FALSE))</f>
        <v>South West</v>
      </c>
      <c r="AQ14" s="43" t="str">
        <f t="shared" si="17"/>
        <v/>
      </c>
      <c r="AR14" s="40" t="str">
        <f>IF(AQ14="","",IF(I$8="A",(RANK(AQ14,AQ$11:AQ$343,1)+COUNTIF(AQ$11:AQ14,AQ14)-1),(RANK(AQ14,AQ$11:AQ$343)+COUNTIF(AQ$11:AQ14,AQ14)-1)))</f>
        <v/>
      </c>
      <c r="AS14" s="3">
        <f t="shared" si="18"/>
        <v>4</v>
      </c>
      <c r="AT14" s="40" t="str">
        <f t="shared" si="8"/>
        <v>Warrington</v>
      </c>
      <c r="AU14" s="43">
        <f t="shared" si="9"/>
        <v>517.6</v>
      </c>
      <c r="AX14">
        <f>HLOOKUP($AX$9&amp;$AX$10,Data!$A$1:$ZZ$1980,(MATCH($C14,Data!$A$1:$A$1980,0)),FALSE)</f>
        <v>431.8</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507.7</v>
      </c>
      <c r="G15" s="15"/>
      <c r="H15" s="42" t="str">
        <f t="shared" si="1"/>
        <v/>
      </c>
      <c r="I15" s="79" t="str">
        <f>IF(H15="","",IF($I$8="A",(RANK(H15,H$11:H$343,1)+COUNTIF(H$11:H15,H15)-1),(RANK(H15,H$11:H$343)+COUNTIF(H$11:H15,H15)-1)))</f>
        <v/>
      </c>
      <c r="J15" s="41"/>
      <c r="K15" s="36">
        <f t="shared" si="10"/>
        <v>5</v>
      </c>
      <c r="L15" t="str">
        <f t="shared" si="2"/>
        <v>Dorset</v>
      </c>
      <c r="M15" s="117">
        <f t="shared" si="3"/>
        <v>377.9</v>
      </c>
      <c r="N15" s="112">
        <f t="shared" si="23"/>
        <v>377.9</v>
      </c>
      <c r="O15" s="96">
        <f t="shared" si="11"/>
        <v>377.9</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 xml:space="preserve">Largely Rural (rural including hub towns 50-79%) </v>
      </c>
      <c r="Y15">
        <f t="shared" si="4"/>
        <v>377.9</v>
      </c>
      <c r="Z15" s="40">
        <f>IF(Y15="","",IF(I$8="A",(RANK(Y15,Y$11:Y$343,1)+COUNTIF(Y$11:Y15,Y15)-1),(RANK(Y15,Y$11:Y$343)+COUNTIF(Y$11:Y15,Y15)-1)))</f>
        <v>3</v>
      </c>
      <c r="AA15" s="180" t="str">
        <f>IF(L15="","",VLOOKUP($L15,classifications!C:I,7,FALSE))</f>
        <v>Predominantly Rural</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Bath &amp; North East Somerset</v>
      </c>
      <c r="AG15" s="15">
        <f t="shared" si="15"/>
        <v>354</v>
      </c>
      <c r="AH15" s="50" t="e">
        <f t="shared" si="22"/>
        <v>#N/A</v>
      </c>
      <c r="AI15" s="5" t="str">
        <f>IF(L15="","",VLOOKUP($L15,classifications!$C:$J,8,FALSE))</f>
        <v>Unitary</v>
      </c>
      <c r="AJ15" s="43">
        <f t="shared" si="5"/>
        <v>377.9</v>
      </c>
      <c r="AK15" s="40">
        <f>IF(AJ15="","",IF(I$8="A",(RANK(AJ15,AJ$11:AJ$343,1)+COUNTIF(AJ$11:AJ15,AJ15)-1),(RANK(AJ15,AJ$11:AJ$343)+COUNTIF(AJ$11:AJ15,AJ15)-1)))</f>
        <v>5</v>
      </c>
      <c r="AL15" s="3">
        <f t="shared" si="16"/>
        <v>5</v>
      </c>
      <c r="AM15" t="str">
        <f t="shared" si="6"/>
        <v>Dorset</v>
      </c>
      <c r="AN15">
        <f t="shared" si="7"/>
        <v>377.9</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Blackburn with Darwen</v>
      </c>
      <c r="AU15" s="43">
        <f t="shared" si="9"/>
        <v>591.70000000000005</v>
      </c>
      <c r="AX15">
        <f>HLOOKUP($AX$9&amp;$AX$10,Data!$A$1:$ZZ$1980,(MATCH($C15,Data!$A$1:$A$1980,0)),FALSE)</f>
        <v>507.7</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385.8</v>
      </c>
      <c r="G16" s="15"/>
      <c r="H16" s="42" t="str">
        <f t="shared" si="1"/>
        <v/>
      </c>
      <c r="I16" s="79" t="str">
        <f>IF(H16="","",IF($I$8="A",(RANK(H16,H$11:H$343,1)+COUNTIF(H$11:H16,H16)-1),(RANK(H16,H$11:H$343)+COUNTIF(H$11:H16,H16)-1)))</f>
        <v/>
      </c>
      <c r="J16" s="41"/>
      <c r="K16" s="36">
        <f t="shared" si="10"/>
        <v>6</v>
      </c>
      <c r="L16" t="str">
        <f t="shared" si="2"/>
        <v>Bracknell Forest</v>
      </c>
      <c r="M16" s="117">
        <f t="shared" si="3"/>
        <v>392.2</v>
      </c>
      <c r="N16" s="112">
        <f t="shared" si="23"/>
        <v>392.2</v>
      </c>
      <c r="O16" s="96">
        <f t="shared" si="11"/>
        <v>392.2</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Herefordshire</v>
      </c>
      <c r="AG16" s="15">
        <f t="shared" si="15"/>
        <v>481.2</v>
      </c>
      <c r="AH16" s="50" t="e">
        <f t="shared" si="22"/>
        <v>#N/A</v>
      </c>
      <c r="AI16" s="5" t="str">
        <f>IF(L16="","",VLOOKUP($L16,classifications!$C:$J,8,FALSE))</f>
        <v>Unitary</v>
      </c>
      <c r="AJ16" s="43">
        <f t="shared" si="5"/>
        <v>392.2</v>
      </c>
      <c r="AK16" s="40">
        <f>IF(AJ16="","",IF(I$8="A",(RANK(AJ16,AJ$11:AJ$343,1)+COUNTIF(AJ$11:AJ16,AJ16)-1),(RANK(AJ16,AJ$11:AJ$343)+COUNTIF(AJ$11:AJ16,AJ16)-1)))</f>
        <v>6</v>
      </c>
      <c r="AL16" s="3">
        <f t="shared" si="16"/>
        <v>6</v>
      </c>
      <c r="AM16" t="str">
        <f t="shared" si="6"/>
        <v>Bracknell Forest</v>
      </c>
      <c r="AN16">
        <f t="shared" si="7"/>
        <v>392.2</v>
      </c>
      <c r="AP16" s="5" t="str">
        <f>IF(L16="","",VLOOKUP($L16,classifications!$C:$E,3,FALSE))</f>
        <v>South East</v>
      </c>
      <c r="AQ16" s="43" t="str">
        <f t="shared" si="17"/>
        <v/>
      </c>
      <c r="AR16" s="40" t="str">
        <f>IF(AQ16="","",IF(I$8="A",(RANK(AQ16,AQ$11:AQ$343,1)+COUNTIF(AQ$11:AQ16,AQ16)-1),(RANK(AQ16,AQ$11:AQ$343)+COUNTIF(AQ$11:AQ16,AQ16)-1)))</f>
        <v/>
      </c>
      <c r="AS16" s="3">
        <f t="shared" si="18"/>
        <v>6</v>
      </c>
      <c r="AT16" s="40" t="str">
        <f t="shared" si="8"/>
        <v>Halton</v>
      </c>
      <c r="AU16" s="43">
        <f t="shared" si="9"/>
        <v>598.9</v>
      </c>
      <c r="AX16">
        <f>HLOOKUP($AX$9&amp;$AX$10,Data!$A$1:$ZZ$1980,(MATCH($C16,Data!$A$1:$A$1980,0)),FALSE)</f>
        <v>385.8</v>
      </c>
    </row>
    <row r="17" spans="1:50">
      <c r="A17" s="59" t="str">
        <f>$D$1&amp;7</f>
        <v>UA7</v>
      </c>
      <c r="B17" s="60" t="str">
        <f>IF(ISERROR(VLOOKUP(A17,classifications!A:C,3,FALSE)),0,VLOOKUP(A17,classifications!A:C,3,FALSE))</f>
        <v>North Lincolnshire</v>
      </c>
      <c r="C17" t="s">
        <v>905</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Isle of Wight</v>
      </c>
      <c r="M17" s="117">
        <f t="shared" si="3"/>
        <v>397.1</v>
      </c>
      <c r="N17" s="112">
        <f t="shared" si="23"/>
        <v>397.1</v>
      </c>
      <c r="O17" s="96">
        <f t="shared" si="11"/>
        <v>397.1</v>
      </c>
      <c r="P17" s="96" t="str">
        <f t="shared" si="19"/>
        <v/>
      </c>
      <c r="Q17" s="96" t="str">
        <f t="shared" si="20"/>
        <v/>
      </c>
      <c r="R17" s="92" t="str">
        <f t="shared" si="21"/>
        <v/>
      </c>
      <c r="S17" s="42" t="str">
        <f t="shared" si="12"/>
        <v/>
      </c>
      <c r="T17" s="167" t="str">
        <f>IF(L17="","",VLOOKUP(L17,classifications!C:K,9,FALSE))</f>
        <v>Sparse</v>
      </c>
      <c r="U17" s="168">
        <f t="shared" si="13"/>
        <v>397.1</v>
      </c>
      <c r="V17" s="174">
        <f>IF(U17="","",IF($I$8="A",(RANK(U17,U$11:U$343)+COUNTIF(U$11:U17,U17)-1),(RANK(U17,U$11:U$343,1)+COUNTIF(U$11:U17,U17)-1)))</f>
        <v>11</v>
      </c>
      <c r="W17" s="175"/>
      <c r="X17" s="5" t="str">
        <f>IF(L17="","",VLOOKUP($L17,classifications!$C:$J,6,FALSE))</f>
        <v xml:space="preserve">Mainly Rural (rural including hub towns &gt;=80%) </v>
      </c>
      <c r="Y17">
        <f t="shared" si="4"/>
        <v>397.1</v>
      </c>
      <c r="Z17" s="40">
        <f>IF(Y17="","",IF(I$8="A",(RANK(Y17,Y$11:Y$343,1)+COUNTIF(Y$11:Y17,Y17)-1),(RANK(Y17,Y$11:Y$343)+COUNTIF(Y$11:Y17,Y17)-1)))</f>
        <v>4</v>
      </c>
      <c r="AA17" s="180" t="str">
        <f>IF(L17="","",VLOOKUP($L17,classifications!C:I,7,FALSE))</f>
        <v>Predominantly Rural</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541.4</v>
      </c>
      <c r="AH17" s="50" t="e">
        <f t="shared" si="22"/>
        <v>#N/A</v>
      </c>
      <c r="AI17" s="5" t="str">
        <f>IF(L17="","",VLOOKUP($L17,classifications!$C:$J,8,FALSE))</f>
        <v>Unitary</v>
      </c>
      <c r="AJ17" s="43">
        <f t="shared" si="5"/>
        <v>397.1</v>
      </c>
      <c r="AK17" s="40">
        <f>IF(AJ17="","",IF(I$8="A",(RANK(AJ17,AJ$11:AJ$343,1)+COUNTIF(AJ$11:AJ17,AJ17)-1),(RANK(AJ17,AJ$11:AJ$343)+COUNTIF(AJ$11:AJ17,AJ17)-1)))</f>
        <v>7</v>
      </c>
      <c r="AL17" s="3">
        <f t="shared" si="16"/>
        <v>7</v>
      </c>
      <c r="AM17" t="str">
        <f t="shared" si="6"/>
        <v>Isle of Wight</v>
      </c>
      <c r="AN17">
        <f t="shared" si="7"/>
        <v>397.1</v>
      </c>
      <c r="AP17" s="5" t="str">
        <f>IF(L17="","",VLOOKUP($L17,classifications!$C:$E,3,FALSE))</f>
        <v>South East</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Bristol</v>
      </c>
      <c r="M18" s="117">
        <f t="shared" si="3"/>
        <v>404.8</v>
      </c>
      <c r="N18" s="112">
        <f t="shared" si="23"/>
        <v>404.8</v>
      </c>
      <c r="O18" s="96">
        <f t="shared" si="11"/>
        <v>404.8</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300.2</v>
      </c>
      <c r="AH18" s="50" t="e">
        <f t="shared" si="22"/>
        <v>#N/A</v>
      </c>
      <c r="AI18" s="5" t="str">
        <f>IF(L18="","",VLOOKUP($L18,classifications!$C:$J,8,FALSE))</f>
        <v>Unitary</v>
      </c>
      <c r="AJ18" s="43">
        <f t="shared" si="5"/>
        <v>404.8</v>
      </c>
      <c r="AK18" s="40">
        <f>IF(AJ18="","",IF(I$8="A",(RANK(AJ18,AJ$11:AJ$343,1)+COUNTIF(AJ$11:AJ18,AJ18)-1),(RANK(AJ18,AJ$11:AJ$343)+COUNTIF(AJ$11:AJ18,AJ18)-1)))</f>
        <v>8</v>
      </c>
      <c r="AL18" s="3">
        <f t="shared" si="16"/>
        <v>8</v>
      </c>
      <c r="AM18" t="str">
        <f t="shared" si="6"/>
        <v>Bristol</v>
      </c>
      <c r="AN18">
        <f t="shared" si="7"/>
        <v>404.8</v>
      </c>
      <c r="AP18" s="5" t="str">
        <f>IF(L18="","",VLOOKUP($L18,classifications!$C:$E,3,FALSE))</f>
        <v>South West</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673</v>
      </c>
      <c r="G19" s="15"/>
      <c r="H19" s="42" t="str">
        <f t="shared" si="1"/>
        <v/>
      </c>
      <c r="I19" s="79" t="str">
        <f>IF(H19="","",IF($I$8="A",(RANK(H19,H$11:H$343,1)+COUNTIF(H$11:H19,H19)-1),(RANK(H19,H$11:H$343)+COUNTIF(H$11:H19,H19)-1)))</f>
        <v/>
      </c>
      <c r="J19" s="41"/>
      <c r="K19" s="36">
        <f t="shared" si="10"/>
        <v>9</v>
      </c>
      <c r="L19" t="str">
        <f t="shared" si="2"/>
        <v>Cheshire West &amp; Chester</v>
      </c>
      <c r="M19" s="117">
        <f t="shared" si="3"/>
        <v>413.3</v>
      </c>
      <c r="N19" s="112">
        <f t="shared" si="23"/>
        <v>413.3</v>
      </c>
      <c r="O19" s="96">
        <f t="shared" si="11"/>
        <v>413.3</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Significant Rural (rural including hub towns 26-49%)</v>
      </c>
      <c r="Y19">
        <f t="shared" si="4"/>
        <v>413.3</v>
      </c>
      <c r="Z19" s="40">
        <f>IF(Y19="","",IF(I$8="A",(RANK(Y19,Y$11:Y$343,1)+COUNTIF(Y$11:Y19,Y19)-1),(RANK(Y19,Y$11:Y$343)+COUNTIF(Y$11:Y19,Y19)-1)))</f>
        <v>5</v>
      </c>
      <c r="AA19" s="180" t="str">
        <f>IF(L19="","",VLOOKUP($L19,classifications!C:I,7,FALSE))</f>
        <v>Significant Rural</v>
      </c>
      <c r="AB19" s="174">
        <f t="shared" si="14"/>
        <v>413.3</v>
      </c>
      <c r="AC19" s="174">
        <f>IF(AB19="","",IF($I$8="A",(RANK(AB19,AB$11:AB$343)+COUNTIF(AB$11:AB19,AB19)-1),(RANK(AB19,AB$11:AB$343,1)+COUNTIF(AB$11:AB19,AB19)-1)))</f>
        <v>8</v>
      </c>
      <c r="AD19" s="174"/>
      <c r="AE19" s="49" t="e">
        <f>IF(I$8="A",(RANK(AG19,AG$11:AG$343,1)+COUNTIF(AG$11:AG19,AG19)-1),(RANK(AG19,AG$11:AG$343)+COUNTIF(AG$11:AG19,AG19)-1))</f>
        <v>#N/A</v>
      </c>
      <c r="AF19" t="str">
        <f>VLOOKUP(Profile!$J$5,Families!$C:$R,9,FALSE)</f>
        <v>Central Bedfordshire</v>
      </c>
      <c r="AG19" s="15">
        <f t="shared" si="15"/>
        <v>530</v>
      </c>
      <c r="AH19" s="50" t="e">
        <f t="shared" si="22"/>
        <v>#N/A</v>
      </c>
      <c r="AI19" s="5" t="str">
        <f>IF(L19="","",VLOOKUP($L19,classifications!$C:$J,8,FALSE))</f>
        <v>Unitary</v>
      </c>
      <c r="AJ19" s="43">
        <f t="shared" si="5"/>
        <v>413.3</v>
      </c>
      <c r="AK19" s="40">
        <f>IF(AJ19="","",IF(I$8="A",(RANK(AJ19,AJ$11:AJ$343,1)+COUNTIF(AJ$11:AJ19,AJ19)-1),(RANK(AJ19,AJ$11:AJ$343)+COUNTIF(AJ$11:AJ19,AJ19)-1)))</f>
        <v>9</v>
      </c>
      <c r="AL19" s="3">
        <f t="shared" si="16"/>
        <v>9</v>
      </c>
      <c r="AM19" t="str">
        <f t="shared" si="6"/>
        <v>Cheshire West &amp; Chester</v>
      </c>
      <c r="AN19">
        <f t="shared" si="7"/>
        <v>413.3</v>
      </c>
      <c r="AP19" s="5" t="str">
        <f>IF(L19="","",VLOOKUP($L19,classifications!$C:$E,3,FALSE))</f>
        <v>North West</v>
      </c>
      <c r="AQ19" s="43">
        <f t="shared" si="17"/>
        <v>413.3</v>
      </c>
      <c r="AR19" s="40">
        <f>IF(AQ19="","",IF(I$8="A",(RANK(AQ19,AQ$11:AQ$343,1)+COUNTIF(AQ$11:AQ19,AQ19)-1),(RANK(AQ19,AQ$11:AQ$343)+COUNTIF(AQ$11:AQ19,AQ19)-1)))</f>
        <v>1</v>
      </c>
      <c r="AS19" s="3" t="str">
        <f t="shared" si="18"/>
        <v/>
      </c>
      <c r="AT19" s="40" t="str">
        <f t="shared" si="8"/>
        <v/>
      </c>
      <c r="AU19" s="43" t="str">
        <f t="shared" si="9"/>
        <v/>
      </c>
      <c r="AX19">
        <f>HLOOKUP($AX$9&amp;$AX$10,Data!$A$1:$ZZ$1980,(MATCH($C19,Data!$A$1:$A$1980,0)),FALSE)</f>
        <v>673</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634.70000000000005</v>
      </c>
      <c r="G20" s="15"/>
      <c r="H20" s="42" t="str">
        <f t="shared" si="1"/>
        <v/>
      </c>
      <c r="I20" s="79" t="str">
        <f>IF(H20="","",IF($I$8="A",(RANK(H20,H$11:H$343,1)+COUNTIF(H$11:H20,H20)-1),(RANK(H20,H$11:H$343)+COUNTIF(H$11:H20,H20)-1)))</f>
        <v/>
      </c>
      <c r="J20" s="41"/>
      <c r="K20" s="36">
        <f t="shared" si="10"/>
        <v>10</v>
      </c>
      <c r="L20" t="str">
        <f t="shared" si="2"/>
        <v>East Riding of Yorkshire</v>
      </c>
      <c r="M20" s="117">
        <f t="shared" si="3"/>
        <v>415.4</v>
      </c>
      <c r="N20" s="112">
        <f t="shared" si="23"/>
        <v>415.4</v>
      </c>
      <c r="O20" s="96">
        <f t="shared" si="11"/>
        <v>415.4</v>
      </c>
      <c r="P20" s="96" t="str">
        <f t="shared" si="19"/>
        <v/>
      </c>
      <c r="Q20" s="96" t="str">
        <f t="shared" si="20"/>
        <v/>
      </c>
      <c r="R20" s="92" t="str">
        <f t="shared" si="21"/>
        <v/>
      </c>
      <c r="S20" s="42" t="str">
        <f t="shared" si="12"/>
        <v/>
      </c>
      <c r="T20" s="167" t="str">
        <f>IF(L20="","",VLOOKUP(L20,classifications!C:K,9,FALSE))</f>
        <v>Sparse</v>
      </c>
      <c r="U20" s="168">
        <f t="shared" si="13"/>
        <v>415.4</v>
      </c>
      <c r="V20" s="174">
        <f>IF(U20="","",IF($I$8="A",(RANK(U20,U$11:U$343)+COUNTIF(U$11:U20,U20)-1),(RANK(U20,U$11:U$343,1)+COUNTIF(U$11:U20,U20)-1)))</f>
        <v>10</v>
      </c>
      <c r="W20" s="175"/>
      <c r="X20" s="5" t="str">
        <f>IF(L20="","",VLOOKUP($L20,classifications!$C:$J,6,FALSE))</f>
        <v xml:space="preserve">Largely Rural (rural including hub towns 50-79%) </v>
      </c>
      <c r="Y20">
        <f t="shared" si="4"/>
        <v>415.4</v>
      </c>
      <c r="Z20" s="40">
        <f>IF(Y20="","",IF(I$8="A",(RANK(Y20,Y$11:Y$343,1)+COUNTIF(Y$11:Y20,Y20)-1),(RANK(Y20,Y$11:Y$343)+COUNTIF(Y$11:Y20,Y20)-1)))</f>
        <v>6</v>
      </c>
      <c r="AA20" s="180" t="str">
        <f>IF(L20="","",VLOOKUP($L20,classifications!C:I,7,FALSE))</f>
        <v>Predominantly Rural</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North Somerset</v>
      </c>
      <c r="AG20" s="15">
        <f t="shared" si="15"/>
        <v>373.6</v>
      </c>
      <c r="AH20" s="50" t="e">
        <f t="shared" si="22"/>
        <v>#N/A</v>
      </c>
      <c r="AI20" s="5" t="str">
        <f>IF(L20="","",VLOOKUP($L20,classifications!$C:$J,8,FALSE))</f>
        <v>Unitary</v>
      </c>
      <c r="AJ20" s="43">
        <f t="shared" si="5"/>
        <v>415.4</v>
      </c>
      <c r="AK20" s="40">
        <f>IF(AJ20="","",IF(I$8="A",(RANK(AJ20,AJ$11:AJ$343,1)+COUNTIF(AJ$11:AJ20,AJ20)-1),(RANK(AJ20,AJ$11:AJ$343)+COUNTIF(AJ$11:AJ20,AJ20)-1)))</f>
        <v>10</v>
      </c>
      <c r="AL20" s="3">
        <f t="shared" si="16"/>
        <v>10</v>
      </c>
      <c r="AM20" t="str">
        <f t="shared" si="6"/>
        <v>East Riding of Yorkshire</v>
      </c>
      <c r="AN20">
        <f t="shared" si="7"/>
        <v>415.4</v>
      </c>
      <c r="AP20" s="5" t="str">
        <f>IF(L20="","",VLOOKUP($L20,classifications!$C:$E,3,FALSE))</f>
        <v>Yorkshire &amp; Humberside</v>
      </c>
      <c r="AQ20" s="43" t="str">
        <f t="shared" si="17"/>
        <v/>
      </c>
      <c r="AR20" s="40" t="str">
        <f>IF(AQ20="","",IF(I$8="A",(RANK(AQ20,AQ$11:AQ$343,1)+COUNTIF(AQ$11:AQ20,AQ20)-1),(RANK(AQ20,AQ$11:AQ$343)+COUNTIF(AQ$11:AQ20,AQ20)-1)))</f>
        <v/>
      </c>
      <c r="AS20" s="3" t="str">
        <f t="shared" si="18"/>
        <v/>
      </c>
      <c r="AT20" s="40" t="str">
        <f t="shared" si="8"/>
        <v/>
      </c>
      <c r="AU20" s="43" t="str">
        <f t="shared" si="9"/>
        <v/>
      </c>
      <c r="AX20">
        <f>HLOOKUP($AX$9&amp;$AX$10,Data!$A$1:$ZZ$1980,(MATCH($C20,Data!$A$1:$A$1980,0)),FALSE)</f>
        <v>634.70000000000005</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480</v>
      </c>
      <c r="G21" s="15"/>
      <c r="H21" s="42" t="str">
        <f t="shared" si="1"/>
        <v/>
      </c>
      <c r="I21" s="79" t="str">
        <f>IF(H21="","",IF($I$8="A",(RANK(H21,H$11:H$343,1)+COUNTIF(H$11:H21,H21)-1),(RANK(H21,H$11:H$343)+COUNTIF(H$11:H21,H21)-1)))</f>
        <v/>
      </c>
      <c r="J21" s="41"/>
      <c r="K21" s="36">
        <f t="shared" si="10"/>
        <v>11</v>
      </c>
      <c r="L21" t="str">
        <f t="shared" si="2"/>
        <v>Wokingham</v>
      </c>
      <c r="M21" s="117">
        <f t="shared" si="3"/>
        <v>420.4</v>
      </c>
      <c r="N21" s="112">
        <f t="shared" si="23"/>
        <v>420.4</v>
      </c>
      <c r="O21" s="96">
        <f t="shared" si="11"/>
        <v>420.4</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415.4</v>
      </c>
      <c r="AH21" s="50" t="e">
        <f t="shared" si="22"/>
        <v>#N/A</v>
      </c>
      <c r="AI21" s="5" t="str">
        <f>IF(L21="","",VLOOKUP($L21,classifications!$C:$J,8,FALSE))</f>
        <v>Unitary</v>
      </c>
      <c r="AJ21" s="43">
        <f t="shared" si="5"/>
        <v>420.4</v>
      </c>
      <c r="AK21" s="40">
        <f>IF(AJ21="","",IF(I$8="A",(RANK(AJ21,AJ$11:AJ$343,1)+COUNTIF(AJ$11:AJ21,AJ21)-1),(RANK(AJ21,AJ$11:AJ$343)+COUNTIF(AJ$11:AJ21,AJ21)-1)))</f>
        <v>11</v>
      </c>
      <c r="AL21" s="3">
        <f t="shared" si="16"/>
        <v>11</v>
      </c>
      <c r="AM21" t="str">
        <f t="shared" si="6"/>
        <v>Wokingham</v>
      </c>
      <c r="AN21">
        <f t="shared" si="7"/>
        <v>420.4</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480</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558.70000000000005</v>
      </c>
      <c r="G22" s="15"/>
      <c r="H22" s="42" t="str">
        <f t="shared" si="1"/>
        <v/>
      </c>
      <c r="I22" s="79" t="str">
        <f>IF(H22="","",IF($I$8="A",(RANK(H22,H$11:H$343,1)+COUNTIF(H$11:H22,H22)-1),(RANK(H22,H$11:H$343)+COUNTIF(H$11:H22,H22)-1)))</f>
        <v/>
      </c>
      <c r="J22" s="41"/>
      <c r="K22" s="36">
        <f t="shared" si="10"/>
        <v>12</v>
      </c>
      <c r="L22" t="str">
        <f t="shared" si="2"/>
        <v>Kingston upon Hull</v>
      </c>
      <c r="M22" s="117">
        <f t="shared" si="3"/>
        <v>444.1</v>
      </c>
      <c r="N22" s="112">
        <f t="shared" si="23"/>
        <v>444.1</v>
      </c>
      <c r="O22" s="96">
        <f t="shared" si="11"/>
        <v>444.1</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City and Town</v>
      </c>
      <c r="Y22" t="str">
        <f t="shared" si="4"/>
        <v/>
      </c>
      <c r="Z22" s="40" t="str">
        <f>IF(Y22="","",IF(I$8="A",(RANK(Y22,Y$11:Y$343,1)+COUNTIF(Y$11:Y22,Y22)-1),(RANK(Y22,Y$11:Y$343)+COUNTIF(Y$11:Y22,Y22)-1)))</f>
        <v/>
      </c>
      <c r="AA22" s="180" t="str">
        <f>IF(L22="","",VLOOKUP($L22,classifications!C:I,7,FALSE))</f>
        <v>Predominantly Urban</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York</v>
      </c>
      <c r="AG22" s="15">
        <f t="shared" si="15"/>
        <v>499.4</v>
      </c>
      <c r="AH22" s="50" t="e">
        <f t="shared" si="22"/>
        <v>#N/A</v>
      </c>
      <c r="AI22" s="5" t="str">
        <f>IF(L22="","",VLOOKUP($L22,classifications!$C:$J,8,FALSE))</f>
        <v>Unitary</v>
      </c>
      <c r="AJ22" s="43">
        <f t="shared" si="5"/>
        <v>444.1</v>
      </c>
      <c r="AK22" s="40">
        <f>IF(AJ22="","",IF(I$8="A",(RANK(AJ22,AJ$11:AJ$343,1)+COUNTIF(AJ$11:AJ22,AJ22)-1),(RANK(AJ22,AJ$11:AJ$343)+COUNTIF(AJ$11:AJ22,AJ22)-1)))</f>
        <v>12</v>
      </c>
      <c r="AL22" s="3">
        <f t="shared" si="16"/>
        <v>12</v>
      </c>
      <c r="AM22" t="str">
        <f t="shared" si="6"/>
        <v>Kingston upon Hull</v>
      </c>
      <c r="AN22">
        <f t="shared" si="7"/>
        <v>444.1</v>
      </c>
      <c r="AP22" s="5" t="str">
        <f>IF(L22="","",VLOOKUP($L22,classifications!$C:$E,3,FALSE))</f>
        <v>Yorkshire &amp; Humberside</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558.70000000000005</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536</v>
      </c>
      <c r="G23" s="15"/>
      <c r="H23" s="42" t="str">
        <f t="shared" si="1"/>
        <v/>
      </c>
      <c r="I23" s="79" t="str">
        <f>IF(H23="","",IF($I$8="A",(RANK(H23,H$11:H$343,1)+COUNTIF(H$11:H23,H23)-1),(RANK(H23,H$11:H$343)+COUNTIF(H$11:H23,H23)-1)))</f>
        <v/>
      </c>
      <c r="J23" s="41"/>
      <c r="K23" s="36">
        <f t="shared" si="10"/>
        <v>13</v>
      </c>
      <c r="L23" t="str">
        <f t="shared" si="2"/>
        <v>Bournemouth, Christchurch and Poole</v>
      </c>
      <c r="M23" s="117">
        <f t="shared" si="3"/>
        <v>454.1</v>
      </c>
      <c r="N23" s="112">
        <f t="shared" si="23"/>
        <v>454.1</v>
      </c>
      <c r="O23" s="96">
        <f t="shared" si="11"/>
        <v>454.1</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f>IF(L23="","",VLOOKUP($L23,classifications!$C:$J,6,FALSE))</f>
        <v>0</v>
      </c>
      <c r="Y23" t="str">
        <f t="shared" si="4"/>
        <v/>
      </c>
      <c r="Z23" s="40" t="str">
        <f>IF(Y23="","",IF(I$8="A",(RANK(Y23,Y$11:Y$343,1)+COUNTIF(Y$11:Y23,Y23)-1),(RANK(Y23,Y$11:Y$343)+COUNTIF(Y$11:Y23,Y23)-1)))</f>
        <v/>
      </c>
      <c r="AA23" s="180" t="str">
        <f>IF(L23="","",VLOOKUP($L23,classifications!C:I,7,FALSE))</f>
        <v>Predominantly Urban</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454.1</v>
      </c>
      <c r="AK23" s="40">
        <f>IF(AJ23="","",IF(I$8="A",(RANK(AJ23,AJ$11:AJ$343,1)+COUNTIF(AJ$11:AJ23,AJ23)-1),(RANK(AJ23,AJ$11:AJ$343)+COUNTIF(AJ$11:AJ23,AJ23)-1)))</f>
        <v>13</v>
      </c>
      <c r="AL23" s="3">
        <f t="shared" si="16"/>
        <v>13</v>
      </c>
      <c r="AM23" t="str">
        <f t="shared" si="6"/>
        <v>Bournemouth, Christchurch and Poole</v>
      </c>
      <c r="AN23">
        <f t="shared" si="7"/>
        <v>454.1</v>
      </c>
      <c r="AP23" s="5" t="str">
        <f>IF(L23="","",VLOOKUP($L23,classifications!$C:$E,3,FALSE))</f>
        <v>South West</v>
      </c>
      <c r="AQ23" s="43" t="str">
        <f t="shared" si="17"/>
        <v/>
      </c>
      <c r="AR23" s="40" t="str">
        <f>IF(AQ23="","",IF(I$8="A",(RANK(AQ23,AQ$11:AQ$343,1)+COUNTIF(AQ$11:AQ23,AQ23)-1),(RANK(AQ23,AQ$11:AQ$343)+COUNTIF(AQ$11:AQ23,AQ23)-1)))</f>
        <v/>
      </c>
      <c r="AS23" s="3" t="str">
        <f t="shared" si="18"/>
        <v/>
      </c>
      <c r="AT23" s="40" t="str">
        <f t="shared" si="8"/>
        <v/>
      </c>
      <c r="AU23" s="43" t="str">
        <f t="shared" si="9"/>
        <v/>
      </c>
      <c r="AX23">
        <f>HLOOKUP($AX$9&amp;$AX$10,Data!$A$1:$ZZ$1980,(MATCH($C23,Data!$A$1:$A$1980,0)),FALSE)</f>
        <v>536</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537</v>
      </c>
      <c r="G24" s="15"/>
      <c r="H24" s="42" t="str">
        <f t="shared" si="1"/>
        <v/>
      </c>
      <c r="I24" s="79" t="str">
        <f>IF(H24="","",IF($I$8="A",(RANK(H24,H$11:H$343,1)+COUNTIF(H$11:H24,H24)-1),(RANK(H24,H$11:H$343)+COUNTIF(H$11:H24,H24)-1)))</f>
        <v/>
      </c>
      <c r="J24" s="41"/>
      <c r="K24" s="36">
        <f t="shared" si="10"/>
        <v>14</v>
      </c>
      <c r="L24" t="str">
        <f t="shared" si="2"/>
        <v>Cheshire East</v>
      </c>
      <c r="M24" s="117">
        <f t="shared" si="3"/>
        <v>467.1</v>
      </c>
      <c r="N24" s="112">
        <f t="shared" si="23"/>
        <v>467.1</v>
      </c>
      <c r="O24" s="96">
        <f t="shared" si="11"/>
        <v>467.1</v>
      </c>
      <c r="P24" s="96" t="str">
        <f t="shared" si="19"/>
        <v/>
      </c>
      <c r="Q24" s="96" t="str">
        <f t="shared" si="20"/>
        <v/>
      </c>
      <c r="R24" s="92" t="str">
        <f t="shared" si="21"/>
        <v/>
      </c>
      <c r="S24" s="42" t="str">
        <f t="shared" si="12"/>
        <v>u</v>
      </c>
      <c r="T24" s="167" t="str">
        <f>IF(L24="","",VLOOKUP(L24,classifications!C:K,9,FALSE))</f>
        <v>Sparse</v>
      </c>
      <c r="U24" s="168">
        <f t="shared" si="13"/>
        <v>467.1</v>
      </c>
      <c r="V24" s="174">
        <f>IF(U24="","",IF($I$8="A",(RANK(U24,U$11:U$343)+COUNTIF(U$11:U24,U24)-1),(RANK(U24,U$11:U$343,1)+COUNTIF(U$11:U24,U24)-1)))</f>
        <v>9</v>
      </c>
      <c r="W24" s="175"/>
      <c r="X24" s="5" t="str">
        <f>IF(L24="","",VLOOKUP($L24,classifications!$C:$J,6,FALSE))</f>
        <v>Urban with Significant Rural (rural including hub towns 26-49%)</v>
      </c>
      <c r="Y24">
        <f t="shared" si="4"/>
        <v>467.1</v>
      </c>
      <c r="Z24" s="40">
        <f>IF(Y24="","",IF(I$8="A",(RANK(Y24,Y$11:Y$343,1)+COUNTIF(Y$11:Y24,Y24)-1),(RANK(Y24,Y$11:Y$343)+COUNTIF(Y$11:Y24,Y24)-1)))</f>
        <v>7</v>
      </c>
      <c r="AA24" s="180" t="str">
        <f>IF(L24="","",VLOOKUP($L24,classifications!C:I,7,FALSE))</f>
        <v>Significant Rural</v>
      </c>
      <c r="AB24" s="174">
        <f t="shared" si="14"/>
        <v>467.1</v>
      </c>
      <c r="AC24" s="174">
        <f>IF(AB24="","",IF($I$8="A",(RANK(AB24,AB$11:AB$343)+COUNTIF(AB$11:AB24,AB24)-1),(RANK(AB24,AB$11:AB$343,1)+COUNTIF(AB$11:AB24,AB24)-1)))</f>
        <v>7</v>
      </c>
      <c r="AD24" s="174"/>
      <c r="AE24" s="49" t="e">
        <f>IF(I$8="A",(RANK(AG24,AG$11:AG$343,1)+COUNTIF(AG$11:AG24,AG24)-1),(RANK(AG24,AG$11:AG$343)+COUNTIF(AG$11:AG24,AG24)-1))</f>
        <v>#N/A</v>
      </c>
      <c r="AF24" t="str">
        <f>VLOOKUP(Profile!$J$5,Families!$C:$R,14,FALSE)</f>
        <v>Bedford</v>
      </c>
      <c r="AG24" s="15">
        <f t="shared" si="15"/>
        <v>580.79999999999995</v>
      </c>
      <c r="AH24" s="50" t="e">
        <f t="shared" si="22"/>
        <v>#N/A</v>
      </c>
      <c r="AI24" s="5" t="str">
        <f>IF(L24="","",VLOOKUP($L24,classifications!$C:$J,8,FALSE))</f>
        <v>Unitary</v>
      </c>
      <c r="AJ24" s="43">
        <f t="shared" si="5"/>
        <v>467.1</v>
      </c>
      <c r="AK24" s="40">
        <f>IF(AJ24="","",IF(I$8="A",(RANK(AJ24,AJ$11:AJ$343,1)+COUNTIF(AJ$11:AJ24,AJ24)-1),(RANK(AJ24,AJ$11:AJ$343)+COUNTIF(AJ$11:AJ24,AJ24)-1)))</f>
        <v>14</v>
      </c>
      <c r="AL24" s="3">
        <f t="shared" si="16"/>
        <v>14</v>
      </c>
      <c r="AM24" t="str">
        <f t="shared" si="6"/>
        <v>Cheshire East</v>
      </c>
      <c r="AN24">
        <f t="shared" si="7"/>
        <v>467.1</v>
      </c>
      <c r="AP24" s="5" t="str">
        <f>IF(L24="","",VLOOKUP($L24,classifications!$C:$E,3,FALSE))</f>
        <v>North West</v>
      </c>
      <c r="AQ24" s="43">
        <f t="shared" si="17"/>
        <v>467.1</v>
      </c>
      <c r="AR24" s="40">
        <f>IF(AQ24="","",IF(I$8="A",(RANK(AQ24,AQ$11:AQ$343,1)+COUNTIF(AQ$11:AQ24,AQ24)-1),(RANK(AQ24,AQ$11:AQ$343)+COUNTIF(AQ$11:AQ24,AQ24)-1)))</f>
        <v>2</v>
      </c>
      <c r="AS24" s="3" t="str">
        <f t="shared" si="18"/>
        <v/>
      </c>
      <c r="AT24" s="40" t="str">
        <f t="shared" si="8"/>
        <v/>
      </c>
      <c r="AU24" s="43" t="str">
        <f t="shared" si="9"/>
        <v/>
      </c>
      <c r="AX24">
        <f>HLOOKUP($AX$9&amp;$AX$10,Data!$A$1:$ZZ$1980,(MATCH($C24,Data!$A$1:$A$1980,0)),FALSE)</f>
        <v>537</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586</v>
      </c>
      <c r="G25" s="15"/>
      <c r="H25" s="42" t="str">
        <f t="shared" si="1"/>
        <v/>
      </c>
      <c r="I25" s="79" t="str">
        <f>IF(H25="","",IF($I$8="A",(RANK(H25,H$11:H$343,1)+COUNTIF(H$11:H25,H25)-1),(RANK(H25,H$11:H$343)+COUNTIF(H$11:H25,H25)-1)))</f>
        <v/>
      </c>
      <c r="J25" s="41"/>
      <c r="K25" s="36">
        <f t="shared" si="10"/>
        <v>15</v>
      </c>
      <c r="L25" t="str">
        <f t="shared" si="2"/>
        <v>Blackpool</v>
      </c>
      <c r="M25" s="117">
        <f t="shared" si="3"/>
        <v>469.9</v>
      </c>
      <c r="N25" s="112">
        <f t="shared" si="23"/>
        <v>469.9</v>
      </c>
      <c r="O25" s="96">
        <f t="shared" si="11"/>
        <v>469.9</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377.7</v>
      </c>
      <c r="AH25" s="50" t="e">
        <f t="shared" si="22"/>
        <v>#N/A</v>
      </c>
      <c r="AI25" s="5" t="str">
        <f>IF(L25="","",VLOOKUP($L25,classifications!$C:$J,8,FALSE))</f>
        <v>Unitary</v>
      </c>
      <c r="AJ25" s="43">
        <f t="shared" si="5"/>
        <v>469.9</v>
      </c>
      <c r="AK25" s="40">
        <f>IF(AJ25="","",IF(I$8="A",(RANK(AJ25,AJ$11:AJ$343,1)+COUNTIF(AJ$11:AJ25,AJ25)-1),(RANK(AJ25,AJ$11:AJ$343)+COUNTIF(AJ$11:AJ25,AJ25)-1)))</f>
        <v>15</v>
      </c>
      <c r="AL25" s="3">
        <f t="shared" si="16"/>
        <v>15</v>
      </c>
      <c r="AM25" t="str">
        <f t="shared" si="6"/>
        <v>Blackpool</v>
      </c>
      <c r="AN25">
        <f t="shared" si="7"/>
        <v>469.9</v>
      </c>
      <c r="AP25" s="5" t="str">
        <f>IF(L25="","",VLOOKUP($L25,classifications!$C:$E,3,FALSE))</f>
        <v>North West</v>
      </c>
      <c r="AQ25" s="43">
        <f t="shared" si="17"/>
        <v>469.9</v>
      </c>
      <c r="AR25" s="40">
        <f>IF(AQ25="","",IF(I$8="A",(RANK(AQ25,AQ$11:AQ$343,1)+COUNTIF(AQ$11:AQ25,AQ25)-1),(RANK(AQ25,AQ$11:AQ$343)+COUNTIF(AQ$11:AQ25,AQ25)-1)))</f>
        <v>3</v>
      </c>
      <c r="AS25" s="3" t="str">
        <f t="shared" si="18"/>
        <v/>
      </c>
      <c r="AT25" s="40" t="str">
        <f t="shared" si="8"/>
        <v/>
      </c>
      <c r="AU25" s="43" t="str">
        <f t="shared" si="9"/>
        <v/>
      </c>
      <c r="AX25">
        <f>HLOOKUP($AX$9&amp;$AX$10,Data!$A$1:$ZZ$1980,(MATCH($C25,Data!$A$1:$A$1980,0)),FALSE)</f>
        <v>586</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354</v>
      </c>
      <c r="G26" s="15"/>
      <c r="H26" s="42">
        <f t="shared" si="1"/>
        <v>354</v>
      </c>
      <c r="I26" s="79">
        <f>IF(H26="","",IF($I$8="A",(RANK(H26,H$11:H$343,1)+COUNTIF(H$11:H26,H26)-1),(RANK(H26,H$11:H$343)+COUNTIF(H$11:H26,H26)-1)))</f>
        <v>2</v>
      </c>
      <c r="J26" s="41"/>
      <c r="K26" s="36">
        <f t="shared" si="10"/>
        <v>16</v>
      </c>
      <c r="L26" t="str">
        <f t="shared" si="2"/>
        <v>Windsor &amp; Maidenhead</v>
      </c>
      <c r="M26" s="117">
        <f t="shared" si="3"/>
        <v>470.6</v>
      </c>
      <c r="N26" s="112">
        <f t="shared" si="23"/>
        <v>470.6</v>
      </c>
      <c r="O26" s="96" t="str">
        <f t="shared" si="11"/>
        <v/>
      </c>
      <c r="P26" s="96">
        <f t="shared" si="19"/>
        <v>470.6</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City and Town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Warrington</v>
      </c>
      <c r="AG26" s="15">
        <f t="shared" si="15"/>
        <v>517.6</v>
      </c>
      <c r="AH26" s="50" t="e">
        <f t="shared" si="22"/>
        <v>#N/A</v>
      </c>
      <c r="AI26" s="5" t="str">
        <f>IF(L26="","",VLOOKUP($L26,classifications!$C:$J,8,FALSE))</f>
        <v>Unitary</v>
      </c>
      <c r="AJ26" s="43">
        <f t="shared" si="5"/>
        <v>470.6</v>
      </c>
      <c r="AK26" s="40">
        <f>IF(AJ26="","",IF(I$8="A",(RANK(AJ26,AJ$11:AJ$343,1)+COUNTIF(AJ$11:AJ26,AJ26)-1),(RANK(AJ26,AJ$11:AJ$343)+COUNTIF(AJ$11:AJ26,AJ26)-1)))</f>
        <v>16</v>
      </c>
      <c r="AL26" s="3">
        <f t="shared" si="16"/>
        <v>16</v>
      </c>
      <c r="AM26" t="str">
        <f t="shared" si="6"/>
        <v>Windsor &amp; Maidenhead</v>
      </c>
      <c r="AN26">
        <f t="shared" si="7"/>
        <v>470.6</v>
      </c>
      <c r="AP26" s="5" t="str">
        <f>IF(L26="","",VLOOKUP($L26,classifications!$C:$E,3,FALSE))</f>
        <v>South East</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354</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580.79999999999995</v>
      </c>
      <c r="G27" s="15"/>
      <c r="H27" s="42">
        <f t="shared" si="1"/>
        <v>580.79999999999995</v>
      </c>
      <c r="I27" s="79">
        <f>IF(H27="","",IF($I$8="A",(RANK(H27,H$11:H$343,1)+COUNTIF(H$11:H27,H27)-1),(RANK(H27,H$11:H$343)+COUNTIF(H$11:H27,H27)-1)))</f>
        <v>48</v>
      </c>
      <c r="J27" s="41"/>
      <c r="K27" s="36">
        <f t="shared" si="10"/>
        <v>17</v>
      </c>
      <c r="L27" t="str">
        <f t="shared" si="2"/>
        <v>Buckinghamshire</v>
      </c>
      <c r="M27" s="117">
        <f t="shared" si="3"/>
        <v>477.3</v>
      </c>
      <c r="N27" s="112">
        <f t="shared" si="23"/>
        <v>477.3</v>
      </c>
      <c r="O27" s="96" t="str">
        <f t="shared" si="11"/>
        <v/>
      </c>
      <c r="P27" s="96">
        <f t="shared" si="19"/>
        <v>477.3</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Significant Rural</v>
      </c>
      <c r="Y27" t="str">
        <f t="shared" si="4"/>
        <v/>
      </c>
      <c r="Z27" s="40" t="str">
        <f>IF(Y27="","",IF(I$8="A",(RANK(Y27,Y$11:Y$343,1)+COUNTIF(Y$11:Y27,Y27)-1),(RANK(Y27,Y$11:Y$343)+COUNTIF(Y$11:Y27,Y27)-1)))</f>
        <v/>
      </c>
      <c r="AA27" s="180" t="str">
        <f>IF(L27="","",VLOOKUP($L27,classifications!C:I,7,FALSE))</f>
        <v>Significant Rural</v>
      </c>
      <c r="AB27" s="174">
        <f t="shared" si="14"/>
        <v>477.3</v>
      </c>
      <c r="AC27" s="174">
        <f>IF(AB27="","",IF($I$8="A",(RANK(AB27,AB$11:AB$343)+COUNTIF(AB$11:AB27,AB27)-1),(RANK(AB27,AB$11:AB$343,1)+COUNTIF(AB$11:AB27,AB27)-1)))</f>
        <v>6</v>
      </c>
      <c r="AD27" s="174"/>
      <c r="AE27" s="36"/>
      <c r="AG27" s="15"/>
      <c r="AH27" s="3"/>
      <c r="AI27" s="5" t="str">
        <f>IF(L27="","",VLOOKUP($L27,classifications!$C:$J,8,FALSE))</f>
        <v>Buckinghamshire</v>
      </c>
      <c r="AJ27" s="43" t="str">
        <f t="shared" si="5"/>
        <v/>
      </c>
      <c r="AK27" s="40" t="str">
        <f>IF(AJ27="","",IF(I$8="A",(RANK(AJ27,AJ$11:AJ$343,1)+COUNTIF(AJ$11:AJ27,AJ27)-1),(RANK(AJ27,AJ$11:AJ$343)+COUNTIF(AJ$11:AJ27,AJ27)-1)))</f>
        <v/>
      </c>
      <c r="AL27" s="3">
        <f t="shared" si="16"/>
        <v>17</v>
      </c>
      <c r="AM27" t="str">
        <f t="shared" si="6"/>
        <v>Herefordshire</v>
      </c>
      <c r="AN27">
        <f t="shared" si="7"/>
        <v>481.2</v>
      </c>
      <c r="AP27" s="5" t="str">
        <f>IF(L27="","",VLOOKUP($L27,classifications!$C:$E,3,FALSE))</f>
        <v>South East</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580.79999999999995</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463.9</v>
      </c>
      <c r="G28" s="15"/>
      <c r="H28" s="42" t="str">
        <f t="shared" si="1"/>
        <v/>
      </c>
      <c r="I28" s="79" t="str">
        <f>IF(H28="","",IF($I$8="A",(RANK(H28,H$11:H$343,1)+COUNTIF(H$11:H28,H28)-1),(RANK(H28,H$11:H$343)+COUNTIF(H$11:H28,H28)-1)))</f>
        <v/>
      </c>
      <c r="J28" s="41"/>
      <c r="K28" s="36">
        <f t="shared" si="10"/>
        <v>18</v>
      </c>
      <c r="L28" t="str">
        <f t="shared" si="2"/>
        <v>Herefordshire</v>
      </c>
      <c r="M28" s="117">
        <f t="shared" si="3"/>
        <v>481.2</v>
      </c>
      <c r="N28" s="112">
        <f t="shared" si="23"/>
        <v>481.2</v>
      </c>
      <c r="O28" s="96" t="str">
        <f t="shared" si="11"/>
        <v/>
      </c>
      <c r="P28" s="96">
        <f t="shared" si="19"/>
        <v>481.2</v>
      </c>
      <c r="Q28" s="96" t="str">
        <f t="shared" si="20"/>
        <v/>
      </c>
      <c r="R28" s="92" t="str">
        <f t="shared" si="21"/>
        <v/>
      </c>
      <c r="S28" s="42" t="str">
        <f t="shared" si="12"/>
        <v/>
      </c>
      <c r="T28" s="167" t="str">
        <f>IF(L28="","",VLOOKUP(L28,classifications!C:K,9,FALSE))</f>
        <v>Sparse</v>
      </c>
      <c r="U28" s="168">
        <f t="shared" si="13"/>
        <v>481.2</v>
      </c>
      <c r="V28" s="174">
        <f>IF(U28="","",IF($I$8="A",(RANK(U28,U$11:U$343)+COUNTIF(U$11:U28,U28)-1),(RANK(U28,U$11:U$343,1)+COUNTIF(U$11:U28,U28)-1)))</f>
        <v>8</v>
      </c>
      <c r="W28" s="175"/>
      <c r="X28" s="5" t="str">
        <f>IF(L28="","",VLOOKUP($L28,classifications!$C:$J,6,FALSE))</f>
        <v xml:space="preserve">Largely Rural (rural including hub towns 50-79%) </v>
      </c>
      <c r="Y28">
        <f t="shared" si="4"/>
        <v>481.2</v>
      </c>
      <c r="Z28" s="40">
        <f>IF(Y28="","",IF(I$8="A",(RANK(Y28,Y$11:Y$343,1)+COUNTIF(Y$11:Y28,Y28)-1),(RANK(Y28,Y$11:Y$343)+COUNTIF(Y$11:Y28,Y28)-1)))</f>
        <v>8</v>
      </c>
      <c r="AA28" s="180" t="str">
        <f>IF(L28="","",VLOOKUP($L28,classifications!C:I,7,FALSE))</f>
        <v>Predominantly Rural</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481.2</v>
      </c>
      <c r="AK28" s="40">
        <f>IF(AJ28="","",IF(I$8="A",(RANK(AJ28,AJ$11:AJ$343,1)+COUNTIF(AJ$11:AJ28,AJ28)-1),(RANK(AJ28,AJ$11:AJ$343)+COUNTIF(AJ$11:AJ28,AJ28)-1)))</f>
        <v>17</v>
      </c>
      <c r="AL28" s="3">
        <f t="shared" si="16"/>
        <v>18</v>
      </c>
      <c r="AM28" t="str">
        <f t="shared" si="6"/>
        <v>West Berkshire</v>
      </c>
      <c r="AN28">
        <f t="shared" si="7"/>
        <v>489.4</v>
      </c>
      <c r="AP28" s="5" t="str">
        <f>IF(L28="","",VLOOKUP($L28,classifications!$C:$E,3,FALSE))</f>
        <v>West Midlands</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463.9</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656.1</v>
      </c>
      <c r="G29" s="15"/>
      <c r="H29" s="42" t="str">
        <f t="shared" si="1"/>
        <v/>
      </c>
      <c r="I29" s="79" t="str">
        <f>IF(H29="","",IF($I$8="A",(RANK(H29,H$11:H$343,1)+COUNTIF(H$11:H29,H29)-1),(RANK(H29,H$11:H$343)+COUNTIF(H$11:H29,H29)-1)))</f>
        <v/>
      </c>
      <c r="J29" s="41"/>
      <c r="K29" s="36">
        <f t="shared" si="10"/>
        <v>19</v>
      </c>
      <c r="L29" t="str">
        <f t="shared" si="2"/>
        <v>West Berkshire</v>
      </c>
      <c r="M29" s="117">
        <f t="shared" si="3"/>
        <v>489.4</v>
      </c>
      <c r="N29" s="112">
        <f t="shared" si="23"/>
        <v>489.4</v>
      </c>
      <c r="O29" s="96" t="str">
        <f t="shared" si="11"/>
        <v/>
      </c>
      <c r="P29" s="96">
        <f t="shared" si="19"/>
        <v>489.4</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Significant Rural (rural including hub towns 26-49%)</v>
      </c>
      <c r="Y29">
        <f t="shared" si="4"/>
        <v>489.4</v>
      </c>
      <c r="Z29" s="40">
        <f>IF(Y29="","",IF(I$8="A",(RANK(Y29,Y$11:Y$343,1)+COUNTIF(Y$11:Y29,Y29)-1),(RANK(Y29,Y$11:Y$343)+COUNTIF(Y$11:Y29,Y29)-1)))</f>
        <v>9</v>
      </c>
      <c r="AA29" s="180" t="str">
        <f>IF(L29="","",VLOOKUP($L29,classifications!C:I,7,FALSE))</f>
        <v>Significant Rural</v>
      </c>
      <c r="AB29" s="174">
        <f t="shared" si="14"/>
        <v>489.4</v>
      </c>
      <c r="AC29" s="174">
        <f>IF(AB29="","",IF($I$8="A",(RANK(AB29,AB$11:AB$343)+COUNTIF(AB$11:AB29,AB29)-1),(RANK(AB29,AB$11:AB$343,1)+COUNTIF(AB$11:AB29,AB29)-1)))</f>
        <v>5</v>
      </c>
      <c r="AD29" s="174"/>
      <c r="AE29" s="36"/>
      <c r="AG29" s="15"/>
      <c r="AH29" s="3"/>
      <c r="AI29" s="5" t="str">
        <f>IF(L29="","",VLOOKUP($L29,classifications!$C:$J,8,FALSE))</f>
        <v>Unitary</v>
      </c>
      <c r="AJ29" s="43">
        <f t="shared" si="5"/>
        <v>489.4</v>
      </c>
      <c r="AK29" s="40">
        <f>IF(AJ29="","",IF(I$8="A",(RANK(AJ29,AJ$11:AJ$343,1)+COUNTIF(AJ$11:AJ29,AJ29)-1),(RANK(AJ29,AJ$11:AJ$343)+COUNTIF(AJ$11:AJ29,AJ29)-1)))</f>
        <v>18</v>
      </c>
      <c r="AL29" s="3">
        <f t="shared" si="16"/>
        <v>19</v>
      </c>
      <c r="AM29" t="str">
        <f t="shared" si="6"/>
        <v>Milton Keynes</v>
      </c>
      <c r="AN29">
        <f t="shared" si="7"/>
        <v>492.9</v>
      </c>
      <c r="AP29" s="5" t="str">
        <f>IF(L29="","",VLOOKUP($L29,classifications!$C:$E,3,FALSE))</f>
        <v>South East</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656.1</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462.4</v>
      </c>
      <c r="G30" s="15"/>
      <c r="H30" s="42" t="str">
        <f t="shared" si="1"/>
        <v/>
      </c>
      <c r="I30" s="79" t="str">
        <f>IF(H30="","",IF($I$8="A",(RANK(H30,H$11:H$343,1)+COUNTIF(H$11:H30,H30)-1),(RANK(H30,H$11:H$343)+COUNTIF(H$11:H30,H30)-1)))</f>
        <v/>
      </c>
      <c r="J30" s="41"/>
      <c r="K30" s="36">
        <f t="shared" si="10"/>
        <v>20</v>
      </c>
      <c r="L30" t="str">
        <f t="shared" si="2"/>
        <v>Milton Keynes</v>
      </c>
      <c r="M30" s="117">
        <f t="shared" si="3"/>
        <v>492.9</v>
      </c>
      <c r="N30" s="112">
        <f t="shared" si="23"/>
        <v>492.9</v>
      </c>
      <c r="O30" s="96" t="str">
        <f t="shared" si="11"/>
        <v/>
      </c>
      <c r="P30" s="96">
        <f t="shared" si="19"/>
        <v>492.9</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City and Town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Unitary</v>
      </c>
      <c r="AJ30" s="43">
        <f t="shared" si="5"/>
        <v>492.9</v>
      </c>
      <c r="AK30" s="40">
        <f>IF(AJ30="","",IF(I$8="A",(RANK(AJ30,AJ$11:AJ$343,1)+COUNTIF(AJ$11:AJ30,AJ30)-1),(RANK(AJ30,AJ$11:AJ$343)+COUNTIF(AJ$11:AJ30,AJ30)-1)))</f>
        <v>19</v>
      </c>
      <c r="AL30" s="3">
        <f t="shared" si="16"/>
        <v>20</v>
      </c>
      <c r="AM30" t="str">
        <f t="shared" si="6"/>
        <v>Torbay</v>
      </c>
      <c r="AN30">
        <f t="shared" si="7"/>
        <v>497</v>
      </c>
      <c r="AP30" s="5" t="str">
        <f>IF(L30="","",VLOOKUP($L30,classifications!$C:$E,3,FALSE))</f>
        <v>South East</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462.4</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591.70000000000005</v>
      </c>
      <c r="G31" s="15"/>
      <c r="H31" s="42">
        <f t="shared" si="1"/>
        <v>591.70000000000005</v>
      </c>
      <c r="I31" s="79">
        <f>IF(H31="","",IF($I$8="A",(RANK(H31,H$11:H$343,1)+COUNTIF(H$11:H31,H31)-1),(RANK(H31,H$11:H$343)+COUNTIF(H$11:H31,H31)-1)))</f>
        <v>49</v>
      </c>
      <c r="J31" s="41"/>
      <c r="K31" s="36">
        <f t="shared" si="10"/>
        <v>21</v>
      </c>
      <c r="L31" t="str">
        <f t="shared" si="2"/>
        <v>Torbay</v>
      </c>
      <c r="M31" s="117">
        <f t="shared" si="3"/>
        <v>497</v>
      </c>
      <c r="N31" s="112">
        <f t="shared" si="23"/>
        <v>497</v>
      </c>
      <c r="O31" s="96" t="str">
        <f t="shared" si="11"/>
        <v/>
      </c>
      <c r="P31" s="96">
        <f t="shared" si="19"/>
        <v>497</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497</v>
      </c>
      <c r="AK31" s="40">
        <f>IF(AJ31="","",IF(I$8="A",(RANK(AJ31,AJ$11:AJ$343,1)+COUNTIF(AJ$11:AJ31,AJ31)-1),(RANK(AJ31,AJ$11:AJ$343)+COUNTIF(AJ$11:AJ31,AJ31)-1)))</f>
        <v>20</v>
      </c>
      <c r="AL31" s="3">
        <f t="shared" si="16"/>
        <v>21</v>
      </c>
      <c r="AM31" t="str">
        <f t="shared" si="6"/>
        <v>York</v>
      </c>
      <c r="AN31">
        <f t="shared" si="7"/>
        <v>499.4</v>
      </c>
      <c r="AP31" s="5" t="str">
        <f>IF(L31="","",VLOOKUP($L31,classifications!$C:$E,3,FALSE))</f>
        <v>South West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591.70000000000005</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469.9</v>
      </c>
      <c r="G32" s="15"/>
      <c r="H32" s="42">
        <f t="shared" si="1"/>
        <v>469.9</v>
      </c>
      <c r="I32" s="79">
        <f>IF(H32="","",IF($I$8="A",(RANK(H32,H$11:H$343,1)+COUNTIF(H$11:H32,H32)-1),(RANK(H32,H$11:H$343)+COUNTIF(H$11:H32,H32)-1)))</f>
        <v>15</v>
      </c>
      <c r="J32" s="41"/>
      <c r="K32" s="36">
        <f t="shared" si="10"/>
        <v>22</v>
      </c>
      <c r="L32" t="str">
        <f t="shared" si="2"/>
        <v>York</v>
      </c>
      <c r="M32" s="117">
        <f t="shared" si="3"/>
        <v>499.4</v>
      </c>
      <c r="N32" s="112">
        <f t="shared" si="23"/>
        <v>499.4</v>
      </c>
      <c r="O32" s="96" t="str">
        <f t="shared" si="11"/>
        <v/>
      </c>
      <c r="P32" s="96">
        <f t="shared" si="19"/>
        <v>499.4</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City and Town</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499.4</v>
      </c>
      <c r="AK32" s="40">
        <f>IF(AJ32="","",IF(I$8="A",(RANK(AJ32,AJ$11:AJ$343,1)+COUNTIF(AJ$11:AJ32,AJ32)-1),(RANK(AJ32,AJ$11:AJ$343)+COUNTIF(AJ$11:AJ32,AJ32)-1)))</f>
        <v>21</v>
      </c>
      <c r="AL32" s="3">
        <f t="shared" si="16"/>
        <v>22</v>
      </c>
      <c r="AM32" t="str">
        <f t="shared" si="6"/>
        <v>Shropshire</v>
      </c>
      <c r="AN32">
        <f t="shared" si="7"/>
        <v>502</v>
      </c>
      <c r="AP32" s="5" t="str">
        <f>IF(L32="","",VLOOKUP($L32,classifications!$C:$E,3,FALSE))</f>
        <v>Yorkshire &amp; Humberside</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469.9</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547.6</v>
      </c>
      <c r="G33" s="15"/>
      <c r="H33" s="42" t="str">
        <f t="shared" si="1"/>
        <v/>
      </c>
      <c r="I33" s="79" t="str">
        <f>IF(H33="","",IF($I$8="A",(RANK(H33,H$11:H$343,1)+COUNTIF(H$11:H33,H33)-1),(RANK(H33,H$11:H$343)+COUNTIF(H$11:H33,H33)-1)))</f>
        <v/>
      </c>
      <c r="J33" s="41"/>
      <c r="K33" s="36">
        <f t="shared" si="10"/>
        <v>23</v>
      </c>
      <c r="L33" t="str">
        <f t="shared" si="2"/>
        <v>Shropshire</v>
      </c>
      <c r="M33" s="117">
        <f t="shared" si="3"/>
        <v>502</v>
      </c>
      <c r="N33" s="112">
        <f t="shared" si="23"/>
        <v>502</v>
      </c>
      <c r="O33" s="96" t="str">
        <f t="shared" si="11"/>
        <v/>
      </c>
      <c r="P33" s="96">
        <f t="shared" si="19"/>
        <v>502</v>
      </c>
      <c r="Q33" s="96" t="str">
        <f t="shared" si="20"/>
        <v/>
      </c>
      <c r="R33" s="92" t="str">
        <f t="shared" si="21"/>
        <v/>
      </c>
      <c r="S33" s="42" t="str">
        <f t="shared" si="12"/>
        <v/>
      </c>
      <c r="T33" s="167" t="str">
        <f>IF(L33="","",VLOOKUP(L33,classifications!C:K,9,FALSE))</f>
        <v>Sparse</v>
      </c>
      <c r="U33" s="168">
        <f t="shared" si="13"/>
        <v>502</v>
      </c>
      <c r="V33" s="174">
        <f>IF(U33="","",IF($I$8="A",(RANK(U33,U$11:U$343)+COUNTIF(U$11:U33,U33)-1),(RANK(U33,U$11:U$343,1)+COUNTIF(U$11:U33,U33)-1)))</f>
        <v>7</v>
      </c>
      <c r="W33" s="175"/>
      <c r="X33" s="5" t="str">
        <f>IF(L33="","",VLOOKUP($L33,classifications!$C:$J,6,FALSE))</f>
        <v xml:space="preserve">Largely Rural (rural including hub towns 50-79%) </v>
      </c>
      <c r="Y33">
        <f t="shared" si="4"/>
        <v>502</v>
      </c>
      <c r="Z33" s="40">
        <f>IF(Y33="","",IF(I$8="A",(RANK(Y33,Y$11:Y$343,1)+COUNTIF(Y$11:Y33,Y33)-1),(RANK(Y33,Y$11:Y$343)+COUNTIF(Y$11:Y33,Y33)-1)))</f>
        <v>10</v>
      </c>
      <c r="AA33" s="180" t="str">
        <f>IF(L33="","",VLOOKUP($L33,classifications!C:I,7,FALSE))</f>
        <v>Predominantly Rural</v>
      </c>
      <c r="AB33" s="174" t="str">
        <f t="shared" si="14"/>
        <v/>
      </c>
      <c r="AC33" s="174" t="str">
        <f>IF(AB33="","",IF($I$8="A",(RANK(AB33,AB$11:AB$343)+COUNTIF(AB$11:AB33,AB33)-1),(RANK(AB33,AB$11:AB$343,1)+COUNTIF(AB$11:AB33,AB33)-1)))</f>
        <v/>
      </c>
      <c r="AD33" s="174"/>
      <c r="AE33" s="36"/>
      <c r="AG33" s="15"/>
      <c r="AH33" s="3"/>
      <c r="AI33" s="5" t="str">
        <f>IF(L33="","",VLOOKUP($L33,classifications!$C:$J,8,FALSE))</f>
        <v>Unitary</v>
      </c>
      <c r="AJ33" s="43">
        <f t="shared" si="5"/>
        <v>502</v>
      </c>
      <c r="AK33" s="40">
        <f>IF(AJ33="","",IF(I$8="A",(RANK(AJ33,AJ$11:AJ$343,1)+COUNTIF(AJ$11:AJ33,AJ33)-1),(RANK(AJ33,AJ$11:AJ$343)+COUNTIF(AJ$11:AJ33,AJ33)-1)))</f>
        <v>22</v>
      </c>
      <c r="AL33" s="3">
        <f t="shared" si="16"/>
        <v>23</v>
      </c>
      <c r="AM33" t="str">
        <f t="shared" si="6"/>
        <v>Southend-on-Sea</v>
      </c>
      <c r="AN33">
        <f t="shared" si="7"/>
        <v>509.6</v>
      </c>
      <c r="AP33" s="5" t="str">
        <f>IF(L33="","",VLOOKUP($L33,classifications!$C:$E,3,FALSE))</f>
        <v>West Midlands</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547.6</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351.8</v>
      </c>
      <c r="G34" s="15"/>
      <c r="H34" s="42" t="str">
        <f t="shared" si="1"/>
        <v/>
      </c>
      <c r="I34" s="79" t="str">
        <f>IF(H34="","",IF($I$8="A",(RANK(H34,H$11:H$343,1)+COUNTIF(H$11:H34,H34)-1),(RANK(H34,H$11:H$343)+COUNTIF(H$11:H34,H34)-1)))</f>
        <v/>
      </c>
      <c r="J34" s="41"/>
      <c r="K34" s="36">
        <f t="shared" si="10"/>
        <v>24</v>
      </c>
      <c r="L34" t="str">
        <f t="shared" si="2"/>
        <v>Southend-on-Sea</v>
      </c>
      <c r="M34" s="117">
        <f t="shared" si="3"/>
        <v>509.6</v>
      </c>
      <c r="N34" s="112">
        <f t="shared" si="23"/>
        <v>509.6</v>
      </c>
      <c r="O34" s="96" t="str">
        <f t="shared" si="11"/>
        <v/>
      </c>
      <c r="P34" s="96">
        <f t="shared" si="19"/>
        <v>509.6</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Unitary</v>
      </c>
      <c r="AJ34" s="43">
        <f t="shared" si="5"/>
        <v>509.6</v>
      </c>
      <c r="AK34" s="40">
        <f>IF(AJ34="","",IF(I$8="A",(RANK(AJ34,AJ$11:AJ$343,1)+COUNTIF(AJ$11:AJ34,AJ34)-1),(RANK(AJ34,AJ$11:AJ$343)+COUNTIF(AJ$11:AJ34,AJ34)-1)))</f>
        <v>23</v>
      </c>
      <c r="AL34" s="3">
        <f t="shared" si="16"/>
        <v>24</v>
      </c>
      <c r="AM34" t="str">
        <f t="shared" si="6"/>
        <v>North Lincolnshire</v>
      </c>
      <c r="AN34">
        <f t="shared" si="7"/>
        <v>514.4</v>
      </c>
      <c r="AP34" s="5" t="str">
        <f>IF(L34="","",VLOOKUP($L34,classifications!$C:$E,3,FALSE))</f>
        <v>East of England</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351.8</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569.29999999999995</v>
      </c>
      <c r="G35" s="15"/>
      <c r="H35" s="42" t="str">
        <f t="shared" si="1"/>
        <v/>
      </c>
      <c r="I35" s="79" t="str">
        <f>IF(H35="","",IF($I$8="A",(RANK(H35,H$11:H$343,1)+COUNTIF(H$11:H35,H35)-1),(RANK(H35,H$11:H$343)+COUNTIF(H$11:H35,H35)-1)))</f>
        <v/>
      </c>
      <c r="J35" s="41"/>
      <c r="K35" s="36">
        <f t="shared" si="10"/>
        <v>25</v>
      </c>
      <c r="L35" t="str">
        <f t="shared" si="2"/>
        <v>North Lincolnshire</v>
      </c>
      <c r="M35" s="117">
        <f t="shared" si="3"/>
        <v>514.4</v>
      </c>
      <c r="N35" s="112">
        <f t="shared" si="23"/>
        <v>514.4</v>
      </c>
      <c r="O35" s="96" t="str">
        <f t="shared" si="11"/>
        <v/>
      </c>
      <c r="P35" s="96">
        <f t="shared" si="19"/>
        <v>514.4</v>
      </c>
      <c r="Q35" s="96" t="str">
        <f t="shared" si="20"/>
        <v/>
      </c>
      <c r="R35" s="92" t="str">
        <f t="shared" si="21"/>
        <v/>
      </c>
      <c r="S35" s="42" t="str">
        <f t="shared" si="12"/>
        <v/>
      </c>
      <c r="T35" s="167" t="str">
        <f>IF(L35="","",VLOOKUP(L35,classifications!C:K,9,FALSE))</f>
        <v>Sparse</v>
      </c>
      <c r="U35" s="168">
        <f t="shared" si="13"/>
        <v>514.4</v>
      </c>
      <c r="V35" s="174">
        <f>IF(U35="","",IF($I$8="A",(RANK(U35,U$11:U$343)+COUNTIF(U$11:U35,U35)-1),(RANK(U35,U$11:U$343,1)+COUNTIF(U$11:U35,U35)-1)))</f>
        <v>6</v>
      </c>
      <c r="W35" s="175"/>
      <c r="X35" s="5" t="str">
        <f>IF(L35="","",VLOOKUP($L35,classifications!$C:$J,6,FALSE))</f>
        <v>Urban with Significant Rural (rural including hub towns 26-49%)</v>
      </c>
      <c r="Y35">
        <f t="shared" si="4"/>
        <v>514.4</v>
      </c>
      <c r="Z35" s="40">
        <f>IF(Y35="","",IF(I$8="A",(RANK(Y35,Y$11:Y$343,1)+COUNTIF(Y$11:Y35,Y35)-1),(RANK(Y35,Y$11:Y$343)+COUNTIF(Y$11:Y35,Y35)-1)))</f>
        <v>11</v>
      </c>
      <c r="AA35" s="180" t="str">
        <f>IF(L35="","",VLOOKUP($L35,classifications!C:I,7,FALSE))</f>
        <v>Significant Rural</v>
      </c>
      <c r="AB35" s="174">
        <f t="shared" si="14"/>
        <v>514.4</v>
      </c>
      <c r="AC35" s="174">
        <f>IF(AB35="","",IF($I$8="A",(RANK(AB35,AB$11:AB$343)+COUNTIF(AB$11:AB35,AB35)-1),(RANK(AB35,AB$11:AB$343,1)+COUNTIF(AB$11:AB35,AB35)-1)))</f>
        <v>4</v>
      </c>
      <c r="AD35" s="174"/>
      <c r="AE35" s="36" t="str">
        <f t="shared" ref="AE35:AE66" si="24">IF(AE34="","",IF(AE34+1&gt;(COUNT(AG:AG)),"",AE34+1))</f>
        <v/>
      </c>
      <c r="AG35" s="15"/>
      <c r="AH35" s="3"/>
      <c r="AI35" s="5" t="str">
        <f>IF(L35="","",VLOOKUP($L35,classifications!$C:$J,8,FALSE))</f>
        <v>Unitary</v>
      </c>
      <c r="AJ35" s="43">
        <f t="shared" si="5"/>
        <v>514.4</v>
      </c>
      <c r="AK35" s="40">
        <f>IF(AJ35="","",IF(I$8="A",(RANK(AJ35,AJ$11:AJ$343,1)+COUNTIF(AJ$11:AJ35,AJ35)-1),(RANK(AJ35,AJ$11:AJ$343)+COUNTIF(AJ$11:AJ35,AJ35)-1)))</f>
        <v>24</v>
      </c>
      <c r="AL35" s="3">
        <f t="shared" si="16"/>
        <v>25</v>
      </c>
      <c r="AM35" t="str">
        <f t="shared" si="6"/>
        <v>Warrington</v>
      </c>
      <c r="AN35">
        <f t="shared" si="7"/>
        <v>517.6</v>
      </c>
      <c r="AP35" s="5" t="str">
        <f>IF(L35="","",VLOOKUP($L35,classifications!$C:$E,3,FALSE))</f>
        <v>Yorkshire &amp; Humberside</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569.29999999999995</v>
      </c>
    </row>
    <row r="36" spans="1:50">
      <c r="A36" s="59" t="str">
        <f>$D$1&amp;26</f>
        <v>UA26</v>
      </c>
      <c r="B36" s="60">
        <f>IF(ISERROR(VLOOKUP(A36,classifications!A:C,3,FALSE)),0,VLOOKUP(A36,classifications!A:C,3,FALSE))</f>
        <v>0</v>
      </c>
      <c r="C36" t="s">
        <v>902</v>
      </c>
      <c r="D36" t="str">
        <f>VLOOKUP($C36,classifications!$C:$J,4,FALSE)</f>
        <v>UA</v>
      </c>
      <c r="E36">
        <f>VLOOKUP(C36,classifications!C:K,9,FALSE)</f>
        <v>0</v>
      </c>
      <c r="F36">
        <f t="shared" si="0"/>
        <v>454.1</v>
      </c>
      <c r="G36" s="15"/>
      <c r="H36" s="42">
        <f t="shared" si="1"/>
        <v>454.1</v>
      </c>
      <c r="I36" s="79">
        <f>IF(H36="","",IF($I$8="A",(RANK(H36,H$11:H$343,1)+COUNTIF(H$11:H36,H36)-1),(RANK(H36,H$11:H$343)+COUNTIF(H$11:H36,H36)-1)))</f>
        <v>13</v>
      </c>
      <c r="J36" s="41"/>
      <c r="K36" s="36">
        <f t="shared" si="10"/>
        <v>26</v>
      </c>
      <c r="L36" t="str">
        <f t="shared" si="2"/>
        <v>Warrington</v>
      </c>
      <c r="M36" s="117">
        <f t="shared" si="3"/>
        <v>517.6</v>
      </c>
      <c r="N36" s="112">
        <f t="shared" si="23"/>
        <v>517.6</v>
      </c>
      <c r="O36" s="96" t="str">
        <f t="shared" si="11"/>
        <v/>
      </c>
      <c r="P36" s="96">
        <f t="shared" si="19"/>
        <v>517.6</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517.6</v>
      </c>
      <c r="AK36" s="40">
        <f>IF(AJ36="","",IF(I$8="A",(RANK(AJ36,AJ$11:AJ$343,1)+COUNTIF(AJ$11:AJ36,AJ36)-1),(RANK(AJ36,AJ$11:AJ$343)+COUNTIF(AJ$11:AJ36,AJ36)-1)))</f>
        <v>25</v>
      </c>
      <c r="AL36" s="3">
        <f t="shared" si="16"/>
        <v>26</v>
      </c>
      <c r="AM36" t="str">
        <f t="shared" si="6"/>
        <v>Leicester</v>
      </c>
      <c r="AN36">
        <f t="shared" si="7"/>
        <v>521.9</v>
      </c>
      <c r="AP36" s="5" t="str">
        <f>IF(L36="","",VLOOKUP($L36,classifications!$C:$E,3,FALSE))</f>
        <v>North West</v>
      </c>
      <c r="AQ36" s="43">
        <f t="shared" si="17"/>
        <v>517.6</v>
      </c>
      <c r="AR36" s="40">
        <f>IF(AQ36="","",IF(I$8="A",(RANK(AQ36,AQ$11:AQ$343,1)+COUNTIF(AQ$11:AQ36,AQ36)-1),(RANK(AQ36,AQ$11:AQ$343)+COUNTIF(AQ$11:AQ36,AQ36)-1)))</f>
        <v>4</v>
      </c>
      <c r="AS36" s="3" t="str">
        <f t="shared" si="18"/>
        <v/>
      </c>
      <c r="AT36" s="40" t="str">
        <f t="shared" si="8"/>
        <v/>
      </c>
      <c r="AU36" s="43" t="str">
        <f t="shared" si="9"/>
        <v/>
      </c>
      <c r="AX36">
        <f>HLOOKUP($AX$9&amp;$AX$10,Data!$A$1:$ZZ$1980,(MATCH($C36,Data!$A$1:$A$1980,0)),FALSE)</f>
        <v>454.1</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392.2</v>
      </c>
      <c r="G37" s="15"/>
      <c r="H37" s="42">
        <f t="shared" si="1"/>
        <v>392.2</v>
      </c>
      <c r="I37" s="79">
        <f>IF(H37="","",IF($I$8="A",(RANK(H37,H$11:H$343,1)+COUNTIF(H$11:H37,H37)-1),(RANK(H37,H$11:H$343)+COUNTIF(H$11:H37,H37)-1)))</f>
        <v>6</v>
      </c>
      <c r="J37" s="41"/>
      <c r="K37" s="36">
        <f t="shared" si="10"/>
        <v>27</v>
      </c>
      <c r="L37" t="str">
        <f t="shared" si="2"/>
        <v>Leicester</v>
      </c>
      <c r="M37" s="117">
        <f t="shared" si="3"/>
        <v>521.9</v>
      </c>
      <c r="N37" s="112">
        <f t="shared" si="23"/>
        <v>521.9</v>
      </c>
      <c r="O37" s="96" t="str">
        <f t="shared" si="11"/>
        <v/>
      </c>
      <c r="P37" s="96">
        <f t="shared" si="19"/>
        <v>521.9</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City and Town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Unitary</v>
      </c>
      <c r="AJ37" s="43">
        <f t="shared" si="5"/>
        <v>521.9</v>
      </c>
      <c r="AK37" s="40">
        <f>IF(AJ37="","",IF(I$8="A",(RANK(AJ37,AJ$11:AJ$343,1)+COUNTIF(AJ$11:AJ37,AJ37)-1),(RANK(AJ37,AJ$11:AJ$343)+COUNTIF(AJ$11:AJ37,AJ37)-1)))</f>
        <v>26</v>
      </c>
      <c r="AL37" s="3">
        <f t="shared" si="16"/>
        <v>27</v>
      </c>
      <c r="AM37" t="str">
        <f t="shared" si="6"/>
        <v>North Northamptonshire</v>
      </c>
      <c r="AN37">
        <f t="shared" si="7"/>
        <v>526.29999999999995</v>
      </c>
      <c r="AP37" s="5" t="str">
        <f>IF(L37="","",VLOOKUP($L37,classifications!$C:$E,3,FALSE))</f>
        <v>East Midlands</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392.2</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527.70000000000005</v>
      </c>
      <c r="G38" s="15"/>
      <c r="H38" s="42" t="str">
        <f t="shared" si="1"/>
        <v/>
      </c>
      <c r="I38" s="79" t="str">
        <f>IF(H38="","",IF($I$8="A",(RANK(H38,H$11:H$343,1)+COUNTIF(H$11:H38,H38)-1),(RANK(H38,H$11:H$343)+COUNTIF(H$11:H38,H38)-1)))</f>
        <v/>
      </c>
      <c r="J38" s="41"/>
      <c r="K38" s="36">
        <f t="shared" si="10"/>
        <v>28</v>
      </c>
      <c r="L38" t="str">
        <f t="shared" si="2"/>
        <v>North Northamptonshire</v>
      </c>
      <c r="M38" s="117">
        <f t="shared" si="3"/>
        <v>526.29999999999995</v>
      </c>
      <c r="N38" s="112">
        <f t="shared" si="23"/>
        <v>526.29999999999995</v>
      </c>
      <c r="O38" s="96" t="str">
        <f t="shared" si="11"/>
        <v/>
      </c>
      <c r="P38" s="96">
        <f t="shared" si="19"/>
        <v>526.29999999999995</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Significant Rural</v>
      </c>
      <c r="Y38" t="str">
        <f t="shared" si="4"/>
        <v/>
      </c>
      <c r="Z38" s="40" t="str">
        <f>IF(Y38="","",IF(I$8="A",(RANK(Y38,Y$11:Y$343,1)+COUNTIF(Y$11:Y38,Y38)-1),(RANK(Y38,Y$11:Y$343)+COUNTIF(Y$11:Y38,Y38)-1)))</f>
        <v/>
      </c>
      <c r="AA38" s="180" t="str">
        <f>IF(L38="","",VLOOKUP($L38,classifications!C:I,7,FALSE))</f>
        <v>Urban with Significant Rural</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526.29999999999995</v>
      </c>
      <c r="AK38" s="40">
        <f>IF(AJ38="","",IF(I$8="A",(RANK(AJ38,AJ$11:AJ$343,1)+COUNTIF(AJ$11:AJ38,AJ38)-1),(RANK(AJ38,AJ$11:AJ$343)+COUNTIF(AJ$11:AJ38,AJ38)-1)))</f>
        <v>27</v>
      </c>
      <c r="AL38" s="3">
        <f t="shared" si="16"/>
        <v>28</v>
      </c>
      <c r="AM38" t="str">
        <f t="shared" si="6"/>
        <v>Rutland</v>
      </c>
      <c r="AN38">
        <f t="shared" si="7"/>
        <v>529.20000000000005</v>
      </c>
      <c r="AP38" s="5" t="str">
        <f>IF(L38="","",VLOOKUP($L38,classifications!$C:$E,3,FALSE))</f>
        <v>East Midlands</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527.70000000000005</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489.3</v>
      </c>
      <c r="G39" s="15"/>
      <c r="H39" s="42" t="str">
        <f t="shared" si="1"/>
        <v/>
      </c>
      <c r="I39" s="79" t="str">
        <f>IF(H39="","",IF($I$8="A",(RANK(H39,H$11:H$343,1)+COUNTIF(H$11:H39,H39)-1),(RANK(H39,H$11:H$343)+COUNTIF(H$11:H39,H39)-1)))</f>
        <v/>
      </c>
      <c r="J39" s="41"/>
      <c r="K39" s="36">
        <f t="shared" si="10"/>
        <v>29</v>
      </c>
      <c r="L39" t="str">
        <f t="shared" si="2"/>
        <v>Rutland</v>
      </c>
      <c r="M39" s="117">
        <f t="shared" si="3"/>
        <v>529.20000000000005</v>
      </c>
      <c r="N39" s="112">
        <f t="shared" si="23"/>
        <v>529.20000000000005</v>
      </c>
      <c r="O39" s="96" t="str">
        <f t="shared" si="11"/>
        <v/>
      </c>
      <c r="P39" s="96">
        <f t="shared" si="19"/>
        <v>529.20000000000005</v>
      </c>
      <c r="Q39" s="96" t="str">
        <f t="shared" si="20"/>
        <v/>
      </c>
      <c r="R39" s="92" t="str">
        <f t="shared" si="21"/>
        <v/>
      </c>
      <c r="S39" s="42" t="str">
        <f t="shared" si="12"/>
        <v/>
      </c>
      <c r="T39" s="167" t="str">
        <f>IF(L39="","",VLOOKUP(L39,classifications!C:K,9,FALSE))</f>
        <v>Sparse</v>
      </c>
      <c r="U39" s="168">
        <f t="shared" si="13"/>
        <v>529.20000000000005</v>
      </c>
      <c r="V39" s="174">
        <f>IF(U39="","",IF($I$8="A",(RANK(U39,U$11:U$343)+COUNTIF(U$11:U39,U39)-1),(RANK(U39,U$11:U$343,1)+COUNTIF(U$11:U39,U39)-1)))</f>
        <v>5</v>
      </c>
      <c r="W39" s="175"/>
      <c r="X39" s="5" t="str">
        <f>IF(L39="","",VLOOKUP($L39,classifications!$C:$J,6,FALSE))</f>
        <v xml:space="preserve">Mainly Rural (rural including hub towns &gt;=80%) </v>
      </c>
      <c r="Y39">
        <f t="shared" si="4"/>
        <v>529.20000000000005</v>
      </c>
      <c r="Z39" s="40">
        <f>IF(Y39="","",IF(I$8="A",(RANK(Y39,Y$11:Y$343,1)+COUNTIF(Y$11:Y39,Y39)-1),(RANK(Y39,Y$11:Y$343)+COUNTIF(Y$11:Y39,Y39)-1)))</f>
        <v>12</v>
      </c>
      <c r="AA39" s="180" t="str">
        <f>IF(L39="","",VLOOKUP($L39,classifications!C:I,7,FALSE))</f>
        <v>Predominantly Rural</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529.20000000000005</v>
      </c>
      <c r="AK39" s="40">
        <f>IF(AJ39="","",IF(I$8="A",(RANK(AJ39,AJ$11:AJ$343,1)+COUNTIF(AJ$11:AJ39,AJ39)-1),(RANK(AJ39,AJ$11:AJ$343)+COUNTIF(AJ$11:AJ39,AJ39)-1)))</f>
        <v>28</v>
      </c>
      <c r="AL39" s="3">
        <f t="shared" si="16"/>
        <v>29</v>
      </c>
      <c r="AM39" t="str">
        <f t="shared" si="6"/>
        <v>Telford &amp; Wrekin</v>
      </c>
      <c r="AN39">
        <f t="shared" si="7"/>
        <v>529.29999999999995</v>
      </c>
      <c r="AP39" s="5" t="str">
        <f>IF(L39="","",VLOOKUP($L39,classifications!$C:$E,3,FALSE))</f>
        <v>East Midlands</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489.3</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495.4</v>
      </c>
      <c r="G40" s="15"/>
      <c r="H40" s="42" t="str">
        <f t="shared" si="1"/>
        <v/>
      </c>
      <c r="I40" s="79" t="str">
        <f>IF(H40="","",IF($I$8="A",(RANK(H40,H$11:H$343,1)+COUNTIF(H$11:H40,H40)-1),(RANK(H40,H$11:H$343)+COUNTIF(H$11:H40,H40)-1)))</f>
        <v/>
      </c>
      <c r="J40" s="41"/>
      <c r="K40" s="36">
        <f t="shared" si="10"/>
        <v>30</v>
      </c>
      <c r="L40" t="str">
        <f t="shared" si="2"/>
        <v>Telford &amp; Wrekin</v>
      </c>
      <c r="M40" s="117">
        <f t="shared" si="3"/>
        <v>529.29999999999995</v>
      </c>
      <c r="N40" s="112">
        <f t="shared" si="23"/>
        <v>529.29999999999995</v>
      </c>
      <c r="O40" s="96" t="str">
        <f t="shared" si="11"/>
        <v/>
      </c>
      <c r="P40" s="96" t="str">
        <f t="shared" si="19"/>
        <v/>
      </c>
      <c r="Q40" s="96">
        <f t="shared" si="20"/>
        <v>529.29999999999995</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Unitary</v>
      </c>
      <c r="AJ40" s="43">
        <f t="shared" si="5"/>
        <v>529.29999999999995</v>
      </c>
      <c r="AK40" s="40">
        <f>IF(AJ40="","",IF(I$8="A",(RANK(AJ40,AJ$11:AJ$343,1)+COUNTIF(AJ$11:AJ40,AJ40)-1),(RANK(AJ40,AJ$11:AJ$343)+COUNTIF(AJ$11:AJ40,AJ40)-1)))</f>
        <v>29</v>
      </c>
      <c r="AL40" s="3">
        <f t="shared" si="16"/>
        <v>30</v>
      </c>
      <c r="AM40" t="str">
        <f t="shared" si="6"/>
        <v>Central Bedfordshire</v>
      </c>
      <c r="AN40">
        <f t="shared" si="7"/>
        <v>530</v>
      </c>
      <c r="AP40" s="5" t="str">
        <f>IF(L40="","",VLOOKUP($L40,classifications!$C:$E,3,FALSE))</f>
        <v>West Midlands</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495.4</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438.6</v>
      </c>
      <c r="G41" s="15"/>
      <c r="H41" s="42" t="str">
        <f t="shared" si="1"/>
        <v/>
      </c>
      <c r="I41" s="79" t="str">
        <f>IF(H41="","",IF($I$8="A",(RANK(H41,H$11:H$343,1)+COUNTIF(H$11:H41,H41)-1),(RANK(H41,H$11:H$343)+COUNTIF(H$11:H41,H41)-1)))</f>
        <v/>
      </c>
      <c r="J41" s="41"/>
      <c r="K41" s="36">
        <f t="shared" si="10"/>
        <v>31</v>
      </c>
      <c r="L41" t="str">
        <f t="shared" si="2"/>
        <v>Central Bedfordshire</v>
      </c>
      <c r="M41" s="117">
        <f t="shared" si="3"/>
        <v>530</v>
      </c>
      <c r="N41" s="112">
        <f t="shared" si="23"/>
        <v>530</v>
      </c>
      <c r="O41" s="96" t="str">
        <f t="shared" si="11"/>
        <v/>
      </c>
      <c r="P41" s="96" t="str">
        <f t="shared" si="19"/>
        <v/>
      </c>
      <c r="Q41" s="96">
        <f t="shared" si="20"/>
        <v>530</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 xml:space="preserve">Largely Rural (rural including hub towns 50-79%) </v>
      </c>
      <c r="Y41">
        <f t="shared" si="4"/>
        <v>530</v>
      </c>
      <c r="Z41" s="40">
        <f>IF(Y41="","",IF(I$8="A",(RANK(Y41,Y$11:Y$343,1)+COUNTIF(Y$11:Y41,Y41)-1),(RANK(Y41,Y$11:Y$343)+COUNTIF(Y$11:Y41,Y41)-1)))</f>
        <v>13</v>
      </c>
      <c r="AA41" s="180" t="str">
        <f>IF(L41="","",VLOOKUP($L41,classifications!C:I,7,FALSE))</f>
        <v>Predominantly Rural</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530</v>
      </c>
      <c r="AK41" s="40">
        <f>IF(AJ41="","",IF(I$8="A",(RANK(AJ41,AJ$11:AJ$343,1)+COUNTIF(AJ$11:AJ41,AJ41)-1),(RANK(AJ41,AJ$11:AJ$343)+COUNTIF(AJ$11:AJ41,AJ41)-1)))</f>
        <v>30</v>
      </c>
      <c r="AL41" s="3">
        <f t="shared" si="16"/>
        <v>31</v>
      </c>
      <c r="AM41" t="str">
        <f t="shared" si="6"/>
        <v>West Northamptonshire</v>
      </c>
      <c r="AN41">
        <f t="shared" si="7"/>
        <v>531.9</v>
      </c>
      <c r="AP41" s="5" t="str">
        <f>IF(L41="","",VLOOKUP($L41,classifications!$C:$E,3,FALSE))</f>
        <v>East of England</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438.6</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499.5</v>
      </c>
      <c r="G42" s="15"/>
      <c r="H42" s="42" t="str">
        <f t="shared" si="1"/>
        <v/>
      </c>
      <c r="I42" s="79" t="str">
        <f>IF(H42="","",IF($I$8="A",(RANK(H42,H$11:H$343,1)+COUNTIF(H$11:H42,H42)-1),(RANK(H42,H$11:H$343)+COUNTIF(H$11:H42,H42)-1)))</f>
        <v/>
      </c>
      <c r="J42" s="41"/>
      <c r="K42" s="36">
        <f t="shared" si="10"/>
        <v>32</v>
      </c>
      <c r="L42" t="str">
        <f t="shared" si="2"/>
        <v>West Northamptonshire</v>
      </c>
      <c r="M42" s="117">
        <f t="shared" si="3"/>
        <v>531.9</v>
      </c>
      <c r="N42" s="112">
        <f t="shared" si="23"/>
        <v>531.9</v>
      </c>
      <c r="O42" s="96" t="str">
        <f t="shared" si="11"/>
        <v/>
      </c>
      <c r="P42" s="96" t="str">
        <f t="shared" si="19"/>
        <v/>
      </c>
      <c r="Q42" s="96">
        <f t="shared" si="20"/>
        <v>531.9</v>
      </c>
      <c r="R42" s="92" t="str">
        <f t="shared" si="21"/>
        <v/>
      </c>
      <c r="S42" s="42" t="str">
        <f t="shared" si="12"/>
        <v/>
      </c>
      <c r="T42" s="167" t="str">
        <f>IF(L42="","",VLOOKUP(L42,classifications!C:K,9,FALSE))</f>
        <v>Sparse</v>
      </c>
      <c r="U42" s="168">
        <f t="shared" si="13"/>
        <v>531.9</v>
      </c>
      <c r="V42" s="174">
        <f>IF(U42="","",IF($I$8="A",(RANK(U42,U$11:U$343)+COUNTIF(U$11:U42,U42)-1),(RANK(U42,U$11:U$343,1)+COUNTIF(U$11:U42,U42)-1)))</f>
        <v>4</v>
      </c>
      <c r="W42" s="175"/>
      <c r="X42" s="5" t="str">
        <f>IF(L42="","",VLOOKUP($L42,classifications!$C:$J,6,FALSE))</f>
        <v>Urban with Significant Rural (rural including hub towns 26-49%)</v>
      </c>
      <c r="Y42">
        <f t="shared" si="4"/>
        <v>531.9</v>
      </c>
      <c r="Z42" s="40">
        <f>IF(Y42="","",IF(I$8="A",(RANK(Y42,Y$11:Y$343,1)+COUNTIF(Y$11:Y42,Y42)-1),(RANK(Y42,Y$11:Y$343)+COUNTIF(Y$11:Y42,Y42)-1)))</f>
        <v>14</v>
      </c>
      <c r="AA42" s="180" t="str">
        <f>IF(L42="","",VLOOKUP($L42,classifications!C:I,7,FALSE))</f>
        <v>Significant Rural</v>
      </c>
      <c r="AB42" s="174">
        <f t="shared" si="14"/>
        <v>531.9</v>
      </c>
      <c r="AC42" s="174">
        <f>IF(AB42="","",IF($I$8="A",(RANK(AB42,AB$11:AB$343)+COUNTIF(AB$11:AB42,AB42)-1),(RANK(AB42,AB$11:AB$343,1)+COUNTIF(AB$11:AB42,AB42)-1)))</f>
        <v>3</v>
      </c>
      <c r="AD42" s="174"/>
      <c r="AE42" s="36" t="str">
        <f t="shared" si="24"/>
        <v/>
      </c>
      <c r="AG42" s="15"/>
      <c r="AH42" s="3"/>
      <c r="AI42" s="5" t="str">
        <f>IF(L42="","",VLOOKUP($L42,classifications!$C:$J,8,FALSE))</f>
        <v>Unitary</v>
      </c>
      <c r="AJ42" s="43">
        <f t="shared" si="5"/>
        <v>531.9</v>
      </c>
      <c r="AK42" s="40">
        <f>IF(AJ42="","",IF(I$8="A",(RANK(AJ42,AJ$11:AJ$343,1)+COUNTIF(AJ$11:AJ42,AJ42)-1),(RANK(AJ42,AJ$11:AJ$343)+COUNTIF(AJ$11:AJ42,AJ42)-1)))</f>
        <v>31</v>
      </c>
      <c r="AL42" s="3">
        <f t="shared" si="16"/>
        <v>32</v>
      </c>
      <c r="AM42" t="str">
        <f t="shared" si="6"/>
        <v>Derby</v>
      </c>
      <c r="AN42">
        <f t="shared" si="7"/>
        <v>534.9</v>
      </c>
      <c r="AP42" s="5" t="str">
        <f>IF(L42="","",VLOOKUP($L42,classifications!$C:$E,3,FALSE))</f>
        <v>East Midlands</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499.5</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546.6</v>
      </c>
      <c r="G43" s="15"/>
      <c r="H43" s="42">
        <f t="shared" ref="H43:H74" si="26">IF(D43=$D$1,HLOOKUP($D$6,$AX$10:$ZZ$355,ROW()-9,FALSE),"")</f>
        <v>546.6</v>
      </c>
      <c r="I43" s="79">
        <f>IF(H43="","",IF($I$8="A",(RANK(H43,H$11:H$343,1)+COUNTIF(H$11:H43,H43)-1),(RANK(H43,H$11:H$343)+COUNTIF(H$11:H43,H43)-1)))</f>
        <v>36</v>
      </c>
      <c r="J43" s="41"/>
      <c r="K43" s="36">
        <f t="shared" si="10"/>
        <v>33</v>
      </c>
      <c r="L43" t="str">
        <f t="shared" ref="L43:L74" si="27">IF(K43="","",INDEX(C$11:C$343,MATCH(K43,I$11:I$343,0)))</f>
        <v>Derby</v>
      </c>
      <c r="M43" s="117">
        <f t="shared" ref="M43:M74" si="28">IF(L43="","",IF(VLOOKUP(L43,C:D,2,FALSE)=$F$3,VLOOKUP(L43,C:H,6,FALSE),""))</f>
        <v>534.9</v>
      </c>
      <c r="N43" s="112">
        <f t="shared" si="23"/>
        <v>534.9</v>
      </c>
      <c r="O43" s="96" t="str">
        <f t="shared" si="11"/>
        <v/>
      </c>
      <c r="P43" s="96" t="str">
        <f t="shared" si="19"/>
        <v/>
      </c>
      <c r="Q43" s="96">
        <f t="shared" si="20"/>
        <v>534.9</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534.9</v>
      </c>
      <c r="AK43" s="40">
        <f>IF(AJ43="","",IF(I$8="A",(RANK(AJ43,AJ$11:AJ$343,1)+COUNTIF(AJ$11:AJ43,AJ43)-1),(RANK(AJ43,AJ$11:AJ$343)+COUNTIF(AJ$11:AJ43,AJ43)-1)))</f>
        <v>32</v>
      </c>
      <c r="AL43" s="3">
        <f t="shared" si="16"/>
        <v>33</v>
      </c>
      <c r="AM43" t="str">
        <f t="shared" ref="AM43:AM74" si="30">IF(ISNA(IF(AL43="","",INDEX(L$11:L$343,MATCH(AL43,AK$11:AK$343,0)))),"",(IF(AL43="","",INDEX(L$11:L$343,MATCH(AL43,AK$11:AK$343,0)))))</f>
        <v>Portsmouth</v>
      </c>
      <c r="AN43">
        <f t="shared" ref="AN43:AN74" si="31">(VLOOKUP(AM43,L:M,2,FALSE))</f>
        <v>536.9</v>
      </c>
      <c r="AP43" s="5" t="str">
        <f>IF(L43="","",VLOOKUP($L43,classifications!$C:$E,3,FALSE))</f>
        <v>East Midlands</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546.6</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404.8</v>
      </c>
      <c r="G44" s="15"/>
      <c r="H44" s="42">
        <f t="shared" si="26"/>
        <v>404.8</v>
      </c>
      <c r="I44" s="79">
        <f>IF(H44="","",IF($I$8="A",(RANK(H44,H$11:H$343,1)+COUNTIF(H$11:H44,H44)-1),(RANK(H44,H$11:H$343)+COUNTIF(H$11:H44,H44)-1)))</f>
        <v>8</v>
      </c>
      <c r="J44" s="41"/>
      <c r="K44" s="36">
        <f t="shared" ref="K44:K75" si="34">IF(K43="","",IF(K43+1&gt;(COUNT(H$11:H$343)),"",K43+1))</f>
        <v>34</v>
      </c>
      <c r="L44" t="str">
        <f t="shared" si="27"/>
        <v>Portsmouth</v>
      </c>
      <c r="M44" s="117">
        <f t="shared" si="28"/>
        <v>536.9</v>
      </c>
      <c r="N44" s="112">
        <f t="shared" si="23"/>
        <v>536.9</v>
      </c>
      <c r="O44" s="96" t="str">
        <f t="shared" si="11"/>
        <v/>
      </c>
      <c r="P44" s="96" t="str">
        <f t="shared" si="19"/>
        <v/>
      </c>
      <c r="Q44" s="96">
        <f t="shared" si="20"/>
        <v>536.9</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City and Town</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536.9</v>
      </c>
      <c r="AK44" s="40">
        <f>IF(AJ44="","",IF(I$8="A",(RANK(AJ44,AJ$11:AJ$343,1)+COUNTIF(AJ$11:AJ44,AJ44)-1),(RANK(AJ44,AJ$11:AJ$343)+COUNTIF(AJ$11:AJ44,AJ44)-1)))</f>
        <v>33</v>
      </c>
      <c r="AL44" s="3">
        <f t="shared" ref="AL44:AL75" si="35">IF(AL43="","",IF(AL43+1&gt;(COUNT(AJ$11:AJ$343)),"",AL43+1))</f>
        <v>34</v>
      </c>
      <c r="AM44" t="str">
        <f t="shared" si="30"/>
        <v>Wiltshire</v>
      </c>
      <c r="AN44">
        <f t="shared" si="31"/>
        <v>542.4</v>
      </c>
      <c r="AP44" s="5" t="str">
        <f>IF(L44="","",VLOOKUP($L44,classifications!$C:$E,3,FALSE))</f>
        <v>South East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404.8</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397.6</v>
      </c>
      <c r="G45" s="15"/>
      <c r="H45" s="42" t="str">
        <f t="shared" si="26"/>
        <v/>
      </c>
      <c r="I45" s="79" t="str">
        <f>IF(H45="","",IF($I$8="A",(RANK(H45,H$11:H$343,1)+COUNTIF(H$11:H45,H45)-1),(RANK(H45,H$11:H$343)+COUNTIF(H$11:H45,H45)-1)))</f>
        <v/>
      </c>
      <c r="J45" s="41"/>
      <c r="K45" s="36">
        <f t="shared" si="34"/>
        <v>35</v>
      </c>
      <c r="L45" t="str">
        <f t="shared" si="27"/>
        <v>Wiltshire</v>
      </c>
      <c r="M45" s="117">
        <f t="shared" si="28"/>
        <v>542.4</v>
      </c>
      <c r="N45" s="112">
        <f t="shared" si="23"/>
        <v>542.4</v>
      </c>
      <c r="O45" s="96" t="str">
        <f t="shared" si="11"/>
        <v/>
      </c>
      <c r="P45" s="96" t="str">
        <f t="shared" si="19"/>
        <v/>
      </c>
      <c r="Q45" s="96">
        <f t="shared" si="20"/>
        <v>542.4</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 xml:space="preserve">Largely Rural (rural including hub towns 50-79%) </v>
      </c>
      <c r="Y45">
        <f t="shared" si="4"/>
        <v>542.4</v>
      </c>
      <c r="Z45" s="40">
        <f>IF(Y45="","",IF(I$8="A",(RANK(Y45,Y$11:Y$343,1)+COUNTIF(Y$11:Y45,Y45)-1),(RANK(Y45,Y$11:Y$343)+COUNTIF(Y$11:Y45,Y45)-1)))</f>
        <v>15</v>
      </c>
      <c r="AA45" s="180" t="str">
        <f>IF(L45="","",VLOOKUP($L45,classifications!C:I,7,FALSE))</f>
        <v>Predominantly Rural</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542.4</v>
      </c>
      <c r="AK45" s="40">
        <f>IF(AJ45="","",IF(I$8="A",(RANK(AJ45,AJ$11:AJ$343,1)+COUNTIF(AJ$11:AJ45,AJ45)-1),(RANK(AJ45,AJ$11:AJ$343)+COUNTIF(AJ$11:AJ45,AJ45)-1)))</f>
        <v>34</v>
      </c>
      <c r="AL45" s="3">
        <f t="shared" si="35"/>
        <v>35</v>
      </c>
      <c r="AM45" t="str">
        <f t="shared" si="30"/>
        <v>Brighton &amp; Hove</v>
      </c>
      <c r="AN45">
        <f t="shared" si="31"/>
        <v>546.6</v>
      </c>
      <c r="AP45" s="5" t="str">
        <f>IF(L45="","",VLOOKUP($L45,classifications!$C:$E,3,FALSE))</f>
        <v>South West</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397.6</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434.9</v>
      </c>
      <c r="G46" s="15"/>
      <c r="H46" s="42" t="str">
        <f t="shared" si="26"/>
        <v/>
      </c>
      <c r="I46" s="79" t="str">
        <f>IF(H46="","",IF($I$8="A",(RANK(H46,H$11:H$343,1)+COUNTIF(H$11:H46,H46)-1),(RANK(H46,H$11:H$343)+COUNTIF(H$11:H46,H46)-1)))</f>
        <v/>
      </c>
      <c r="J46" s="41"/>
      <c r="K46" s="36">
        <f t="shared" si="34"/>
        <v>36</v>
      </c>
      <c r="L46" t="str">
        <f t="shared" si="27"/>
        <v>Brighton &amp; Hove</v>
      </c>
      <c r="M46" s="117">
        <f t="shared" si="28"/>
        <v>546.6</v>
      </c>
      <c r="N46" s="112">
        <f t="shared" si="23"/>
        <v>546.6</v>
      </c>
      <c r="O46" s="96" t="str">
        <f t="shared" si="11"/>
        <v/>
      </c>
      <c r="P46" s="96" t="str">
        <f t="shared" si="19"/>
        <v/>
      </c>
      <c r="Q46" s="96">
        <f t="shared" si="20"/>
        <v>546.6</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Urban with City and Town</v>
      </c>
      <c r="Y46" t="str">
        <f t="shared" si="4"/>
        <v/>
      </c>
      <c r="Z46" s="40" t="str">
        <f>IF(Y46="","",IF(I$8="A",(RANK(Y46,Y$11:Y$343,1)+COUNTIF(Y$11:Y46,Y46)-1),(RANK(Y46,Y$11:Y$343)+COUNTIF(Y$11:Y46,Y46)-1)))</f>
        <v/>
      </c>
      <c r="AA46" s="180" t="str">
        <f>IF(L46="","",VLOOKUP($L46,classifications!C:I,7,FALSE))</f>
        <v>Predominantly Urban</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546.6</v>
      </c>
      <c r="AK46" s="40">
        <f>IF(AJ46="","",IF(I$8="A",(RANK(AJ46,AJ$11:AJ$343,1)+COUNTIF(AJ$11:AJ46,AJ46)-1),(RANK(AJ46,AJ$11:AJ$343)+COUNTIF(AJ$11:AJ46,AJ46)-1)))</f>
        <v>35</v>
      </c>
      <c r="AL46" s="3">
        <f t="shared" si="35"/>
        <v>36</v>
      </c>
      <c r="AM46" t="str">
        <f t="shared" si="30"/>
        <v>Peterborough</v>
      </c>
      <c r="AN46">
        <f t="shared" si="31"/>
        <v>549.70000000000005</v>
      </c>
      <c r="AP46" s="5" t="str">
        <f>IF(L46="","",VLOOKUP($L46,classifications!$C:$E,3,FALSE))</f>
        <v>South East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434.9</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501.5</v>
      </c>
      <c r="G47" s="15"/>
      <c r="H47" s="42" t="str">
        <f t="shared" si="26"/>
        <v/>
      </c>
      <c r="I47" s="79" t="str">
        <f>IF(H47="","",IF($I$8="A",(RANK(H47,H$11:H$343,1)+COUNTIF(H$11:H47,H47)-1),(RANK(H47,H$11:H$343)+COUNTIF(H$11:H47,H47)-1)))</f>
        <v/>
      </c>
      <c r="J47" s="41"/>
      <c r="K47" s="36">
        <f t="shared" si="34"/>
        <v>37</v>
      </c>
      <c r="L47" t="str">
        <f t="shared" si="27"/>
        <v>Peterborough</v>
      </c>
      <c r="M47" s="117">
        <f t="shared" si="28"/>
        <v>549.70000000000005</v>
      </c>
      <c r="N47" s="112">
        <f t="shared" si="23"/>
        <v>549.70000000000005</v>
      </c>
      <c r="O47" s="96" t="str">
        <f t="shared" si="11"/>
        <v/>
      </c>
      <c r="P47" s="96" t="str">
        <f t="shared" si="19"/>
        <v/>
      </c>
      <c r="Q47" s="96">
        <f t="shared" si="20"/>
        <v>549.70000000000005</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City and Town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549.70000000000005</v>
      </c>
      <c r="AK47" s="40">
        <f>IF(AJ47="","",IF(I$8="A",(RANK(AJ47,AJ$11:AJ$343,1)+COUNTIF(AJ$11:AJ47,AJ47)-1),(RANK(AJ47,AJ$11:AJ$343)+COUNTIF(AJ$11:AJ47,AJ47)-1)))</f>
        <v>36</v>
      </c>
      <c r="AL47" s="3">
        <f t="shared" si="35"/>
        <v>37</v>
      </c>
      <c r="AM47" t="str">
        <f t="shared" si="30"/>
        <v>Plymouth</v>
      </c>
      <c r="AN47">
        <f t="shared" si="31"/>
        <v>551.79999999999995</v>
      </c>
      <c r="AP47" s="5" t="str">
        <f>IF(L47="","",VLOOKUP($L47,classifications!$C:$E,3,FALSE))</f>
        <v>East of England</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501.5</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444.3</v>
      </c>
      <c r="G48" s="15"/>
      <c r="H48" s="42" t="str">
        <f t="shared" si="26"/>
        <v/>
      </c>
      <c r="I48" s="79" t="str">
        <f>IF(H48="","",IF($I$8="A",(RANK(H48,H$11:H$343,1)+COUNTIF(H$11:H48,H48)-1),(RANK(H48,H$11:H$343)+COUNTIF(H$11:H48,H48)-1)))</f>
        <v/>
      </c>
      <c r="J48" s="41"/>
      <c r="K48" s="36">
        <f t="shared" si="34"/>
        <v>38</v>
      </c>
      <c r="L48" t="str">
        <f t="shared" si="27"/>
        <v>Plymouth</v>
      </c>
      <c r="M48" s="117">
        <f t="shared" si="28"/>
        <v>551.79999999999995</v>
      </c>
      <c r="N48" s="112">
        <f t="shared" si="23"/>
        <v>551.79999999999995</v>
      </c>
      <c r="O48" s="96" t="str">
        <f t="shared" si="11"/>
        <v/>
      </c>
      <c r="P48" s="96" t="str">
        <f t="shared" si="19"/>
        <v/>
      </c>
      <c r="Q48" s="96">
        <f t="shared" si="20"/>
        <v>551.79999999999995</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Unitary</v>
      </c>
      <c r="AJ48" s="43">
        <f t="shared" si="5"/>
        <v>551.79999999999995</v>
      </c>
      <c r="AK48" s="40">
        <f>IF(AJ48="","",IF(I$8="A",(RANK(AJ48,AJ$11:AJ$343,1)+COUNTIF(AJ$11:AJ48,AJ48)-1),(RANK(AJ48,AJ$11:AJ$343)+COUNTIF(AJ$11:AJ48,AJ48)-1)))</f>
        <v>37</v>
      </c>
      <c r="AL48" s="3">
        <f t="shared" si="35"/>
        <v>38</v>
      </c>
      <c r="AM48" t="str">
        <f t="shared" si="30"/>
        <v>Stoke-on-Trent</v>
      </c>
      <c r="AN48">
        <f t="shared" si="31"/>
        <v>555.9</v>
      </c>
      <c r="AP48" s="5" t="str">
        <f>IF(L48="","",VLOOKUP($L48,classifications!$C:$E,3,FALSE))</f>
        <v>South West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444.3</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520.20000000000005</v>
      </c>
      <c r="G49" s="15"/>
      <c r="H49" s="42" t="str">
        <f t="shared" si="26"/>
        <v/>
      </c>
      <c r="I49" s="79" t="str">
        <f>IF(H49="","",IF($I$8="A",(RANK(H49,H$11:H$343,1)+COUNTIF(H$11:H49,H49)-1),(RANK(H49,H$11:H$343)+COUNTIF(H$11:H49,H49)-1)))</f>
        <v/>
      </c>
      <c r="J49" s="41"/>
      <c r="K49" s="36">
        <f t="shared" si="34"/>
        <v>39</v>
      </c>
      <c r="L49" t="str">
        <f t="shared" si="27"/>
        <v>Stoke-on-Trent</v>
      </c>
      <c r="M49" s="117">
        <f t="shared" si="28"/>
        <v>555.9</v>
      </c>
      <c r="N49" s="112">
        <f t="shared" si="23"/>
        <v>555.9</v>
      </c>
      <c r="O49" s="96" t="str">
        <f t="shared" si="11"/>
        <v/>
      </c>
      <c r="P49" s="96" t="str">
        <f t="shared" si="19"/>
        <v/>
      </c>
      <c r="Q49" s="96">
        <f t="shared" si="20"/>
        <v>555.9</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City and Town</v>
      </c>
      <c r="Y49" t="str">
        <f t="shared" si="4"/>
        <v/>
      </c>
      <c r="Z49" s="40" t="str">
        <f>IF(Y49="","",IF(I$8="A",(RANK(Y49,Y$11:Y$343,1)+COUNTIF(Y$11:Y49,Y49)-1),(RANK(Y49,Y$11:Y$343)+COUNTIF(Y$11:Y49,Y49)-1)))</f>
        <v/>
      </c>
      <c r="AA49" s="180" t="str">
        <f>IF(L49="","",VLOOKUP($L49,classifications!C:I,7,FALSE))</f>
        <v>Predominantly Urban</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Unitary</v>
      </c>
      <c r="AJ49" s="43">
        <f t="shared" si="5"/>
        <v>555.9</v>
      </c>
      <c r="AK49" s="40">
        <f>IF(AJ49="","",IF(I$8="A",(RANK(AJ49,AJ$11:AJ$343,1)+COUNTIF(AJ$11:AJ49,AJ49)-1),(RANK(AJ49,AJ$11:AJ$343)+COUNTIF(AJ$11:AJ49,AJ49)-1)))</f>
        <v>38</v>
      </c>
      <c r="AL49" s="3">
        <f t="shared" si="35"/>
        <v>39</v>
      </c>
      <c r="AM49" t="str">
        <f t="shared" si="30"/>
        <v>North East Lincolnshire</v>
      </c>
      <c r="AN49">
        <f t="shared" si="31"/>
        <v>562.20000000000005</v>
      </c>
      <c r="AP49" s="5" t="str">
        <f>IF(L49="","",VLOOKUP($L49,classifications!$C:$E,3,FALSE))</f>
        <v>West Midlands</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520.20000000000005</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477.3</v>
      </c>
      <c r="G50" s="15"/>
      <c r="H50" s="42">
        <f t="shared" si="26"/>
        <v>477.3</v>
      </c>
      <c r="I50" s="79">
        <f>IF(H50="","",IF($I$8="A",(RANK(H50,H$11:H$343,1)+COUNTIF(H$11:H50,H50)-1),(RANK(H50,H$11:H$343)+COUNTIF(H$11:H50,H50)-1)))</f>
        <v>17</v>
      </c>
      <c r="J50" s="41"/>
      <c r="K50" s="36">
        <f t="shared" si="34"/>
        <v>40</v>
      </c>
      <c r="L50" t="str">
        <f t="shared" si="27"/>
        <v>North East Lincolnshire</v>
      </c>
      <c r="M50" s="117">
        <f t="shared" si="28"/>
        <v>562.20000000000005</v>
      </c>
      <c r="N50" s="112">
        <f t="shared" si="23"/>
        <v>562.20000000000005</v>
      </c>
      <c r="O50" s="96" t="str">
        <f t="shared" si="11"/>
        <v/>
      </c>
      <c r="P50" s="96" t="str">
        <f t="shared" si="19"/>
        <v/>
      </c>
      <c r="Q50" s="96">
        <f t="shared" si="20"/>
        <v>562.20000000000005</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Unitary</v>
      </c>
      <c r="AJ50" s="43">
        <f t="shared" si="5"/>
        <v>562.20000000000005</v>
      </c>
      <c r="AK50" s="40">
        <f>IF(AJ50="","",IF(I$8="A",(RANK(AJ50,AJ$11:AJ$343,1)+COUNTIF(AJ$11:AJ50,AJ50)-1),(RANK(AJ50,AJ$11:AJ$343)+COUNTIF(AJ$11:AJ50,AJ50)-1)))</f>
        <v>39</v>
      </c>
      <c r="AL50" s="3">
        <f t="shared" si="35"/>
        <v>40</v>
      </c>
      <c r="AM50" t="str">
        <f t="shared" si="30"/>
        <v>Durham</v>
      </c>
      <c r="AN50">
        <f t="shared" si="31"/>
        <v>565.20000000000005</v>
      </c>
      <c r="AP50" s="5" t="str">
        <f>IF(L50="","",VLOOKUP($L50,classifications!$C:$E,3,FALSE))</f>
        <v>Yorkshire &amp; Humberside</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477.3</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476.8</v>
      </c>
      <c r="G51" s="15"/>
      <c r="H51" s="42" t="str">
        <f t="shared" si="26"/>
        <v/>
      </c>
      <c r="I51" s="79" t="str">
        <f>IF(H51="","",IF($I$8="A",(RANK(H51,H$11:H$343,1)+COUNTIF(H$11:H51,H51)-1),(RANK(H51,H$11:H$343)+COUNTIF(H$11:H51,H51)-1)))</f>
        <v/>
      </c>
      <c r="J51" s="41"/>
      <c r="K51" s="36">
        <f t="shared" si="34"/>
        <v>41</v>
      </c>
      <c r="L51" t="str">
        <f t="shared" si="27"/>
        <v>Durham</v>
      </c>
      <c r="M51" s="117">
        <f t="shared" si="28"/>
        <v>565.20000000000005</v>
      </c>
      <c r="N51" s="112">
        <f t="shared" si="23"/>
        <v>565.20000000000005</v>
      </c>
      <c r="O51" s="96" t="str">
        <f t="shared" si="11"/>
        <v/>
      </c>
      <c r="P51" s="96" t="str">
        <f t="shared" si="19"/>
        <v/>
      </c>
      <c r="Q51" s="96">
        <f t="shared" si="20"/>
        <v>565.20000000000005</v>
      </c>
      <c r="R51" s="92" t="str">
        <f t="shared" si="21"/>
        <v/>
      </c>
      <c r="S51" s="42" t="str">
        <f t="shared" si="12"/>
        <v/>
      </c>
      <c r="T51" s="167" t="str">
        <f>IF(L51="","",VLOOKUP(L51,classifications!C:K,9,FALSE))</f>
        <v>Sparse</v>
      </c>
      <c r="U51" s="168">
        <f t="shared" si="29"/>
        <v>565.20000000000005</v>
      </c>
      <c r="V51" s="174">
        <f>IF(U51="","",IF($I$8="A",(RANK(U51,U$11:U$343)+COUNTIF(U$11:U51,U51)-1),(RANK(U51,U$11:U$343,1)+COUNTIF(U$11:U51,U51)-1)))</f>
        <v>3</v>
      </c>
      <c r="W51" s="175"/>
      <c r="X51" s="5" t="str">
        <f>IF(L51="","",VLOOKUP($L51,classifications!$C:$J,6,FALSE))</f>
        <v xml:space="preserve">Largely Rural (rural including hub towns 50-79%) </v>
      </c>
      <c r="Y51">
        <f t="shared" si="4"/>
        <v>565.20000000000005</v>
      </c>
      <c r="Z51" s="40">
        <f>IF(Y51="","",IF(I$8="A",(RANK(Y51,Y$11:Y$343,1)+COUNTIF(Y$11:Y51,Y51)-1),(RANK(Y51,Y$11:Y$343)+COUNTIF(Y$11:Y51,Y51)-1)))</f>
        <v>16</v>
      </c>
      <c r="AA51" s="180" t="str">
        <f>IF(L51="","",VLOOKUP($L51,classifications!C:I,7,FALSE))</f>
        <v>Predominantly Rural</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565.20000000000005</v>
      </c>
      <c r="AK51" s="40">
        <f>IF(AJ51="","",IF(I$8="A",(RANK(AJ51,AJ$11:AJ$343,1)+COUNTIF(AJ$11:AJ51,AJ51)-1),(RANK(AJ51,AJ$11:AJ$343)+COUNTIF(AJ$11:AJ51,AJ51)-1)))</f>
        <v>40</v>
      </c>
      <c r="AL51" s="3">
        <f t="shared" si="35"/>
        <v>41</v>
      </c>
      <c r="AM51" t="str">
        <f t="shared" si="30"/>
        <v>Redcar &amp; Cleveland</v>
      </c>
      <c r="AN51">
        <f t="shared" si="31"/>
        <v>568.29999999999995</v>
      </c>
      <c r="AP51" s="5" t="str">
        <f>IF(L51="","",VLOOKUP($L51,classifications!$C:$E,3,FALSE))</f>
        <v>NE</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476.8</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342.5</v>
      </c>
      <c r="G52" s="15"/>
      <c r="H52" s="42" t="str">
        <f t="shared" si="26"/>
        <v/>
      </c>
      <c r="I52" s="79" t="str">
        <f>IF(H52="","",IF($I$8="A",(RANK(H52,H$11:H$343,1)+COUNTIF(H$11:H52,H52)-1),(RANK(H52,H$11:H$343)+COUNTIF(H$11:H52,H52)-1)))</f>
        <v/>
      </c>
      <c r="J52" s="41"/>
      <c r="K52" s="36">
        <f t="shared" si="34"/>
        <v>42</v>
      </c>
      <c r="L52" t="str">
        <f t="shared" si="27"/>
        <v>Redcar &amp; Cleveland</v>
      </c>
      <c r="M52" s="117">
        <f t="shared" si="28"/>
        <v>568.29999999999995</v>
      </c>
      <c r="N52" s="112">
        <f t="shared" si="23"/>
        <v>568.29999999999995</v>
      </c>
      <c r="O52" s="96" t="str">
        <f t="shared" si="11"/>
        <v/>
      </c>
      <c r="P52" s="96" t="str">
        <f t="shared" si="19"/>
        <v/>
      </c>
      <c r="Q52" s="96">
        <f t="shared" si="20"/>
        <v>568.29999999999995</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Significant Rural (rural including hub towns 26-49%)</v>
      </c>
      <c r="Y52">
        <f t="shared" si="4"/>
        <v>568.29999999999995</v>
      </c>
      <c r="Z52" s="40">
        <f>IF(Y52="","",IF(I$8="A",(RANK(Y52,Y$11:Y$343,1)+COUNTIF(Y$11:Y52,Y52)-1),(RANK(Y52,Y$11:Y$343)+COUNTIF(Y$11:Y52,Y52)-1)))</f>
        <v>17</v>
      </c>
      <c r="AA52" s="180" t="str">
        <f>IF(L52="","",VLOOKUP($L52,classifications!C:I,7,FALSE))</f>
        <v>Significant Rural</v>
      </c>
      <c r="AB52" s="174">
        <f t="shared" si="14"/>
        <v>568.29999999999995</v>
      </c>
      <c r="AC52" s="174">
        <f>IF(AB52="","",IF($I$8="A",(RANK(AB52,AB$11:AB$343)+COUNTIF(AB$11:AB52,AB52)-1),(RANK(AB52,AB$11:AB$343,1)+COUNTIF(AB$11:AB52,AB52)-1)))</f>
        <v>2</v>
      </c>
      <c r="AD52" s="174"/>
      <c r="AE52" s="36" t="str">
        <f t="shared" si="24"/>
        <v/>
      </c>
      <c r="AG52" s="15"/>
      <c r="AH52" s="3"/>
      <c r="AI52" s="5" t="str">
        <f>IF(L52="","",VLOOKUP($L52,classifications!$C:$J,8,FALSE))</f>
        <v>Unitary</v>
      </c>
      <c r="AJ52" s="43">
        <f t="shared" si="5"/>
        <v>568.29999999999995</v>
      </c>
      <c r="AK52" s="40">
        <f>IF(AJ52="","",IF(I$8="A",(RANK(AJ52,AJ$11:AJ$343,1)+COUNTIF(AJ$11:AJ52,AJ52)-1),(RANK(AJ52,AJ$11:AJ$343)+COUNTIF(AJ$11:AJ52,AJ52)-1)))</f>
        <v>41</v>
      </c>
      <c r="AL52" s="3">
        <f t="shared" si="35"/>
        <v>42</v>
      </c>
      <c r="AM52" t="str">
        <f t="shared" si="30"/>
        <v>Southampton</v>
      </c>
      <c r="AN52">
        <f t="shared" si="31"/>
        <v>570</v>
      </c>
      <c r="AP52" s="5" t="str">
        <f>IF(L52="","",VLOOKUP($L52,classifications!$C:$E,3,FALSE))</f>
        <v>NE</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342.5</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434.7</v>
      </c>
      <c r="G53" s="15"/>
      <c r="H53" s="42" t="str">
        <f t="shared" si="26"/>
        <v/>
      </c>
      <c r="I53" s="79" t="str">
        <f>IF(H53="","",IF($I$8="A",(RANK(H53,H$11:H$343,1)+COUNTIF(H$11:H53,H53)-1),(RANK(H53,H$11:H$343)+COUNTIF(H$11:H53,H53)-1)))</f>
        <v/>
      </c>
      <c r="J53" s="41"/>
      <c r="K53" s="36">
        <f t="shared" si="34"/>
        <v>43</v>
      </c>
      <c r="L53" t="str">
        <f t="shared" si="27"/>
        <v>Southampton</v>
      </c>
      <c r="M53" s="117">
        <f t="shared" si="28"/>
        <v>570</v>
      </c>
      <c r="N53" s="112">
        <f t="shared" si="23"/>
        <v>570</v>
      </c>
      <c r="O53" s="96" t="str">
        <f t="shared" si="11"/>
        <v/>
      </c>
      <c r="P53" s="96" t="str">
        <f t="shared" si="19"/>
        <v/>
      </c>
      <c r="Q53" s="96">
        <f t="shared" si="20"/>
        <v>570</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570</v>
      </c>
      <c r="AK53" s="40">
        <f>IF(AJ53="","",IF(I$8="A",(RANK(AJ53,AJ$11:AJ$343,1)+COUNTIF(AJ$11:AJ53,AJ53)-1),(RANK(AJ53,AJ$11:AJ$343)+COUNTIF(AJ$11:AJ53,AJ53)-1)))</f>
        <v>42</v>
      </c>
      <c r="AL53" s="3">
        <f t="shared" si="35"/>
        <v>43</v>
      </c>
      <c r="AM53" t="str">
        <f t="shared" si="30"/>
        <v>Hartlepool</v>
      </c>
      <c r="AN53">
        <f t="shared" si="31"/>
        <v>572.9</v>
      </c>
      <c r="AP53" s="5" t="str">
        <f>IF(L53="","",VLOOKUP($L53,classifications!$C:$E,3,FALSE))</f>
        <v>South East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434.7</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Hartlepool</v>
      </c>
      <c r="M54" s="117">
        <f t="shared" si="28"/>
        <v>572.9</v>
      </c>
      <c r="N54" s="112">
        <f t="shared" si="23"/>
        <v>572.9</v>
      </c>
      <c r="O54" s="96" t="str">
        <f t="shared" si="11"/>
        <v/>
      </c>
      <c r="P54" s="96" t="str">
        <f t="shared" si="19"/>
        <v/>
      </c>
      <c r="Q54" s="96" t="str">
        <f t="shared" si="20"/>
        <v/>
      </c>
      <c r="R54" s="92">
        <f t="shared" si="21"/>
        <v>572.9</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Unitary</v>
      </c>
      <c r="AJ54" s="43">
        <f t="shared" si="5"/>
        <v>572.9</v>
      </c>
      <c r="AK54" s="40">
        <f>IF(AJ54="","",IF(I$8="A",(RANK(AJ54,AJ$11:AJ$343,1)+COUNTIF(AJ$11:AJ54,AJ54)-1),(RANK(AJ54,AJ$11:AJ$343)+COUNTIF(AJ$11:AJ54,AJ54)-1)))</f>
        <v>43</v>
      </c>
      <c r="AL54" s="3">
        <f t="shared" si="35"/>
        <v>44</v>
      </c>
      <c r="AM54" t="str">
        <f t="shared" si="30"/>
        <v>Darlington</v>
      </c>
      <c r="AN54">
        <f t="shared" si="31"/>
        <v>575.1</v>
      </c>
      <c r="AP54" s="5" t="str">
        <f>IF(L54="","",VLOOKUP($L54,classifications!$C:$E,3,FALSE))</f>
        <v>NE</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479.4</v>
      </c>
      <c r="G55" s="15"/>
      <c r="H55" s="42" t="str">
        <f t="shared" si="26"/>
        <v/>
      </c>
      <c r="I55" s="79" t="str">
        <f>IF(H55="","",IF($I$8="A",(RANK(H55,H$11:H$343,1)+COUNTIF(H$11:H55,H55)-1),(RANK(H55,H$11:H$343)+COUNTIF(H$11:H55,H55)-1)))</f>
        <v/>
      </c>
      <c r="J55" s="41"/>
      <c r="K55" s="36">
        <f t="shared" si="34"/>
        <v>45</v>
      </c>
      <c r="L55" t="str">
        <f t="shared" si="27"/>
        <v>Darlington</v>
      </c>
      <c r="M55" s="117">
        <f t="shared" si="28"/>
        <v>575.1</v>
      </c>
      <c r="N55" s="112">
        <f t="shared" si="23"/>
        <v>575.1</v>
      </c>
      <c r="O55" s="96" t="str">
        <f t="shared" si="11"/>
        <v/>
      </c>
      <c r="P55" s="96" t="str">
        <f t="shared" si="19"/>
        <v/>
      </c>
      <c r="Q55" s="96" t="str">
        <f t="shared" si="20"/>
        <v/>
      </c>
      <c r="R55" s="92">
        <f t="shared" si="21"/>
        <v>575.1</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City and Town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575.1</v>
      </c>
      <c r="AK55" s="40">
        <f>IF(AJ55="","",IF(I$8="A",(RANK(AJ55,AJ$11:AJ$343,1)+COUNTIF(AJ$11:AJ55,AJ55)-1),(RANK(AJ55,AJ$11:AJ$343)+COUNTIF(AJ$11:AJ55,AJ55)-1)))</f>
        <v>44</v>
      </c>
      <c r="AL55" s="3">
        <f t="shared" si="35"/>
        <v>45</v>
      </c>
      <c r="AM55" t="str">
        <f t="shared" si="30"/>
        <v>Nottingham</v>
      </c>
      <c r="AN55">
        <f t="shared" si="31"/>
        <v>577.6</v>
      </c>
      <c r="AP55" s="5" t="str">
        <f>IF(L55="","",VLOOKUP($L55,classifications!$C:$E,3,FALSE))</f>
        <v>NE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479.4</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355.4</v>
      </c>
      <c r="G56" s="15"/>
      <c r="H56" s="42" t="str">
        <f t="shared" si="26"/>
        <v/>
      </c>
      <c r="I56" s="79" t="str">
        <f>IF(H56="","",IF($I$8="A",(RANK(H56,H$11:H$343,1)+COUNTIF(H$11:H56,H56)-1),(RANK(H56,H$11:H$343)+COUNTIF(H$11:H56,H56)-1)))</f>
        <v/>
      </c>
      <c r="J56" s="41"/>
      <c r="K56" s="36">
        <f t="shared" si="34"/>
        <v>46</v>
      </c>
      <c r="L56" t="str">
        <f t="shared" si="27"/>
        <v>Nottingham</v>
      </c>
      <c r="M56" s="117">
        <f t="shared" si="28"/>
        <v>577.6</v>
      </c>
      <c r="N56" s="112">
        <f t="shared" si="23"/>
        <v>577.6</v>
      </c>
      <c r="O56" s="96" t="str">
        <f t="shared" si="11"/>
        <v/>
      </c>
      <c r="P56" s="96" t="str">
        <f t="shared" si="19"/>
        <v/>
      </c>
      <c r="Q56" s="96" t="str">
        <f t="shared" si="20"/>
        <v/>
      </c>
      <c r="R56" s="92">
        <f t="shared" si="21"/>
        <v>577.6</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Minor Conurbation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Unitary</v>
      </c>
      <c r="AJ56" s="43">
        <f t="shared" si="5"/>
        <v>577.6</v>
      </c>
      <c r="AK56" s="40">
        <f>IF(AJ56="","",IF(I$8="A",(RANK(AJ56,AJ$11:AJ$343,1)+COUNTIF(AJ$11:AJ56,AJ56)-1),(RANK(AJ56,AJ$11:AJ$343)+COUNTIF(AJ$11:AJ56,AJ56)-1)))</f>
        <v>45</v>
      </c>
      <c r="AL56" s="3">
        <f t="shared" si="35"/>
        <v>46</v>
      </c>
      <c r="AM56" t="str">
        <f t="shared" si="30"/>
        <v>Swindon</v>
      </c>
      <c r="AN56">
        <f t="shared" si="31"/>
        <v>578.1</v>
      </c>
      <c r="AP56" s="5" t="str">
        <f>IF(L56="","",VLOOKUP($L56,classifications!$C:$E,3,FALSE))</f>
        <v>East Midlands</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355.4</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488.7</v>
      </c>
      <c r="G57" s="15"/>
      <c r="H57" s="42" t="str">
        <f t="shared" si="26"/>
        <v/>
      </c>
      <c r="I57" s="79" t="str">
        <f>IF(H57="","",IF($I$8="A",(RANK(H57,H$11:H$343,1)+COUNTIF(H$11:H57,H57)-1),(RANK(H57,H$11:H$343)+COUNTIF(H$11:H57,H57)-1)))</f>
        <v/>
      </c>
      <c r="J57" s="41"/>
      <c r="K57" s="36">
        <f t="shared" si="34"/>
        <v>47</v>
      </c>
      <c r="L57" t="str">
        <f t="shared" si="27"/>
        <v>Swindon</v>
      </c>
      <c r="M57" s="117">
        <f t="shared" si="28"/>
        <v>578.1</v>
      </c>
      <c r="N57" s="112">
        <f t="shared" si="23"/>
        <v>578.1</v>
      </c>
      <c r="O57" s="96" t="str">
        <f t="shared" si="11"/>
        <v/>
      </c>
      <c r="P57" s="96" t="str">
        <f t="shared" si="19"/>
        <v/>
      </c>
      <c r="Q57" s="96" t="str">
        <f t="shared" si="20"/>
        <v/>
      </c>
      <c r="R57" s="92">
        <f t="shared" si="21"/>
        <v>578.1</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City and Town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Unitary</v>
      </c>
      <c r="AJ57" s="43">
        <f t="shared" si="5"/>
        <v>578.1</v>
      </c>
      <c r="AK57" s="40">
        <f>IF(AJ57="","",IF(I$8="A",(RANK(AJ57,AJ$11:AJ$343,1)+COUNTIF(AJ$11:AJ57,AJ57)-1),(RANK(AJ57,AJ$11:AJ$343)+COUNTIF(AJ$11:AJ57,AJ57)-1)))</f>
        <v>46</v>
      </c>
      <c r="AL57" s="3">
        <f t="shared" si="35"/>
        <v>47</v>
      </c>
      <c r="AM57" t="str">
        <f t="shared" si="30"/>
        <v>Bedford</v>
      </c>
      <c r="AN57">
        <f t="shared" si="31"/>
        <v>580.79999999999995</v>
      </c>
      <c r="AP57" s="5" t="str">
        <f>IF(L57="","",VLOOKUP($L57,classifications!$C:$E,3,FALSE))</f>
        <v>South West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488.7</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393.4</v>
      </c>
      <c r="G58" s="15"/>
      <c r="H58" s="42" t="str">
        <f t="shared" si="26"/>
        <v/>
      </c>
      <c r="I58" s="79" t="str">
        <f>IF(H58="","",IF($I$8="A",(RANK(H58,H$11:H$343,1)+COUNTIF(H$11:H58,H58)-1),(RANK(H58,H$11:H$343)+COUNTIF(H$11:H58,H58)-1)))</f>
        <v/>
      </c>
      <c r="J58" s="41"/>
      <c r="K58" s="36">
        <f t="shared" si="34"/>
        <v>48</v>
      </c>
      <c r="L58" t="str">
        <f t="shared" si="27"/>
        <v>Bedford</v>
      </c>
      <c r="M58" s="117">
        <f t="shared" si="28"/>
        <v>580.79999999999995</v>
      </c>
      <c r="N58" s="112">
        <f t="shared" si="23"/>
        <v>580.79999999999995</v>
      </c>
      <c r="O58" s="96" t="str">
        <f t="shared" si="11"/>
        <v/>
      </c>
      <c r="P58" s="96" t="str">
        <f t="shared" si="19"/>
        <v/>
      </c>
      <c r="Q58" s="96" t="str">
        <f t="shared" si="20"/>
        <v/>
      </c>
      <c r="R58" s="92">
        <f t="shared" si="21"/>
        <v>580.79999999999995</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Significant Rural (rural including hub towns 26-49%)</v>
      </c>
      <c r="Y58">
        <f t="shared" si="4"/>
        <v>580.79999999999995</v>
      </c>
      <c r="Z58" s="40">
        <f>IF(Y58="","",IF(I$8="A",(RANK(Y58,Y$11:Y$343,1)+COUNTIF(Y$11:Y58,Y58)-1),(RANK(Y58,Y$11:Y$343)+COUNTIF(Y$11:Y58,Y58)-1)))</f>
        <v>18</v>
      </c>
      <c r="AA58" s="180" t="str">
        <f>IF(L58="","",VLOOKUP($L58,classifications!C:I,7,FALSE))</f>
        <v>Significant Rural</v>
      </c>
      <c r="AB58" s="174">
        <f t="shared" si="14"/>
        <v>580.79999999999995</v>
      </c>
      <c r="AC58" s="174">
        <f>IF(AB58="","",IF($I$8="A",(RANK(AB58,AB$11:AB$343)+COUNTIF(AB$11:AB58,AB58)-1),(RANK(AB58,AB$11:AB$343,1)+COUNTIF(AB$11:AB58,AB58)-1)))</f>
        <v>1</v>
      </c>
      <c r="AD58" s="174"/>
      <c r="AE58" s="36" t="str">
        <f t="shared" si="24"/>
        <v/>
      </c>
      <c r="AG58" s="15"/>
      <c r="AH58" s="3"/>
      <c r="AI58" s="5" t="str">
        <f>IF(L58="","",VLOOKUP($L58,classifications!$C:$J,8,FALSE))</f>
        <v>Unitary</v>
      </c>
      <c r="AJ58" s="43">
        <f t="shared" si="5"/>
        <v>580.79999999999995</v>
      </c>
      <c r="AK58" s="40">
        <f>IF(AJ58="","",IF(I$8="A",(RANK(AJ58,AJ$11:AJ$343,1)+COUNTIF(AJ$11:AJ58,AJ58)-1),(RANK(AJ58,AJ$11:AJ$343)+COUNTIF(AJ$11:AJ58,AJ58)-1)))</f>
        <v>47</v>
      </c>
      <c r="AL58" s="3">
        <f t="shared" si="35"/>
        <v>48</v>
      </c>
      <c r="AM58" t="str">
        <f t="shared" si="30"/>
        <v>Blackburn with Darwen</v>
      </c>
      <c r="AN58">
        <f t="shared" si="31"/>
        <v>591.70000000000005</v>
      </c>
      <c r="AP58" s="5" t="str">
        <f>IF(L58="","",VLOOKUP($L58,classifications!$C:$E,3,FALSE))</f>
        <v>East of England</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393.4</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467.3</v>
      </c>
      <c r="G59" s="15"/>
      <c r="H59" s="42" t="str">
        <f t="shared" si="26"/>
        <v/>
      </c>
      <c r="I59" s="79" t="str">
        <f>IF(H59="","",IF($I$8="A",(RANK(H59,H$11:H$343,1)+COUNTIF(H$11:H59,H59)-1),(RANK(H59,H$11:H$343)+COUNTIF(H$11:H59,H59)-1)))</f>
        <v/>
      </c>
      <c r="J59" s="41"/>
      <c r="K59" s="36">
        <f t="shared" si="34"/>
        <v>49</v>
      </c>
      <c r="L59" t="str">
        <f t="shared" si="27"/>
        <v>Blackburn with Darwen</v>
      </c>
      <c r="M59" s="117">
        <f t="shared" si="28"/>
        <v>591.70000000000005</v>
      </c>
      <c r="N59" s="112">
        <f t="shared" si="23"/>
        <v>591.70000000000005</v>
      </c>
      <c r="O59" s="96" t="str">
        <f t="shared" si="11"/>
        <v/>
      </c>
      <c r="P59" s="96" t="str">
        <f t="shared" si="19"/>
        <v/>
      </c>
      <c r="Q59" s="96" t="str">
        <f t="shared" si="20"/>
        <v/>
      </c>
      <c r="R59" s="92">
        <f t="shared" si="21"/>
        <v>591.70000000000005</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Unitary</v>
      </c>
      <c r="AJ59" s="43">
        <f t="shared" si="5"/>
        <v>591.70000000000005</v>
      </c>
      <c r="AK59" s="40">
        <f>IF(AJ59="","",IF(I$8="A",(RANK(AJ59,AJ$11:AJ$343,1)+COUNTIF(AJ$11:AJ59,AJ59)-1),(RANK(AJ59,AJ$11:AJ$343)+COUNTIF(AJ$11:AJ59,AJ59)-1)))</f>
        <v>48</v>
      </c>
      <c r="AL59" s="3">
        <f t="shared" si="35"/>
        <v>49</v>
      </c>
      <c r="AM59" t="str">
        <f t="shared" si="30"/>
        <v>Halton</v>
      </c>
      <c r="AN59">
        <f t="shared" si="31"/>
        <v>598.9</v>
      </c>
      <c r="AP59" s="5" t="str">
        <f>IF(L59="","",VLOOKUP($L59,classifications!$C:$E,3,FALSE))</f>
        <v>North West</v>
      </c>
      <c r="AQ59" s="43">
        <f t="shared" si="17"/>
        <v>591.70000000000005</v>
      </c>
      <c r="AR59" s="40">
        <f>IF(AQ59="","",IF(I$8="A",(RANK(AQ59,AQ$11:AQ$343,1)+COUNTIF(AQ$11:AQ59,AQ59)-1),(RANK(AQ59,AQ$11:AQ$343)+COUNTIF(AQ$11:AQ59,AQ59)-1)))</f>
        <v>5</v>
      </c>
      <c r="AS59" s="3" t="str">
        <f t="shared" si="36"/>
        <v/>
      </c>
      <c r="AT59" s="40" t="str">
        <f t="shared" si="32"/>
        <v/>
      </c>
      <c r="AU59" s="43" t="str">
        <f t="shared" si="33"/>
        <v/>
      </c>
      <c r="AX59">
        <f>HLOOKUP($AX$9&amp;$AX$10,Data!$A$1:$ZZ$1980,(MATCH($C59,Data!$A$1:$A$1980,0)),FALSE)</f>
        <v>467.3</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435.7</v>
      </c>
      <c r="G60" s="15"/>
      <c r="H60" s="42" t="str">
        <f t="shared" si="26"/>
        <v/>
      </c>
      <c r="I60" s="79" t="str">
        <f>IF(H60="","",IF($I$8="A",(RANK(H60,H$11:H$343,1)+COUNTIF(H$11:H60,H60)-1),(RANK(H60,H$11:H$343)+COUNTIF(H$11:H60,H60)-1)))</f>
        <v/>
      </c>
      <c r="J60" s="41"/>
      <c r="K60" s="36">
        <f t="shared" si="34"/>
        <v>50</v>
      </c>
      <c r="L60" t="str">
        <f t="shared" si="27"/>
        <v>Halton</v>
      </c>
      <c r="M60" s="117">
        <f t="shared" si="28"/>
        <v>598.9</v>
      </c>
      <c r="N60" s="112">
        <f t="shared" si="23"/>
        <v>598.9</v>
      </c>
      <c r="O60" s="96" t="str">
        <f t="shared" si="11"/>
        <v/>
      </c>
      <c r="P60" s="96" t="str">
        <f t="shared" si="19"/>
        <v/>
      </c>
      <c r="Q60" s="96" t="str">
        <f t="shared" si="20"/>
        <v/>
      </c>
      <c r="R60" s="92">
        <f t="shared" si="21"/>
        <v>598.9</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City and Town</v>
      </c>
      <c r="Y60" t="str">
        <f t="shared" si="4"/>
        <v/>
      </c>
      <c r="Z60" s="40" t="str">
        <f>IF(Y60="","",IF(I$8="A",(RANK(Y60,Y$11:Y$343,1)+COUNTIF(Y$11:Y60,Y60)-1),(RANK(Y60,Y$11:Y$343)+COUNTIF(Y$11:Y60,Y60)-1)))</f>
        <v/>
      </c>
      <c r="AA60" s="180" t="str">
        <f>IF(L60="","",VLOOKUP($L60,classifications!C:I,7,FALSE))</f>
        <v>Predominantly Urban</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598.9</v>
      </c>
      <c r="AK60" s="40">
        <f>IF(AJ60="","",IF(I$8="A",(RANK(AJ60,AJ$11:AJ$343,1)+COUNTIF(AJ$11:AJ60,AJ60)-1),(RANK(AJ60,AJ$11:AJ$343)+COUNTIF(AJ$11:AJ60,AJ60)-1)))</f>
        <v>49</v>
      </c>
      <c r="AL60" s="3">
        <f t="shared" si="35"/>
        <v>50</v>
      </c>
      <c r="AM60" t="str">
        <f t="shared" si="30"/>
        <v>Medway</v>
      </c>
      <c r="AN60">
        <f t="shared" si="31"/>
        <v>599.5</v>
      </c>
      <c r="AP60" s="5" t="str">
        <f>IF(L60="","",VLOOKUP($L60,classifications!$C:$E,3,FALSE))</f>
        <v>North West</v>
      </c>
      <c r="AQ60" s="43">
        <f t="shared" si="17"/>
        <v>598.9</v>
      </c>
      <c r="AR60" s="40">
        <f>IF(AQ60="","",IF(I$8="A",(RANK(AQ60,AQ$11:AQ$343,1)+COUNTIF(AQ$11:AQ60,AQ60)-1),(RANK(AQ60,AQ$11:AQ$343)+COUNTIF(AQ$11:AQ60,AQ60)-1)))</f>
        <v>6</v>
      </c>
      <c r="AS60" s="3" t="str">
        <f t="shared" si="36"/>
        <v/>
      </c>
      <c r="AT60" s="40" t="str">
        <f t="shared" si="32"/>
        <v/>
      </c>
      <c r="AU60" s="43" t="str">
        <f t="shared" si="33"/>
        <v/>
      </c>
      <c r="AX60">
        <f>HLOOKUP($AX$9&amp;$AX$10,Data!$A$1:$ZZ$1980,(MATCH($C60,Data!$A$1:$A$1980,0)),FALSE)</f>
        <v>435.7</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530</v>
      </c>
      <c r="G61" s="15"/>
      <c r="H61" s="42">
        <f t="shared" si="26"/>
        <v>530</v>
      </c>
      <c r="I61" s="79">
        <f>IF(H61="","",IF($I$8="A",(RANK(H61,H$11:H$343,1)+COUNTIF(H$11:H61,H61)-1),(RANK(H61,H$11:H$343)+COUNTIF(H$11:H61,H61)-1)))</f>
        <v>31</v>
      </c>
      <c r="J61" s="41"/>
      <c r="K61" s="36">
        <f t="shared" si="34"/>
        <v>51</v>
      </c>
      <c r="L61" t="str">
        <f t="shared" si="27"/>
        <v>Medway</v>
      </c>
      <c r="M61" s="117">
        <f t="shared" si="28"/>
        <v>599.5</v>
      </c>
      <c r="N61" s="112">
        <f t="shared" si="23"/>
        <v>599.5</v>
      </c>
      <c r="O61" s="96" t="str">
        <f t="shared" si="11"/>
        <v/>
      </c>
      <c r="P61" s="96" t="str">
        <f t="shared" si="19"/>
        <v/>
      </c>
      <c r="Q61" s="96" t="str">
        <f t="shared" si="20"/>
        <v/>
      </c>
      <c r="R61" s="92">
        <f t="shared" si="21"/>
        <v>599.5</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599.5</v>
      </c>
      <c r="AK61" s="40">
        <f>IF(AJ61="","",IF(I$8="A",(RANK(AJ61,AJ$11:AJ$343,1)+COUNTIF(AJ$11:AJ61,AJ61)-1),(RANK(AJ61,AJ$11:AJ$343)+COUNTIF(AJ$11:AJ61,AJ61)-1)))</f>
        <v>50</v>
      </c>
      <c r="AL61" s="3">
        <f t="shared" si="35"/>
        <v>51</v>
      </c>
      <c r="AM61" t="str">
        <f t="shared" si="30"/>
        <v>Northumberland</v>
      </c>
      <c r="AN61">
        <f t="shared" si="31"/>
        <v>602.29999999999995</v>
      </c>
      <c r="AP61" s="5" t="str">
        <f>IF(L61="","",VLOOKUP($L61,classifications!$C:$E,3,FALSE))</f>
        <v>South East</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530</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438.4</v>
      </c>
      <c r="G62" s="15"/>
      <c r="H62" s="42" t="str">
        <f t="shared" si="26"/>
        <v/>
      </c>
      <c r="I62" s="79" t="str">
        <f>IF(H62="","",IF($I$8="A",(RANK(H62,H$11:H$343,1)+COUNTIF(H$11:H62,H62)-1),(RANK(H62,H$11:H$343)+COUNTIF(H$11:H62,H62)-1)))</f>
        <v/>
      </c>
      <c r="J62" s="41"/>
      <c r="K62" s="36">
        <f t="shared" si="34"/>
        <v>52</v>
      </c>
      <c r="L62" t="str">
        <f t="shared" si="27"/>
        <v>Northumberland</v>
      </c>
      <c r="M62" s="117">
        <f t="shared" si="28"/>
        <v>602.29999999999995</v>
      </c>
      <c r="N62" s="112">
        <f t="shared" si="23"/>
        <v>602.29999999999995</v>
      </c>
      <c r="O62" s="96" t="str">
        <f t="shared" si="11"/>
        <v/>
      </c>
      <c r="P62" s="96" t="str">
        <f t="shared" si="19"/>
        <v/>
      </c>
      <c r="Q62" s="96" t="str">
        <f t="shared" si="20"/>
        <v/>
      </c>
      <c r="R62" s="92">
        <f t="shared" si="21"/>
        <v>602.29999999999995</v>
      </c>
      <c r="S62" s="42" t="str">
        <f t="shared" si="12"/>
        <v/>
      </c>
      <c r="T62" s="167" t="str">
        <f>IF(L62="","",VLOOKUP(L62,classifications!C:K,9,FALSE))</f>
        <v>Sparse</v>
      </c>
      <c r="U62" s="168">
        <f t="shared" si="29"/>
        <v>602.29999999999995</v>
      </c>
      <c r="V62" s="174">
        <f>IF(U62="","",IF($I$8="A",(RANK(U62,U$11:U$343)+COUNTIF(U$11:U62,U62)-1),(RANK(U62,U$11:U$343,1)+COUNTIF(U$11:U62,U62)-1)))</f>
        <v>2</v>
      </c>
      <c r="W62" s="175"/>
      <c r="X62" s="5" t="str">
        <f>IF(L62="","",VLOOKUP($L62,classifications!$C:$J,6,FALSE))</f>
        <v xml:space="preserve">Largely Rural (rural including hub towns 50-79%) </v>
      </c>
      <c r="Y62">
        <f t="shared" si="4"/>
        <v>602.29999999999995</v>
      </c>
      <c r="Z62" s="40">
        <f>IF(Y62="","",IF(I$8="A",(RANK(Y62,Y$11:Y$343,1)+COUNTIF(Y$11:Y62,Y62)-1),(RANK(Y62,Y$11:Y$343)+COUNTIF(Y$11:Y62,Y62)-1)))</f>
        <v>19</v>
      </c>
      <c r="AA62" s="180" t="str">
        <f>IF(L62="","",VLOOKUP($L62,classifications!C:I,7,FALSE))</f>
        <v>Predominantly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602.29999999999995</v>
      </c>
      <c r="AK62" s="40">
        <f>IF(AJ62="","",IF(I$8="A",(RANK(AJ62,AJ$11:AJ$343,1)+COUNTIF(AJ$11:AJ62,AJ62)-1),(RANK(AJ62,AJ$11:AJ$343)+COUNTIF(AJ$11:AJ62,AJ62)-1)))</f>
        <v>51</v>
      </c>
      <c r="AL62" s="3">
        <f t="shared" si="35"/>
        <v>52</v>
      </c>
      <c r="AM62" t="str">
        <f t="shared" si="30"/>
        <v>Cornwall</v>
      </c>
      <c r="AN62">
        <f t="shared" si="31"/>
        <v>618.29999999999995</v>
      </c>
      <c r="AP62" s="5" t="str">
        <f>IF(L62="","",VLOOKUP($L62,classifications!$C:$E,3,FALSE))</f>
        <v>NE</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438.4</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406.5</v>
      </c>
      <c r="G63" s="15"/>
      <c r="H63" s="42" t="str">
        <f t="shared" si="26"/>
        <v/>
      </c>
      <c r="I63" s="79" t="str">
        <f>IF(H63="","",IF($I$8="A",(RANK(H63,H$11:H$343,1)+COUNTIF(H$11:H63,H63)-1),(RANK(H63,H$11:H$343)+COUNTIF(H$11:H63,H63)-1)))</f>
        <v/>
      </c>
      <c r="J63" s="41"/>
      <c r="K63" s="36">
        <f t="shared" si="34"/>
        <v>53</v>
      </c>
      <c r="L63" t="str">
        <f t="shared" si="27"/>
        <v>Cornwall</v>
      </c>
      <c r="M63" s="117">
        <f t="shared" si="28"/>
        <v>618.29999999999995</v>
      </c>
      <c r="N63" s="112">
        <f t="shared" si="23"/>
        <v>618.29999999999995</v>
      </c>
      <c r="O63" s="96" t="str">
        <f t="shared" si="11"/>
        <v/>
      </c>
      <c r="P63" s="96" t="str">
        <f t="shared" si="19"/>
        <v/>
      </c>
      <c r="Q63" s="96" t="str">
        <f t="shared" si="20"/>
        <v/>
      </c>
      <c r="R63" s="92">
        <f t="shared" si="21"/>
        <v>618.29999999999995</v>
      </c>
      <c r="S63" s="42" t="str">
        <f t="shared" si="12"/>
        <v/>
      </c>
      <c r="T63" s="167" t="str">
        <f>IF(L63="","",VLOOKUP(L63,classifications!C:K,9,FALSE))</f>
        <v>Sparse</v>
      </c>
      <c r="U63" s="168">
        <f t="shared" si="29"/>
        <v>618.29999999999995</v>
      </c>
      <c r="V63" s="174">
        <f>IF(U63="","",IF($I$8="A",(RANK(U63,U$11:U$343)+COUNTIF(U$11:U63,U63)-1),(RANK(U63,U$11:U$343,1)+COUNTIF(U$11:U63,U63)-1)))</f>
        <v>1</v>
      </c>
      <c r="W63" s="175"/>
      <c r="X63" s="5" t="str">
        <f>IF(L63="","",VLOOKUP($L63,classifications!$C:$J,6,FALSE))</f>
        <v xml:space="preserve">Mainly Rural (rural including hub towns &gt;=80%) </v>
      </c>
      <c r="Y63">
        <f t="shared" si="4"/>
        <v>618.29999999999995</v>
      </c>
      <c r="Z63" s="40">
        <f>IF(Y63="","",IF(I$8="A",(RANK(Y63,Y$11:Y$343,1)+COUNTIF(Y$11:Y63,Y63)-1),(RANK(Y63,Y$11:Y$343)+COUNTIF(Y$11:Y63,Y63)-1)))</f>
        <v>20</v>
      </c>
      <c r="AA63" s="180" t="str">
        <f>IF(L63="","",VLOOKUP($L63,classifications!C:I,7,FALSE))</f>
        <v>Predominantly Rural</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618.29999999999995</v>
      </c>
      <c r="AK63" s="40">
        <f>IF(AJ63="","",IF(I$8="A",(RANK(AJ63,AJ$11:AJ$343,1)+COUNTIF(AJ$11:AJ63,AJ63)-1),(RANK(AJ63,AJ$11:AJ$343)+COUNTIF(AJ$11:AJ63,AJ63)-1)))</f>
        <v>52</v>
      </c>
      <c r="AL63" s="3">
        <f t="shared" si="35"/>
        <v>53</v>
      </c>
      <c r="AM63" t="str">
        <f t="shared" si="30"/>
        <v>Slough</v>
      </c>
      <c r="AN63">
        <f t="shared" si="31"/>
        <v>660.8</v>
      </c>
      <c r="AP63" s="5" t="str">
        <f>IF(L63="","",VLOOKUP($L63,classifications!$C:$E,3,FALSE))</f>
        <v>South West</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406.5</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407.2</v>
      </c>
      <c r="G64" s="15"/>
      <c r="H64" s="42" t="str">
        <f t="shared" si="26"/>
        <v/>
      </c>
      <c r="I64" s="79" t="str">
        <f>IF(H64="","",IF($I$8="A",(RANK(H64,H$11:H$343,1)+COUNTIF(H$11:H64,H64)-1),(RANK(H64,H$11:H$343)+COUNTIF(H$11:H64,H64)-1)))</f>
        <v/>
      </c>
      <c r="J64" s="41"/>
      <c r="K64" s="36">
        <f t="shared" si="34"/>
        <v>54</v>
      </c>
      <c r="L64" t="str">
        <f t="shared" si="27"/>
        <v>Slough</v>
      </c>
      <c r="M64" s="117">
        <f t="shared" si="28"/>
        <v>660.8</v>
      </c>
      <c r="N64" s="112">
        <f t="shared" si="23"/>
        <v>660.8</v>
      </c>
      <c r="O64" s="96" t="str">
        <f t="shared" si="11"/>
        <v/>
      </c>
      <c r="P64" s="96" t="str">
        <f t="shared" si="19"/>
        <v/>
      </c>
      <c r="Q64" s="96" t="str">
        <f t="shared" si="20"/>
        <v/>
      </c>
      <c r="R64" s="92">
        <f t="shared" si="21"/>
        <v>660.8</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City and Town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660.8</v>
      </c>
      <c r="AK64" s="40">
        <f>IF(AJ64="","",IF(I$8="A",(RANK(AJ64,AJ$11:AJ$343,1)+COUNTIF(AJ$11:AJ64,AJ64)-1),(RANK(AJ64,AJ$11:AJ$343)+COUNTIF(AJ$11:AJ64,AJ64)-1)))</f>
        <v>53</v>
      </c>
      <c r="AL64" s="3">
        <f t="shared" si="35"/>
        <v>54</v>
      </c>
      <c r="AM64" t="str">
        <f t="shared" si="30"/>
        <v>Luton</v>
      </c>
      <c r="AN64">
        <f t="shared" si="31"/>
        <v>664.8</v>
      </c>
      <c r="AP64" s="5" t="str">
        <f>IF(L64="","",VLOOKUP($L64,classifications!$C:$E,3,FALSE))</f>
        <v>South East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407.2</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392.7</v>
      </c>
      <c r="G65" s="15"/>
      <c r="H65" s="42" t="str">
        <f t="shared" si="26"/>
        <v/>
      </c>
      <c r="I65" s="79" t="str">
        <f>IF(H65="","",IF($I$8="A",(RANK(H65,H$11:H$343,1)+COUNTIF(H$11:H65,H65)-1),(RANK(H65,H$11:H$343)+COUNTIF(H$11:H65,H65)-1)))</f>
        <v/>
      </c>
      <c r="J65" s="41"/>
      <c r="K65" s="36">
        <f t="shared" si="34"/>
        <v>55</v>
      </c>
      <c r="L65" t="str">
        <f t="shared" si="27"/>
        <v>Luton</v>
      </c>
      <c r="M65" s="117">
        <f t="shared" si="28"/>
        <v>664.8</v>
      </c>
      <c r="N65" s="112">
        <f t="shared" si="23"/>
        <v>664.8</v>
      </c>
      <c r="O65" s="96" t="str">
        <f t="shared" si="11"/>
        <v/>
      </c>
      <c r="P65" s="96" t="str">
        <f t="shared" si="19"/>
        <v/>
      </c>
      <c r="Q65" s="96" t="str">
        <f t="shared" si="20"/>
        <v/>
      </c>
      <c r="R65" s="92">
        <f t="shared" si="21"/>
        <v>664.8</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Unitary</v>
      </c>
      <c r="AJ65" s="43">
        <f t="shared" si="5"/>
        <v>664.8</v>
      </c>
      <c r="AK65" s="40">
        <f>IF(AJ65="","",IF(I$8="A",(RANK(AJ65,AJ$11:AJ$343,1)+COUNTIF(AJ$11:AJ65,AJ65)-1),(RANK(AJ65,AJ$11:AJ$343)+COUNTIF(AJ$11:AJ65,AJ65)-1)))</f>
        <v>54</v>
      </c>
      <c r="AL65" s="3">
        <f t="shared" si="35"/>
        <v>55</v>
      </c>
      <c r="AM65" t="str">
        <f t="shared" si="30"/>
        <v>Stockton-on-Tees</v>
      </c>
      <c r="AN65">
        <f t="shared" si="31"/>
        <v>693.5</v>
      </c>
      <c r="AP65" s="5" t="str">
        <f>IF(L65="","",VLOOKUP($L65,classifications!$C:$E,3,FALSE))</f>
        <v>East of England</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392.7</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467.1</v>
      </c>
      <c r="G66" s="15"/>
      <c r="H66" s="42">
        <f t="shared" si="26"/>
        <v>467.1</v>
      </c>
      <c r="I66" s="79">
        <f>IF(H66="","",IF($I$8="A",(RANK(H66,H$11:H$343,1)+COUNTIF(H$11:H66,H66)-1),(RANK(H66,H$11:H$343)+COUNTIF(H$11:H66,H66)-1)))</f>
        <v>14</v>
      </c>
      <c r="J66" s="41"/>
      <c r="K66" s="36">
        <f t="shared" si="34"/>
        <v>56</v>
      </c>
      <c r="L66" t="str">
        <f t="shared" si="27"/>
        <v>Stockton-on-Tees</v>
      </c>
      <c r="M66" s="117">
        <f t="shared" si="28"/>
        <v>693.5</v>
      </c>
      <c r="N66" s="112">
        <f t="shared" si="23"/>
        <v>693.5</v>
      </c>
      <c r="O66" s="96" t="str">
        <f t="shared" si="11"/>
        <v/>
      </c>
      <c r="P66" s="96" t="str">
        <f t="shared" si="19"/>
        <v/>
      </c>
      <c r="Q66" s="96" t="str">
        <f t="shared" si="20"/>
        <v/>
      </c>
      <c r="R66" s="92">
        <f t="shared" si="21"/>
        <v>693.5</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City and Town</v>
      </c>
      <c r="Y66" t="str">
        <f t="shared" si="4"/>
        <v/>
      </c>
      <c r="Z66" s="40" t="str">
        <f>IF(Y66="","",IF(I$8="A",(RANK(Y66,Y$11:Y$343,1)+COUNTIF(Y$11:Y66,Y66)-1),(RANK(Y66,Y$11:Y$343)+COUNTIF(Y$11:Y66,Y66)-1)))</f>
        <v/>
      </c>
      <c r="AA66" s="180" t="str">
        <f>IF(L66="","",VLOOKUP($L66,classifications!C:I,7,FALSE))</f>
        <v>Predominantly Urban</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693.5</v>
      </c>
      <c r="AK66" s="40">
        <f>IF(AJ66="","",IF(I$8="A",(RANK(AJ66,AJ$11:AJ$343,1)+COUNTIF(AJ$11:AJ66,AJ66)-1),(RANK(AJ66,AJ$11:AJ$343)+COUNTIF(AJ$11:AJ66,AJ66)-1)))</f>
        <v>55</v>
      </c>
      <c r="AL66" s="3">
        <f t="shared" si="35"/>
        <v>56</v>
      </c>
      <c r="AM66" t="str">
        <f t="shared" si="30"/>
        <v>Thurrock</v>
      </c>
      <c r="AN66">
        <f t="shared" si="31"/>
        <v>698.2</v>
      </c>
      <c r="AP66" s="5" t="str">
        <f>IF(L66="","",VLOOKUP($L66,classifications!$C:$E,3,FALSE))</f>
        <v>NE</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467.1</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413.3</v>
      </c>
      <c r="G67" s="15"/>
      <c r="H67" s="42">
        <f t="shared" si="26"/>
        <v>413.3</v>
      </c>
      <c r="I67" s="79">
        <f>IF(H67="","",IF($I$8="A",(RANK(H67,H$11:H$343,1)+COUNTIF(H$11:H67,H67)-1),(RANK(H67,H$11:H$343)+COUNTIF(H$11:H67,H67)-1)))</f>
        <v>9</v>
      </c>
      <c r="J67" s="41"/>
      <c r="K67" s="36">
        <f t="shared" si="34"/>
        <v>57</v>
      </c>
      <c r="L67" t="str">
        <f t="shared" si="27"/>
        <v>Thurrock</v>
      </c>
      <c r="M67" s="117">
        <f t="shared" si="28"/>
        <v>698.2</v>
      </c>
      <c r="N67" s="112">
        <f t="shared" si="23"/>
        <v>698.2</v>
      </c>
      <c r="O67" s="96" t="str">
        <f t="shared" si="11"/>
        <v/>
      </c>
      <c r="P67" s="96" t="str">
        <f t="shared" si="19"/>
        <v/>
      </c>
      <c r="Q67" s="96" t="str">
        <f t="shared" si="20"/>
        <v/>
      </c>
      <c r="R67" s="92">
        <f t="shared" si="21"/>
        <v>698.2</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Major Conurbation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698.2</v>
      </c>
      <c r="AK67" s="40">
        <f>IF(AJ67="","",IF(I$8="A",(RANK(AJ67,AJ$11:AJ$343,1)+COUNTIF(AJ$11:AJ67,AJ67)-1),(RANK(AJ67,AJ$11:AJ$343)+COUNTIF(AJ$11:AJ67,AJ67)-1)))</f>
        <v>56</v>
      </c>
      <c r="AL67" s="3">
        <f t="shared" si="35"/>
        <v>57</v>
      </c>
      <c r="AM67" t="str">
        <f t="shared" si="30"/>
        <v>Middlesbrough</v>
      </c>
      <c r="AN67">
        <f t="shared" si="31"/>
        <v>759.1</v>
      </c>
      <c r="AP67" s="5" t="str">
        <f>IF(L67="","",VLOOKUP($L67,classifications!$C:$E,3,FALSE))</f>
        <v>East of England</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413.3</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446.2</v>
      </c>
      <c r="G68" s="15"/>
      <c r="H68" s="42" t="str">
        <f t="shared" si="26"/>
        <v/>
      </c>
      <c r="I68" s="79" t="str">
        <f>IF(H68="","",IF($I$8="A",(RANK(H68,H$11:H$343,1)+COUNTIF(H$11:H68,H68)-1),(RANK(H68,H$11:H$343)+COUNTIF(H$11:H68,H68)-1)))</f>
        <v/>
      </c>
      <c r="J68" s="41"/>
      <c r="K68" s="36">
        <f t="shared" si="34"/>
        <v>58</v>
      </c>
      <c r="L68" t="str">
        <f t="shared" si="27"/>
        <v>Middlesbrough</v>
      </c>
      <c r="M68" s="117">
        <f t="shared" si="28"/>
        <v>759.1</v>
      </c>
      <c r="N68" s="112">
        <f t="shared" si="23"/>
        <v>759.1</v>
      </c>
      <c r="O68" s="96" t="str">
        <f t="shared" si="11"/>
        <v/>
      </c>
      <c r="P68" s="96" t="str">
        <f t="shared" si="19"/>
        <v/>
      </c>
      <c r="Q68" s="96" t="str">
        <f t="shared" si="20"/>
        <v/>
      </c>
      <c r="R68" s="92">
        <f t="shared" si="21"/>
        <v>759.1</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City and Town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759.1</v>
      </c>
      <c r="AK68" s="40">
        <f>IF(AJ68="","",IF(I$8="A",(RANK(AJ68,AJ$11:AJ$343,1)+COUNTIF(AJ$11:AJ68,AJ68)-1),(RANK(AJ68,AJ$11:AJ$343)+COUNTIF(AJ$11:AJ68,AJ68)-1)))</f>
        <v>57</v>
      </c>
      <c r="AL68" s="3" t="str">
        <f t="shared" si="35"/>
        <v/>
      </c>
      <c r="AM68" t="str">
        <f t="shared" si="30"/>
        <v/>
      </c>
      <c r="AN68" t="str">
        <f t="shared" si="31"/>
        <v/>
      </c>
      <c r="AP68" s="5" t="str">
        <f>IF(L68="","",VLOOKUP($L68,classifications!$C:$E,3,FALSE))</f>
        <v>NE</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446.2</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411.3</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411.3</v>
      </c>
    </row>
    <row r="70" spans="1:50">
      <c r="A70" s="59" t="str">
        <f>$D$1&amp;60</f>
        <v>UA60</v>
      </c>
      <c r="B70" s="60">
        <f>IF(ISERROR(VLOOKUP(A70,classifications!A:C,3,FALSE)),0,VLOOKUP(A70,classifications!A:C,3,FALSE))</f>
        <v>0</v>
      </c>
      <c r="C70" t="s">
        <v>904</v>
      </c>
      <c r="D70" t="str">
        <f>VLOOKUP($C70,classifications!$C:$J,4,FALSE)</f>
        <v>UA</v>
      </c>
      <c r="E70">
        <f>VLOOKUP(C70,classifications!C:K,9,FALSE)</f>
        <v>0</v>
      </c>
      <c r="F70">
        <f t="shared" si="25"/>
        <v>526.29999999999995</v>
      </c>
      <c r="G70" s="15"/>
      <c r="H70" s="42">
        <f t="shared" si="26"/>
        <v>526.29999999999995</v>
      </c>
      <c r="I70" s="79">
        <f>IF(H70="","",IF($I$8="A",(RANK(H70,H$11:H$343,1)+COUNTIF(H$11:H70,H70)-1),(RANK(H70,H$11:H$343)+COUNTIF(H$11:H70,H70)-1)))</f>
        <v>28</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526.29999999999995</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443</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443</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308</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308</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321.7</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321.7</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482.8</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482.8</v>
      </c>
    </row>
    <row r="75" spans="1:50">
      <c r="A75" s="59" t="str">
        <f>$D$1&amp;65</f>
        <v>UA65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531.9</v>
      </c>
      <c r="G75" s="15"/>
      <c r="H75" s="42">
        <f t="shared" ref="H75:H85" si="39">IF(D75=$D$1,HLOOKUP($D$6,$AX$10:$ZZ$355,ROW()-9,FALSE),"")</f>
        <v>531.9</v>
      </c>
      <c r="I75" s="79">
        <f>IF(H75="","",IF($I$8="A",(RANK(H75,H$11:H$343,1)+COUNTIF(H$11:H75,H75)-1),(RANK(H75,H$11:H$343)+COUNTIF(H$11:H75,H75)-1)))</f>
        <v>32</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531.9</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618.29999999999995</v>
      </c>
      <c r="G76" s="15"/>
      <c r="H76" s="42">
        <f t="shared" si="39"/>
        <v>618.29999999999995</v>
      </c>
      <c r="I76" s="79">
        <f>IF(H76="","",IF($I$8="A",(RANK(H76,H$11:H$343,1)+COUNTIF(H$11:H76,H76)-1),(RANK(H76,H$11:H$343)+COUNTIF(H$11:H76,H76)-1)))</f>
        <v>53</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618.29999999999995</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353.3</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353.3</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550.1</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550.1</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426.3</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426.3</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495.6</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495.6</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496.4</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496.4</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456.5</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456.5</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411.8</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411.8</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575.1</v>
      </c>
      <c r="G84" s="15"/>
      <c r="H84" s="42">
        <f t="shared" si="39"/>
        <v>575.1</v>
      </c>
      <c r="I84" s="79">
        <f>IF(H84="","",IF($I$8="A",(RANK(H84,H$11:H$343,1)+COUNTIF(H$11:H84,H84)-1),(RANK(H84,H$11:H$343)+COUNTIF(H$11:H84,H84)-1)))</f>
        <v>45</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575.1</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612.9</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612.9</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534.9</v>
      </c>
      <c r="G86" s="15"/>
      <c r="H86" s="42">
        <f t="shared" ref="H86:H149" si="61">IF(D86=$D$1,HLOOKUP($D$6,$AX$10:$ZZ$355,ROW()-9,FALSE),"")</f>
        <v>534.9</v>
      </c>
      <c r="I86" s="79">
        <f>IF(H86="","",IF($I$8="A",(RANK(H86,H$11:H$343,1)+COUNTIF(H$11:H86,H86)-1),(RANK(H86,H$11:H$343)+COUNTIF(H$11:H86,H86)-1)))</f>
        <v>33</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534.9</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498.6</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498.6</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334.5</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334.5</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401.5</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401.5</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527.20000000000005</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527.20000000000005</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377.9</v>
      </c>
      <c r="G91" s="15"/>
      <c r="H91" s="42">
        <f t="shared" si="61"/>
        <v>377.9</v>
      </c>
      <c r="I91" s="79">
        <f>IF(H91="","",IF($I$8="A",(RANK(H91,H$11:H$343,1)+COUNTIF(H$11:H91,H91)-1),(RANK(H91,H$11:H$343)+COUNTIF(H$11:H91,H91)-1)))</f>
        <v>5</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377.9</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423.7</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423.7</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565.20000000000005</v>
      </c>
      <c r="G93" s="15"/>
      <c r="H93" s="42">
        <f t="shared" si="61"/>
        <v>565.20000000000005</v>
      </c>
      <c r="I93" s="79">
        <f>IF(H93="","",IF($I$8="A",(RANK(H93,H$11:H$343,1)+COUNTIF(H$11:H93,H93)-1),(RANK(H93,H$11:H$343)+COUNTIF(H$11:H93,H93)-1)))</f>
        <v>41</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565.20000000000005</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542.70000000000005</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542.70000000000005</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289.60000000000002</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289.60000000000002</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335.9</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335.9</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255.7</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255.7</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459.4</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459.4</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458.2</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458.2</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450</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450</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415.4</v>
      </c>
      <c r="G101" s="15"/>
      <c r="H101" s="42">
        <f t="shared" si="61"/>
        <v>415.4</v>
      </c>
      <c r="I101" s="79">
        <f>IF(H101="","",IF($I$8="A",(RANK(H101,H$11:H$343,1)+COUNTIF(H$11:H101,H101)-1),(RANK(H101,H$11:H$343)+COUNTIF(H$11:H101,H101)-1)))</f>
        <v>10</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415.4</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504.3</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504.3</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529</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529</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412.8</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412.8</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431.9</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431.9</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421.5</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421.5</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410.2</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410.2</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530.20000000000005</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530.20000000000005</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432</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432</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398.5</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398.5</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483</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483</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483.6</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483.6</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450.9</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450.9</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447.3</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447.3</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551.4</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551.4</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395.6</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395.6</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460</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460</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615.5</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615.5</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534.6</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534.6</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438.2</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438.2</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431.3</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431.3</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456.6</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456.6</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475.2</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475.2</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529</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529</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576.29999999999995</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576.29999999999995</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360</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360</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511.9</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511.9</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598.9</v>
      </c>
      <c r="G128" s="15"/>
      <c r="H128" s="42">
        <f t="shared" si="61"/>
        <v>598.9</v>
      </c>
      <c r="I128" s="79">
        <f>IF(H128="","",IF($I$8="A",(RANK(H128,H$11:H$343,1)+COUNTIF(H$11:H128,H128)-1),(RANK(H128,H$11:H$343)+COUNTIF(H$11:H128,H128)-1)))</f>
        <v>50</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598.9</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400.9</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400.9</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334.7</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334.7</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557.29999999999995</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557.29999999999995</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464.8</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464.8</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522.70000000000005</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522.70000000000005</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427.7</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427.7</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396.7</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396.7</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678.8</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678.8</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464.1</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464.1</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572.9</v>
      </c>
      <c r="G138" s="15"/>
      <c r="H138" s="42">
        <f t="shared" si="61"/>
        <v>572.9</v>
      </c>
      <c r="I138" s="79">
        <f>IF(H138="","",IF($I$8="A",(RANK(H138,H$11:H$343,1)+COUNTIF(H$11:H138,H138)-1),(RANK(H138,H$11:H$343)+COUNTIF(H$11:H138,H138)-1)))</f>
        <v>44</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572.9</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484.9</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484.9</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511.9</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511.9</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609.9</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609.9</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481.2</v>
      </c>
      <c r="G142" s="15"/>
      <c r="H142" s="42">
        <f t="shared" si="61"/>
        <v>481.2</v>
      </c>
      <c r="I142" s="79">
        <f>IF(H142="","",IF($I$8="A",(RANK(H142,H$11:H$343,1)+COUNTIF(H$11:H142,H142)-1),(RANK(H142,H$11:H$343)+COUNTIF(H$11:H142,H142)-1)))</f>
        <v>18</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481.2</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449.7</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449.7</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462.9</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462.9</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402.9</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402.9</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517.20000000000005</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517.20000000000005</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486.5</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486.5</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387.5</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387.5</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501.8</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501.8</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372.8</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372.8</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435.7</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435.7</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553.20000000000005</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553.20000000000005</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397.1</v>
      </c>
      <c r="G153" s="15"/>
      <c r="H153" s="42">
        <f t="shared" si="84"/>
        <v>397.1</v>
      </c>
      <c r="I153" s="79">
        <f>IF(H153="","",IF($I$8="A",(RANK(H153,H$11:H$343,1)+COUNTIF(H$11:H153,H153)-1),(RANK(H153,H$11:H$343)+COUNTIF(H$11:H153,H153)-1)))</f>
        <v>7</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397.1</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827</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827</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349</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349</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381.2</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381.2</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530.70000000000005</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530.70000000000005</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464.5</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464.5</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444.1</v>
      </c>
      <c r="G159" s="15"/>
      <c r="H159" s="42">
        <f t="shared" si="84"/>
        <v>444.1</v>
      </c>
      <c r="I159" s="79">
        <f>IF(H159="","",IF($I$8="A",(RANK(H159,H$11:H$343,1)+COUNTIF(H$11:H159,H159)-1),(RANK(H159,H$11:H$343)+COUNTIF(H$11:H159,H159)-1)))</f>
        <v>12</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444.1</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423.8</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423.8</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599.70000000000005</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599.70000000000005</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616.1</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616.1</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318.8</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318.8</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528.9</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528.9</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488</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488</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527.9</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527.9</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521.9</v>
      </c>
      <c r="G167" s="15"/>
      <c r="H167" s="42">
        <f t="shared" si="84"/>
        <v>521.9</v>
      </c>
      <c r="I167" s="79">
        <f>IF(H167="","",IF($I$8="A",(RANK(H167,H$11:H$343,1)+COUNTIF(H$11:H167,H167)-1),(RANK(H167,H$11:H$343)+COUNTIF(H$11:H167,H167)-1)))</f>
        <v>27</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521.9</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540.1</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540.1</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426.3</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426.3</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513</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513</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455.7</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455.7</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500</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500</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560.4</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560.4</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633.5</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633.5</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664.8</v>
      </c>
      <c r="G175" s="15"/>
      <c r="H175" s="42">
        <f t="shared" si="84"/>
        <v>664.8</v>
      </c>
      <c r="I175" s="79">
        <f>IF(H175="","",IF($I$8="A",(RANK(H175,H$11:H$343,1)+COUNTIF(H$11:H175,H175)-1),(RANK(H175,H$11:H$343)+COUNTIF(H$11:H175,H175)-1)))</f>
        <v>55</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664.8</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381.9</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381.9</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347.5</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347.5</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393.1</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393.1</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401.3</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401.3</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586.6</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586.6</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599.5</v>
      </c>
      <c r="G181" s="15"/>
      <c r="H181" s="42">
        <f t="shared" si="84"/>
        <v>599.5</v>
      </c>
      <c r="I181" s="79">
        <f>IF(H181="","",IF($I$8="A",(RANK(H181,H$11:H$343,1)+COUNTIF(H$11:H181,H181)-1),(RANK(H181,H$11:H$343)+COUNTIF(H$11:H181,H181)-1)))</f>
        <v>51</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599.5</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482.7</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482.7</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447.4</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447.4</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324.8</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324.8</v>
      </c>
    </row>
    <row r="186" spans="1:50">
      <c r="A186" s="59" t="str">
        <f>$D$1&amp;176</f>
        <v>UA176</v>
      </c>
      <c r="B186" s="60">
        <f>IF(ISERROR(VLOOKUP(A189,classifications!A:C,3,FALSE)),0,VLOOKUP(A189,classifications!A:C,3,FALSE))</f>
        <v>0</v>
      </c>
      <c r="C186" t="s">
        <v>911</v>
      </c>
      <c r="D186" t="str">
        <f>VLOOKUP($C186,classifications!$C:$J,4,FALSE)</f>
        <v>SD</v>
      </c>
      <c r="E186" t="str">
        <f>VLOOKUP(C186,classifications!C:K,9,FALSE)</f>
        <v>Sparse</v>
      </c>
      <c r="F186">
        <f t="shared" si="83"/>
        <v>464.3</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464.3</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420.1</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420.1</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759.1</v>
      </c>
      <c r="G188" s="15"/>
      <c r="H188" s="42">
        <f t="shared" si="84"/>
        <v>759.1</v>
      </c>
      <c r="I188" s="79">
        <f>IF(H188="","",IF($I$8="A",(RANK(H188,H$11:H$343,1)+COUNTIF(H$11:H188,H188)-1),(RANK(H188,H$11:H$343)+COUNTIF(H$11:H188,H188)-1)))</f>
        <v>58</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759.1</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492.9</v>
      </c>
      <c r="G189" s="15"/>
      <c r="H189" s="42">
        <f t="shared" si="84"/>
        <v>492.9</v>
      </c>
      <c r="I189" s="79">
        <f>IF(H189="","",IF($I$8="A",(RANK(H189,H$11:H$343,1)+COUNTIF(H$11:H189,H189)-1),(RANK(H189,H$11:H$343)+COUNTIF(H$11:H189,H189)-1)))</f>
        <v>20</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492.9</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366.6</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366.6</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457.4</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457.4</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514.9</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514.9</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567.5</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567.5</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417.1</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417.1</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694.8</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694.8</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504.8</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504.8</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414.5</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414.5</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450.2</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450.2</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562.20000000000005</v>
      </c>
      <c r="G199" s="15"/>
      <c r="H199" s="42">
        <f t="shared" si="84"/>
        <v>562.20000000000005</v>
      </c>
      <c r="I199" s="79">
        <f>IF(H199="","",IF($I$8="A",(RANK(H199,H$11:H$343,1)+COUNTIF(H$11:H199,H199)-1),(RANK(H199,H$11:H$343)+COUNTIF(H$11:H199,H199)-1)))</f>
        <v>40</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562.20000000000005</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342.4</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342.4</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485.6</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485.6</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514.4</v>
      </c>
      <c r="G202" s="15"/>
      <c r="H202" s="42">
        <f t="shared" si="84"/>
        <v>514.4</v>
      </c>
      <c r="I202" s="79">
        <f>IF(H202="","",IF($I$8="A",(RANK(H202,H$11:H$343,1)+COUNTIF(H$11:H202,H202)-1),(RANK(H202,H$11:H$343)+COUNTIF(H$11:H202,H202)-1)))</f>
        <v>25</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514.4</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426.7</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426.7</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373.6</v>
      </c>
      <c r="G204" s="15"/>
      <c r="H204" s="42">
        <f t="shared" si="84"/>
        <v>373.6</v>
      </c>
      <c r="I204" s="79">
        <f>IF(H204="","",IF($I$8="A",(RANK(H204,H$11:H$343,1)+COUNTIF(H$11:H204,H204)-1),(RANK(H204,H$11:H$343)+COUNTIF(H$11:H204,H204)-1)))</f>
        <v>3</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373.6</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557.29999999999995</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557.29999999999995</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557.5</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557.5</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465.1</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465.1</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525.1</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525.1</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602.29999999999995</v>
      </c>
      <c r="G209" s="15"/>
      <c r="H209" s="42">
        <f t="shared" si="84"/>
        <v>602.29999999999995</v>
      </c>
      <c r="I209" s="79">
        <f>IF(H209="","",IF($I$8="A",(RANK(H209,H$11:H$343,1)+COUNTIF(H$11:H209,H209)-1),(RANK(H209,H$11:H$343)+COUNTIF(H$11:H209,H209)-1)))</f>
        <v>52</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602.29999999999995</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388.5</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388.5</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577.6</v>
      </c>
      <c r="G211" s="15"/>
      <c r="H211" s="42">
        <f t="shared" si="84"/>
        <v>577.6</v>
      </c>
      <c r="I211" s="79">
        <f>IF(H211="","",IF($I$8="A",(RANK(H211,H$11:H$343,1)+COUNTIF(H$11:H211,H211)-1),(RANK(H211,H$11:H$343)+COUNTIF(H$11:H211,H211)-1)))</f>
        <v>46</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577.6</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566.9</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566.9</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501.7</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501.7</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428.6</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428.6</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397.3</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397.3</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327</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327</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378.8</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378.8</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564.5</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564.5</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549.70000000000005</v>
      </c>
      <c r="G219" s="15"/>
      <c r="H219" s="42">
        <f t="shared" si="107"/>
        <v>549.70000000000005</v>
      </c>
      <c r="I219" s="79">
        <f>IF(H219="","",IF($I$8="A",(RANK(H219,H$11:H$343,1)+COUNTIF(H$11:H219,H219)-1),(RANK(H219,H$11:H$343)+COUNTIF(H$11:H219,H219)-1)))</f>
        <v>37</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549.70000000000005</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551.79999999999995</v>
      </c>
      <c r="G220" s="15"/>
      <c r="H220" s="42">
        <f t="shared" si="107"/>
        <v>551.79999999999995</v>
      </c>
      <c r="I220" s="79">
        <f>IF(H220="","",IF($I$8="A",(RANK(H220,H$11:H$343,1)+COUNTIF(H$11:H220,H220)-1),(RANK(H220,H$11:H$343)+COUNTIF(H$11:H220,H220)-1)))</f>
        <v>38</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551.79999999999995</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536.9</v>
      </c>
      <c r="G221" s="15"/>
      <c r="H221" s="42">
        <f t="shared" si="107"/>
        <v>536.9</v>
      </c>
      <c r="I221" s="79">
        <f>IF(H221="","",IF($I$8="A",(RANK(H221,H$11:H$343,1)+COUNTIF(H$11:H221,H221)-1),(RANK(H221,H$11:H$343)+COUNTIF(H$11:H221,H221)-1)))</f>
        <v>34</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536.9</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535.79999999999995</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535.79999999999995</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353</v>
      </c>
      <c r="G223" s="15"/>
      <c r="H223" s="42">
        <f t="shared" si="107"/>
        <v>353</v>
      </c>
      <c r="I223" s="79">
        <f>IF(H223="","",IF($I$8="A",(RANK(H223,H$11:H$343,1)+COUNTIF(H$11:H223,H223)-1),(RANK(H223,H$11:H$343)+COUNTIF(H$11:H223,H223)-1)))</f>
        <v>1</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353</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634.20000000000005</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634.20000000000005</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568.29999999999995</v>
      </c>
      <c r="G225" s="15"/>
      <c r="H225" s="42">
        <f t="shared" si="107"/>
        <v>568.29999999999995</v>
      </c>
      <c r="I225" s="79">
        <f>IF(H225="","",IF($I$8="A",(RANK(H225,H$11:H$343,1)+COUNTIF(H$11:H225,H225)-1),(RANK(H225,H$11:H$343)+COUNTIF(H$11:H225,H225)-1)))</f>
        <v>42</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568.29999999999995</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521.5</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521.5</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375.1</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375.1</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521.79999999999995</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521.79999999999995</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497.6</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497.6</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461</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461</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384.5</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384.5</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367</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367</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508.7</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508.7</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443.9</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443.9</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473</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473</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430.1</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430.1</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385.2</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385.2</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452.6</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452.6</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426</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426</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529.20000000000005</v>
      </c>
      <c r="G240" s="15"/>
      <c r="H240" s="42">
        <f t="shared" si="107"/>
        <v>529.20000000000005</v>
      </c>
      <c r="I240" s="79">
        <f>IF(H240="","",IF($I$8="A",(RANK(H240,H$11:H$343,1)+COUNTIF(H$11:H240,H240)-1),(RANK(H240,H$11:H$343)+COUNTIF(H$11:H240,H240)-1)))</f>
        <v>29</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529.20000000000005</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464.6</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464.6</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316.2</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316.2</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626.70000000000005</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626.70000000000005</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439.3</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439.3</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555.9</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555.9</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530</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530</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570.9</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570.9</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478.7</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478.7</v>
      </c>
    </row>
    <row r="250" spans="1:50">
      <c r="A250" s="59" t="str">
        <f>$D$1&amp;240</f>
        <v>UA240</v>
      </c>
      <c r="B250" s="60">
        <f>IF(ISERROR(VLOOKUP(A255,classifications!A:C,3,FALSE)),0,VLOOKUP(A255,classifications!A:C,3,FALSE))</f>
        <v>0</v>
      </c>
      <c r="C250" t="s">
        <v>903</v>
      </c>
      <c r="D250" t="str">
        <f>VLOOKUP($C250,classifications!$C:$J,4,FALSE)</f>
        <v>SD</v>
      </c>
      <c r="E250">
        <f>VLOOKUP(C250,classifications!C:K,9,FALSE)</f>
        <v>0</v>
      </c>
      <c r="F250">
        <f t="shared" si="106"/>
        <v>419.4</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419.4</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502</v>
      </c>
      <c r="G251" s="15"/>
      <c r="H251" s="42">
        <f t="shared" si="107"/>
        <v>502</v>
      </c>
      <c r="I251" s="79">
        <f>IF(H251="","",IF($I$8="A",(RANK(H251,H$11:H$343,1)+COUNTIF(H$11:H251,H251)-1),(RANK(H251,H$11:H$343)+COUNTIF(H$11:H251,H251)-1)))</f>
        <v>23</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502</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660.8</v>
      </c>
      <c r="G252" s="15"/>
      <c r="H252" s="42">
        <f t="shared" si="107"/>
        <v>660.8</v>
      </c>
      <c r="I252" s="79">
        <f>IF(H252="","",IF($I$8="A",(RANK(H252,H$11:H$343,1)+COUNTIF(H$11:H252,H252)-1),(RANK(H252,H$11:H$343)+COUNTIF(H$11:H252,H252)-1)))</f>
        <v>54</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660.8</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541.4</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541.4</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912</v>
      </c>
      <c r="D255" t="str">
        <f>VLOOKUP($C255,classifications!$C:$J,4,FALSE)</f>
        <v>SD</v>
      </c>
      <c r="E255" t="str">
        <f>VLOOKUP(C255,classifications!C:K,9,FALSE)</f>
        <v>Sparse</v>
      </c>
      <c r="F255">
        <f t="shared" si="106"/>
        <v>404.5</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404.5</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469.5</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469.5</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377.7</v>
      </c>
      <c r="G257" s="15"/>
      <c r="H257" s="42">
        <f t="shared" si="107"/>
        <v>377.7</v>
      </c>
      <c r="I257" s="79">
        <f>IF(H257="","",IF($I$8="A",(RANK(H257,H$11:H$343,1)+COUNTIF(H$11:H257,H257)-1),(RANK(H257,H$11:H$343)+COUNTIF(H$11:H257,H257)-1)))</f>
        <v>4</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377.7</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361.6</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361.6</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555.4</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555.4</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485.9</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485.9</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456.3</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456.3</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468.5</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468.5</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303.8</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303.8</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431.5</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431.5</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468.6</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468.6</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590.6</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590.6</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570</v>
      </c>
      <c r="G268" s="15"/>
      <c r="H268" s="42">
        <f t="shared" si="107"/>
        <v>570</v>
      </c>
      <c r="I268" s="79">
        <f>IF(H268="","",IF($I$8="A",(RANK(H268,H$11:H$343,1)+COUNTIF(H$11:H268,H268)-1),(RANK(H268,H$11:H$343)+COUNTIF(H$11:H268,H268)-1)))</f>
        <v>43</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570</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509.6</v>
      </c>
      <c r="G269" s="15"/>
      <c r="H269" s="42">
        <f t="shared" si="107"/>
        <v>509.6</v>
      </c>
      <c r="I269" s="79">
        <f>IF(H269="","",IF($I$8="A",(RANK(H269,H$11:H$343,1)+COUNTIF(H$11:H269,H269)-1),(RANK(H269,H$11:H$343)+COUNTIF(H$11:H269,H269)-1)))</f>
        <v>24</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509.6</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490.6</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490.6</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437.5</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437.5</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316.2</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316.2</v>
      </c>
    </row>
    <row r="273" spans="1:50">
      <c r="A273" s="59" t="str">
        <f>$D$1&amp;263</f>
        <v>UA263</v>
      </c>
      <c r="B273" s="60">
        <f>IF(ISERROR(VLOOKUP(A280,classifications!A:C,3,FALSE)),0,VLOOKUP(A280,classifications!A:C,3,FALSE))</f>
        <v>0</v>
      </c>
      <c r="C273" t="s">
        <v>901</v>
      </c>
      <c r="D273" t="str">
        <f>VLOOKUP($C273,classifications!$C:$J,4,FALSE)</f>
        <v>SD</v>
      </c>
      <c r="E273" t="str">
        <f>VLOOKUP(C273,classifications!C:K,9,FALSE)</f>
        <v>Sparse</v>
      </c>
      <c r="F273">
        <f t="shared" si="106"/>
        <v>504.4</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504.4</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485.6</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485.6</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449.4</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449.4</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548.79999999999995</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548.79999999999995</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384.2</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384.2</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495</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495</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300.2</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300.2</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693.5</v>
      </c>
      <c r="G280" s="15"/>
      <c r="H280" s="42">
        <f t="shared" si="130"/>
        <v>693.5</v>
      </c>
      <c r="I280" s="79">
        <f>IF(H280="","",IF($I$8="A",(RANK(H280,H$11:H$343,1)+COUNTIF(H$11:H280,H280)-1),(RANK(H280,H$11:H$343)+COUNTIF(H$11:H280,H280)-1)))</f>
        <v>56</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693.5</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555.9</v>
      </c>
      <c r="G281" s="15"/>
      <c r="H281" s="42">
        <f t="shared" si="130"/>
        <v>555.9</v>
      </c>
      <c r="I281" s="79">
        <f>IF(H281="","",IF($I$8="A",(RANK(H281,H$11:H$343,1)+COUNTIF(H$11:H281,H281)-1),(RANK(H281,H$11:H$343)+COUNTIF(H$11:H281,H281)-1)))</f>
        <v>39</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555.9</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319.60000000000002</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319.60000000000002</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293.3</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293.3</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557.70000000000005</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557.70000000000005</v>
      </c>
    </row>
    <row r="285" spans="1:50">
      <c r="A285" s="59" t="str">
        <f>$D$1&amp;275</f>
        <v>UA275</v>
      </c>
      <c r="B285" s="60">
        <f>IF(ISERROR(VLOOKUP(A292,classifications!A:C,3,FALSE)),0,VLOOKUP(A292,classifications!A:C,3,FALSE))</f>
        <v>0</v>
      </c>
      <c r="C285" t="s">
        <v>900</v>
      </c>
      <c r="D285" t="str">
        <f>VLOOKUP($C285,classifications!$C:$J,4,FALSE)</f>
        <v>SD</v>
      </c>
      <c r="E285" t="str">
        <f>VLOOKUP(C285,classifications!C:K,9,FALSE)</f>
        <v>Sparse</v>
      </c>
      <c r="F285">
        <f t="shared" si="129"/>
        <v>470</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470</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581.79999999999995</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581.79999999999995</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441.6</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441.6</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333.9</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333.9</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439.1</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439.1</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481.7</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481.7</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578.1</v>
      </c>
      <c r="G291" s="15"/>
      <c r="H291" s="42">
        <f t="shared" si="130"/>
        <v>578.1</v>
      </c>
      <c r="I291" s="79">
        <f>IF(H291="","",IF($I$8="A",(RANK(H291,H$11:H$343,1)+COUNTIF(H$11:H291,H291)-1),(RANK(H291,H$11:H$343)+COUNTIF(H$11:H291,H291)-1)))</f>
        <v>47</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578.1</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330.1</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330.1</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518</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518</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353</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353</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347</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347</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529.29999999999995</v>
      </c>
      <c r="G296" s="15"/>
      <c r="H296" s="42">
        <f t="shared" si="130"/>
        <v>529.29999999999995</v>
      </c>
      <c r="I296" s="79">
        <f>IF(H296="","",IF($I$8="A",(RANK(H296,H$11:H$343,1)+COUNTIF(H$11:H296,H296)-1),(RANK(H296,H$11:H$343)+COUNTIF(H$11:H296,H296)-1)))</f>
        <v>30</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529.29999999999995</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419.6</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419.6</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472.2</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472.2</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388.9</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388.9</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461.3</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461.3</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318.2</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318.2</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698.2</v>
      </c>
      <c r="G302" s="15"/>
      <c r="H302" s="42">
        <f t="shared" si="130"/>
        <v>698.2</v>
      </c>
      <c r="I302" s="79">
        <f>IF(H302="","",IF($I$8="A",(RANK(H302,H$11:H$343,1)+COUNTIF(H$11:H302,H302)-1),(RANK(H302,H$11:H$343)+COUNTIF(H$11:H302,H302)-1)))</f>
        <v>57</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698.2</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456.6</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456.6</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497</v>
      </c>
      <c r="G304" s="15"/>
      <c r="H304" s="42">
        <f t="shared" si="130"/>
        <v>497</v>
      </c>
      <c r="I304" s="79">
        <f>IF(H304="","",IF($I$8="A",(RANK(H304,H$11:H$343,1)+COUNTIF(H$11:H304,H304)-1),(RANK(H304,H$11:H$343)+COUNTIF(H$11:H304,H304)-1)))</f>
        <v>21</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497</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329.8</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329.8</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522.79999999999995</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522.79999999999995</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305.2</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305.2</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408.1</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408.1</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425.9</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425.9</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292.89999999999998</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292.89999999999998</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483.5</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483.5</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620.79999999999995</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620.79999999999995</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550.1</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550.1</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476.1</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476.1</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517.6</v>
      </c>
      <c r="G315" s="15"/>
      <c r="H315" s="42">
        <f t="shared" si="130"/>
        <v>517.6</v>
      </c>
      <c r="I315" s="79">
        <f>IF(H315="","",IF($I$8="A",(RANK(H315,H$11:H$343,1)+COUNTIF(H$11:H315,H315)-1),(RANK(H315,H$11:H$343)+COUNTIF(H$11:H315,H315)-1)))</f>
        <v>26</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517.6</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359.9</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359.9</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449.8</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449.8</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373</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373</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337.4</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337.4</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418.1</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418.1</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396.4</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396.4</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489.4</v>
      </c>
      <c r="G322" s="15"/>
      <c r="H322" s="42">
        <f t="shared" si="130"/>
        <v>489.4</v>
      </c>
      <c r="I322" s="79">
        <f>IF(H322="","",IF($I$8="A",(RANK(H322,H$11:H$343,1)+COUNTIF(H$11:H322,H322)-1),(RANK(H322,H$11:H$343)+COUNTIF(H$11:H322,H322)-1)))</f>
        <v>19</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489.4</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307.8</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307.8</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496.9</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496.9</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490.9</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490.9</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341.5</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341.5</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430.2</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430.2</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471.1</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471.1</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426.9</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426.9</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542.4</v>
      </c>
      <c r="G330" s="15"/>
      <c r="H330" s="42">
        <f t="shared" si="130"/>
        <v>542.4</v>
      </c>
      <c r="I330" s="79">
        <f>IF(H330="","",IF($I$8="A",(RANK(H330,H$11:H$343,1)+COUNTIF(H$11:H330,H330)-1),(RANK(H330,H$11:H$343)+COUNTIF(H$11:H330,H330)-1)))</f>
        <v>35</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542.4</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445.9</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445.9</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470.6</v>
      </c>
      <c r="G332" s="15"/>
      <c r="H332" s="42">
        <f t="shared" si="130"/>
        <v>470.6</v>
      </c>
      <c r="I332" s="79">
        <f>IF(H332="","",IF($I$8="A",(RANK(H332,H$11:H$343,1)+COUNTIF(H$11:H332,H332)-1),(RANK(H332,H$11:H$343)+COUNTIF(H$11:H332,H332)-1)))</f>
        <v>16</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470.6</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534</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534</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359.7</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359.7</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420.4</v>
      </c>
      <c r="G335" s="15"/>
      <c r="H335" s="42">
        <f t="shared" si="130"/>
        <v>420.4</v>
      </c>
      <c r="I335" s="79">
        <f>IF(H335="","",IF($I$8="A",(RANK(H335,H$11:H$343,1)+COUNTIF(H$11:H335,H335)-1),(RANK(H335,H$11:H$343)+COUNTIF(H$11:H335,H335)-1)))</f>
        <v>11</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420.4</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549.4</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549.4</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431.4</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431.4</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547.9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547.9</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428.8</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428.8</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448.5</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448.5</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463.6</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463.6</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483.9</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483.9</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499.4</v>
      </c>
      <c r="G343" s="15"/>
      <c r="H343" s="42">
        <f t="shared" si="153"/>
        <v>499.4</v>
      </c>
      <c r="I343" s="79">
        <f>IF(H343="","",IF($I$8="A",(RANK(H343,H$11:H$343,1)+COUNTIF(H$11:H343,H343)-1),(RANK(H343,H$11:H$343)+COUNTIF(H$11:H343,H343)-1)))</f>
        <v>22</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499.4</v>
      </c>
    </row>
    <row r="344" spans="1:84">
      <c r="A344" s="59" t="str">
        <f>$D$1&amp;334</f>
        <v>UA334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UA335</v>
      </c>
    </row>
    <row r="346" spans="1:84">
      <c r="A346" s="59" t="str">
        <f>$D$1&amp;336</f>
        <v>UA336</v>
      </c>
    </row>
    <row r="347" spans="1:84">
      <c r="A347" s="59" t="str">
        <f>$D$1&amp;337</f>
        <v>UA337</v>
      </c>
    </row>
    <row r="348" spans="1:84">
      <c r="A348" s="59" t="str">
        <f>$D$1&amp;338</f>
        <v>UA338</v>
      </c>
    </row>
    <row r="349" spans="1:84">
      <c r="A349" s="59" t="str">
        <f>$D$1&amp;339</f>
        <v>UA339</v>
      </c>
    </row>
    <row r="350" spans="1:84">
      <c r="A350" s="59" t="str">
        <f>$D$1&amp;340</f>
        <v>UA340</v>
      </c>
    </row>
    <row r="351" spans="1:84">
      <c r="A351" s="59" t="str">
        <f>$D$1&amp;341</f>
        <v>UA341</v>
      </c>
    </row>
    <row r="352" spans="1:84">
      <c r="A352" s="59" t="str">
        <f>$D$1&amp;342</f>
        <v>UA342</v>
      </c>
    </row>
    <row r="353" spans="1:735">
      <c r="A353" s="59" t="str">
        <f>$D$1&amp;343</f>
        <v>UA343</v>
      </c>
    </row>
    <row r="354" spans="1:735">
      <c r="A354" s="59" t="str">
        <f>$D$1&amp;344</f>
        <v>UA344</v>
      </c>
    </row>
    <row r="355" spans="1:735">
      <c r="A355" s="59" t="str">
        <f>$D$1&amp;345</f>
        <v>UA345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15" t="s">
        <v>890</v>
      </c>
      <c r="C2" t="s">
        <v>823</v>
      </c>
      <c r="D2" t="s">
        <v>823</v>
      </c>
      <c r="E2" t="s">
        <v>887</v>
      </c>
      <c r="F2" t="s">
        <v>907</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890</v>
      </c>
      <c r="E4" t="s">
        <v>891</v>
      </c>
      <c r="F4" t="s">
        <v>891</v>
      </c>
      <c r="G4" t="s">
        <v>892</v>
      </c>
      <c r="H4" t="s">
        <v>892</v>
      </c>
      <c r="I4" t="s">
        <v>893</v>
      </c>
      <c r="J4" t="s">
        <v>893</v>
      </c>
      <c r="K4"/>
      <c r="L4"/>
      <c r="M4"/>
      <c r="N4"/>
      <c r="O4"/>
      <c r="P4"/>
      <c r="Q4"/>
      <c r="R4"/>
      <c r="S4"/>
      <c r="T4"/>
      <c r="U4"/>
      <c r="V4"/>
      <c r="W4"/>
      <c r="X4"/>
      <c r="Y4"/>
      <c r="Z4"/>
      <c r="AA4"/>
      <c r="AB4"/>
      <c r="AC4"/>
      <c r="AD4"/>
      <c r="AE4"/>
      <c r="AF4"/>
      <c r="AG4"/>
      <c r="AH4"/>
      <c r="AI4"/>
      <c r="AJ4"/>
    </row>
    <row r="5" spans="1:77" ht="30" customHeight="1">
      <c r="A5" s="300"/>
      <c r="B5" s="143" t="s">
        <v>366</v>
      </c>
      <c r="C5" t="s">
        <v>907</v>
      </c>
      <c r="D5" t="s">
        <v>910</v>
      </c>
      <c r="E5" t="s">
        <v>907</v>
      </c>
      <c r="F5" t="s">
        <v>910</v>
      </c>
      <c r="G5" t="s">
        <v>907</v>
      </c>
      <c r="H5" t="s">
        <v>910</v>
      </c>
      <c r="I5" t="s">
        <v>907</v>
      </c>
      <c r="J5" t="s">
        <v>910</v>
      </c>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t="s">
        <v>889</v>
      </c>
      <c r="H6" s="156" t="s">
        <v>889</v>
      </c>
      <c r="I6" s="156" t="s">
        <v>889</v>
      </c>
      <c r="J6" s="156" t="s">
        <v>889</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43" activePane="bottomRight" state="frozen"/>
      <selection activeCell="N70" sqref="N70"/>
      <selection pane="topRight" activeCell="N70" sqref="N70"/>
      <selection pane="bottomLeft" activeCell="N70" sqref="N70"/>
      <selection pane="bottomRight" activeCell="H245" sqref="H245:I245"/>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898</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899</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894</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894</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895</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899</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899</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897</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899</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896</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894</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894</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898</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895</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894</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899</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896</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894</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894</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899</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897</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899</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894</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899</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894</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895</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899</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895</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899</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894</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897</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899</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897</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894</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894</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894</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899</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898</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899</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898</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899</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898</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898</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899</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895</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894</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894</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895</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895</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899</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899</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898</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894</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899</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899</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899</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899</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897</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899</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894</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897</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899</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897</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894</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899</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894</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897</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895</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898</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899</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894</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894</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895</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895</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899</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895</v>
      </c>
      <c r="I173" s="27" t="s">
        <v>383</v>
      </c>
      <c r="J173" t="s">
        <v>309</v>
      </c>
      <c r="K173" t="s">
        <v>336</v>
      </c>
    </row>
    <row r="174" spans="1:11" ht="14.4">
      <c r="A174" s="22" t="str">
        <f>F174&amp;(COUNTIFS(F$2:F174,F174,K$2:K174,"Sparse"))</f>
        <v>SD25</v>
      </c>
      <c r="B174" s="22" t="str">
        <f>J174&amp;(COUNTIF(J$2:J174,J174))</f>
        <v>Suffolk3</v>
      </c>
      <c r="C174" t="s">
        <v>911</v>
      </c>
      <c r="D174" t="s">
        <v>911</v>
      </c>
      <c r="E174" s="25" t="s">
        <v>370</v>
      </c>
      <c r="F174" s="25" t="s">
        <v>382</v>
      </c>
      <c r="G174" s="25" t="s">
        <v>5</v>
      </c>
      <c r="H174" s="26" t="s">
        <v>895</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894</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894</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894</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897</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897</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898</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899</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894</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899</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898</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894</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894</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897</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895</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897</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895</v>
      </c>
      <c r="I191" s="27" t="s">
        <v>383</v>
      </c>
      <c r="J191" s="3" t="s">
        <v>320</v>
      </c>
      <c r="K191" t="s">
        <v>336</v>
      </c>
    </row>
    <row r="192" spans="1:11" ht="14.4">
      <c r="A192" s="22" t="str">
        <f>F192&amp;(COUNTIFS(F$2:F192,F192,K$2:K192,"Sparse"))</f>
        <v>UA7</v>
      </c>
      <c r="B192" s="22" t="str">
        <f>J192&amp;(COUNTIF(J$2:J192,J192))</f>
        <v>Unitary30</v>
      </c>
      <c r="C192" t="s">
        <v>904</v>
      </c>
      <c r="D192" t="s">
        <v>904</v>
      </c>
      <c r="E192" s="25" t="s">
        <v>368</v>
      </c>
      <c r="F192" s="25" t="s">
        <v>388</v>
      </c>
      <c r="G192" s="25" t="s">
        <v>397</v>
      </c>
      <c r="H192" s="26" t="s">
        <v>909</v>
      </c>
      <c r="I192" s="27" t="s">
        <v>909</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897</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899</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895</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898</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898</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894</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896</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894</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894</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899</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894</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894</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894</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894</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894</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894</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894</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899</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897</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894</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894</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895</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899</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895</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899</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894</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894</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898</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896</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894</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899</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898</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894</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895</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895</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899</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899</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897</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898</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899</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895</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898</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896</v>
      </c>
      <c r="I238" s="27" t="s">
        <v>385</v>
      </c>
      <c r="J238" t="str">
        <f>C238</f>
        <v>Sheffield</v>
      </c>
    </row>
    <row r="239" spans="1:11" ht="14.4">
      <c r="A239" s="22" t="str">
        <f>F239&amp;(COUNTIFS(F$2:F239,F239,K$2:K239,"Sparse"))</f>
        <v>SD37</v>
      </c>
      <c r="B239" s="22" t="str">
        <f>J239&amp;(COUNTIF(J$2:J239,J239))</f>
        <v>Kent9</v>
      </c>
      <c r="C239" t="s">
        <v>903</v>
      </c>
      <c r="D239" t="s">
        <v>903</v>
      </c>
      <c r="E239" s="25" t="s">
        <v>0</v>
      </c>
      <c r="F239" s="25" t="s">
        <v>382</v>
      </c>
      <c r="G239" s="25" t="s">
        <v>5</v>
      </c>
      <c r="H239" s="26" t="s">
        <v>897</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898</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894</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899</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905</v>
      </c>
      <c r="D244" s="27" t="s">
        <v>905</v>
      </c>
      <c r="E244" s="25" t="s">
        <v>1</v>
      </c>
      <c r="F244" s="25" t="s">
        <v>382</v>
      </c>
      <c r="G244" s="25" t="s">
        <v>5</v>
      </c>
      <c r="H244" s="27" t="s">
        <v>908</v>
      </c>
      <c r="I244" s="27" t="s">
        <v>383</v>
      </c>
      <c r="J244" t="s">
        <v>327</v>
      </c>
      <c r="K244" t="s">
        <v>336</v>
      </c>
    </row>
    <row r="245" spans="1:11" ht="14.4">
      <c r="A245" s="22" t="str">
        <f>F245&amp;(COUNTIFS(F$2:F245,F245,K$2:K245,"Sparse"))</f>
        <v>SD39</v>
      </c>
      <c r="B245" s="22" t="str">
        <f>J245&amp;(COUNTIF(J$2:J245,J245))</f>
        <v>Cambridgeshire6</v>
      </c>
      <c r="C245" t="s">
        <v>912</v>
      </c>
      <c r="D245" t="s">
        <v>912</v>
      </c>
      <c r="E245" s="25" t="s">
        <v>370</v>
      </c>
      <c r="F245" s="25" t="s">
        <v>382</v>
      </c>
      <c r="G245" s="25" t="s">
        <v>5</v>
      </c>
      <c r="H245" s="26" t="s">
        <v>897</v>
      </c>
      <c r="I245" s="27" t="s">
        <v>372</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897</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894</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895</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898</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895</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895</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895</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894</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898</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897</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899</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894</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894</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899</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899</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894</v>
      </c>
      <c r="I262" s="27" t="s">
        <v>385</v>
      </c>
      <c r="J262" t="s">
        <v>315</v>
      </c>
    </row>
    <row r="263" spans="1:11" ht="14.4">
      <c r="A263" s="22" t="str">
        <f>F263&amp;(COUNTIFS(F$2:F263,F263,K$2:K263,"Sparse"))</f>
        <v>SD47</v>
      </c>
      <c r="B263" s="22" t="str">
        <f>J263&amp;(COUNTIF(J$2:J263,J263))</f>
        <v>Suffolk4</v>
      </c>
      <c r="C263" t="s">
        <v>901</v>
      </c>
      <c r="D263" t="s">
        <v>901</v>
      </c>
      <c r="E263" s="25" t="s">
        <v>370</v>
      </c>
      <c r="F263" s="25" t="s">
        <v>382</v>
      </c>
      <c r="G263" s="25" t="s">
        <v>5</v>
      </c>
      <c r="H263" s="26" t="s">
        <v>898</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900</v>
      </c>
      <c r="D275" t="s">
        <v>900</v>
      </c>
      <c r="E275" s="25" t="s">
        <v>370</v>
      </c>
      <c r="F275" s="25" t="s">
        <v>382</v>
      </c>
      <c r="G275" s="25" t="s">
        <v>5</v>
      </c>
      <c r="H275" s="26" t="s">
        <v>898</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899</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894</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899</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898</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894</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899</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894</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897</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898</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894</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898</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897</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898</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894</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899</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899</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897</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894</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895</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899</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899</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897</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895</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898</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894</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899</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899</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899</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894</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894</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899</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898</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895</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894</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897</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895</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897</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895</v>
      </c>
      <c r="I315" s="27" t="s">
        <v>383</v>
      </c>
      <c r="J315" t="s">
        <v>319</v>
      </c>
      <c r="K315" t="s">
        <v>336</v>
      </c>
    </row>
    <row r="316" spans="1:11" ht="14.4">
      <c r="A316" s="22" t="str">
        <f>F316&amp;(COUNTIFS(F$2:F316,F316,K$2:K316,"Sparse"))</f>
        <v>UA12</v>
      </c>
      <c r="B316" s="22" t="str">
        <f>J316&amp;(COUNTIF(J$2:J316,J316))</f>
        <v>Unitary53</v>
      </c>
      <c r="C316" t="s">
        <v>906</v>
      </c>
      <c r="D316" t="s">
        <v>906</v>
      </c>
      <c r="E316" s="25" t="s">
        <v>368</v>
      </c>
      <c r="F316" s="25" t="s">
        <v>388</v>
      </c>
      <c r="G316" s="25" t="s">
        <v>397</v>
      </c>
      <c r="H316" s="26" t="s">
        <v>897</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895</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86E36B83-8856-4385-843F-5CD99171FD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2024-04-22T14:46:15Z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